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75" activeTab="0"/>
  </bookViews>
  <sheets>
    <sheet name="Detailed Budget" sheetId="1" r:id="rId1"/>
    <sheet name="personnel worksheet" sheetId="2" r:id="rId2"/>
  </sheets>
  <definedNames>
    <definedName name="AAA1">#REF!</definedName>
    <definedName name="AAAA1">#REF!</definedName>
    <definedName name="IV100000">#REF!</definedName>
    <definedName name="IV159438">#REF!</definedName>
  </definedNames>
  <calcPr fullCalcOnLoad="1"/>
</workbook>
</file>

<file path=xl/sharedStrings.xml><?xml version="1.0" encoding="utf-8"?>
<sst xmlns="http://schemas.openxmlformats.org/spreadsheetml/2006/main" count="206" uniqueCount="165">
  <si>
    <t>Cost Center Information</t>
  </si>
  <si>
    <t>Cost Center No./Title</t>
  </si>
  <si>
    <t>Program No./Title</t>
  </si>
  <si>
    <t>Budget Responsibility</t>
  </si>
  <si>
    <t>Total</t>
  </si>
  <si>
    <t>Ref</t>
  </si>
  <si>
    <t>Account Name</t>
  </si>
  <si>
    <t>Rate</t>
  </si>
  <si>
    <t>1.0</t>
  </si>
  <si>
    <t>Qty</t>
  </si>
  <si>
    <t>Months</t>
  </si>
  <si>
    <t>Monthly</t>
  </si>
  <si>
    <t>National Staff</t>
  </si>
  <si>
    <t>Personnel</t>
  </si>
  <si>
    <t>4.0</t>
  </si>
  <si>
    <t>5.0</t>
  </si>
  <si>
    <t>3.0</t>
  </si>
  <si>
    <t>Salaries: Expatriates</t>
  </si>
  <si>
    <t>Salaries: Nationals</t>
  </si>
  <si>
    <t>Bicycles</t>
  </si>
  <si>
    <t>Other transportation</t>
  </si>
  <si>
    <t>total cost</t>
  </si>
  <si>
    <t>other sources</t>
  </si>
  <si>
    <t>this grant</t>
  </si>
  <si>
    <t>Transport</t>
  </si>
  <si>
    <t xml:space="preserve">Office Supplies </t>
  </si>
  <si>
    <t>Printers</t>
  </si>
  <si>
    <t>This Grant</t>
  </si>
  <si>
    <t>Other Sources</t>
  </si>
  <si>
    <t>Warehouse Guards</t>
  </si>
  <si>
    <t>2.0</t>
  </si>
  <si>
    <t>6.0</t>
  </si>
  <si>
    <t>Cooks/Janitors</t>
  </si>
  <si>
    <t>Obj 1</t>
  </si>
  <si>
    <t>Units</t>
  </si>
  <si>
    <t>per household</t>
  </si>
  <si>
    <t>Expatriate Staff</t>
  </si>
  <si>
    <t>Total Expatriate Staff</t>
  </si>
  <si>
    <t>TOTAL - Personnel</t>
  </si>
  <si>
    <t>TOTAL - Transport</t>
  </si>
  <si>
    <t>per month</t>
  </si>
  <si>
    <t>Meals and lodging</t>
  </si>
  <si>
    <t>TOTAL - Equipment</t>
  </si>
  <si>
    <t>Equipment</t>
  </si>
  <si>
    <t>Field supplies</t>
  </si>
  <si>
    <t>per ton</t>
  </si>
  <si>
    <t>Annex B: Budget Detail</t>
  </si>
  <si>
    <t>per bicycle</t>
  </si>
  <si>
    <t>per desktop</t>
  </si>
  <si>
    <t>per printer</t>
  </si>
  <si>
    <t>per radio</t>
  </si>
  <si>
    <t>Acct</t>
  </si>
  <si>
    <t>Total Amt</t>
  </si>
  <si>
    <t>Vehicle kilometer charges</t>
  </si>
  <si>
    <t>per notebook</t>
  </si>
  <si>
    <t>Notebook computers</t>
  </si>
  <si>
    <t>Desktop computers</t>
  </si>
  <si>
    <t>Labor - Loading and unloading</t>
  </si>
  <si>
    <t>% to project</t>
  </si>
  <si>
    <t>Medical per mo</t>
  </si>
  <si>
    <t>per motorcycle</t>
  </si>
  <si>
    <t>Agriculture Extensionists</t>
  </si>
  <si>
    <t>Audit</t>
  </si>
  <si>
    <t>Bank charges</t>
  </si>
  <si>
    <t>per audit</t>
  </si>
  <si>
    <t>Field warehouse setup</t>
  </si>
  <si>
    <t>per warehouse</t>
  </si>
  <si>
    <t>Office equipment maintenance</t>
  </si>
  <si>
    <t>557-559</t>
  </si>
  <si>
    <t>of direct costs</t>
  </si>
  <si>
    <t>Office operations</t>
  </si>
  <si>
    <t>TOTAL - Office operations</t>
  </si>
  <si>
    <t>Occupancy</t>
  </si>
  <si>
    <t>TOTAL - Occupancy</t>
  </si>
  <si>
    <t>Program materials/supplies</t>
  </si>
  <si>
    <t>TOTAL - Program materials/supplies</t>
  </si>
  <si>
    <t>Telephone/postage/email</t>
  </si>
  <si>
    <t>Evaluation and prof. services</t>
  </si>
  <si>
    <t>TOTAL - Evaluation and prof. Services</t>
  </si>
  <si>
    <t>Legal fees</t>
  </si>
  <si>
    <t>7.0</t>
  </si>
  <si>
    <t>See Annex D: Personnel Worksheet</t>
  </si>
  <si>
    <t>Annex D: Personnel Worksheet</t>
  </si>
  <si>
    <t>Utilities</t>
  </si>
  <si>
    <t>per evaluation</t>
  </si>
  <si>
    <t>Motorcycle running costs</t>
  </si>
  <si>
    <t>Driver</t>
  </si>
  <si>
    <t>Food for the Hungry, Inc.</t>
  </si>
  <si>
    <t>Agriculture Supervisor</t>
  </si>
  <si>
    <t>Training/Workshops</t>
  </si>
  <si>
    <t>Motorcycles</t>
  </si>
  <si>
    <t>Keith Wright/Sang Hoon Lee</t>
  </si>
  <si>
    <t xml:space="preserve">Program code  </t>
  </si>
  <si>
    <t>Northern Uganda Food Security Program</t>
  </si>
  <si>
    <t>Shared Costs</t>
  </si>
  <si>
    <t>Water/Sanitation Supervisor</t>
  </si>
  <si>
    <t>Kampala Logistician</t>
  </si>
  <si>
    <t>Pader Logistician</t>
  </si>
  <si>
    <t>Water/Sanitation Coordinators</t>
  </si>
  <si>
    <t>per water point</t>
  </si>
  <si>
    <t>Obj 2</t>
  </si>
  <si>
    <t>per workshop</t>
  </si>
  <si>
    <t>Vegetable Seeds- distribution</t>
  </si>
  <si>
    <t xml:space="preserve">final evaluation </t>
  </si>
  <si>
    <t>per vehicle</t>
  </si>
  <si>
    <t>Hygiene Promotion Agents</t>
  </si>
  <si>
    <t>Logistic Manager</t>
  </si>
  <si>
    <t>Shared</t>
  </si>
  <si>
    <t>per day</t>
  </si>
  <si>
    <t>Vehicle rental</t>
  </si>
  <si>
    <t>total cost med</t>
  </si>
  <si>
    <t>UHF Portable Codan Radio- installed</t>
  </si>
  <si>
    <t>Toyoto Hilux Vehicle - pickup</t>
  </si>
  <si>
    <t>Generator</t>
  </si>
  <si>
    <t>per generator</t>
  </si>
  <si>
    <t>PowerStabilizers/surge protectors</t>
  </si>
  <si>
    <t>per unit</t>
  </si>
  <si>
    <t>Grand Total costs</t>
  </si>
  <si>
    <t>Allocated Direct cost</t>
  </si>
  <si>
    <t>Total Direct Costs</t>
  </si>
  <si>
    <t xml:space="preserve">Total before allocated costs </t>
  </si>
  <si>
    <t xml:space="preserve">NICRA </t>
  </si>
  <si>
    <t>Period:  1 April 2005 - 30 September 2005</t>
  </si>
  <si>
    <t>Latrine slabs</t>
  </si>
  <si>
    <t>per latrine</t>
  </si>
  <si>
    <t>Latrine PVC pipes</t>
  </si>
  <si>
    <t>per HPA</t>
  </si>
  <si>
    <t>Hygiene Promotion Agent Training</t>
  </si>
  <si>
    <t xml:space="preserve">Diesel motorized pump </t>
  </si>
  <si>
    <t>per pump</t>
  </si>
  <si>
    <t xml:space="preserve">per container </t>
  </si>
  <si>
    <t>Constuction materials (pump house)</t>
  </si>
  <si>
    <t>Hydrogeological survey</t>
  </si>
  <si>
    <t>per survey</t>
  </si>
  <si>
    <t>Borehole drilling contractor</t>
  </si>
  <si>
    <t>per borehole</t>
  </si>
  <si>
    <t>Pump testing services</t>
  </si>
  <si>
    <t>Training water committees</t>
  </si>
  <si>
    <t>Water storage container structure</t>
  </si>
  <si>
    <t>Pipes and tap stands</t>
  </si>
  <si>
    <t>per water structure</t>
  </si>
  <si>
    <t>Hygiene Promotion Training materials</t>
  </si>
  <si>
    <t>Shovels for latrine construction</t>
  </si>
  <si>
    <t>per unit (shovel)</t>
  </si>
  <si>
    <t>Pick axes for latrine construction</t>
  </si>
  <si>
    <t>per unit (pick)</t>
  </si>
  <si>
    <t>Labor - Water points and Miscellaneous</t>
  </si>
  <si>
    <t>Program Director</t>
  </si>
  <si>
    <t>Benefits Expat</t>
  </si>
  <si>
    <t>Benefits Nationals</t>
  </si>
  <si>
    <t>Obj. 1 Wat/San</t>
  </si>
  <si>
    <t>Obj. 2 Food Security</t>
  </si>
  <si>
    <t xml:space="preserve">Obj 1 </t>
  </si>
  <si>
    <t>Salary Nationals</t>
  </si>
  <si>
    <t xml:space="preserve">Hand pumps </t>
  </si>
  <si>
    <t xml:space="preserve">Field Office Cost </t>
  </si>
  <si>
    <t>Labor - water point construction support</t>
  </si>
  <si>
    <t>Water system running costs</t>
  </si>
  <si>
    <t>per month (2 systems)</t>
  </si>
  <si>
    <t>Accounts Assistant</t>
  </si>
  <si>
    <t>Tools (hoes &amp; watering cans)</t>
  </si>
  <si>
    <t>Medical Nat'ls</t>
  </si>
  <si>
    <t>Medical Expat</t>
  </si>
  <si>
    <t>Salary Expat</t>
  </si>
  <si>
    <t xml:space="preserve">Shared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</si>
</sst>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"/>
    <numFmt numFmtId="179" formatCode="_(* #,##0_);_(* \(#,##0\);_(* &quot;-&quot;??_);_(@_)"/>
    <numFmt numFmtId="180" formatCode="&quot;$&quot;#,##0;[Red]&quot;$&quot;#,##0"/>
    <numFmt numFmtId="181" formatCode="0.0"/>
    <numFmt numFmtId="182" formatCode="0.0%"/>
    <numFmt numFmtId="183" formatCode="&quot;$&quot;#,##0"/>
    <numFmt numFmtId="184" formatCode="0.000"/>
    <numFmt numFmtId="185" formatCode="00000"/>
    <numFmt numFmtId="186" formatCode="_(* #,##0.0_);_(* \(#,##0.0\);_(* &quot;-&quot;??_);_(@_)"/>
    <numFmt numFmtId="187" formatCode="#,##0.000"/>
    <numFmt numFmtId="188" formatCode="_(* #,##0.000_);_(* \(#,##0.000\);_(* &quot;-&quot;???_);_(@_)"/>
    <numFmt numFmtId="189" formatCode="_(&quot;$&quot;* #,##0.0_);_(&quot;$&quot;* \(#,##0.0\);_(&quot;$&quot;* &quot;-&quot;??_);_(@_)"/>
    <numFmt numFmtId="190" formatCode="_(&quot;$&quot;* #,##0_);_(&quot;$&quot;* \(#,##0\);_(&quot;$&quot;* &quot;-&quot;??_);_(@_)"/>
    <numFmt numFmtId="191" formatCode="_(* #,##0.0_);_(* \(#,##0.0\);_(* &quot;-&quot;?_);_(@_)"/>
    <numFmt numFmtId="192" formatCode="_(&quot;$&quot;* #,##0.000_);_(&quot;$&quot;* \(#,##0.000\);_(&quot;$&quot;* &quot;-&quot;??_);_(@_)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(* #,##0.0000_);_(* \(#,##0.0000\);_(* &quot;-&quot;_);_(@_)"/>
    <numFmt numFmtId="197" formatCode="_(* #,##0.00000_);_(* \(#,##0.00000\);_(* &quot;-&quot;_);_(@_)"/>
    <numFmt numFmtId="198" formatCode="_(* #,##0.000000_);_(* \(#,##0.000000\);_(* &quot;-&quot;_);_(@_)"/>
    <numFmt numFmtId="199" formatCode="_(* #,##0.0000000_);_(* \(#,##0.0000000\);_(* &quot;-&quot;_);_(@_)"/>
    <numFmt numFmtId="200" formatCode="_(* #,##0.00000000_);_(* \(#,##0.00000000\);_(* &quot;-&quot;_);_(@_)"/>
    <numFmt numFmtId="201" formatCode="_(* #,##0.000000000_);_(* \(#,##0.000000000\);_(* &quot;-&quot;_);_(@_)"/>
    <numFmt numFmtId="202" formatCode="0.000%"/>
    <numFmt numFmtId="203" formatCode="_(* #,##0.000_);_(* \(#,##0.000\);_(* &quot;-&quot;??_);_(@_)"/>
    <numFmt numFmtId="204" formatCode="_(* #,##0.0000_);_(* \(#,##0.0000\);_(* &quot;-&quot;??_);_(@_)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&quot;$&quot;#,##0.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0" fillId="0" borderId="1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1" fillId="0" borderId="4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0" xfId="0" applyNumberFormat="1" applyAlignment="1">
      <alignment/>
    </xf>
    <xf numFmtId="178" fontId="0" fillId="0" borderId="9" xfId="0" applyNumberFormat="1" applyFont="1" applyBorder="1" applyAlignment="1" quotePrefix="1">
      <alignment horizontal="left"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1" fillId="0" borderId="4" xfId="0" applyNumberFormat="1" applyFont="1" applyFill="1" applyBorder="1" applyAlignment="1">
      <alignment/>
    </xf>
    <xf numFmtId="0" fontId="0" fillId="0" borderId="0" xfId="0" applyAlignment="1">
      <alignment wrapText="1"/>
    </xf>
    <xf numFmtId="3" fontId="0" fillId="0" borderId="12" xfId="0" applyNumberFormat="1" applyFont="1" applyBorder="1" applyAlignment="1">
      <alignment horizontal="left"/>
    </xf>
    <xf numFmtId="3" fontId="0" fillId="0" borderId="13" xfId="0" applyNumberFormat="1" applyFont="1" applyBorder="1" applyAlignment="1">
      <alignment horizontal="left"/>
    </xf>
    <xf numFmtId="3" fontId="0" fillId="0" borderId="14" xfId="0" applyNumberFormat="1" applyFont="1" applyBorder="1" applyAlignment="1">
      <alignment horizontal="left"/>
    </xf>
    <xf numFmtId="0" fontId="0" fillId="0" borderId="15" xfId="0" applyBorder="1" applyAlignment="1">
      <alignment/>
    </xf>
    <xf numFmtId="3" fontId="0" fillId="0" borderId="5" xfId="0" applyNumberFormat="1" applyBorder="1" applyAlignment="1">
      <alignment/>
    </xf>
    <xf numFmtId="179" fontId="0" fillId="0" borderId="0" xfId="15" applyNumberFormat="1" applyAlignment="1">
      <alignment/>
    </xf>
    <xf numFmtId="179" fontId="0" fillId="0" borderId="0" xfId="15" applyNumberFormat="1" applyBorder="1" applyAlignment="1">
      <alignment/>
    </xf>
    <xf numFmtId="179" fontId="1" fillId="0" borderId="16" xfId="15" applyNumberFormat="1" applyFont="1" applyBorder="1" applyAlignment="1">
      <alignment/>
    </xf>
    <xf numFmtId="179" fontId="1" fillId="0" borderId="17" xfId="15" applyNumberFormat="1" applyFont="1" applyBorder="1" applyAlignment="1">
      <alignment/>
    </xf>
    <xf numFmtId="179" fontId="0" fillId="0" borderId="7" xfId="15" applyNumberFormat="1" applyBorder="1" applyAlignment="1">
      <alignment/>
    </xf>
    <xf numFmtId="17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6" xfId="0" applyFont="1" applyBorder="1" applyAlignment="1">
      <alignment horizontal="center" wrapText="1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 wrapText="1"/>
    </xf>
    <xf numFmtId="3" fontId="1" fillId="0" borderId="18" xfId="0" applyNumberFormat="1" applyFont="1" applyBorder="1" applyAlignment="1">
      <alignment horizontal="center" wrapText="1"/>
    </xf>
    <xf numFmtId="3" fontId="0" fillId="0" borderId="5" xfId="0" applyNumberFormat="1" applyFont="1" applyBorder="1" applyAlignment="1">
      <alignment horizontal="left"/>
    </xf>
    <xf numFmtId="0" fontId="0" fillId="0" borderId="8" xfId="0" applyBorder="1" applyAlignment="1">
      <alignment/>
    </xf>
    <xf numFmtId="3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8" xfId="0" applyNumberFormat="1" applyFont="1" applyFill="1" applyBorder="1" applyAlignment="1">
      <alignment/>
    </xf>
    <xf numFmtId="41" fontId="0" fillId="0" borderId="6" xfId="0" applyNumberFormat="1" applyBorder="1" applyAlignment="1">
      <alignment/>
    </xf>
    <xf numFmtId="41" fontId="0" fillId="0" borderId="6" xfId="15" applyNumberFormat="1" applyBorder="1" applyAlignment="1">
      <alignment/>
    </xf>
    <xf numFmtId="41" fontId="1" fillId="0" borderId="6" xfId="15" applyNumberFormat="1" applyFont="1" applyBorder="1" applyAlignment="1">
      <alignment/>
    </xf>
    <xf numFmtId="41" fontId="0" fillId="0" borderId="0" xfId="0" applyNumberFormat="1" applyBorder="1" applyAlignment="1">
      <alignment/>
    </xf>
    <xf numFmtId="41" fontId="0" fillId="0" borderId="0" xfId="15" applyNumberFormat="1" applyBorder="1" applyAlignment="1">
      <alignment/>
    </xf>
    <xf numFmtId="0" fontId="1" fillId="0" borderId="6" xfId="0" applyFont="1" applyFill="1" applyBorder="1" applyAlignment="1">
      <alignment/>
    </xf>
    <xf numFmtId="41" fontId="1" fillId="0" borderId="6" xfId="0" applyNumberFormat="1" applyFont="1" applyBorder="1" applyAlignment="1">
      <alignment/>
    </xf>
    <xf numFmtId="0" fontId="1" fillId="0" borderId="6" xfId="0" applyFont="1" applyBorder="1" applyAlignment="1">
      <alignment wrapText="1"/>
    </xf>
    <xf numFmtId="179" fontId="1" fillId="0" borderId="6" xfId="15" applyNumberFormat="1" applyFont="1" applyBorder="1" applyAlignment="1">
      <alignment wrapText="1"/>
    </xf>
    <xf numFmtId="0" fontId="1" fillId="0" borderId="6" xfId="0" applyFont="1" applyBorder="1" applyAlignment="1">
      <alignment/>
    </xf>
    <xf numFmtId="179" fontId="1" fillId="0" borderId="6" xfId="15" applyNumberFormat="1" applyFont="1" applyBorder="1" applyAlignment="1">
      <alignment horizontal="center" wrapText="1"/>
    </xf>
    <xf numFmtId="3" fontId="1" fillId="0" borderId="6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0" xfId="0" applyNumberFormat="1" applyFont="1" applyBorder="1" applyAlignment="1">
      <alignment horizontal="left"/>
    </xf>
    <xf numFmtId="3" fontId="1" fillId="0" borderId="8" xfId="0" applyNumberFormat="1" applyFont="1" applyBorder="1" applyAlignment="1">
      <alignment/>
    </xf>
    <xf numFmtId="178" fontId="1" fillId="0" borderId="20" xfId="0" applyNumberFormat="1" applyFont="1" applyBorder="1" applyAlignment="1" quotePrefix="1">
      <alignment horizontal="left"/>
    </xf>
    <xf numFmtId="3" fontId="1" fillId="0" borderId="20" xfId="0" applyNumberFormat="1" applyFont="1" applyFill="1" applyBorder="1" applyAlignment="1">
      <alignment horizontal="left"/>
    </xf>
    <xf numFmtId="3" fontId="1" fillId="0" borderId="8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22" xfId="0" applyNumberFormat="1" applyBorder="1" applyAlignment="1">
      <alignment/>
    </xf>
    <xf numFmtId="41" fontId="0" fillId="0" borderId="4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4" xfId="0" applyNumberFormat="1" applyBorder="1" applyAlignment="1">
      <alignment/>
    </xf>
    <xf numFmtId="41" fontId="6" fillId="0" borderId="6" xfId="0" applyNumberFormat="1" applyFont="1" applyBorder="1" applyAlignment="1">
      <alignment/>
    </xf>
    <xf numFmtId="41" fontId="0" fillId="0" borderId="4" xfId="0" applyNumberFormat="1" applyFont="1" applyFill="1" applyBorder="1" applyAlignment="1">
      <alignment/>
    </xf>
    <xf numFmtId="41" fontId="0" fillId="0" borderId="23" xfId="0" applyNumberFormat="1" applyFont="1" applyBorder="1" applyAlignment="1">
      <alignment/>
    </xf>
    <xf numFmtId="41" fontId="6" fillId="0" borderId="6" xfId="0" applyNumberFormat="1" applyFont="1" applyFill="1" applyBorder="1" applyAlignment="1">
      <alignment/>
    </xf>
    <xf numFmtId="41" fontId="0" fillId="0" borderId="3" xfId="0" applyNumberFormat="1" applyFont="1" applyBorder="1" applyAlignment="1">
      <alignment/>
    </xf>
    <xf numFmtId="41" fontId="0" fillId="0" borderId="24" xfId="0" applyNumberFormat="1" applyFont="1" applyBorder="1" applyAlignment="1">
      <alignment/>
    </xf>
    <xf numFmtId="41" fontId="0" fillId="0" borderId="22" xfId="0" applyNumberFormat="1" applyFont="1" applyBorder="1" applyAlignment="1">
      <alignment/>
    </xf>
    <xf numFmtId="41" fontId="6" fillId="0" borderId="25" xfId="0" applyNumberFormat="1" applyFont="1" applyBorder="1" applyAlignment="1">
      <alignment/>
    </xf>
    <xf numFmtId="3" fontId="0" fillId="0" borderId="10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3" fontId="0" fillId="0" borderId="26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1" fillId="0" borderId="27" xfId="0" applyNumberFormat="1" applyFont="1" applyBorder="1" applyAlignment="1">
      <alignment horizontal="left"/>
    </xf>
    <xf numFmtId="3" fontId="1" fillId="0" borderId="19" xfId="0" applyNumberFormat="1" applyFont="1" applyBorder="1" applyAlignment="1">
      <alignment/>
    </xf>
    <xf numFmtId="0" fontId="0" fillId="0" borderId="6" xfId="0" applyBorder="1" applyAlignment="1">
      <alignment wrapText="1"/>
    </xf>
    <xf numFmtId="9" fontId="0" fillId="0" borderId="0" xfId="21" applyAlignment="1">
      <alignment/>
    </xf>
    <xf numFmtId="9" fontId="0" fillId="0" borderId="0" xfId="21" applyBorder="1" applyAlignment="1">
      <alignment/>
    </xf>
    <xf numFmtId="9" fontId="1" fillId="0" borderId="6" xfId="21" applyFont="1" applyBorder="1" applyAlignment="1">
      <alignment horizontal="center" wrapText="1"/>
    </xf>
    <xf numFmtId="9" fontId="0" fillId="0" borderId="6" xfId="21" applyBorder="1" applyAlignment="1">
      <alignment/>
    </xf>
    <xf numFmtId="9" fontId="1" fillId="0" borderId="6" xfId="21" applyFont="1" applyBorder="1" applyAlignment="1">
      <alignment/>
    </xf>
    <xf numFmtId="9" fontId="0" fillId="0" borderId="7" xfId="2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41" fontId="6" fillId="0" borderId="1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41" fontId="0" fillId="0" borderId="6" xfId="15" applyNumberFormat="1" applyFont="1" applyBorder="1" applyAlignment="1">
      <alignment/>
    </xf>
    <xf numFmtId="178" fontId="0" fillId="0" borderId="28" xfId="0" applyNumberFormat="1" applyFont="1" applyBorder="1" applyAlignment="1" quotePrefix="1">
      <alignment horizontal="left"/>
    </xf>
    <xf numFmtId="3" fontId="1" fillId="0" borderId="14" xfId="0" applyNumberFormat="1" applyFont="1" applyBorder="1" applyAlignment="1">
      <alignment horizontal="left"/>
    </xf>
    <xf numFmtId="0" fontId="0" fillId="0" borderId="24" xfId="0" applyBorder="1" applyAlignment="1">
      <alignment/>
    </xf>
    <xf numFmtId="190" fontId="0" fillId="0" borderId="0" xfId="17" applyNumberFormat="1" applyFont="1" applyBorder="1" applyAlignment="1">
      <alignment horizontal="center"/>
    </xf>
    <xf numFmtId="190" fontId="0" fillId="0" borderId="0" xfId="17" applyNumberFormat="1" applyBorder="1" applyAlignment="1">
      <alignment/>
    </xf>
    <xf numFmtId="190" fontId="0" fillId="0" borderId="0" xfId="17" applyNumberFormat="1" applyFont="1" applyBorder="1" applyAlignment="1">
      <alignment/>
    </xf>
    <xf numFmtId="190" fontId="1" fillId="0" borderId="24" xfId="17" applyNumberFormat="1" applyFont="1" applyBorder="1" applyAlignment="1">
      <alignment/>
    </xf>
    <xf numFmtId="190" fontId="0" fillId="0" borderId="24" xfId="17" applyNumberFormat="1" applyBorder="1" applyAlignment="1">
      <alignment/>
    </xf>
    <xf numFmtId="190" fontId="0" fillId="0" borderId="0" xfId="17" applyNumberFormat="1" applyFont="1" applyFill="1" applyBorder="1" applyAlignment="1">
      <alignment/>
    </xf>
    <xf numFmtId="190" fontId="0" fillId="0" borderId="24" xfId="17" applyNumberFormat="1" applyFont="1" applyBorder="1" applyAlignment="1">
      <alignment/>
    </xf>
    <xf numFmtId="190" fontId="0" fillId="0" borderId="24" xfId="17" applyNumberFormat="1" applyFont="1" applyFill="1" applyBorder="1" applyAlignment="1">
      <alignment/>
    </xf>
    <xf numFmtId="190" fontId="1" fillId="0" borderId="24" xfId="17" applyNumberFormat="1" applyFont="1" applyFill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19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0" fontId="0" fillId="0" borderId="21" xfId="0" applyBorder="1" applyAlignment="1">
      <alignment horizontal="right"/>
    </xf>
    <xf numFmtId="202" fontId="0" fillId="0" borderId="0" xfId="21" applyNumberFormat="1" applyFont="1" applyFill="1" applyBorder="1" applyAlignment="1">
      <alignment/>
    </xf>
    <xf numFmtId="0" fontId="1" fillId="0" borderId="28" xfId="0" applyFont="1" applyBorder="1" applyAlignment="1" quotePrefix="1">
      <alignment/>
    </xf>
    <xf numFmtId="181" fontId="1" fillId="0" borderId="9" xfId="0" applyNumberFormat="1" applyFont="1" applyBorder="1" applyAlignment="1" quotePrefix="1">
      <alignment horizontal="left"/>
    </xf>
    <xf numFmtId="3" fontId="1" fillId="0" borderId="28" xfId="0" applyNumberFormat="1" applyFont="1" applyBorder="1" applyAlignment="1" quotePrefix="1">
      <alignment horizontal="left"/>
    </xf>
    <xf numFmtId="3" fontId="1" fillId="0" borderId="9" xfId="0" applyNumberFormat="1" applyFont="1" applyFill="1" applyBorder="1" applyAlignment="1" quotePrefix="1">
      <alignment horizontal="left"/>
    </xf>
    <xf numFmtId="178" fontId="1" fillId="0" borderId="9" xfId="0" applyNumberFormat="1" applyFont="1" applyBorder="1" applyAlignment="1" quotePrefix="1">
      <alignment horizontal="left"/>
    </xf>
    <xf numFmtId="43" fontId="0" fillId="0" borderId="0" xfId="15" applyNumberFormat="1" applyAlignment="1">
      <alignment/>
    </xf>
    <xf numFmtId="203" fontId="0" fillId="0" borderId="0" xfId="15" applyNumberFormat="1" applyAlignment="1">
      <alignment/>
    </xf>
    <xf numFmtId="41" fontId="1" fillId="0" borderId="7" xfId="0" applyNumberFormat="1" applyFont="1" applyBorder="1" applyAlignment="1">
      <alignment/>
    </xf>
    <xf numFmtId="0" fontId="1" fillId="0" borderId="16" xfId="0" applyFont="1" applyBorder="1" applyAlignment="1">
      <alignment/>
    </xf>
    <xf numFmtId="183" fontId="1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42" fontId="0" fillId="0" borderId="0" xfId="17" applyNumberFormat="1" applyFont="1" applyBorder="1" applyAlignment="1">
      <alignment horizontal="center"/>
    </xf>
    <xf numFmtId="41" fontId="6" fillId="0" borderId="29" xfId="0" applyNumberFormat="1" applyFont="1" applyBorder="1" applyAlignment="1">
      <alignment/>
    </xf>
    <xf numFmtId="0" fontId="1" fillId="0" borderId="18" xfId="0" applyFont="1" applyBorder="1" applyAlignment="1">
      <alignment horizontal="center" wrapText="1"/>
    </xf>
    <xf numFmtId="41" fontId="6" fillId="0" borderId="25" xfId="0" applyNumberFormat="1" applyFont="1" applyFill="1" applyBorder="1" applyAlignment="1">
      <alignment/>
    </xf>
    <xf numFmtId="41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23" xfId="0" applyBorder="1" applyAlignment="1">
      <alignment/>
    </xf>
    <xf numFmtId="179" fontId="1" fillId="0" borderId="7" xfId="15" applyNumberFormat="1" applyFont="1" applyBorder="1" applyAlignment="1">
      <alignment/>
    </xf>
    <xf numFmtId="41" fontId="0" fillId="0" borderId="4" xfId="0" applyNumberFormat="1" applyFill="1" applyBorder="1" applyAlignment="1">
      <alignment/>
    </xf>
    <xf numFmtId="179" fontId="0" fillId="0" borderId="6" xfId="15" applyNumberFormat="1" applyBorder="1" applyAlignment="1">
      <alignment/>
    </xf>
    <xf numFmtId="3" fontId="1" fillId="0" borderId="18" xfId="0" applyNumberFormat="1" applyFont="1" applyFill="1" applyBorder="1" applyAlignment="1">
      <alignment horizontal="center" wrapText="1"/>
    </xf>
    <xf numFmtId="3" fontId="1" fillId="0" borderId="19" xfId="0" applyNumberFormat="1" applyFont="1" applyFill="1" applyBorder="1" applyAlignment="1">
      <alignment horizontal="center" wrapText="1"/>
    </xf>
    <xf numFmtId="179" fontId="0" fillId="0" borderId="0" xfId="15" applyNumberFormat="1" applyFont="1" applyAlignment="1">
      <alignment/>
    </xf>
    <xf numFmtId="179" fontId="0" fillId="0" borderId="15" xfId="15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Fill="1" applyBorder="1" applyAlignment="1">
      <alignment/>
    </xf>
    <xf numFmtId="41" fontId="0" fillId="0" borderId="23" xfId="0" applyNumberFormat="1" applyBorder="1" applyAlignment="1">
      <alignment/>
    </xf>
    <xf numFmtId="0" fontId="0" fillId="0" borderId="0" xfId="0" applyFill="1" applyBorder="1" applyAlignment="1">
      <alignment/>
    </xf>
    <xf numFmtId="179" fontId="0" fillId="0" borderId="5" xfId="15" applyNumberFormat="1" applyFont="1" applyBorder="1" applyAlignment="1">
      <alignment horizontal="center"/>
    </xf>
    <xf numFmtId="179" fontId="0" fillId="0" borderId="5" xfId="15" applyNumberFormat="1" applyFont="1" applyFill="1" applyBorder="1" applyAlignment="1">
      <alignment horizontal="center"/>
    </xf>
    <xf numFmtId="179" fontId="0" fillId="0" borderId="4" xfId="15" applyNumberFormat="1" applyFont="1" applyFill="1" applyBorder="1" applyAlignment="1">
      <alignment horizontal="center"/>
    </xf>
    <xf numFmtId="179" fontId="0" fillId="0" borderId="4" xfId="15" applyNumberFormat="1" applyBorder="1" applyAlignment="1">
      <alignment/>
    </xf>
    <xf numFmtId="179" fontId="0" fillId="0" borderId="23" xfId="15" applyNumberFormat="1" applyBorder="1" applyAlignment="1">
      <alignment/>
    </xf>
    <xf numFmtId="179" fontId="0" fillId="0" borderId="4" xfId="15" applyNumberFormat="1" applyFont="1" applyBorder="1" applyAlignment="1">
      <alignment/>
    </xf>
    <xf numFmtId="179" fontId="0" fillId="0" borderId="0" xfId="15" applyNumberFormat="1" applyFont="1" applyBorder="1" applyAlignment="1">
      <alignment/>
    </xf>
    <xf numFmtId="179" fontId="0" fillId="0" borderId="22" xfId="15" applyNumberFormat="1" applyBorder="1" applyAlignment="1">
      <alignment/>
    </xf>
    <xf numFmtId="179" fontId="0" fillId="0" borderId="5" xfId="15" applyNumberFormat="1" applyBorder="1" applyAlignment="1">
      <alignment/>
    </xf>
    <xf numFmtId="179" fontId="0" fillId="0" borderId="23" xfId="15" applyNumberFormat="1" applyFont="1" applyFill="1" applyBorder="1" applyAlignment="1">
      <alignment/>
    </xf>
    <xf numFmtId="179" fontId="0" fillId="0" borderId="23" xfId="15" applyNumberFormat="1" applyFill="1" applyBorder="1" applyAlignment="1">
      <alignment/>
    </xf>
    <xf numFmtId="179" fontId="0" fillId="0" borderId="5" xfId="15" applyNumberFormat="1" applyFill="1" applyBorder="1" applyAlignment="1">
      <alignment/>
    </xf>
    <xf numFmtId="179" fontId="1" fillId="0" borderId="2" xfId="15" applyNumberFormat="1" applyFont="1" applyBorder="1" applyAlignment="1">
      <alignment horizontal="center"/>
    </xf>
    <xf numFmtId="179" fontId="6" fillId="0" borderId="6" xfId="15" applyNumberFormat="1" applyFont="1" applyBorder="1" applyAlignment="1">
      <alignment/>
    </xf>
    <xf numFmtId="179" fontId="6" fillId="0" borderId="25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179" fontId="0" fillId="0" borderId="3" xfId="15" applyNumberFormat="1" applyBorder="1" applyAlignment="1">
      <alignment/>
    </xf>
    <xf numFmtId="179" fontId="5" fillId="0" borderId="3" xfId="15" applyNumberFormat="1" applyFont="1" applyFill="1" applyBorder="1" applyAlignment="1">
      <alignment/>
    </xf>
    <xf numFmtId="179" fontId="0" fillId="0" borderId="3" xfId="15" applyNumberFormat="1" applyFill="1" applyBorder="1" applyAlignment="1">
      <alignment/>
    </xf>
    <xf numFmtId="179" fontId="5" fillId="0" borderId="4" xfId="15" applyNumberFormat="1" applyFont="1" applyFill="1" applyBorder="1" applyAlignment="1">
      <alignment/>
    </xf>
    <xf numFmtId="179" fontId="0" fillId="0" borderId="0" xfId="15" applyNumberFormat="1" applyFill="1" applyAlignment="1">
      <alignment/>
    </xf>
    <xf numFmtId="179" fontId="0" fillId="0" borderId="4" xfId="15" applyNumberFormat="1" applyFill="1" applyBorder="1" applyAlignment="1">
      <alignment/>
    </xf>
    <xf numFmtId="179" fontId="0" fillId="0" borderId="4" xfId="15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179" fontId="0" fillId="0" borderId="5" xfId="15" applyNumberFormat="1" applyFont="1" applyBorder="1" applyAlignment="1">
      <alignment/>
    </xf>
    <xf numFmtId="41" fontId="6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left"/>
    </xf>
    <xf numFmtId="179" fontId="6" fillId="0" borderId="3" xfId="15" applyNumberFormat="1" applyFont="1" applyBorder="1" applyAlignment="1">
      <alignment/>
    </xf>
    <xf numFmtId="3" fontId="1" fillId="0" borderId="4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center"/>
    </xf>
    <xf numFmtId="179" fontId="6" fillId="0" borderId="4" xfId="15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1" fillId="0" borderId="22" xfId="0" applyNumberFormat="1" applyFont="1" applyBorder="1" applyAlignment="1">
      <alignment horizontal="center"/>
    </xf>
    <xf numFmtId="41" fontId="8" fillId="0" borderId="4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30" xfId="0" applyBorder="1" applyAlignment="1">
      <alignment/>
    </xf>
    <xf numFmtId="41" fontId="8" fillId="0" borderId="3" xfId="0" applyNumberFormat="1" applyFont="1" applyBorder="1" applyAlignment="1">
      <alignment/>
    </xf>
    <xf numFmtId="179" fontId="8" fillId="0" borderId="3" xfId="15" applyNumberFormat="1" applyFont="1" applyBorder="1" applyAlignment="1">
      <alignment/>
    </xf>
    <xf numFmtId="41" fontId="8" fillId="0" borderId="23" xfId="0" applyNumberFormat="1" applyFont="1" applyBorder="1" applyAlignment="1">
      <alignment/>
    </xf>
    <xf numFmtId="10" fontId="0" fillId="0" borderId="23" xfId="0" applyNumberFormat="1" applyBorder="1" applyAlignment="1">
      <alignment/>
    </xf>
    <xf numFmtId="0" fontId="0" fillId="0" borderId="31" xfId="0" applyBorder="1" applyAlignment="1">
      <alignment/>
    </xf>
    <xf numFmtId="190" fontId="0" fillId="0" borderId="0" xfId="17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left"/>
    </xf>
    <xf numFmtId="41" fontId="0" fillId="0" borderId="5" xfId="0" applyNumberFormat="1" applyFont="1" applyFill="1" applyBorder="1" applyAlignment="1">
      <alignment/>
    </xf>
    <xf numFmtId="41" fontId="0" fillId="0" borderId="22" xfId="0" applyNumberFormat="1" applyFont="1" applyFill="1" applyBorder="1" applyAlignment="1">
      <alignment/>
    </xf>
    <xf numFmtId="0" fontId="0" fillId="0" borderId="0" xfId="0" applyFont="1" applyAlignment="1">
      <alignment/>
    </xf>
    <xf numFmtId="178" fontId="0" fillId="0" borderId="4" xfId="0" applyNumberFormat="1" applyFont="1" applyBorder="1" applyAlignment="1">
      <alignment horizontal="left"/>
    </xf>
    <xf numFmtId="41" fontId="0" fillId="0" borderId="0" xfId="0" applyNumberFormat="1" applyFill="1" applyAlignment="1">
      <alignment/>
    </xf>
    <xf numFmtId="179" fontId="1" fillId="0" borderId="0" xfId="15" applyNumberFormat="1" applyFont="1" applyAlignment="1">
      <alignment/>
    </xf>
    <xf numFmtId="41" fontId="6" fillId="0" borderId="2" xfId="0" applyNumberFormat="1" applyFont="1" applyBorder="1" applyAlignment="1">
      <alignment/>
    </xf>
    <xf numFmtId="200" fontId="0" fillId="0" borderId="3" xfId="0" applyNumberFormat="1" applyBorder="1" applyAlignment="1">
      <alignment/>
    </xf>
    <xf numFmtId="179" fontId="0" fillId="0" borderId="3" xfId="15" applyNumberFormat="1" applyFont="1" applyFill="1" applyBorder="1" applyAlignment="1">
      <alignment/>
    </xf>
    <xf numFmtId="179" fontId="6" fillId="0" borderId="2" xfId="15" applyNumberFormat="1" applyFont="1" applyBorder="1" applyAlignment="1">
      <alignment/>
    </xf>
    <xf numFmtId="41" fontId="0" fillId="0" borderId="3" xfId="0" applyNumberFormat="1" applyBorder="1" applyAlignment="1">
      <alignment/>
    </xf>
    <xf numFmtId="43" fontId="0" fillId="0" borderId="0" xfId="0" applyNumberFormat="1" applyAlignment="1">
      <alignment/>
    </xf>
    <xf numFmtId="3" fontId="1" fillId="0" borderId="18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41" fontId="0" fillId="0" borderId="22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9" fontId="9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1"/>
  <sheetViews>
    <sheetView tabSelected="1" workbookViewId="0" topLeftCell="A10">
      <pane ySplit="1" topLeftCell="BM11" activePane="bottomLeft" state="frozen"/>
      <selection pane="topLeft" activeCell="A10" sqref="A10"/>
      <selection pane="bottomLeft" activeCell="M84" sqref="M84"/>
    </sheetView>
  </sheetViews>
  <sheetFormatPr defaultColWidth="9.140625" defaultRowHeight="12.75"/>
  <cols>
    <col min="1" max="1" width="4.57421875" style="0" customWidth="1"/>
    <col min="2" max="2" width="7.8515625" style="0" customWidth="1"/>
    <col min="3" max="3" width="29.8515625" style="0" customWidth="1"/>
    <col min="4" max="4" width="11.140625" style="0" customWidth="1"/>
    <col min="5" max="5" width="21.140625" style="0" customWidth="1"/>
    <col min="6" max="6" width="11.00390625" style="0" customWidth="1"/>
    <col min="7" max="7" width="11.57421875" style="0" customWidth="1"/>
    <col min="8" max="8" width="11.140625" style="0" customWidth="1"/>
    <col min="9" max="10" width="10.57421875" style="0" customWidth="1"/>
    <col min="11" max="11" width="12.140625" style="0" customWidth="1"/>
    <col min="12" max="12" width="9.8515625" style="0" customWidth="1"/>
    <col min="13" max="13" width="9.28125" style="0" bestFit="1" customWidth="1"/>
  </cols>
  <sheetData>
    <row r="1" ht="12.75">
      <c r="A1" s="38" t="s">
        <v>46</v>
      </c>
    </row>
    <row r="2" spans="1:2" ht="12.75">
      <c r="A2" s="2" t="s">
        <v>87</v>
      </c>
      <c r="B2" s="1"/>
    </row>
    <row r="3" spans="1:11" ht="12.75">
      <c r="A3" s="2" t="s">
        <v>93</v>
      </c>
      <c r="B3" s="1"/>
      <c r="E3" s="166"/>
      <c r="F3" s="24"/>
      <c r="G3" s="24"/>
      <c r="H3" s="24"/>
      <c r="I3" s="24"/>
      <c r="J3" s="24"/>
      <c r="K3" s="24"/>
    </row>
    <row r="4" spans="1:5" ht="12.75">
      <c r="A4" s="2" t="s">
        <v>122</v>
      </c>
      <c r="B4" s="1"/>
      <c r="D4" s="12"/>
      <c r="E4" s="12"/>
    </row>
    <row r="5" spans="1:5" ht="13.5" thickBot="1">
      <c r="A5" s="3"/>
      <c r="B5" s="3"/>
      <c r="D5" s="92"/>
      <c r="E5" s="12"/>
    </row>
    <row r="6" spans="1:6" ht="12.75">
      <c r="A6" s="27" t="s">
        <v>0</v>
      </c>
      <c r="B6" s="28"/>
      <c r="C6" s="90"/>
      <c r="D6" s="228"/>
      <c r="E6" s="229"/>
      <c r="F6" s="12"/>
    </row>
    <row r="7" spans="1:6" ht="13.5" thickBot="1">
      <c r="A7" s="29" t="s">
        <v>1</v>
      </c>
      <c r="B7" s="4"/>
      <c r="C7" s="91"/>
      <c r="D7" s="230"/>
      <c r="E7" s="231"/>
      <c r="F7" s="12"/>
    </row>
    <row r="8" spans="1:5" ht="12.75">
      <c r="A8" s="29" t="s">
        <v>2</v>
      </c>
      <c r="B8" s="4"/>
      <c r="C8" s="5"/>
      <c r="D8" s="232" t="s">
        <v>92</v>
      </c>
      <c r="E8" s="233"/>
    </row>
    <row r="9" spans="1:12" ht="13.5" thickBot="1">
      <c r="A9" s="87" t="s">
        <v>3</v>
      </c>
      <c r="B9" s="88"/>
      <c r="C9" s="89"/>
      <c r="D9" s="234" t="s">
        <v>91</v>
      </c>
      <c r="E9" s="235"/>
      <c r="L9" s="30"/>
    </row>
    <row r="10" spans="1:12" ht="25.5">
      <c r="A10" s="93" t="s">
        <v>5</v>
      </c>
      <c r="B10" s="125" t="s">
        <v>51</v>
      </c>
      <c r="C10" s="94" t="s">
        <v>6</v>
      </c>
      <c r="D10" s="226" t="s">
        <v>7</v>
      </c>
      <c r="E10" s="227"/>
      <c r="F10" s="41" t="s">
        <v>34</v>
      </c>
      <c r="G10" s="42" t="s">
        <v>52</v>
      </c>
      <c r="H10" s="42" t="s">
        <v>28</v>
      </c>
      <c r="I10" s="43" t="s">
        <v>27</v>
      </c>
      <c r="J10" s="159" t="s">
        <v>150</v>
      </c>
      <c r="K10" s="150" t="s">
        <v>151</v>
      </c>
      <c r="L10" s="160" t="s">
        <v>94</v>
      </c>
    </row>
    <row r="11" spans="1:13" ht="12.75">
      <c r="A11" s="137" t="s">
        <v>8</v>
      </c>
      <c r="B11" s="7"/>
      <c r="C11" s="124" t="s">
        <v>74</v>
      </c>
      <c r="D11" s="112"/>
      <c r="E11" s="45"/>
      <c r="F11" s="13"/>
      <c r="G11" s="73"/>
      <c r="H11" s="31"/>
      <c r="I11" s="74"/>
      <c r="J11" s="154"/>
      <c r="K11" s="73"/>
      <c r="L11" s="13"/>
      <c r="M11" s="24"/>
    </row>
    <row r="12" spans="1:14" ht="12.75">
      <c r="A12" s="20">
        <f aca="true" t="shared" si="0" ref="A12:A23">A11+0.1</f>
        <v>1.1</v>
      </c>
      <c r="B12" s="126" t="s">
        <v>68</v>
      </c>
      <c r="C12" s="216" t="s">
        <v>128</v>
      </c>
      <c r="D12" s="113">
        <v>8500</v>
      </c>
      <c r="E12" s="44" t="s">
        <v>129</v>
      </c>
      <c r="F12" s="167">
        <v>2</v>
      </c>
      <c r="G12" s="75">
        <f aca="true" t="shared" si="1" ref="G12:G22">D12*F12</f>
        <v>17000</v>
      </c>
      <c r="H12" s="76"/>
      <c r="I12" s="75">
        <f aca="true" t="shared" si="2" ref="I12:I22">G12-H12</f>
        <v>17000</v>
      </c>
      <c r="J12" s="78">
        <f aca="true" t="shared" si="3" ref="J12:J21">G12</f>
        <v>17000</v>
      </c>
      <c r="K12" s="78"/>
      <c r="L12" s="13"/>
      <c r="M12" s="215"/>
      <c r="N12" s="12"/>
    </row>
    <row r="13" spans="1:14" ht="12.75">
      <c r="A13" s="20">
        <f t="shared" si="0"/>
        <v>1.2000000000000002</v>
      </c>
      <c r="B13" s="126" t="s">
        <v>68</v>
      </c>
      <c r="C13" s="9" t="s">
        <v>138</v>
      </c>
      <c r="D13" s="113">
        <v>5000</v>
      </c>
      <c r="E13" s="44" t="s">
        <v>130</v>
      </c>
      <c r="F13" s="167">
        <v>2</v>
      </c>
      <c r="G13" s="75">
        <f t="shared" si="1"/>
        <v>10000</v>
      </c>
      <c r="H13" s="76"/>
      <c r="I13" s="75">
        <f t="shared" si="2"/>
        <v>10000</v>
      </c>
      <c r="J13" s="78">
        <f t="shared" si="3"/>
        <v>10000</v>
      </c>
      <c r="K13" s="78"/>
      <c r="L13" s="13"/>
      <c r="M13" s="215"/>
      <c r="N13" s="12"/>
    </row>
    <row r="14" spans="1:14" ht="12.75">
      <c r="A14" s="20">
        <f t="shared" si="0"/>
        <v>1.3000000000000003</v>
      </c>
      <c r="B14" s="126" t="s">
        <v>68</v>
      </c>
      <c r="C14" s="9" t="s">
        <v>131</v>
      </c>
      <c r="D14" s="113">
        <v>3000</v>
      </c>
      <c r="E14" s="44" t="s">
        <v>140</v>
      </c>
      <c r="F14" s="167">
        <v>2</v>
      </c>
      <c r="G14" s="75">
        <f t="shared" si="1"/>
        <v>6000</v>
      </c>
      <c r="H14" s="76"/>
      <c r="I14" s="75">
        <f t="shared" si="2"/>
        <v>6000</v>
      </c>
      <c r="J14" s="78">
        <f t="shared" si="3"/>
        <v>6000</v>
      </c>
      <c r="K14" s="78"/>
      <c r="L14" s="13"/>
      <c r="M14" s="215"/>
      <c r="N14" s="12"/>
    </row>
    <row r="15" spans="1:14" ht="12.75">
      <c r="A15" s="20">
        <f t="shared" si="0"/>
        <v>1.4000000000000004</v>
      </c>
      <c r="B15" s="126" t="s">
        <v>68</v>
      </c>
      <c r="C15" s="9" t="s">
        <v>139</v>
      </c>
      <c r="D15" s="113">
        <v>1000</v>
      </c>
      <c r="E15" s="44" t="s">
        <v>140</v>
      </c>
      <c r="F15" s="167">
        <v>2</v>
      </c>
      <c r="G15" s="75">
        <f t="shared" si="1"/>
        <v>2000</v>
      </c>
      <c r="H15" s="76"/>
      <c r="I15" s="75">
        <f t="shared" si="2"/>
        <v>2000</v>
      </c>
      <c r="J15" s="78">
        <f t="shared" si="3"/>
        <v>2000</v>
      </c>
      <c r="K15" s="78"/>
      <c r="L15" s="13"/>
      <c r="M15" s="215"/>
      <c r="N15" s="12"/>
    </row>
    <row r="16" spans="1:14" ht="12.75">
      <c r="A16" s="20">
        <f t="shared" si="0"/>
        <v>1.5000000000000004</v>
      </c>
      <c r="B16" s="126" t="s">
        <v>68</v>
      </c>
      <c r="C16" s="9" t="s">
        <v>154</v>
      </c>
      <c r="D16" s="113">
        <v>250</v>
      </c>
      <c r="E16" s="44" t="s">
        <v>129</v>
      </c>
      <c r="F16" s="167">
        <v>2</v>
      </c>
      <c r="G16" s="75">
        <f t="shared" si="1"/>
        <v>500</v>
      </c>
      <c r="H16" s="76"/>
      <c r="I16" s="75">
        <f t="shared" si="2"/>
        <v>500</v>
      </c>
      <c r="J16" s="78">
        <f t="shared" si="3"/>
        <v>500</v>
      </c>
      <c r="K16" s="78"/>
      <c r="L16" s="13"/>
      <c r="M16" s="215"/>
      <c r="N16" s="12"/>
    </row>
    <row r="17" spans="1:14" ht="12.75">
      <c r="A17" s="20">
        <f t="shared" si="0"/>
        <v>1.6000000000000005</v>
      </c>
      <c r="B17" s="126" t="s">
        <v>68</v>
      </c>
      <c r="C17" s="11" t="s">
        <v>142</v>
      </c>
      <c r="D17" s="212">
        <v>5</v>
      </c>
      <c r="E17" s="213" t="s">
        <v>143</v>
      </c>
      <c r="F17" s="168">
        <v>2400</v>
      </c>
      <c r="G17" s="80">
        <f t="shared" si="1"/>
        <v>12000</v>
      </c>
      <c r="H17" s="214"/>
      <c r="I17" s="80">
        <f t="shared" si="2"/>
        <v>12000</v>
      </c>
      <c r="J17" s="78">
        <f t="shared" si="3"/>
        <v>12000</v>
      </c>
      <c r="K17" s="78"/>
      <c r="L17" s="13"/>
      <c r="M17" s="215"/>
      <c r="N17" s="12"/>
    </row>
    <row r="18" spans="1:14" ht="12.75">
      <c r="A18" s="20">
        <f t="shared" si="0"/>
        <v>1.7000000000000006</v>
      </c>
      <c r="B18" s="126" t="s">
        <v>68</v>
      </c>
      <c r="C18" s="11" t="s">
        <v>144</v>
      </c>
      <c r="D18" s="212">
        <v>5</v>
      </c>
      <c r="E18" s="213" t="s">
        <v>145</v>
      </c>
      <c r="F18" s="168">
        <v>2400</v>
      </c>
      <c r="G18" s="80">
        <f t="shared" si="1"/>
        <v>12000</v>
      </c>
      <c r="H18" s="214"/>
      <c r="I18" s="80">
        <f t="shared" si="2"/>
        <v>12000</v>
      </c>
      <c r="J18" s="78">
        <f t="shared" si="3"/>
        <v>12000</v>
      </c>
      <c r="K18" s="78"/>
      <c r="L18" s="13"/>
      <c r="M18" s="215"/>
      <c r="N18" s="12"/>
    </row>
    <row r="19" spans="1:14" ht="12.75">
      <c r="A19" s="20">
        <f t="shared" si="0"/>
        <v>1.8000000000000007</v>
      </c>
      <c r="B19" s="126" t="s">
        <v>68</v>
      </c>
      <c r="C19" s="11" t="s">
        <v>123</v>
      </c>
      <c r="D19" s="212">
        <v>23</v>
      </c>
      <c r="E19" s="213" t="s">
        <v>124</v>
      </c>
      <c r="F19" s="168">
        <v>800</v>
      </c>
      <c r="G19" s="80">
        <f t="shared" si="1"/>
        <v>18400</v>
      </c>
      <c r="H19" s="214"/>
      <c r="I19" s="80">
        <f t="shared" si="2"/>
        <v>18400</v>
      </c>
      <c r="J19" s="78">
        <f t="shared" si="3"/>
        <v>18400</v>
      </c>
      <c r="K19" s="78"/>
      <c r="L19" s="13"/>
      <c r="M19" s="215"/>
      <c r="N19" s="12"/>
    </row>
    <row r="20" spans="1:14" ht="12.75">
      <c r="A20" s="20">
        <f t="shared" si="0"/>
        <v>1.9000000000000008</v>
      </c>
      <c r="B20" s="126" t="s">
        <v>68</v>
      </c>
      <c r="C20" s="11" t="s">
        <v>125</v>
      </c>
      <c r="D20" s="212">
        <v>5.75</v>
      </c>
      <c r="E20" s="213" t="s">
        <v>124</v>
      </c>
      <c r="F20" s="168">
        <v>800</v>
      </c>
      <c r="G20" s="80">
        <f t="shared" si="1"/>
        <v>4600</v>
      </c>
      <c r="H20" s="214"/>
      <c r="I20" s="80">
        <f t="shared" si="2"/>
        <v>4600</v>
      </c>
      <c r="J20" s="78">
        <f t="shared" si="3"/>
        <v>4600</v>
      </c>
      <c r="K20" s="78"/>
      <c r="L20" s="13"/>
      <c r="M20" s="215"/>
      <c r="N20" s="12"/>
    </row>
    <row r="21" spans="1:14" ht="12.75">
      <c r="A21" s="20">
        <f t="shared" si="0"/>
        <v>2.000000000000001</v>
      </c>
      <c r="B21" s="126" t="s">
        <v>68</v>
      </c>
      <c r="C21" s="11" t="s">
        <v>141</v>
      </c>
      <c r="D21" s="212">
        <v>38</v>
      </c>
      <c r="E21" s="213" t="s">
        <v>126</v>
      </c>
      <c r="F21" s="168">
        <v>133</v>
      </c>
      <c r="G21" s="80">
        <f t="shared" si="1"/>
        <v>5054</v>
      </c>
      <c r="H21" s="214"/>
      <c r="I21" s="80">
        <f t="shared" si="2"/>
        <v>5054</v>
      </c>
      <c r="J21" s="78">
        <f t="shared" si="3"/>
        <v>5054</v>
      </c>
      <c r="K21" s="78"/>
      <c r="L21" s="13"/>
      <c r="M21" s="215"/>
      <c r="N21" s="12"/>
    </row>
    <row r="22" spans="1:14" ht="12.75">
      <c r="A22" s="20">
        <f t="shared" si="0"/>
        <v>2.100000000000001</v>
      </c>
      <c r="B22" s="126" t="s">
        <v>68</v>
      </c>
      <c r="C22" s="147" t="s">
        <v>102</v>
      </c>
      <c r="D22" s="148">
        <v>4</v>
      </c>
      <c r="E22" s="44" t="s">
        <v>35</v>
      </c>
      <c r="F22" s="167">
        <f>6393*75%</f>
        <v>4794.75</v>
      </c>
      <c r="G22" s="75">
        <f t="shared" si="1"/>
        <v>19179</v>
      </c>
      <c r="H22" s="76"/>
      <c r="I22" s="77">
        <f t="shared" si="2"/>
        <v>19179</v>
      </c>
      <c r="J22" s="7"/>
      <c r="K22" s="78">
        <f>I22</f>
        <v>19179</v>
      </c>
      <c r="L22" s="13"/>
      <c r="M22" s="215"/>
      <c r="N22" s="12"/>
    </row>
    <row r="23" spans="1:14" ht="12.75">
      <c r="A23" s="20">
        <f t="shared" si="0"/>
        <v>2.200000000000001</v>
      </c>
      <c r="B23" s="126" t="s">
        <v>68</v>
      </c>
      <c r="C23" s="9" t="s">
        <v>160</v>
      </c>
      <c r="D23" s="113">
        <v>5</v>
      </c>
      <c r="E23" s="44" t="s">
        <v>35</v>
      </c>
      <c r="F23" s="167">
        <f>F22</f>
        <v>4794.75</v>
      </c>
      <c r="G23" s="75">
        <f>D23*F23</f>
        <v>23973.75</v>
      </c>
      <c r="H23" s="76"/>
      <c r="I23" s="77">
        <f>G23-H23</f>
        <v>23973.75</v>
      </c>
      <c r="J23" s="7"/>
      <c r="K23" s="78">
        <f>I23</f>
        <v>23973.75</v>
      </c>
      <c r="L23" s="13"/>
      <c r="M23" s="215"/>
      <c r="N23" s="12"/>
    </row>
    <row r="24" spans="1:13" ht="12.75">
      <c r="A24" s="62"/>
      <c r="B24" s="128"/>
      <c r="C24" s="60" t="s">
        <v>75</v>
      </c>
      <c r="D24" s="104"/>
      <c r="E24" s="61"/>
      <c r="F24" s="68"/>
      <c r="G24" s="79">
        <f>SUM(G12:G23)</f>
        <v>130706.75</v>
      </c>
      <c r="H24" s="79">
        <f>SUM(H12:H23)</f>
        <v>0</v>
      </c>
      <c r="I24" s="79">
        <f>SUM(I12:I23)</f>
        <v>130706.75</v>
      </c>
      <c r="J24" s="86">
        <f>SUM(J12:J23)</f>
        <v>87554</v>
      </c>
      <c r="K24" s="79">
        <f>SUM(K22:K23)</f>
        <v>43152.75</v>
      </c>
      <c r="L24" s="220">
        <f>SUM(L12:L23)</f>
        <v>0</v>
      </c>
      <c r="M24" s="218"/>
    </row>
    <row r="25" spans="1:13" ht="12.75">
      <c r="A25" s="138" t="s">
        <v>30</v>
      </c>
      <c r="B25" s="129"/>
      <c r="C25" s="17" t="s">
        <v>77</v>
      </c>
      <c r="D25" s="114"/>
      <c r="E25" s="13"/>
      <c r="F25" s="69"/>
      <c r="G25" s="85"/>
      <c r="H25" s="83"/>
      <c r="I25" s="77"/>
      <c r="J25" s="154"/>
      <c r="K25" s="78"/>
      <c r="L25" s="13"/>
      <c r="M25" s="24"/>
    </row>
    <row r="26" spans="1:13" ht="12.75">
      <c r="A26" s="20">
        <f>A25+0.1</f>
        <v>2.1</v>
      </c>
      <c r="B26" s="127">
        <v>510</v>
      </c>
      <c r="C26" s="9" t="s">
        <v>89</v>
      </c>
      <c r="D26" s="118">
        <v>750</v>
      </c>
      <c r="E26" s="23" t="s">
        <v>101</v>
      </c>
      <c r="F26" s="168">
        <v>2</v>
      </c>
      <c r="G26" s="85">
        <f aca="true" t="shared" si="4" ref="G26:G34">D26*F26</f>
        <v>1500</v>
      </c>
      <c r="H26" s="75"/>
      <c r="I26" s="77">
        <f aca="true" t="shared" si="5" ref="I26:I34">G26-H26</f>
        <v>1500</v>
      </c>
      <c r="J26" s="170">
        <v>750</v>
      </c>
      <c r="K26" s="78">
        <v>750</v>
      </c>
      <c r="L26" s="13"/>
      <c r="M26" s="24"/>
    </row>
    <row r="27" spans="1:13" ht="12.75">
      <c r="A27" s="20">
        <f>A26+0.1</f>
        <v>2.2</v>
      </c>
      <c r="B27" s="127">
        <v>511</v>
      </c>
      <c r="C27" t="s">
        <v>132</v>
      </c>
      <c r="D27" s="118">
        <v>1500</v>
      </c>
      <c r="E27" s="23" t="s">
        <v>133</v>
      </c>
      <c r="F27" s="168">
        <v>2</v>
      </c>
      <c r="G27" s="85">
        <f t="shared" si="4"/>
        <v>3000</v>
      </c>
      <c r="H27" s="75"/>
      <c r="I27" s="77">
        <f t="shared" si="5"/>
        <v>3000</v>
      </c>
      <c r="J27" s="170">
        <f>G27</f>
        <v>3000</v>
      </c>
      <c r="K27" s="78"/>
      <c r="L27" s="13"/>
      <c r="M27" s="24"/>
    </row>
    <row r="28" spans="1:13" ht="12.75">
      <c r="A28" s="20">
        <f aca="true" t="shared" si="6" ref="A28:A34">A27+0.1</f>
        <v>2.3000000000000003</v>
      </c>
      <c r="B28" s="127">
        <v>512</v>
      </c>
      <c r="C28" s="11" t="s">
        <v>134</v>
      </c>
      <c r="D28" s="118">
        <v>10000</v>
      </c>
      <c r="E28" s="23" t="s">
        <v>135</v>
      </c>
      <c r="F28" s="168">
        <v>4</v>
      </c>
      <c r="G28" s="85">
        <f t="shared" si="4"/>
        <v>40000</v>
      </c>
      <c r="H28" s="75"/>
      <c r="I28" s="75">
        <f t="shared" si="5"/>
        <v>40000</v>
      </c>
      <c r="J28" s="170">
        <f>G28</f>
        <v>40000</v>
      </c>
      <c r="K28" s="7"/>
      <c r="L28" s="13"/>
      <c r="M28" s="24"/>
    </row>
    <row r="29" spans="1:13" ht="12.75">
      <c r="A29" s="20">
        <f t="shared" si="6"/>
        <v>2.4000000000000004</v>
      </c>
      <c r="B29" s="127">
        <v>513</v>
      </c>
      <c r="C29" s="9" t="s">
        <v>136</v>
      </c>
      <c r="D29" s="118">
        <v>1000</v>
      </c>
      <c r="E29" s="23" t="s">
        <v>99</v>
      </c>
      <c r="F29" s="168">
        <v>2</v>
      </c>
      <c r="G29" s="85">
        <f t="shared" si="4"/>
        <v>2000</v>
      </c>
      <c r="H29" s="75"/>
      <c r="I29" s="77">
        <f t="shared" si="5"/>
        <v>2000</v>
      </c>
      <c r="J29" s="170">
        <f>G29</f>
        <v>2000</v>
      </c>
      <c r="K29" s="7"/>
      <c r="L29" s="13"/>
      <c r="M29" s="24"/>
    </row>
    <row r="30" spans="1:13" ht="12.75">
      <c r="A30" s="20">
        <f t="shared" si="6"/>
        <v>2.5000000000000004</v>
      </c>
      <c r="B30" s="127">
        <v>514</v>
      </c>
      <c r="C30" t="s">
        <v>137</v>
      </c>
      <c r="D30" s="118">
        <v>750</v>
      </c>
      <c r="E30" s="23" t="s">
        <v>101</v>
      </c>
      <c r="F30" s="168">
        <v>2</v>
      </c>
      <c r="G30" s="215">
        <f t="shared" si="4"/>
        <v>1500</v>
      </c>
      <c r="H30" s="80"/>
      <c r="I30" s="80">
        <f t="shared" si="5"/>
        <v>1500</v>
      </c>
      <c r="J30" s="170">
        <f>G30</f>
        <v>1500</v>
      </c>
      <c r="K30" s="7"/>
      <c r="L30" s="13"/>
      <c r="M30" s="24"/>
    </row>
    <row r="31" spans="1:13" ht="12.75">
      <c r="A31" s="20">
        <f t="shared" si="6"/>
        <v>2.6000000000000005</v>
      </c>
      <c r="B31" s="127">
        <v>515</v>
      </c>
      <c r="C31" s="11" t="s">
        <v>127</v>
      </c>
      <c r="D31" s="118">
        <v>500</v>
      </c>
      <c r="E31" s="23" t="s">
        <v>101</v>
      </c>
      <c r="F31" s="168">
        <v>5</v>
      </c>
      <c r="G31" s="215">
        <f t="shared" si="4"/>
        <v>2500</v>
      </c>
      <c r="H31" s="80"/>
      <c r="I31" s="80">
        <f t="shared" si="5"/>
        <v>2500</v>
      </c>
      <c r="J31" s="170">
        <f>G31</f>
        <v>2500</v>
      </c>
      <c r="K31" s="7"/>
      <c r="L31" s="13"/>
      <c r="M31" s="24"/>
    </row>
    <row r="32" spans="1:13" ht="12.75">
      <c r="A32" s="20">
        <f t="shared" si="6"/>
        <v>2.7000000000000006</v>
      </c>
      <c r="B32" s="127">
        <v>516</v>
      </c>
      <c r="C32" s="9" t="s">
        <v>103</v>
      </c>
      <c r="D32" s="118">
        <v>5000</v>
      </c>
      <c r="E32" s="23" t="s">
        <v>84</v>
      </c>
      <c r="F32" s="168">
        <v>1</v>
      </c>
      <c r="G32" s="85">
        <f t="shared" si="4"/>
        <v>5000</v>
      </c>
      <c r="H32" s="75"/>
      <c r="I32" s="75">
        <f t="shared" si="5"/>
        <v>5000</v>
      </c>
      <c r="J32" s="170"/>
      <c r="K32" s="7"/>
      <c r="L32" s="152">
        <f>I32</f>
        <v>5000</v>
      </c>
      <c r="M32" s="24"/>
    </row>
    <row r="33" spans="1:13" ht="12.75">
      <c r="A33" s="20">
        <f t="shared" si="6"/>
        <v>2.8000000000000007</v>
      </c>
      <c r="B33" s="127">
        <v>517</v>
      </c>
      <c r="C33" s="9" t="s">
        <v>62</v>
      </c>
      <c r="D33" s="118">
        <v>6000</v>
      </c>
      <c r="E33" s="23" t="s">
        <v>64</v>
      </c>
      <c r="F33" s="169">
        <v>1</v>
      </c>
      <c r="G33" s="77">
        <f t="shared" si="4"/>
        <v>6000</v>
      </c>
      <c r="H33" s="75"/>
      <c r="I33" s="77">
        <f t="shared" si="5"/>
        <v>6000</v>
      </c>
      <c r="J33" s="170"/>
      <c r="K33" s="78">
        <f>I33</f>
        <v>6000</v>
      </c>
      <c r="L33" s="13"/>
      <c r="M33" s="24"/>
    </row>
    <row r="34" spans="1:13" ht="12.75">
      <c r="A34" s="20">
        <f t="shared" si="6"/>
        <v>2.900000000000001</v>
      </c>
      <c r="B34" s="127">
        <v>518</v>
      </c>
      <c r="C34" s="9" t="s">
        <v>79</v>
      </c>
      <c r="D34" s="118">
        <v>175</v>
      </c>
      <c r="E34" s="23" t="s">
        <v>40</v>
      </c>
      <c r="F34" s="169">
        <v>9</v>
      </c>
      <c r="G34" s="77">
        <f t="shared" si="4"/>
        <v>1575</v>
      </c>
      <c r="H34" s="81"/>
      <c r="I34" s="77">
        <f t="shared" si="5"/>
        <v>1575</v>
      </c>
      <c r="J34" s="171"/>
      <c r="K34" s="78">
        <f>I34</f>
        <v>1575</v>
      </c>
      <c r="L34" s="13"/>
      <c r="M34" s="24"/>
    </row>
    <row r="35" spans="1:13" ht="12.75">
      <c r="A35" s="62"/>
      <c r="B35" s="128"/>
      <c r="C35" s="60" t="s">
        <v>78</v>
      </c>
      <c r="D35" s="116"/>
      <c r="E35" s="63"/>
      <c r="F35" s="68"/>
      <c r="G35" s="79">
        <f aca="true" t="shared" si="7" ref="G35:L35">SUM(G26:G34)</f>
        <v>63075</v>
      </c>
      <c r="H35" s="79">
        <f t="shared" si="7"/>
        <v>0</v>
      </c>
      <c r="I35" s="79">
        <f>SUM(I26:I34)</f>
        <v>63075</v>
      </c>
      <c r="J35" s="86">
        <f t="shared" si="7"/>
        <v>49750</v>
      </c>
      <c r="K35" s="79">
        <f t="shared" si="7"/>
        <v>8325</v>
      </c>
      <c r="L35" s="220">
        <f t="shared" si="7"/>
        <v>5000</v>
      </c>
      <c r="M35" s="218"/>
    </row>
    <row r="36" spans="1:13" ht="12.75">
      <c r="A36" s="139" t="s">
        <v>16</v>
      </c>
      <c r="B36" s="130"/>
      <c r="C36" s="123" t="s">
        <v>70</v>
      </c>
      <c r="D36" s="122"/>
      <c r="E36" s="63"/>
      <c r="F36" s="107"/>
      <c r="G36" s="102"/>
      <c r="H36" s="103"/>
      <c r="I36" s="102"/>
      <c r="J36" s="154"/>
      <c r="K36" s="192"/>
      <c r="L36" s="31"/>
      <c r="M36" s="24"/>
    </row>
    <row r="37" spans="1:13" ht="12.75">
      <c r="A37" s="20">
        <f aca="true" t="shared" si="8" ref="A37:A42">A36+0.1</f>
        <v>3.1</v>
      </c>
      <c r="B37" s="127">
        <v>540</v>
      </c>
      <c r="C37" s="9" t="s">
        <v>25</v>
      </c>
      <c r="D37" s="115">
        <v>200</v>
      </c>
      <c r="E37" s="10" t="s">
        <v>40</v>
      </c>
      <c r="F37" s="169">
        <v>9</v>
      </c>
      <c r="G37" s="75">
        <f aca="true" t="shared" si="9" ref="G37:G42">D37*F37</f>
        <v>1800</v>
      </c>
      <c r="H37" s="75">
        <f>G37</f>
        <v>1800</v>
      </c>
      <c r="I37" s="77">
        <f aca="true" t="shared" si="10" ref="I37:I42">G37-H37</f>
        <v>0</v>
      </c>
      <c r="J37" s="7"/>
      <c r="K37" s="165"/>
      <c r="L37" s="152"/>
      <c r="M37" s="24"/>
    </row>
    <row r="38" spans="1:13" ht="12.75">
      <c r="A38" s="20">
        <f t="shared" si="8"/>
        <v>3.2</v>
      </c>
      <c r="B38" s="127">
        <v>540</v>
      </c>
      <c r="C38" s="9" t="s">
        <v>44</v>
      </c>
      <c r="D38" s="115">
        <v>200</v>
      </c>
      <c r="E38" s="10" t="s">
        <v>40</v>
      </c>
      <c r="F38" s="169">
        <v>9</v>
      </c>
      <c r="G38" s="75">
        <f t="shared" si="9"/>
        <v>1800</v>
      </c>
      <c r="H38" s="75">
        <f>G38</f>
        <v>1800</v>
      </c>
      <c r="I38" s="75">
        <f t="shared" si="10"/>
        <v>0</v>
      </c>
      <c r="J38" s="7"/>
      <c r="L38" s="78"/>
      <c r="M38" s="24"/>
    </row>
    <row r="39" spans="1:13" ht="12.75">
      <c r="A39" s="20">
        <f t="shared" si="8"/>
        <v>3.3000000000000003</v>
      </c>
      <c r="B39" s="127">
        <v>541</v>
      </c>
      <c r="C39" s="9" t="s">
        <v>76</v>
      </c>
      <c r="D39" s="115">
        <v>375</v>
      </c>
      <c r="E39" s="10" t="s">
        <v>40</v>
      </c>
      <c r="F39" s="169">
        <v>9</v>
      </c>
      <c r="G39" s="75">
        <f t="shared" si="9"/>
        <v>3375</v>
      </c>
      <c r="H39" s="75">
        <f>G39</f>
        <v>3375</v>
      </c>
      <c r="I39" s="75">
        <f t="shared" si="10"/>
        <v>0</v>
      </c>
      <c r="J39" s="7"/>
      <c r="L39" s="78"/>
      <c r="M39" s="24"/>
    </row>
    <row r="40" spans="1:13" ht="12.75">
      <c r="A40" s="20">
        <f t="shared" si="8"/>
        <v>3.4000000000000004</v>
      </c>
      <c r="B40" s="127">
        <v>542</v>
      </c>
      <c r="C40" s="9" t="s">
        <v>67</v>
      </c>
      <c r="D40" s="118">
        <v>225</v>
      </c>
      <c r="E40" s="23" t="s">
        <v>40</v>
      </c>
      <c r="F40" s="169">
        <v>9</v>
      </c>
      <c r="G40" s="77">
        <f t="shared" si="9"/>
        <v>2025</v>
      </c>
      <c r="H40" s="75"/>
      <c r="I40" s="75">
        <f t="shared" si="10"/>
        <v>2025</v>
      </c>
      <c r="J40" s="7"/>
      <c r="L40" s="78">
        <f>I40</f>
        <v>2025</v>
      </c>
      <c r="M40" s="24"/>
    </row>
    <row r="41" spans="1:13" ht="12.75">
      <c r="A41" s="20">
        <f t="shared" si="8"/>
        <v>3.5000000000000004</v>
      </c>
      <c r="B41" s="127">
        <v>542</v>
      </c>
      <c r="C41" s="9" t="s">
        <v>157</v>
      </c>
      <c r="D41" s="118">
        <v>200</v>
      </c>
      <c r="E41" s="23" t="s">
        <v>158</v>
      </c>
      <c r="F41" s="169">
        <v>9</v>
      </c>
      <c r="G41" s="77">
        <f t="shared" si="9"/>
        <v>1800</v>
      </c>
      <c r="H41" s="75"/>
      <c r="I41" s="75">
        <f t="shared" si="10"/>
        <v>1800</v>
      </c>
      <c r="J41" s="78">
        <f>I41</f>
        <v>1800</v>
      </c>
      <c r="L41" s="78"/>
      <c r="M41" s="24"/>
    </row>
    <row r="42" spans="1:13" ht="12.75">
      <c r="A42" s="20">
        <f t="shared" si="8"/>
        <v>3.6000000000000005</v>
      </c>
      <c r="B42" s="127">
        <v>543</v>
      </c>
      <c r="C42" s="9" t="s">
        <v>63</v>
      </c>
      <c r="D42" s="136">
        <v>0.00725</v>
      </c>
      <c r="E42" s="23" t="s">
        <v>69</v>
      </c>
      <c r="F42" s="169">
        <f>(I24+I35+SUM(I37:I40)+I50+I55+I66+I75)</f>
        <v>427801.75</v>
      </c>
      <c r="G42" s="77">
        <f t="shared" si="9"/>
        <v>3101.5626875000003</v>
      </c>
      <c r="H42" s="75"/>
      <c r="I42" s="81">
        <f t="shared" si="10"/>
        <v>3101.5626875000003</v>
      </c>
      <c r="J42" s="155"/>
      <c r="L42" s="165">
        <f>I42</f>
        <v>3101.5626875000003</v>
      </c>
      <c r="M42" s="24"/>
    </row>
    <row r="43" spans="1:13" ht="12.75">
      <c r="A43" s="111"/>
      <c r="B43" s="128"/>
      <c r="C43" s="60" t="s">
        <v>71</v>
      </c>
      <c r="D43" s="104"/>
      <c r="E43" s="61"/>
      <c r="F43" s="108"/>
      <c r="G43" s="105">
        <f aca="true" t="shared" si="11" ref="G43:L43">SUM(G37:G42)</f>
        <v>13901.5626875</v>
      </c>
      <c r="H43" s="79">
        <f t="shared" si="11"/>
        <v>6975</v>
      </c>
      <c r="I43" s="105">
        <f t="shared" si="11"/>
        <v>6926.5626875</v>
      </c>
      <c r="J43" s="86">
        <f t="shared" si="11"/>
        <v>1800</v>
      </c>
      <c r="K43" s="86">
        <f t="shared" si="11"/>
        <v>0</v>
      </c>
      <c r="L43" s="79">
        <f t="shared" si="11"/>
        <v>5126.5626875</v>
      </c>
      <c r="M43" s="218"/>
    </row>
    <row r="44" spans="1:13" ht="12.75">
      <c r="A44" s="137" t="s">
        <v>14</v>
      </c>
      <c r="B44" s="129"/>
      <c r="C44" s="17" t="s">
        <v>24</v>
      </c>
      <c r="D44" s="117"/>
      <c r="E44" s="45"/>
      <c r="F44" s="47"/>
      <c r="G44" s="75"/>
      <c r="H44" s="83"/>
      <c r="I44" s="77"/>
      <c r="J44" s="154"/>
      <c r="K44" s="221"/>
      <c r="L44" s="13"/>
      <c r="M44" s="24"/>
    </row>
    <row r="45" spans="1:13" ht="12.75">
      <c r="A45" s="20">
        <f>A44+0.1</f>
        <v>4.1</v>
      </c>
      <c r="B45" s="127">
        <v>524</v>
      </c>
      <c r="C45" s="9" t="s">
        <v>109</v>
      </c>
      <c r="D45" s="115">
        <v>60</v>
      </c>
      <c r="E45" s="10" t="s">
        <v>108</v>
      </c>
      <c r="F45" s="169">
        <v>40</v>
      </c>
      <c r="G45" s="172">
        <f>D45*F45</f>
        <v>2400</v>
      </c>
      <c r="H45" s="172">
        <f>G45</f>
        <v>2400</v>
      </c>
      <c r="I45" s="173">
        <f>G45-H45</f>
        <v>0</v>
      </c>
      <c r="J45" s="170"/>
      <c r="K45" s="174"/>
      <c r="L45" s="170"/>
      <c r="M45" s="24"/>
    </row>
    <row r="46" spans="1:13" ht="12.75">
      <c r="A46" s="20">
        <f>A45+0.1</f>
        <v>4.199999999999999</v>
      </c>
      <c r="B46" s="127">
        <v>522</v>
      </c>
      <c r="C46" s="9" t="s">
        <v>53</v>
      </c>
      <c r="D46" s="115">
        <v>1750</v>
      </c>
      <c r="E46" s="10" t="s">
        <v>40</v>
      </c>
      <c r="F46" s="169">
        <v>9</v>
      </c>
      <c r="G46" s="172">
        <f>D46*F46</f>
        <v>15750</v>
      </c>
      <c r="H46" s="172"/>
      <c r="I46" s="172">
        <f>G46-H46</f>
        <v>15750</v>
      </c>
      <c r="J46" s="170"/>
      <c r="K46" s="32"/>
      <c r="L46" s="170">
        <f>I46</f>
        <v>15750</v>
      </c>
      <c r="M46" s="24"/>
    </row>
    <row r="47" spans="1:13" ht="12.75">
      <c r="A47" s="20">
        <f>A46+0.1</f>
        <v>4.299999999999999</v>
      </c>
      <c r="B47" s="127">
        <v>525</v>
      </c>
      <c r="C47" s="9" t="s">
        <v>85</v>
      </c>
      <c r="D47" s="115">
        <v>450</v>
      </c>
      <c r="E47" s="10" t="s">
        <v>40</v>
      </c>
      <c r="F47" s="169">
        <v>9</v>
      </c>
      <c r="G47" s="172">
        <f>D47*F47</f>
        <v>4050</v>
      </c>
      <c r="H47" s="172"/>
      <c r="I47" s="173">
        <f>G47-H47</f>
        <v>4050</v>
      </c>
      <c r="J47" s="170"/>
      <c r="L47" s="174">
        <f>I47</f>
        <v>4050</v>
      </c>
      <c r="M47" s="24"/>
    </row>
    <row r="48" spans="1:13" ht="12.75">
      <c r="A48" s="20">
        <f>A47+0.1</f>
        <v>4.399999999999999</v>
      </c>
      <c r="B48" s="127">
        <v>523</v>
      </c>
      <c r="C48" s="9" t="s">
        <v>41</v>
      </c>
      <c r="D48" s="115">
        <v>600</v>
      </c>
      <c r="E48" s="10" t="s">
        <v>40</v>
      </c>
      <c r="F48" s="169">
        <v>9</v>
      </c>
      <c r="G48" s="172">
        <f>D48*F48</f>
        <v>5400</v>
      </c>
      <c r="H48" s="172"/>
      <c r="I48" s="173">
        <f>G48-H48</f>
        <v>5400</v>
      </c>
      <c r="J48" s="170"/>
      <c r="L48" s="174">
        <f>I48</f>
        <v>5400</v>
      </c>
      <c r="M48" s="24"/>
    </row>
    <row r="49" spans="1:12" s="24" customFormat="1" ht="12.75">
      <c r="A49" s="20">
        <f>A48+0.1</f>
        <v>4.499999999999998</v>
      </c>
      <c r="B49" s="131">
        <v>524</v>
      </c>
      <c r="C49" s="11" t="s">
        <v>20</v>
      </c>
      <c r="D49" s="118">
        <v>200</v>
      </c>
      <c r="E49" s="23" t="s">
        <v>40</v>
      </c>
      <c r="F49" s="169">
        <v>9</v>
      </c>
      <c r="G49" s="172">
        <f>D49*F49</f>
        <v>1800</v>
      </c>
      <c r="H49" s="176"/>
      <c r="I49" s="173">
        <f>G49-H49</f>
        <v>1800</v>
      </c>
      <c r="J49" s="177"/>
      <c r="L49" s="174">
        <f>I49</f>
        <v>1800</v>
      </c>
    </row>
    <row r="50" spans="1:13" ht="12.75">
      <c r="A50" s="62"/>
      <c r="B50" s="128"/>
      <c r="C50" s="60" t="s">
        <v>39</v>
      </c>
      <c r="D50" s="116"/>
      <c r="E50" s="63"/>
      <c r="F50" s="179"/>
      <c r="G50" s="180">
        <f aca="true" t="shared" si="12" ref="G50:L50">SUM(G45:G49)</f>
        <v>29400</v>
      </c>
      <c r="H50" s="180">
        <f t="shared" si="12"/>
        <v>2400</v>
      </c>
      <c r="I50" s="180">
        <f t="shared" si="12"/>
        <v>27000</v>
      </c>
      <c r="J50" s="181">
        <f t="shared" si="12"/>
        <v>0</v>
      </c>
      <c r="K50" s="181">
        <f t="shared" si="12"/>
        <v>0</v>
      </c>
      <c r="L50" s="180">
        <f t="shared" si="12"/>
        <v>27000</v>
      </c>
      <c r="M50" s="24"/>
    </row>
    <row r="51" spans="1:13" s="12" customFormat="1" ht="12.75">
      <c r="A51" s="137" t="s">
        <v>15</v>
      </c>
      <c r="B51" s="132"/>
      <c r="C51" s="123" t="s">
        <v>72</v>
      </c>
      <c r="D51" s="119"/>
      <c r="E51" s="18"/>
      <c r="F51" s="167"/>
      <c r="G51" s="172"/>
      <c r="H51" s="182"/>
      <c r="I51" s="173"/>
      <c r="J51" s="183"/>
      <c r="K51" s="183"/>
      <c r="L51" s="175"/>
      <c r="M51" s="166"/>
    </row>
    <row r="52" spans="1:13" s="12" customFormat="1" ht="12.75">
      <c r="A52" s="20">
        <v>5.1</v>
      </c>
      <c r="B52" s="127">
        <v>530</v>
      </c>
      <c r="C52" s="9" t="s">
        <v>155</v>
      </c>
      <c r="D52" s="115">
        <v>250</v>
      </c>
      <c r="E52" s="10" t="s">
        <v>40</v>
      </c>
      <c r="F52" s="169">
        <v>9</v>
      </c>
      <c r="G52" s="172">
        <f>D52*F52</f>
        <v>2250</v>
      </c>
      <c r="H52" s="172"/>
      <c r="I52" s="173">
        <f>G52-H52</f>
        <v>2250</v>
      </c>
      <c r="J52" s="170"/>
      <c r="K52" s="170"/>
      <c r="L52" s="175">
        <f>I52</f>
        <v>2250</v>
      </c>
      <c r="M52" s="166"/>
    </row>
    <row r="53" spans="1:13" s="12" customFormat="1" ht="12.75">
      <c r="A53" s="20">
        <f>A52+0.1</f>
        <v>5.199999999999999</v>
      </c>
      <c r="B53" s="127">
        <v>530</v>
      </c>
      <c r="C53" s="9" t="s">
        <v>65</v>
      </c>
      <c r="D53" s="115">
        <v>600</v>
      </c>
      <c r="E53" s="10" t="s">
        <v>66</v>
      </c>
      <c r="F53" s="167">
        <v>1</v>
      </c>
      <c r="G53" s="172">
        <f>D53*F53</f>
        <v>600</v>
      </c>
      <c r="H53" s="172">
        <f>G53</f>
        <v>600</v>
      </c>
      <c r="I53" s="172">
        <f>G53-H53</f>
        <v>0</v>
      </c>
      <c r="J53" s="174"/>
      <c r="K53" s="33"/>
      <c r="L53" s="170"/>
      <c r="M53" s="166"/>
    </row>
    <row r="54" spans="1:13" ht="12" customHeight="1">
      <c r="A54" s="20">
        <f>A53+0.1</f>
        <v>5.299999999999999</v>
      </c>
      <c r="B54" s="127">
        <v>531</v>
      </c>
      <c r="C54" s="9" t="s">
        <v>83</v>
      </c>
      <c r="D54" s="115">
        <v>180</v>
      </c>
      <c r="E54" s="10" t="s">
        <v>40</v>
      </c>
      <c r="F54" s="169">
        <v>9</v>
      </c>
      <c r="G54" s="172">
        <f>D54*F54</f>
        <v>1620</v>
      </c>
      <c r="H54" s="172"/>
      <c r="I54" s="172">
        <f>G54-H54</f>
        <v>1620</v>
      </c>
      <c r="J54" s="174"/>
      <c r="K54" s="32"/>
      <c r="L54" s="170">
        <f>I54</f>
        <v>1620</v>
      </c>
      <c r="M54" s="236"/>
    </row>
    <row r="55" spans="1:13" s="12" customFormat="1" ht="12.75">
      <c r="A55" s="64"/>
      <c r="B55" s="128"/>
      <c r="C55" s="60" t="s">
        <v>73</v>
      </c>
      <c r="D55" s="116"/>
      <c r="E55" s="63"/>
      <c r="F55" s="179"/>
      <c r="G55" s="180">
        <f aca="true" t="shared" si="13" ref="G55:L55">SUM(G52:G54)</f>
        <v>4470</v>
      </c>
      <c r="H55" s="180">
        <f t="shared" si="13"/>
        <v>600</v>
      </c>
      <c r="I55" s="180">
        <f t="shared" si="13"/>
        <v>3870</v>
      </c>
      <c r="J55" s="181">
        <f t="shared" si="13"/>
        <v>0</v>
      </c>
      <c r="K55" s="181">
        <f t="shared" si="13"/>
        <v>0</v>
      </c>
      <c r="L55" s="180">
        <f t="shared" si="13"/>
        <v>3870</v>
      </c>
      <c r="M55" s="166"/>
    </row>
    <row r="56" spans="1:12" s="24" customFormat="1" ht="12.75">
      <c r="A56" s="140" t="s">
        <v>31</v>
      </c>
      <c r="B56" s="131"/>
      <c r="C56" s="25" t="s">
        <v>43</v>
      </c>
      <c r="D56" s="120"/>
      <c r="E56" s="48"/>
      <c r="F56" s="168"/>
      <c r="G56" s="172"/>
      <c r="H56" s="184"/>
      <c r="I56" s="173"/>
      <c r="J56" s="185"/>
      <c r="K56" s="222"/>
      <c r="L56" s="178"/>
    </row>
    <row r="57" spans="1:12" s="24" customFormat="1" ht="12.75">
      <c r="A57" s="20">
        <f aca="true" t="shared" si="14" ref="A57:A65">A56+0.1</f>
        <v>6.1</v>
      </c>
      <c r="B57" s="131">
        <v>525</v>
      </c>
      <c r="C57" s="11" t="s">
        <v>90</v>
      </c>
      <c r="D57" s="118">
        <v>2000</v>
      </c>
      <c r="E57" s="23" t="s">
        <v>60</v>
      </c>
      <c r="F57" s="168">
        <v>4</v>
      </c>
      <c r="G57" s="172">
        <f aca="true" t="shared" si="15" ref="G57:G65">D57*F57</f>
        <v>8000</v>
      </c>
      <c r="H57" s="186"/>
      <c r="I57" s="172">
        <f aca="true" t="shared" si="16" ref="I57:I65">G57-H57</f>
        <v>8000</v>
      </c>
      <c r="J57" s="170">
        <f>G57/2</f>
        <v>4000</v>
      </c>
      <c r="K57" s="188">
        <f>I57/2</f>
        <v>4000</v>
      </c>
      <c r="L57" s="178"/>
    </row>
    <row r="58" spans="1:12" s="24" customFormat="1" ht="12.75">
      <c r="A58" s="20">
        <f t="shared" si="14"/>
        <v>6.199999999999999</v>
      </c>
      <c r="B58" s="131">
        <v>150</v>
      </c>
      <c r="C58" s="11" t="s">
        <v>112</v>
      </c>
      <c r="D58" s="118">
        <v>38000</v>
      </c>
      <c r="E58" s="23" t="s">
        <v>104</v>
      </c>
      <c r="F58" s="168">
        <v>1</v>
      </c>
      <c r="G58" s="172">
        <f t="shared" si="15"/>
        <v>38000</v>
      </c>
      <c r="H58" s="186"/>
      <c r="I58" s="172">
        <f t="shared" si="16"/>
        <v>38000</v>
      </c>
      <c r="J58" s="188"/>
      <c r="K58" s="187"/>
      <c r="L58" s="170">
        <f aca="true" t="shared" si="17" ref="L58:L65">I58</f>
        <v>38000</v>
      </c>
    </row>
    <row r="59" spans="1:12" s="24" customFormat="1" ht="12.75">
      <c r="A59" s="20">
        <f t="shared" si="14"/>
        <v>6.299999999999999</v>
      </c>
      <c r="B59" s="131">
        <v>556</v>
      </c>
      <c r="C59" s="11" t="s">
        <v>19</v>
      </c>
      <c r="D59" s="118">
        <v>150</v>
      </c>
      <c r="E59" s="23" t="s">
        <v>47</v>
      </c>
      <c r="F59" s="168">
        <v>18</v>
      </c>
      <c r="G59" s="172">
        <f t="shared" si="15"/>
        <v>2700</v>
      </c>
      <c r="H59" s="186"/>
      <c r="I59" s="172">
        <f t="shared" si="16"/>
        <v>2700</v>
      </c>
      <c r="J59" s="188"/>
      <c r="K59" s="187"/>
      <c r="L59" s="170">
        <f t="shared" si="17"/>
        <v>2700</v>
      </c>
    </row>
    <row r="60" spans="1:12" s="24" customFormat="1" ht="12.75">
      <c r="A60" s="20">
        <f t="shared" si="14"/>
        <v>6.399999999999999</v>
      </c>
      <c r="B60" s="131">
        <v>552</v>
      </c>
      <c r="C60" s="11" t="s">
        <v>55</v>
      </c>
      <c r="D60" s="118">
        <v>2100</v>
      </c>
      <c r="E60" s="23" t="s">
        <v>54</v>
      </c>
      <c r="F60" s="168">
        <v>3</v>
      </c>
      <c r="G60" s="172">
        <f t="shared" si="15"/>
        <v>6300</v>
      </c>
      <c r="H60" s="189"/>
      <c r="I60" s="172">
        <f t="shared" si="16"/>
        <v>6300</v>
      </c>
      <c r="J60" s="188"/>
      <c r="K60" s="187"/>
      <c r="L60" s="170">
        <f t="shared" si="17"/>
        <v>6300</v>
      </c>
    </row>
    <row r="61" spans="1:12" s="24" customFormat="1" ht="12.75">
      <c r="A61" s="20">
        <f t="shared" si="14"/>
        <v>6.499999999999998</v>
      </c>
      <c r="B61" s="131">
        <v>552</v>
      </c>
      <c r="C61" s="11" t="s">
        <v>56</v>
      </c>
      <c r="D61" s="118">
        <v>1500</v>
      </c>
      <c r="E61" s="23" t="s">
        <v>48</v>
      </c>
      <c r="F61" s="168">
        <v>1</v>
      </c>
      <c r="G61" s="172">
        <f t="shared" si="15"/>
        <v>1500</v>
      </c>
      <c r="H61" s="189"/>
      <c r="I61" s="172">
        <f t="shared" si="16"/>
        <v>1500</v>
      </c>
      <c r="J61" s="188"/>
      <c r="K61" s="187"/>
      <c r="L61" s="170">
        <f t="shared" si="17"/>
        <v>1500</v>
      </c>
    </row>
    <row r="62" spans="1:12" s="24" customFormat="1" ht="12.75">
      <c r="A62" s="20">
        <f t="shared" si="14"/>
        <v>6.599999999999998</v>
      </c>
      <c r="B62" s="131">
        <v>552</v>
      </c>
      <c r="C62" s="11" t="s">
        <v>115</v>
      </c>
      <c r="D62" s="118">
        <v>150</v>
      </c>
      <c r="E62" s="23" t="s">
        <v>116</v>
      </c>
      <c r="F62" s="168">
        <v>3</v>
      </c>
      <c r="G62" s="172">
        <f t="shared" si="15"/>
        <v>450</v>
      </c>
      <c r="H62" s="189"/>
      <c r="I62" s="172">
        <f t="shared" si="16"/>
        <v>450</v>
      </c>
      <c r="J62" s="188"/>
      <c r="K62" s="187"/>
      <c r="L62" s="170">
        <f t="shared" si="17"/>
        <v>450</v>
      </c>
    </row>
    <row r="63" spans="1:12" s="24" customFormat="1" ht="12.75">
      <c r="A63" s="20">
        <f t="shared" si="14"/>
        <v>6.6999999999999975</v>
      </c>
      <c r="B63" s="131">
        <v>556</v>
      </c>
      <c r="C63" s="11" t="s">
        <v>26</v>
      </c>
      <c r="D63" s="118">
        <v>250</v>
      </c>
      <c r="E63" s="23" t="s">
        <v>49</v>
      </c>
      <c r="F63" s="168">
        <v>3</v>
      </c>
      <c r="G63" s="172">
        <f t="shared" si="15"/>
        <v>750</v>
      </c>
      <c r="H63" s="189"/>
      <c r="I63" s="172">
        <f t="shared" si="16"/>
        <v>750</v>
      </c>
      <c r="J63" s="188"/>
      <c r="K63" s="187"/>
      <c r="L63" s="170">
        <f t="shared" si="17"/>
        <v>750</v>
      </c>
    </row>
    <row r="64" spans="1:12" s="24" customFormat="1" ht="12.75">
      <c r="A64" s="20">
        <f t="shared" si="14"/>
        <v>6.799999999999997</v>
      </c>
      <c r="B64" s="131">
        <v>552</v>
      </c>
      <c r="C64" s="11" t="s">
        <v>113</v>
      </c>
      <c r="D64" s="118">
        <v>500</v>
      </c>
      <c r="E64" s="23" t="s">
        <v>114</v>
      </c>
      <c r="F64" s="168">
        <v>1</v>
      </c>
      <c r="G64" s="172">
        <f t="shared" si="15"/>
        <v>500</v>
      </c>
      <c r="H64" s="189"/>
      <c r="I64" s="172">
        <f t="shared" si="16"/>
        <v>500</v>
      </c>
      <c r="J64" s="188"/>
      <c r="K64" s="187"/>
      <c r="L64" s="170">
        <f t="shared" si="17"/>
        <v>500</v>
      </c>
    </row>
    <row r="65" spans="1:12" s="24" customFormat="1" ht="12.75">
      <c r="A65" s="20">
        <f t="shared" si="14"/>
        <v>6.899999999999997</v>
      </c>
      <c r="B65" s="131">
        <v>552</v>
      </c>
      <c r="C65" s="11" t="s">
        <v>111</v>
      </c>
      <c r="D65" s="118">
        <v>5014</v>
      </c>
      <c r="E65" s="23" t="s">
        <v>50</v>
      </c>
      <c r="F65" s="168">
        <v>1</v>
      </c>
      <c r="G65" s="172">
        <f t="shared" si="15"/>
        <v>5014</v>
      </c>
      <c r="H65" s="189"/>
      <c r="I65" s="172">
        <f t="shared" si="16"/>
        <v>5014</v>
      </c>
      <c r="J65" s="188"/>
      <c r="K65" s="187"/>
      <c r="L65" s="170">
        <f t="shared" si="17"/>
        <v>5014</v>
      </c>
    </row>
    <row r="66" spans="1:13" s="24" customFormat="1" ht="12.75">
      <c r="A66" s="65"/>
      <c r="B66" s="133"/>
      <c r="C66" s="67" t="s">
        <v>42</v>
      </c>
      <c r="D66" s="121"/>
      <c r="E66" s="66"/>
      <c r="F66" s="70"/>
      <c r="G66" s="82">
        <f aca="true" t="shared" si="18" ref="G66:L66">SUM(G57:G65)</f>
        <v>63214</v>
      </c>
      <c r="H66" s="82">
        <f t="shared" si="18"/>
        <v>0</v>
      </c>
      <c r="I66" s="82">
        <f t="shared" si="18"/>
        <v>63214</v>
      </c>
      <c r="J66" s="151">
        <f t="shared" si="18"/>
        <v>4000</v>
      </c>
      <c r="K66" s="151">
        <f t="shared" si="18"/>
        <v>4000</v>
      </c>
      <c r="L66" s="82">
        <f t="shared" si="18"/>
        <v>55214</v>
      </c>
      <c r="M66" s="218"/>
    </row>
    <row r="67" spans="1:13" ht="12.75">
      <c r="A67" s="141" t="s">
        <v>80</v>
      </c>
      <c r="B67" s="132"/>
      <c r="C67" s="6" t="s">
        <v>13</v>
      </c>
      <c r="D67" s="119"/>
      <c r="E67" s="18"/>
      <c r="F67" s="71"/>
      <c r="G67" s="84"/>
      <c r="H67" s="83"/>
      <c r="I67" s="84"/>
      <c r="J67" s="154"/>
      <c r="K67" s="224"/>
      <c r="L67" s="13"/>
      <c r="M67" s="24"/>
    </row>
    <row r="68" spans="1:13" ht="12.75">
      <c r="A68" s="20">
        <f>A67+0.1</f>
        <v>7.1</v>
      </c>
      <c r="B68" s="127">
        <v>501</v>
      </c>
      <c r="C68" s="9" t="s">
        <v>17</v>
      </c>
      <c r="D68" s="8" t="s">
        <v>81</v>
      </c>
      <c r="E68" s="10"/>
      <c r="F68" s="46"/>
      <c r="G68" s="77">
        <f>'personnel worksheet'!G6</f>
        <v>27000</v>
      </c>
      <c r="H68" s="75">
        <v>0</v>
      </c>
      <c r="I68" s="191">
        <f>G68</f>
        <v>27000</v>
      </c>
      <c r="J68" s="170">
        <v>0</v>
      </c>
      <c r="K68" s="170">
        <f>'personnel worksheet'!K6</f>
        <v>0</v>
      </c>
      <c r="L68" s="175">
        <f>'personnel worksheet'!L6</f>
        <v>27000</v>
      </c>
      <c r="M68" s="24"/>
    </row>
    <row r="69" spans="1:13" ht="12.75">
      <c r="A69" s="20">
        <f>A68+0.1</f>
        <v>7.199999999999999</v>
      </c>
      <c r="B69" s="127">
        <v>501</v>
      </c>
      <c r="C69" s="9" t="s">
        <v>18</v>
      </c>
      <c r="D69" s="8" t="s">
        <v>81</v>
      </c>
      <c r="E69" s="10"/>
      <c r="F69" s="46"/>
      <c r="G69" s="77">
        <f>'personnel worksheet'!G22</f>
        <v>89721</v>
      </c>
      <c r="H69" s="75">
        <v>0</v>
      </c>
      <c r="I69" s="191">
        <f>G69</f>
        <v>89721</v>
      </c>
      <c r="J69" s="170">
        <f>'personnel worksheet'!I28</f>
        <v>44280</v>
      </c>
      <c r="K69" s="170">
        <f>'personnel worksheet'!I29</f>
        <v>18630</v>
      </c>
      <c r="L69" s="175">
        <f>'personnel worksheet'!I30</f>
        <v>26811</v>
      </c>
      <c r="M69" s="237"/>
    </row>
    <row r="70" spans="1:13" ht="12.75">
      <c r="A70" s="20">
        <f>A69+0.1</f>
        <v>7.299999999999999</v>
      </c>
      <c r="B70" s="127">
        <v>502</v>
      </c>
      <c r="C70" s="9" t="s">
        <v>148</v>
      </c>
      <c r="D70" s="8" t="s">
        <v>81</v>
      </c>
      <c r="E70" s="10"/>
      <c r="F70" s="46"/>
      <c r="G70" s="77">
        <f>'personnel worksheet'!N6</f>
        <v>675</v>
      </c>
      <c r="H70" s="75">
        <v>0</v>
      </c>
      <c r="I70" s="191">
        <f>G70</f>
        <v>675</v>
      </c>
      <c r="K70" s="13"/>
      <c r="L70" s="7">
        <v>675</v>
      </c>
      <c r="M70" s="237"/>
    </row>
    <row r="71" spans="1:13" ht="12.75">
      <c r="A71" s="20">
        <f>A70+0.1</f>
        <v>7.399999999999999</v>
      </c>
      <c r="B71" s="127">
        <v>502</v>
      </c>
      <c r="C71" s="9" t="s">
        <v>149</v>
      </c>
      <c r="D71" s="8" t="s">
        <v>81</v>
      </c>
      <c r="E71" s="10"/>
      <c r="F71" s="46"/>
      <c r="G71" s="77">
        <f>'personnel worksheet'!N22</f>
        <v>14175</v>
      </c>
      <c r="H71" s="75">
        <v>0</v>
      </c>
      <c r="I71" s="191">
        <f>G71</f>
        <v>14175</v>
      </c>
      <c r="J71" s="170">
        <f>'personnel worksheet'!N28</f>
        <v>5386.5</v>
      </c>
      <c r="K71" s="170">
        <f>'personnel worksheet'!N29</f>
        <v>2268</v>
      </c>
      <c r="L71" s="175">
        <f>'personnel worksheet'!N30</f>
        <v>6520.5</v>
      </c>
      <c r="M71" s="237"/>
    </row>
    <row r="72" spans="1:12" s="24" customFormat="1" ht="12.75">
      <c r="A72" s="20">
        <f>A71+0.1</f>
        <v>7.499999999999998</v>
      </c>
      <c r="B72" s="131">
        <v>503</v>
      </c>
      <c r="C72" s="11" t="s">
        <v>57</v>
      </c>
      <c r="D72" s="118">
        <v>4</v>
      </c>
      <c r="E72" s="23" t="s">
        <v>45</v>
      </c>
      <c r="F72" s="168">
        <v>10</v>
      </c>
      <c r="G72" s="85">
        <f>D72*F72</f>
        <v>40</v>
      </c>
      <c r="H72" s="80"/>
      <c r="I72" s="173">
        <f>G72-H72</f>
        <v>40</v>
      </c>
      <c r="J72" s="188">
        <f>G72/2</f>
        <v>20</v>
      </c>
      <c r="K72" s="170">
        <f>I72/2</f>
        <v>20</v>
      </c>
      <c r="L72" s="178"/>
    </row>
    <row r="73" spans="1:12" s="24" customFormat="1" ht="12.75">
      <c r="A73" s="20"/>
      <c r="B73" s="131">
        <v>504</v>
      </c>
      <c r="C73" s="11" t="s">
        <v>156</v>
      </c>
      <c r="D73" s="118">
        <v>600</v>
      </c>
      <c r="E73" s="23" t="s">
        <v>40</v>
      </c>
      <c r="F73" s="168">
        <v>9</v>
      </c>
      <c r="G73" s="85">
        <f>F73*D73</f>
        <v>5400</v>
      </c>
      <c r="H73" s="80"/>
      <c r="I73" s="173">
        <f>G73</f>
        <v>5400</v>
      </c>
      <c r="J73" s="188">
        <f>I73</f>
        <v>5400</v>
      </c>
      <c r="K73" s="170"/>
      <c r="L73" s="178"/>
    </row>
    <row r="74" spans="1:13" ht="12.75">
      <c r="A74" s="20">
        <f>A72+0.1</f>
        <v>7.599999999999998</v>
      </c>
      <c r="B74" s="127">
        <v>505</v>
      </c>
      <c r="C74" s="9" t="s">
        <v>146</v>
      </c>
      <c r="D74" s="118">
        <v>100</v>
      </c>
      <c r="E74" s="23" t="s">
        <v>40</v>
      </c>
      <c r="F74" s="168">
        <v>9</v>
      </c>
      <c r="G74" s="85">
        <f>D74*F74</f>
        <v>900</v>
      </c>
      <c r="H74" s="75"/>
      <c r="I74" s="173">
        <f>G74-H74</f>
        <v>900</v>
      </c>
      <c r="J74" s="170"/>
      <c r="K74" s="170">
        <f>I74</f>
        <v>900</v>
      </c>
      <c r="L74" s="175"/>
      <c r="M74" s="24"/>
    </row>
    <row r="75" spans="1:14" ht="12.75">
      <c r="A75" s="62"/>
      <c r="B75" s="128"/>
      <c r="C75" s="60" t="s">
        <v>38</v>
      </c>
      <c r="D75" s="104"/>
      <c r="E75" s="61"/>
      <c r="F75" s="68"/>
      <c r="G75" s="79">
        <f aca="true" t="shared" si="19" ref="G75:L75">SUM(G68:G74)</f>
        <v>137911</v>
      </c>
      <c r="H75" s="79">
        <f t="shared" si="19"/>
        <v>0</v>
      </c>
      <c r="I75" s="180">
        <f t="shared" si="19"/>
        <v>137911</v>
      </c>
      <c r="J75" s="181">
        <f t="shared" si="19"/>
        <v>55086.5</v>
      </c>
      <c r="K75" s="180">
        <f t="shared" si="19"/>
        <v>21818</v>
      </c>
      <c r="L75" s="223">
        <f t="shared" si="19"/>
        <v>61006.5</v>
      </c>
      <c r="M75" s="238"/>
      <c r="N75" s="190"/>
    </row>
    <row r="76" spans="1:14" ht="12.75">
      <c r="A76" s="194"/>
      <c r="B76" s="130"/>
      <c r="C76" s="6"/>
      <c r="D76" s="6"/>
      <c r="E76" s="6"/>
      <c r="F76" s="107"/>
      <c r="G76" s="103"/>
      <c r="H76" s="103"/>
      <c r="I76" s="195"/>
      <c r="J76" s="195"/>
      <c r="K76" s="195"/>
      <c r="L76" s="195"/>
      <c r="M76" s="239"/>
      <c r="N76" s="190"/>
    </row>
    <row r="77" spans="1:14" ht="12.75">
      <c r="A77" s="196"/>
      <c r="B77" s="193"/>
      <c r="C77" s="123" t="s">
        <v>120</v>
      </c>
      <c r="D77" s="6"/>
      <c r="E77" s="6"/>
      <c r="F77" s="107"/>
      <c r="G77" s="83">
        <f aca="true" t="shared" si="20" ref="G77:L77">(G24+G35+G43+G50+G55+G66+G75)</f>
        <v>442678.31268750003</v>
      </c>
      <c r="H77" s="83">
        <f t="shared" si="20"/>
        <v>9975</v>
      </c>
      <c r="I77" s="83">
        <f t="shared" si="20"/>
        <v>432703.31268750003</v>
      </c>
      <c r="J77" s="83">
        <f t="shared" si="20"/>
        <v>198190.5</v>
      </c>
      <c r="K77" s="83">
        <f t="shared" si="20"/>
        <v>77295.75</v>
      </c>
      <c r="L77" s="83">
        <f t="shared" si="20"/>
        <v>157217.0626875</v>
      </c>
      <c r="M77" s="239"/>
      <c r="N77" s="190"/>
    </row>
    <row r="78" spans="1:14" ht="12.75">
      <c r="A78" s="196"/>
      <c r="B78" s="193"/>
      <c r="C78" s="123"/>
      <c r="D78" s="123"/>
      <c r="E78" s="123"/>
      <c r="F78" s="197"/>
      <c r="G78" s="75"/>
      <c r="H78" s="75"/>
      <c r="I78" s="75"/>
      <c r="J78" s="75"/>
      <c r="K78" s="75"/>
      <c r="L78" s="75"/>
      <c r="M78" s="239"/>
      <c r="N78" s="190"/>
    </row>
    <row r="79" spans="1:14" ht="12.75">
      <c r="A79" s="217">
        <v>8</v>
      </c>
      <c r="B79" s="127">
        <v>601</v>
      </c>
      <c r="C79" s="9" t="s">
        <v>118</v>
      </c>
      <c r="D79" s="210">
        <v>0.15</v>
      </c>
      <c r="E79" s="123"/>
      <c r="F79" s="197"/>
      <c r="G79" s="203">
        <f aca="true" t="shared" si="21" ref="G79:L79">+$D$79*G77</f>
        <v>66401.74690312501</v>
      </c>
      <c r="H79" s="203">
        <f t="shared" si="21"/>
        <v>1496.25</v>
      </c>
      <c r="I79" s="203">
        <f t="shared" si="21"/>
        <v>64905.496903125</v>
      </c>
      <c r="J79" s="203">
        <f>+$D$79*J77</f>
        <v>29728.574999999997</v>
      </c>
      <c r="K79" s="203">
        <f t="shared" si="21"/>
        <v>11594.3625</v>
      </c>
      <c r="L79" s="203">
        <f t="shared" si="21"/>
        <v>23582.559403125</v>
      </c>
      <c r="M79" s="239"/>
      <c r="N79" s="190"/>
    </row>
    <row r="80" spans="1:14" ht="12.75">
      <c r="A80" s="200"/>
      <c r="B80" s="193"/>
      <c r="C80" s="204"/>
      <c r="D80" s="199"/>
      <c r="E80" s="201"/>
      <c r="F80" s="202"/>
      <c r="G80" s="207"/>
      <c r="H80" s="207"/>
      <c r="I80" s="207"/>
      <c r="J80" s="208"/>
      <c r="K80" s="208"/>
      <c r="L80" s="208"/>
      <c r="M80" s="239"/>
      <c r="N80" s="190"/>
    </row>
    <row r="81" spans="1:14" ht="12.75">
      <c r="A81" s="200"/>
      <c r="B81" s="193"/>
      <c r="C81" s="204" t="s">
        <v>119</v>
      </c>
      <c r="D81" s="199"/>
      <c r="E81" s="201"/>
      <c r="F81" s="202"/>
      <c r="G81" s="209">
        <f aca="true" t="shared" si="22" ref="G81:L81">SUM(G77:G79)</f>
        <v>509080.05959062505</v>
      </c>
      <c r="H81" s="209">
        <f t="shared" si="22"/>
        <v>11471.25</v>
      </c>
      <c r="I81" s="209">
        <f t="shared" si="22"/>
        <v>497608.80959062505</v>
      </c>
      <c r="J81" s="209">
        <f>SUM(J77:J79)</f>
        <v>227919.075</v>
      </c>
      <c r="K81" s="209">
        <f t="shared" si="22"/>
        <v>88890.1125</v>
      </c>
      <c r="L81" s="209">
        <f t="shared" si="22"/>
        <v>180799.622090625</v>
      </c>
      <c r="M81" s="239"/>
      <c r="N81" s="190"/>
    </row>
    <row r="82" spans="1:14" ht="12.75">
      <c r="A82" s="200"/>
      <c r="B82" s="193"/>
      <c r="C82" s="204"/>
      <c r="D82" s="199"/>
      <c r="E82" s="201"/>
      <c r="F82" s="202"/>
      <c r="G82" s="192"/>
      <c r="H82" s="192"/>
      <c r="I82" s="192"/>
      <c r="J82" s="198"/>
      <c r="K82" s="198"/>
      <c r="L82" s="198"/>
      <c r="M82" s="239"/>
      <c r="N82" s="190"/>
    </row>
    <row r="83" spans="1:13" ht="12.75">
      <c r="A83" s="110">
        <v>9</v>
      </c>
      <c r="B83" s="134">
        <v>602</v>
      </c>
      <c r="C83" s="205" t="s">
        <v>121</v>
      </c>
      <c r="D83" s="210">
        <v>0.1252</v>
      </c>
      <c r="E83" s="211"/>
      <c r="F83" s="106"/>
      <c r="G83" s="81">
        <f>I83</f>
        <v>62300.62296074626</v>
      </c>
      <c r="H83" s="81"/>
      <c r="I83" s="81">
        <f>D83*I81</f>
        <v>62300.62296074626</v>
      </c>
      <c r="J83" s="81">
        <f>+$D$83*J81</f>
        <v>28535.468190000003</v>
      </c>
      <c r="K83" s="81">
        <f>+$D$83*K81</f>
        <v>11129.042085000001</v>
      </c>
      <c r="L83" s="81">
        <f>+$D$83*L81</f>
        <v>22636.11268574625</v>
      </c>
      <c r="M83" s="218"/>
    </row>
    <row r="84" spans="1:13" ht="13.5" thickBot="1">
      <c r="A84" s="21"/>
      <c r="B84" s="135"/>
      <c r="C84" s="22" t="s">
        <v>117</v>
      </c>
      <c r="D84" s="206"/>
      <c r="E84" s="30"/>
      <c r="F84" s="72"/>
      <c r="G84" s="149">
        <f aca="true" t="shared" si="23" ref="G84:L84">G83+G81</f>
        <v>571380.6825513713</v>
      </c>
      <c r="H84" s="149">
        <f t="shared" si="23"/>
        <v>11471.25</v>
      </c>
      <c r="I84" s="149">
        <f t="shared" si="23"/>
        <v>559909.4325513713</v>
      </c>
      <c r="J84" s="149">
        <f t="shared" si="23"/>
        <v>256454.54319000003</v>
      </c>
      <c r="K84" s="149">
        <f t="shared" si="23"/>
        <v>100019.15458500001</v>
      </c>
      <c r="L84" s="149">
        <f t="shared" si="23"/>
        <v>203435.73477637125</v>
      </c>
      <c r="M84" s="218"/>
    </row>
    <row r="85" spans="1:11" ht="12.75">
      <c r="A85" s="16"/>
      <c r="K85" s="19"/>
    </row>
    <row r="86" spans="1:11" ht="12.75">
      <c r="A86" s="16"/>
      <c r="H86" s="38"/>
      <c r="I86" s="153"/>
      <c r="J86" s="153"/>
      <c r="K86" s="146"/>
    </row>
    <row r="87" spans="1:9" ht="12.75">
      <c r="A87" s="16"/>
      <c r="I87" s="225"/>
    </row>
    <row r="88" spans="1:11" ht="12.75">
      <c r="A88" s="16"/>
      <c r="I88" s="153"/>
      <c r="J88" s="153"/>
      <c r="K88" s="153"/>
    </row>
    <row r="89" spans="1:11" ht="12.75">
      <c r="A89" s="16"/>
      <c r="I89" s="153"/>
      <c r="J89" s="153"/>
      <c r="K89" s="153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</sheetData>
  <mergeCells count="5">
    <mergeCell ref="D10:E10"/>
    <mergeCell ref="D6:E6"/>
    <mergeCell ref="D7:E7"/>
    <mergeCell ref="D8:E8"/>
    <mergeCell ref="D9:E9"/>
  </mergeCells>
  <printOptions/>
  <pageMargins left="0.75" right="0.75" top="1" bottom="1" header="0.5" footer="0.5"/>
  <pageSetup fitToHeight="1" fitToWidth="1"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workbookViewId="0" topLeftCell="A1">
      <selection activeCell="K33" sqref="K33"/>
    </sheetView>
  </sheetViews>
  <sheetFormatPr defaultColWidth="9.140625" defaultRowHeight="12.75"/>
  <cols>
    <col min="1" max="1" width="3.140625" style="0" customWidth="1"/>
    <col min="2" max="2" width="29.421875" style="0" customWidth="1"/>
    <col min="3" max="3" width="5.8515625" style="0" customWidth="1"/>
    <col min="4" max="4" width="9.28125" style="0" bestFit="1" customWidth="1"/>
    <col min="5" max="5" width="10.140625" style="32" bestFit="1" customWidth="1"/>
    <col min="6" max="6" width="8.7109375" style="96" customWidth="1"/>
    <col min="7" max="7" width="11.00390625" style="32" customWidth="1"/>
    <col min="8" max="8" width="9.28125" style="32" customWidth="1"/>
    <col min="9" max="10" width="11.28125" style="32" customWidth="1"/>
    <col min="11" max="12" width="9.421875" style="32" customWidth="1"/>
    <col min="13" max="13" width="14.8515625" style="32" customWidth="1"/>
    <col min="14" max="14" width="11.140625" style="32" customWidth="1"/>
    <col min="15" max="15" width="10.00390625" style="32" bestFit="1" customWidth="1"/>
    <col min="16" max="16" width="11.140625" style="32" bestFit="1" customWidth="1"/>
  </cols>
  <sheetData>
    <row r="1" ht="18">
      <c r="B1" s="39" t="s">
        <v>82</v>
      </c>
    </row>
    <row r="2" spans="5:12" ht="12.75">
      <c r="E2" s="33"/>
      <c r="F2" s="97"/>
      <c r="G2" s="33"/>
      <c r="H2" s="33"/>
      <c r="I2" s="33"/>
      <c r="J2" s="33"/>
      <c r="K2" s="33"/>
      <c r="L2" s="33"/>
    </row>
    <row r="3" spans="5:16" ht="12.75">
      <c r="E3" s="33"/>
      <c r="F3" s="97"/>
      <c r="G3" s="33"/>
      <c r="H3" s="33"/>
      <c r="I3" s="33"/>
      <c r="J3" s="33"/>
      <c r="K3" s="33"/>
      <c r="L3" s="33"/>
      <c r="N3" s="33"/>
      <c r="O3" s="33"/>
      <c r="P3" s="33"/>
    </row>
    <row r="4" spans="1:16" s="26" customFormat="1" ht="25.5">
      <c r="A4" s="95"/>
      <c r="B4" s="56" t="s">
        <v>36</v>
      </c>
      <c r="C4" s="56" t="s">
        <v>9</v>
      </c>
      <c r="D4" s="56" t="s">
        <v>10</v>
      </c>
      <c r="E4" s="59" t="s">
        <v>11</v>
      </c>
      <c r="F4" s="98" t="s">
        <v>58</v>
      </c>
      <c r="G4" s="57" t="s">
        <v>21</v>
      </c>
      <c r="H4" s="57" t="s">
        <v>22</v>
      </c>
      <c r="I4" s="57" t="s">
        <v>23</v>
      </c>
      <c r="J4" s="40" t="s">
        <v>152</v>
      </c>
      <c r="K4" s="40" t="s">
        <v>100</v>
      </c>
      <c r="L4" s="40" t="s">
        <v>107</v>
      </c>
      <c r="M4" s="59" t="s">
        <v>59</v>
      </c>
      <c r="N4" s="59" t="s">
        <v>110</v>
      </c>
      <c r="O4" s="59" t="s">
        <v>22</v>
      </c>
      <c r="P4" s="59" t="s">
        <v>23</v>
      </c>
    </row>
    <row r="5" spans="1:24" ht="12.75">
      <c r="A5" s="14"/>
      <c r="B5" s="14" t="s">
        <v>147</v>
      </c>
      <c r="C5" s="49">
        <v>1</v>
      </c>
      <c r="D5" s="49">
        <v>9</v>
      </c>
      <c r="E5" s="50">
        <v>3000</v>
      </c>
      <c r="F5" s="99">
        <v>1</v>
      </c>
      <c r="G5" s="50">
        <f>PRODUCT(C5:F5)</f>
        <v>27000</v>
      </c>
      <c r="H5" s="50"/>
      <c r="I5" s="50">
        <f>G5-H5</f>
        <v>27000</v>
      </c>
      <c r="J5" s="50"/>
      <c r="K5" s="32">
        <v>0</v>
      </c>
      <c r="L5" s="50">
        <f>I5</f>
        <v>27000</v>
      </c>
      <c r="M5" s="50">
        <v>75</v>
      </c>
      <c r="N5" s="109">
        <f>M5*D5*F5</f>
        <v>675</v>
      </c>
      <c r="O5" s="50">
        <f>N5*(H5/G5)</f>
        <v>0</v>
      </c>
      <c r="P5" s="50">
        <f>N5-O5</f>
        <v>675</v>
      </c>
      <c r="W5" s="12"/>
      <c r="X5" s="12"/>
    </row>
    <row r="6" spans="1:16" ht="12.75">
      <c r="A6" s="14"/>
      <c r="B6" s="54" t="s">
        <v>37</v>
      </c>
      <c r="C6" s="55">
        <f>SUM(C5:C5)</f>
        <v>1</v>
      </c>
      <c r="D6" s="55">
        <f>SUM(D5:D5)</f>
        <v>9</v>
      </c>
      <c r="E6" s="55">
        <f>SUM(E5:E5)</f>
        <v>3000</v>
      </c>
      <c r="F6" s="55"/>
      <c r="G6" s="55">
        <f aca="true" t="shared" si="0" ref="G6:P6">SUM(G5:G5)</f>
        <v>27000</v>
      </c>
      <c r="H6" s="55">
        <f t="shared" si="0"/>
        <v>0</v>
      </c>
      <c r="I6" s="55">
        <f t="shared" si="0"/>
        <v>27000</v>
      </c>
      <c r="J6" s="55">
        <f>SUM(J5:J5)</f>
        <v>0</v>
      </c>
      <c r="K6" s="55">
        <v>0</v>
      </c>
      <c r="L6" s="55">
        <f>SUM(L5)</f>
        <v>27000</v>
      </c>
      <c r="M6" s="55">
        <f t="shared" si="0"/>
        <v>75</v>
      </c>
      <c r="N6" s="55">
        <f t="shared" si="0"/>
        <v>675</v>
      </c>
      <c r="O6" s="55">
        <f t="shared" si="0"/>
        <v>0</v>
      </c>
      <c r="P6" s="55">
        <f t="shared" si="0"/>
        <v>675</v>
      </c>
    </row>
    <row r="7" spans="3:17" s="12" customFormat="1" ht="12.75">
      <c r="C7" s="52"/>
      <c r="D7" s="52"/>
      <c r="E7" s="53"/>
      <c r="F7" s="97"/>
      <c r="G7" s="53"/>
      <c r="H7" s="53"/>
      <c r="I7" s="53"/>
      <c r="J7" s="53"/>
      <c r="K7" s="53"/>
      <c r="L7" s="53"/>
      <c r="M7" s="53"/>
      <c r="N7" s="53"/>
      <c r="O7" s="53"/>
      <c r="P7" s="53"/>
      <c r="Q7" s="52"/>
    </row>
    <row r="8" spans="3:16" s="12" customFormat="1" ht="12.75">
      <c r="C8" s="52"/>
      <c r="D8" s="52"/>
      <c r="E8" s="53"/>
      <c r="F8" s="97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s="12" customFormat="1" ht="12.75">
      <c r="A9" s="14"/>
      <c r="B9" s="54" t="s">
        <v>12</v>
      </c>
      <c r="C9" s="55"/>
      <c r="D9" s="55"/>
      <c r="E9" s="51"/>
      <c r="F9" s="100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12.75">
      <c r="A10" s="14"/>
      <c r="B10" s="14" t="s">
        <v>88</v>
      </c>
      <c r="C10" s="49">
        <v>1</v>
      </c>
      <c r="D10" s="49">
        <v>9</v>
      </c>
      <c r="E10" s="50">
        <v>900</v>
      </c>
      <c r="F10" s="99">
        <v>1</v>
      </c>
      <c r="G10" s="50">
        <f>PRODUCT(C10:F10)</f>
        <v>8100</v>
      </c>
      <c r="H10" s="50"/>
      <c r="I10" s="50">
        <f>G10-H10</f>
        <v>8100</v>
      </c>
      <c r="J10" s="50"/>
      <c r="K10" s="50">
        <f>I10</f>
        <v>8100</v>
      </c>
      <c r="L10" s="50"/>
      <c r="M10" s="50">
        <v>60</v>
      </c>
      <c r="N10" s="109">
        <f>M10*D10*F10</f>
        <v>540</v>
      </c>
      <c r="O10" s="50">
        <f>N10*(H10/G10)</f>
        <v>0</v>
      </c>
      <c r="P10" s="50">
        <f>N10-O10</f>
        <v>540</v>
      </c>
    </row>
    <row r="11" spans="1:16" ht="12.75">
      <c r="A11" s="14"/>
      <c r="B11" s="14" t="s">
        <v>61</v>
      </c>
      <c r="C11" s="49">
        <v>9</v>
      </c>
      <c r="D11" s="49">
        <v>9</v>
      </c>
      <c r="E11" s="50">
        <v>130</v>
      </c>
      <c r="F11" s="99">
        <v>1</v>
      </c>
      <c r="G11" s="50">
        <f aca="true" t="shared" si="1" ref="G11:G18">PRODUCT(C11:F11)</f>
        <v>10530</v>
      </c>
      <c r="H11" s="50"/>
      <c r="I11" s="50">
        <f aca="true" t="shared" si="2" ref="I11:I21">G11-H11</f>
        <v>10530</v>
      </c>
      <c r="J11" s="50"/>
      <c r="K11" s="50">
        <f>I11</f>
        <v>10530</v>
      </c>
      <c r="L11" s="50"/>
      <c r="M11" s="50">
        <v>60</v>
      </c>
      <c r="N11" s="50">
        <f>SUM(M11:M11)*PRODUCT(C11:D11)</f>
        <v>4860</v>
      </c>
      <c r="O11" s="50">
        <f>N11*(H11/G11)</f>
        <v>0</v>
      </c>
      <c r="P11" s="50">
        <f aca="true" t="shared" si="3" ref="P11:P17">N11-O11</f>
        <v>4860</v>
      </c>
    </row>
    <row r="12" spans="1:16" ht="12.75">
      <c r="A12" s="14"/>
      <c r="B12" s="14" t="s">
        <v>95</v>
      </c>
      <c r="C12" s="49">
        <v>1</v>
      </c>
      <c r="D12" s="49">
        <v>9</v>
      </c>
      <c r="E12" s="50">
        <v>900</v>
      </c>
      <c r="F12" s="99">
        <v>1</v>
      </c>
      <c r="G12" s="50">
        <f>PRODUCT(C12:F12)</f>
        <v>8100</v>
      </c>
      <c r="H12" s="50"/>
      <c r="I12" s="50">
        <f t="shared" si="2"/>
        <v>8100</v>
      </c>
      <c r="J12" s="50">
        <f>I12</f>
        <v>8100</v>
      </c>
      <c r="K12" s="158"/>
      <c r="L12" s="50"/>
      <c r="M12" s="50">
        <f>C12*75</f>
        <v>75</v>
      </c>
      <c r="N12" s="109">
        <f>M12*D12*F12</f>
        <v>675</v>
      </c>
      <c r="O12" s="50">
        <f>N12*(H12/G12)</f>
        <v>0</v>
      </c>
      <c r="P12" s="50">
        <f t="shared" si="3"/>
        <v>675</v>
      </c>
    </row>
    <row r="13" spans="1:16" ht="12.75">
      <c r="A13" s="14"/>
      <c r="B13" s="14" t="s">
        <v>98</v>
      </c>
      <c r="C13" s="49">
        <v>15</v>
      </c>
      <c r="D13" s="49">
        <v>9</v>
      </c>
      <c r="E13" s="50">
        <v>208</v>
      </c>
      <c r="F13" s="99">
        <v>1</v>
      </c>
      <c r="G13" s="50">
        <f>PRODUCT(C13:F13)</f>
        <v>28080</v>
      </c>
      <c r="H13" s="50"/>
      <c r="I13" s="50">
        <f t="shared" si="2"/>
        <v>28080</v>
      </c>
      <c r="J13" s="50">
        <f>I13</f>
        <v>28080</v>
      </c>
      <c r="K13" s="158"/>
      <c r="L13" s="50"/>
      <c r="M13" s="50">
        <v>60</v>
      </c>
      <c r="N13" s="109">
        <f>M13*D13*F13</f>
        <v>540</v>
      </c>
      <c r="O13" s="50"/>
      <c r="P13" s="50">
        <f t="shared" si="3"/>
        <v>540</v>
      </c>
    </row>
    <row r="14" spans="1:16" ht="12.75">
      <c r="A14" s="14"/>
      <c r="B14" s="14" t="s">
        <v>105</v>
      </c>
      <c r="C14" s="49">
        <v>9</v>
      </c>
      <c r="D14" s="49">
        <v>9</v>
      </c>
      <c r="E14" s="50">
        <v>100</v>
      </c>
      <c r="F14" s="99">
        <v>1</v>
      </c>
      <c r="G14" s="50">
        <f>PRODUCT(C14:F14)</f>
        <v>8100</v>
      </c>
      <c r="H14" s="50"/>
      <c r="I14" s="50">
        <f t="shared" si="2"/>
        <v>8100</v>
      </c>
      <c r="J14" s="50">
        <f>I14</f>
        <v>8100</v>
      </c>
      <c r="K14" s="158"/>
      <c r="L14" s="50"/>
      <c r="M14" s="50">
        <f>M11</f>
        <v>60</v>
      </c>
      <c r="N14" s="109">
        <f>M14*D14*F14</f>
        <v>540</v>
      </c>
      <c r="O14" s="50"/>
      <c r="P14" s="50">
        <f t="shared" si="3"/>
        <v>540</v>
      </c>
    </row>
    <row r="15" spans="1:16" ht="12.75">
      <c r="A15" s="14"/>
      <c r="B15" s="163" t="s">
        <v>32</v>
      </c>
      <c r="C15" s="49">
        <v>3</v>
      </c>
      <c r="D15" s="49">
        <v>9</v>
      </c>
      <c r="E15" s="50">
        <v>111</v>
      </c>
      <c r="F15" s="99">
        <v>1</v>
      </c>
      <c r="G15" s="50">
        <f t="shared" si="1"/>
        <v>2997</v>
      </c>
      <c r="H15" s="50"/>
      <c r="I15" s="50">
        <f t="shared" si="2"/>
        <v>2997</v>
      </c>
      <c r="J15" s="50"/>
      <c r="K15" s="158"/>
      <c r="L15" s="50">
        <f aca="true" t="shared" si="4" ref="L15:L21">I15</f>
        <v>2997</v>
      </c>
      <c r="M15" s="50">
        <v>60</v>
      </c>
      <c r="N15" s="50">
        <f>SUM(M15:M15)*PRODUCT(C15:D15)</f>
        <v>1620</v>
      </c>
      <c r="O15" s="50">
        <f>N15*(H15/G15)</f>
        <v>0</v>
      </c>
      <c r="P15" s="50">
        <f t="shared" si="3"/>
        <v>1620</v>
      </c>
    </row>
    <row r="16" spans="1:22" ht="12.75">
      <c r="A16" s="14"/>
      <c r="B16" s="164" t="s">
        <v>106</v>
      </c>
      <c r="C16" s="49">
        <v>1</v>
      </c>
      <c r="D16" s="49">
        <v>9</v>
      </c>
      <c r="E16" s="50">
        <v>450</v>
      </c>
      <c r="F16" s="99">
        <v>1</v>
      </c>
      <c r="G16" s="50">
        <f>PRODUCT(C16:F16)</f>
        <v>4050</v>
      </c>
      <c r="H16" s="50"/>
      <c r="I16" s="50">
        <f t="shared" si="2"/>
        <v>4050</v>
      </c>
      <c r="J16" s="50"/>
      <c r="K16" s="158"/>
      <c r="L16" s="50">
        <f t="shared" si="4"/>
        <v>4050</v>
      </c>
      <c r="M16" s="50">
        <v>60</v>
      </c>
      <c r="N16" s="109">
        <f>M16*D16*F16</f>
        <v>540</v>
      </c>
      <c r="O16" s="50">
        <f>N16*(H16/G16)</f>
        <v>0</v>
      </c>
      <c r="P16" s="50">
        <f t="shared" si="3"/>
        <v>540</v>
      </c>
      <c r="Q16" s="12"/>
      <c r="R16" s="12"/>
      <c r="S16" s="12"/>
      <c r="T16" s="12"/>
      <c r="U16" s="12"/>
      <c r="V16" s="12"/>
    </row>
    <row r="17" spans="1:16" ht="12.75">
      <c r="A17" s="14"/>
      <c r="B17" s="163" t="s">
        <v>29</v>
      </c>
      <c r="C17" s="49">
        <v>6</v>
      </c>
      <c r="D17" s="49">
        <v>9</v>
      </c>
      <c r="E17" s="50">
        <v>111</v>
      </c>
      <c r="F17" s="99">
        <v>1</v>
      </c>
      <c r="G17" s="50">
        <f t="shared" si="1"/>
        <v>5994</v>
      </c>
      <c r="H17" s="50"/>
      <c r="I17" s="50">
        <f t="shared" si="2"/>
        <v>5994</v>
      </c>
      <c r="J17" s="50"/>
      <c r="K17" s="158"/>
      <c r="L17" s="50">
        <f t="shared" si="4"/>
        <v>5994</v>
      </c>
      <c r="M17" s="50">
        <v>60</v>
      </c>
      <c r="N17" s="50">
        <f>SUM(M17:M17)*PRODUCT(C17:D17)</f>
        <v>3240</v>
      </c>
      <c r="O17" s="50">
        <f>N17*(H17/G17)</f>
        <v>0</v>
      </c>
      <c r="P17" s="50">
        <f t="shared" si="3"/>
        <v>3240</v>
      </c>
    </row>
    <row r="18" spans="2:16" ht="12.75">
      <c r="B18" s="163" t="s">
        <v>96</v>
      </c>
      <c r="C18" s="157">
        <v>1</v>
      </c>
      <c r="D18" s="157">
        <v>9</v>
      </c>
      <c r="E18" s="158">
        <v>250</v>
      </c>
      <c r="F18" s="99">
        <v>1</v>
      </c>
      <c r="G18" s="158">
        <f t="shared" si="1"/>
        <v>2250</v>
      </c>
      <c r="H18" s="158"/>
      <c r="I18" s="158">
        <f t="shared" si="2"/>
        <v>2250</v>
      </c>
      <c r="J18" s="158"/>
      <c r="K18" s="158"/>
      <c r="L18" s="158">
        <f t="shared" si="4"/>
        <v>2250</v>
      </c>
      <c r="M18" s="158"/>
      <c r="N18" s="158"/>
      <c r="O18" s="158"/>
      <c r="P18" s="158"/>
    </row>
    <row r="19" spans="1:16" ht="12.75">
      <c r="A19" s="14"/>
      <c r="B19" s="163" t="s">
        <v>97</v>
      </c>
      <c r="C19" s="49">
        <v>1</v>
      </c>
      <c r="D19" s="49">
        <v>9</v>
      </c>
      <c r="E19" s="50">
        <v>250</v>
      </c>
      <c r="F19" s="99">
        <v>1</v>
      </c>
      <c r="G19" s="50">
        <f>PRODUCT(C19:F19)</f>
        <v>2250</v>
      </c>
      <c r="H19" s="50"/>
      <c r="I19" s="50">
        <f t="shared" si="2"/>
        <v>2250</v>
      </c>
      <c r="J19" s="50"/>
      <c r="K19" s="158"/>
      <c r="L19" s="50">
        <f t="shared" si="4"/>
        <v>2250</v>
      </c>
      <c r="M19" s="50">
        <v>60</v>
      </c>
      <c r="N19" s="109">
        <f>M19*D19*F19</f>
        <v>540</v>
      </c>
      <c r="O19" s="50"/>
      <c r="P19" s="50">
        <f>N19-O19</f>
        <v>540</v>
      </c>
    </row>
    <row r="20" spans="1:16" ht="12.75">
      <c r="A20" s="14"/>
      <c r="B20" s="163" t="s">
        <v>86</v>
      </c>
      <c r="C20" s="49">
        <v>3</v>
      </c>
      <c r="D20" s="49">
        <v>9</v>
      </c>
      <c r="E20" s="50">
        <v>195</v>
      </c>
      <c r="F20" s="99">
        <v>1</v>
      </c>
      <c r="G20" s="50">
        <f>PRODUCT(C20:F20)</f>
        <v>5265</v>
      </c>
      <c r="H20" s="50"/>
      <c r="I20" s="50">
        <f t="shared" si="2"/>
        <v>5265</v>
      </c>
      <c r="J20" s="50"/>
      <c r="K20" s="158"/>
      <c r="L20" s="50">
        <f t="shared" si="4"/>
        <v>5265</v>
      </c>
      <c r="M20" s="50">
        <v>60</v>
      </c>
      <c r="N20" s="109">
        <f>M20*D20*F20</f>
        <v>540</v>
      </c>
      <c r="O20" s="50">
        <f>N20*(H20/G20)</f>
        <v>0</v>
      </c>
      <c r="P20" s="50">
        <f>N20-O20</f>
        <v>540</v>
      </c>
    </row>
    <row r="21" spans="1:18" ht="12.75">
      <c r="A21" s="14"/>
      <c r="B21" s="163" t="s">
        <v>159</v>
      </c>
      <c r="C21" s="49">
        <v>1</v>
      </c>
      <c r="D21" s="49">
        <v>9</v>
      </c>
      <c r="E21" s="50">
        <v>445</v>
      </c>
      <c r="F21" s="99">
        <v>1</v>
      </c>
      <c r="G21" s="50">
        <f>PRODUCT(C21:F21)</f>
        <v>4005</v>
      </c>
      <c r="H21" s="50"/>
      <c r="I21" s="50">
        <f t="shared" si="2"/>
        <v>4005</v>
      </c>
      <c r="J21" s="50"/>
      <c r="K21" s="158"/>
      <c r="L21" s="50">
        <f t="shared" si="4"/>
        <v>4005</v>
      </c>
      <c r="M21" s="50">
        <v>60</v>
      </c>
      <c r="N21" s="109">
        <f>M21*D21*F21</f>
        <v>540</v>
      </c>
      <c r="O21" s="50"/>
      <c r="P21" s="50">
        <f>N21-O21</f>
        <v>540</v>
      </c>
      <c r="R21" s="37"/>
    </row>
    <row r="22" spans="2:16" ht="12.75">
      <c r="B22" s="58" t="s">
        <v>12</v>
      </c>
      <c r="C22" s="55">
        <f>SUM(C10:C21)</f>
        <v>51</v>
      </c>
      <c r="D22" s="55"/>
      <c r="E22" s="51"/>
      <c r="F22" s="100"/>
      <c r="G22" s="55">
        <f>SUM(G10:G21)</f>
        <v>89721</v>
      </c>
      <c r="H22" s="55">
        <f>SUM(H11:H17)</f>
        <v>0</v>
      </c>
      <c r="I22" s="55">
        <f aca="true" t="shared" si="5" ref="I22:N22">SUM(I10:I21)</f>
        <v>89721</v>
      </c>
      <c r="J22" s="55">
        <f t="shared" si="5"/>
        <v>44280</v>
      </c>
      <c r="K22" s="55">
        <f t="shared" si="5"/>
        <v>18630</v>
      </c>
      <c r="L22" s="55">
        <f t="shared" si="5"/>
        <v>26811</v>
      </c>
      <c r="M22" s="55">
        <f t="shared" si="5"/>
        <v>675</v>
      </c>
      <c r="N22" s="55">
        <f t="shared" si="5"/>
        <v>14175</v>
      </c>
      <c r="O22" s="55">
        <f>SUM(O11:O20)</f>
        <v>0</v>
      </c>
      <c r="P22" s="55">
        <f>SUM(P10:P21)</f>
        <v>14175</v>
      </c>
    </row>
    <row r="23" ht="13.5" thickBot="1"/>
    <row r="24" spans="2:16" ht="13.5" thickBot="1">
      <c r="B24" s="145" t="s">
        <v>4</v>
      </c>
      <c r="C24" s="144">
        <f>C6+C22</f>
        <v>52</v>
      </c>
      <c r="D24" s="15"/>
      <c r="E24" s="36"/>
      <c r="F24" s="101"/>
      <c r="G24" s="35">
        <f aca="true" t="shared" si="6" ref="G24:P24">G6+G22</f>
        <v>116721</v>
      </c>
      <c r="H24" s="35">
        <f t="shared" si="6"/>
        <v>0</v>
      </c>
      <c r="I24" s="35">
        <f t="shared" si="6"/>
        <v>116721</v>
      </c>
      <c r="J24" s="156">
        <f t="shared" si="6"/>
        <v>44280</v>
      </c>
      <c r="K24" s="35">
        <f t="shared" si="6"/>
        <v>18630</v>
      </c>
      <c r="L24" s="156">
        <f t="shared" si="6"/>
        <v>53811</v>
      </c>
      <c r="M24" s="34">
        <f t="shared" si="6"/>
        <v>750</v>
      </c>
      <c r="N24" s="35">
        <f t="shared" si="6"/>
        <v>14850</v>
      </c>
      <c r="O24" s="35">
        <f t="shared" si="6"/>
        <v>0</v>
      </c>
      <c r="P24" s="35">
        <f t="shared" si="6"/>
        <v>14850</v>
      </c>
    </row>
    <row r="25" spans="10:12" ht="12.75">
      <c r="J25" s="240">
        <f>J24/I24</f>
        <v>0.3793661808928985</v>
      </c>
      <c r="K25" s="240">
        <f>K24/I24</f>
        <v>0.1596113809854268</v>
      </c>
      <c r="L25" s="240">
        <f>L24/I24</f>
        <v>0.46102243812167476</v>
      </c>
    </row>
    <row r="27" spans="8:13" ht="12.75">
      <c r="H27" s="219" t="s">
        <v>153</v>
      </c>
      <c r="M27" s="219" t="s">
        <v>161</v>
      </c>
    </row>
    <row r="28" spans="8:14" ht="12.75">
      <c r="H28" s="161" t="s">
        <v>33</v>
      </c>
      <c r="I28" s="32">
        <f>J24</f>
        <v>44280</v>
      </c>
      <c r="M28" s="161" t="s">
        <v>33</v>
      </c>
      <c r="N28" s="32">
        <f>N22*38%</f>
        <v>5386.5</v>
      </c>
    </row>
    <row r="29" spans="8:14" ht="12.75">
      <c r="H29" s="161" t="s">
        <v>100</v>
      </c>
      <c r="I29" s="32">
        <f>K24</f>
        <v>18630</v>
      </c>
      <c r="M29" s="161" t="s">
        <v>100</v>
      </c>
      <c r="N29" s="187">
        <f>N22*16%</f>
        <v>2268</v>
      </c>
    </row>
    <row r="30" spans="8:14" ht="13.5" thickBot="1">
      <c r="H30" s="161" t="s">
        <v>107</v>
      </c>
      <c r="I30" s="32">
        <f>L22</f>
        <v>26811</v>
      </c>
      <c r="M30" s="161" t="s">
        <v>164</v>
      </c>
      <c r="N30" s="162">
        <f>N22*46%</f>
        <v>6520.5</v>
      </c>
    </row>
    <row r="31" spans="9:14" ht="12.75">
      <c r="I31" s="219">
        <f>SUM(I28:I30)</f>
        <v>89721</v>
      </c>
      <c r="N31" s="32">
        <f>SUM(N28:N30)</f>
        <v>14175</v>
      </c>
    </row>
    <row r="33" spans="8:13" ht="12.75">
      <c r="H33" s="219" t="s">
        <v>163</v>
      </c>
      <c r="M33" s="219" t="s">
        <v>162</v>
      </c>
    </row>
    <row r="34" spans="8:14" ht="12.75">
      <c r="H34" s="161" t="s">
        <v>107</v>
      </c>
      <c r="I34" s="32">
        <f>L6</f>
        <v>27000</v>
      </c>
      <c r="M34" s="161" t="s">
        <v>107</v>
      </c>
      <c r="N34" s="32">
        <f>N6</f>
        <v>675</v>
      </c>
    </row>
    <row r="35" spans="9:14" ht="12.75">
      <c r="I35" s="219">
        <f>I31+I34</f>
        <v>116721</v>
      </c>
      <c r="N35" s="219">
        <f>SUM(N31:N34)</f>
        <v>14850</v>
      </c>
    </row>
    <row r="39" spans="9:10" ht="12.75">
      <c r="I39" s="143"/>
      <c r="J39" s="143"/>
    </row>
    <row r="40" spans="9:10" ht="12.75">
      <c r="I40" s="142"/>
      <c r="J40" s="142"/>
    </row>
    <row r="42" spans="9:10" ht="12.75">
      <c r="I42" s="142"/>
      <c r="J42" s="142"/>
    </row>
  </sheetData>
  <printOptions/>
  <pageMargins left="0.75" right="0.75" top="1" bottom="1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Food for the Hungry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Ahlsten</dc:creator>
  <cp:keywords/>
  <dc:description/>
  <cp:lastModifiedBy>Keith Wright</cp:lastModifiedBy>
  <cp:lastPrinted>2006-02-22T13:17:03Z</cp:lastPrinted>
  <dcterms:created xsi:type="dcterms:W3CDTF">2001-07-12T12:57:01Z</dcterms:created>
  <dcterms:modified xsi:type="dcterms:W3CDTF">2006-03-01T19:44:48Z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