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Budget summary" sheetId="1" r:id="rId1"/>
    <sheet name="Kenya cost per vehicle" sheetId="2" r:id="rId2"/>
    <sheet name="US" sheetId="3" r:id="rId3"/>
    <sheet name="Kenya" sheetId="4" r:id="rId4"/>
    <sheet name="Uganda" sheetId="5" r:id="rId5"/>
    <sheet name="Tanzania" sheetId="6" r:id="rId6"/>
  </sheets>
  <calcPr calcId="162913"/>
</workbook>
</file>

<file path=xl/calcChain.xml><?xml version="1.0" encoding="utf-8"?>
<calcChain xmlns="http://schemas.openxmlformats.org/spreadsheetml/2006/main">
  <c r="C17" i="6" l="1"/>
  <c r="F17" i="6" s="1"/>
  <c r="C16" i="6"/>
  <c r="F16" i="6" s="1"/>
  <c r="F18" i="6" s="1"/>
  <c r="F13" i="6"/>
  <c r="F11" i="6"/>
  <c r="F10" i="6"/>
  <c r="F14" i="6" s="1"/>
  <c r="C7" i="6"/>
  <c r="F7" i="6" s="1"/>
  <c r="F6" i="6"/>
  <c r="F8" i="6" s="1"/>
  <c r="F24" i="6" s="1"/>
  <c r="C16" i="5"/>
  <c r="F16" i="5" s="1"/>
  <c r="C15" i="5"/>
  <c r="F15" i="5" s="1"/>
  <c r="F14" i="5"/>
  <c r="F11" i="5"/>
  <c r="F10" i="5"/>
  <c r="F12" i="5" s="1"/>
  <c r="E7" i="5"/>
  <c r="C7" i="5"/>
  <c r="F7" i="5" s="1"/>
  <c r="F6" i="5"/>
  <c r="F8" i="5" s="1"/>
  <c r="C26" i="4"/>
  <c r="F26" i="4" s="1"/>
  <c r="F27" i="4" s="1"/>
  <c r="C19" i="4"/>
  <c r="F19" i="4" s="1"/>
  <c r="C18" i="4"/>
  <c r="F18" i="4" s="1"/>
  <c r="C17" i="4"/>
  <c r="F17" i="4" s="1"/>
  <c r="C16" i="4"/>
  <c r="F16" i="4" s="1"/>
  <c r="C15" i="4"/>
  <c r="F15" i="4" s="1"/>
  <c r="C14" i="4"/>
  <c r="F14" i="4" s="1"/>
  <c r="F11" i="4"/>
  <c r="F12" i="4" s="1"/>
  <c r="F10" i="4"/>
  <c r="E7" i="4"/>
  <c r="F7" i="4" s="1"/>
  <c r="F6" i="4"/>
  <c r="F8" i="4" s="1"/>
  <c r="F21" i="3"/>
  <c r="F22" i="3" s="1"/>
  <c r="F16" i="3"/>
  <c r="C15" i="3"/>
  <c r="F15" i="3" s="1"/>
  <c r="C14" i="3"/>
  <c r="F14" i="3" s="1"/>
  <c r="C13" i="3"/>
  <c r="F13" i="3" s="1"/>
  <c r="C12" i="3"/>
  <c r="F12" i="3" s="1"/>
  <c r="C11" i="3"/>
  <c r="F11" i="3" s="1"/>
  <c r="C8" i="3"/>
  <c r="F8" i="3" s="1"/>
  <c r="F9" i="3" s="1"/>
  <c r="F20" i="4" l="1"/>
  <c r="C8" i="1"/>
  <c r="E8" i="1" s="1"/>
  <c r="F25" i="6"/>
  <c r="F27" i="6" s="1"/>
  <c r="F17" i="3"/>
  <c r="F19" i="3" s="1"/>
  <c r="F26" i="3" s="1"/>
  <c r="F18" i="3"/>
  <c r="F17" i="5"/>
  <c r="F23" i="5" s="1"/>
  <c r="C5" i="1" l="1"/>
  <c r="F27" i="3"/>
  <c r="F29" i="3"/>
  <c r="F26" i="5"/>
  <c r="F24" i="5"/>
  <c r="C7" i="1"/>
  <c r="E7" i="1" s="1"/>
  <c r="F21" i="4"/>
  <c r="F22" i="4" s="1"/>
  <c r="F29" i="4" s="1"/>
  <c r="C6" i="1" l="1"/>
  <c r="E6" i="1" s="1"/>
  <c r="F30" i="4"/>
  <c r="F32" i="4" s="1"/>
  <c r="F7" i="1"/>
  <c r="E5" i="1"/>
  <c r="C10" i="1"/>
  <c r="C11" i="1" l="1"/>
  <c r="C13" i="1"/>
  <c r="E13" i="1"/>
  <c r="F8" i="1"/>
  <c r="F6" i="1"/>
  <c r="C2" i="2" l="1"/>
  <c r="C6" i="2" s="1"/>
  <c r="F13" i="1"/>
</calcChain>
</file>

<file path=xl/sharedStrings.xml><?xml version="1.0" encoding="utf-8"?>
<sst xmlns="http://schemas.openxmlformats.org/spreadsheetml/2006/main" count="162" uniqueCount="80">
  <si>
    <t>US</t>
  </si>
  <si>
    <t>Kenya total budget March 2018-2019 (including US and overhead costs)</t>
  </si>
  <si>
    <r>
      <rPr>
        <b/>
        <sz val="14"/>
        <color rgb="FF000000"/>
        <rFont val="Cambria"/>
      </rPr>
      <t xml:space="preserve">Zusha! budget proposal  </t>
    </r>
    <r>
      <rPr>
        <b/>
        <sz val="12"/>
        <color rgb="FF000000"/>
        <rFont val="Cambria"/>
      </rPr>
      <t xml:space="preserve">                      March 2018 - March 2019</t>
    </r>
  </si>
  <si>
    <t>March 2018 - March 2019</t>
  </si>
  <si>
    <t>Country</t>
  </si>
  <si>
    <t>Kenya buses reached March 2018-2019</t>
  </si>
  <si>
    <t>"Zusha! estimates they've reached ~33K buses in Kenya at this point."
"DirectLine's electronic system automatically checks whether the vehicles that the agent is purchasing insurance for have been issued stickers within the last 6 months. If they haven't, or if the insurance agent just requests replacement stickers, the insurance agent will give Zusha! stickers (4 stickers for matatus, 8 stickers for buses (larger vehicles)) and explain the program." This seems to imply that all buses are treated every year. Info from the RCT suggests that compliance with stickers falls over the course of the year; could dig that up.
If the monitoring gets better, it could potentially make it so that fewer stickers have to be replaced. But I think the relevant question is "Does a year of marginal funding get you something equivalent to what was measured in the RCT?"
http://files.givewell.org/files/conversations/Zusha_site_visit_02-02-17_and_02-03-17_(public).pdf</t>
  </si>
  <si>
    <t>Cost</t>
  </si>
  <si>
    <t>Cost per vehicle, Kenya</t>
  </si>
  <si>
    <t>Unit cost</t>
  </si>
  <si>
    <t>Unit</t>
  </si>
  <si>
    <t>Total including overhead</t>
  </si>
  <si>
    <t># Units</t>
  </si>
  <si>
    <t>Total cost</t>
  </si>
  <si>
    <t>Total for each program with US costs allocated according to budget in each country</t>
  </si>
  <si>
    <t>INTERVENTION</t>
  </si>
  <si>
    <t>-</t>
  </si>
  <si>
    <t>Kenya</t>
  </si>
  <si>
    <t>DATA COLLECTION AND MONITORING</t>
  </si>
  <si>
    <t>Survey CTO subscription</t>
  </si>
  <si>
    <t>Uganda</t>
  </si>
  <si>
    <t>Month</t>
  </si>
  <si>
    <t>Tanzania</t>
  </si>
  <si>
    <t>Total before overhead</t>
  </si>
  <si>
    <t>Notes</t>
  </si>
  <si>
    <t>PERSONNEL</t>
  </si>
  <si>
    <t>Data and Research Associate [100%]</t>
  </si>
  <si>
    <t>Overhead</t>
  </si>
  <si>
    <t>Data and Research Manager [25%]</t>
  </si>
  <si>
    <t>Stickers and evelopes</t>
  </si>
  <si>
    <t>Order</t>
  </si>
  <si>
    <t>Director of Programs [50%]</t>
  </si>
  <si>
    <t>Lottery prizes</t>
  </si>
  <si>
    <t>Vehicle</t>
  </si>
  <si>
    <t>Finance Officer [20%]</t>
  </si>
  <si>
    <t>To increase the efficiency and effectiveness of the lottery, gui2de proposes to run it directly, as opposed to going through DLA.  gui2de will apply for three 3-month licenses between March 2018 and March 2019, and draw 10 winners for a total of 36 weeks.</t>
  </si>
  <si>
    <t>Total</t>
  </si>
  <si>
    <t>Student RA</t>
  </si>
  <si>
    <t>Compliance verification at (17) NTSA centers</t>
  </si>
  <si>
    <t>A Zusha! staff member is stationed full-time at each of the NTSA's 17 inspection centers to collect compliance data and distribute stickers.  When the NTSA fully integrates Zusha! into TIMS, the employee will help train and initially oversee NTSA inspectors, and then will transition to spot checks for continued monitoring.</t>
  </si>
  <si>
    <t>Bus park compliance checks (randomized)</t>
  </si>
  <si>
    <t>Round</t>
  </si>
  <si>
    <t>Enumerator teams will be sent to bus and matatu parks across the country to find a randomly-selected list of vehicles to check for compliance.</t>
  </si>
  <si>
    <t>Summer Intern</t>
  </si>
  <si>
    <t>Each</t>
  </si>
  <si>
    <t>Fringe (no fringe on RAs)</t>
  </si>
  <si>
    <t>Program Director [100%]</t>
  </si>
  <si>
    <t>TRAVEL</t>
  </si>
  <si>
    <t>Program Coordinator [100%]</t>
  </si>
  <si>
    <t>Travel to Kenya, Uganda, Tanzania</t>
  </si>
  <si>
    <t>Trip</t>
  </si>
  <si>
    <t>Project Assistant [100%]</t>
  </si>
  <si>
    <t>OFFICE</t>
  </si>
  <si>
    <t>Director of Research [10%]</t>
  </si>
  <si>
    <t>Office Director [30%]</t>
  </si>
  <si>
    <t>OVERHEAD</t>
  </si>
  <si>
    <t>Subtotal</t>
  </si>
  <si>
    <t>Finance Officer [30%]</t>
  </si>
  <si>
    <t>IDC</t>
  </si>
  <si>
    <t>US Total</t>
  </si>
  <si>
    <t>Fringe</t>
  </si>
  <si>
    <t xml:space="preserve">Rent </t>
  </si>
  <si>
    <t>Kenya total</t>
  </si>
  <si>
    <t>Stickers and envelopes</t>
  </si>
  <si>
    <t>The lottery will continue until June 2018 (6 months post-Round II enrollment, which will be completed in December 2017).</t>
  </si>
  <si>
    <t>Enumerator teams will be sent to bus and taxi parks across the country to find a randomly-selected list of vehicles to check for compliance.</t>
  </si>
  <si>
    <t>The lottery will continue until March 2018 (6 months post-Round II enrollment, which was completed in September 2017).</t>
  </si>
  <si>
    <t>Accident data collection</t>
  </si>
  <si>
    <t>Enumerator teams will be sent to bus parks across the country to find a randomly-selected list of vehicles to check for compliance.</t>
  </si>
  <si>
    <t>Accident data verification: RAIS training refreshes</t>
  </si>
  <si>
    <t>Training</t>
  </si>
  <si>
    <t>Country Director/Admin Fee</t>
  </si>
  <si>
    <t>Accident data verification: RAIS database monitoring</t>
  </si>
  <si>
    <t>Ongoing</t>
  </si>
  <si>
    <t>Accident data verification: Field spot checks</t>
  </si>
  <si>
    <t>Program Manager</t>
  </si>
  <si>
    <t>Project Assistant</t>
  </si>
  <si>
    <t>Project Manager</t>
  </si>
  <si>
    <t>Uganda Total</t>
  </si>
  <si>
    <t>Tanzania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</si>
</sst>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164" formatCode="&quot;$&quot;#,##0"/>
    <numFmt numFmtId="165" formatCode="&quot;$&quot;#,##0.00"/>
    <numFmt numFmtId="166" formatCode="_(&quot;$&quot;* #,##0_);_(&quot;$&quot;* \(#,##0\);_(&quot;$&quot;* &quot;-&quot;??_);_(@_)"/>
  </numFmts>
  <fonts count="11" x14ac:knownFonts="1">
    <font>
      <sz val="10"/>
      <color rgb="FF000000"/>
      <name val="Arial"/>
    </font>
    <font>
      <sz val="12"/>
      <color rgb="FF000000"/>
      <name val="Cambria"/>
    </font>
    <font>
      <b/>
      <sz val="12"/>
      <color rgb="FF000000"/>
      <name val="Cambria"/>
    </font>
    <font>
      <sz val="10"/>
      <name val="Arial"/>
    </font>
    <font>
      <b/>
      <sz val="10"/>
      <name val="Arial"/>
    </font>
    <font>
      <b/>
      <sz val="12"/>
      <name val="Cambria"/>
    </font>
    <font>
      <b/>
      <sz val="12"/>
      <color rgb="FF222222"/>
      <name val="Cambria"/>
    </font>
    <font>
      <sz val="12"/>
      <name val="Cambria"/>
    </font>
    <font>
      <sz val="10"/>
      <name val="Arial"/>
    </font>
    <font>
      <sz val="12"/>
      <color rgb="FF222222"/>
      <name val="Cambria"/>
    </font>
    <font>
      <b/>
      <sz val="14"/>
      <color rgb="FF000000"/>
      <name val="Cambria"/>
    </font>
  </fonts>
  <fills count="7">
    <fill>
      <patternFill patternType="none"/>
    </fill>
    <fill>
      <patternFill patternType="gray125"/>
    </fill>
    <fill>
      <patternFill patternType="solid">
        <fgColor rgb="FFBDD6EE"/>
        <bgColor rgb="FFBDD6EE"/>
      </patternFill>
    </fill>
    <fill>
      <patternFill patternType="solid">
        <fgColor rgb="FFD8D8D8"/>
        <bgColor rgb="FFD8D8D8"/>
      </patternFill>
    </fill>
    <fill>
      <patternFill patternType="solid">
        <fgColor rgb="FFD9D9D9"/>
        <bgColor rgb="FFD9D9D9"/>
      </patternFill>
    </fill>
    <fill>
      <patternFill patternType="solid">
        <fgColor rgb="FFFFE699"/>
        <bgColor rgb="FFFFE699"/>
      </patternFill>
    </fill>
    <fill>
      <patternFill patternType="solid">
        <fgColor rgb="FFFFE598"/>
        <bgColor rgb="FFFFE598"/>
      </patternFill>
    </fill>
  </fills>
  <borders count="28">
    <border>
      <left/>
      <right/>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double">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double">
        <color rgb="FF000000"/>
      </bottom>
      <diagonal/>
    </border>
    <border>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18">
    <xf numFmtId="0" fontId="0" fillId="0" borderId="0" xfId="0" applyFont="1" applyAlignment="1"/>
    <xf numFmtId="0" fontId="1" fillId="0" borderId="0" xfId="0" applyFont="1"/>
    <xf numFmtId="0" fontId="3" fillId="0" borderId="0" xfId="0" applyFont="1" applyAlignment="1">
      <alignment wrapText="1"/>
    </xf>
    <xf numFmtId="164" fontId="3" fillId="0" borderId="0" xfId="0" applyNumberFormat="1" applyFont="1"/>
    <xf numFmtId="0" fontId="4" fillId="0" borderId="0" xfId="0" applyFont="1"/>
    <xf numFmtId="3" fontId="3" fillId="0" borderId="0" xfId="0" applyNumberFormat="1" applyFont="1" applyAlignment="1"/>
    <xf numFmtId="0" fontId="5" fillId="3" borderId="9" xfId="0" applyFont="1" applyFill="1" applyBorder="1" applyAlignment="1">
      <alignment horizontal="center" vertical="center"/>
    </xf>
    <xf numFmtId="0" fontId="3" fillId="0" borderId="0" xfId="0" applyFont="1" applyAlignment="1"/>
    <xf numFmtId="0" fontId="2" fillId="0" borderId="10" xfId="0" applyFont="1" applyBorder="1" applyAlignment="1">
      <alignment horizontal="center" vertical="center"/>
    </xf>
    <xf numFmtId="165" fontId="3" fillId="0" borderId="0" xfId="0" applyNumberFormat="1" applyFont="1"/>
    <xf numFmtId="0" fontId="6" fillId="0" borderId="2" xfId="0" applyFont="1" applyBorder="1" applyAlignment="1">
      <alignment horizontal="center" wrapText="1"/>
    </xf>
    <xf numFmtId="0" fontId="5" fillId="3" borderId="11" xfId="0" applyFont="1" applyFill="1" applyBorder="1" applyAlignment="1">
      <alignment horizontal="center" vertical="center"/>
    </xf>
    <xf numFmtId="0" fontId="5" fillId="0" borderId="0" xfId="0" applyFont="1"/>
    <xf numFmtId="0" fontId="6" fillId="0" borderId="0" xfId="0" applyFont="1" applyAlignment="1">
      <alignment horizontal="center" wrapText="1"/>
    </xf>
    <xf numFmtId="0" fontId="1" fillId="0" borderId="0" xfId="0" applyFont="1" applyAlignment="1">
      <alignment wrapText="1"/>
    </xf>
    <xf numFmtId="0" fontId="6" fillId="0" borderId="12" xfId="0" applyFont="1" applyBorder="1" applyAlignment="1">
      <alignment horizontal="center" wrapText="1"/>
    </xf>
    <xf numFmtId="0" fontId="7" fillId="0" borderId="10" xfId="0" applyFont="1" applyBorder="1"/>
    <xf numFmtId="0" fontId="8" fillId="0" borderId="0" xfId="0" applyFont="1"/>
    <xf numFmtId="0" fontId="2" fillId="4" borderId="13" xfId="0" applyFont="1" applyFill="1" applyBorder="1" applyAlignment="1">
      <alignment horizontal="left" vertical="center"/>
    </xf>
    <xf numFmtId="164" fontId="7" fillId="0" borderId="12" xfId="0" applyNumberFormat="1" applyFont="1" applyBorder="1"/>
    <xf numFmtId="0" fontId="6" fillId="4" borderId="13" xfId="0" applyFont="1" applyFill="1" applyBorder="1" applyAlignment="1">
      <alignment horizontal="center" wrapText="1"/>
    </xf>
    <xf numFmtId="0" fontId="6" fillId="4" borderId="14" xfId="0" applyFont="1" applyFill="1" applyBorder="1" applyAlignment="1">
      <alignment horizontal="center" wrapText="1"/>
    </xf>
    <xf numFmtId="164" fontId="1" fillId="0" borderId="0" xfId="0" applyNumberFormat="1" applyFont="1"/>
    <xf numFmtId="0" fontId="6" fillId="4" borderId="15" xfId="0" applyFont="1" applyFill="1" applyBorder="1" applyAlignment="1">
      <alignment horizontal="center" wrapText="1"/>
    </xf>
    <xf numFmtId="0" fontId="1" fillId="0" borderId="0" xfId="0" applyFont="1" applyAlignment="1"/>
    <xf numFmtId="0" fontId="1" fillId="0" borderId="10" xfId="0" applyFont="1" applyBorder="1" applyAlignment="1">
      <alignment horizontal="left" vertical="center"/>
    </xf>
    <xf numFmtId="166" fontId="9" fillId="0" borderId="10" xfId="0" applyNumberFormat="1" applyFont="1" applyBorder="1" applyAlignment="1">
      <alignment horizontal="center" wrapText="1"/>
    </xf>
    <xf numFmtId="0" fontId="9" fillId="0" borderId="0" xfId="0" applyFont="1" applyAlignment="1">
      <alignment horizontal="center" wrapText="1"/>
    </xf>
    <xf numFmtId="166" fontId="9" fillId="0" borderId="12" xfId="0" applyNumberFormat="1" applyFont="1" applyBorder="1" applyAlignment="1">
      <alignment horizontal="center" wrapText="1"/>
    </xf>
    <xf numFmtId="6" fontId="7" fillId="0" borderId="12" xfId="0" applyNumberFormat="1" applyFont="1" applyBorder="1"/>
    <xf numFmtId="166" fontId="6" fillId="4" borderId="15" xfId="0" applyNumberFormat="1" applyFont="1" applyFill="1" applyBorder="1" applyAlignment="1">
      <alignment horizontal="center" wrapText="1"/>
    </xf>
    <xf numFmtId="0" fontId="7" fillId="0" borderId="0" xfId="0" applyFont="1"/>
    <xf numFmtId="0" fontId="1" fillId="0" borderId="10" xfId="0" applyFont="1" applyBorder="1" applyAlignment="1">
      <alignment horizontal="left"/>
    </xf>
    <xf numFmtId="164" fontId="7" fillId="0" borderId="0" xfId="0" applyNumberFormat="1" applyFont="1"/>
    <xf numFmtId="166" fontId="1" fillId="0" borderId="10" xfId="0" applyNumberFormat="1" applyFont="1" applyBorder="1" applyAlignment="1">
      <alignment horizontal="center"/>
    </xf>
    <xf numFmtId="0" fontId="8" fillId="2" borderId="17" xfId="0" applyFont="1" applyFill="1" applyBorder="1"/>
    <xf numFmtId="0" fontId="1" fillId="0" borderId="0" xfId="0" applyFont="1" applyAlignment="1">
      <alignment horizontal="center"/>
    </xf>
    <xf numFmtId="0" fontId="8" fillId="2" borderId="19" xfId="0" applyFont="1" applyFill="1" applyBorder="1"/>
    <xf numFmtId="166" fontId="1" fillId="0" borderId="20" xfId="0" applyNumberFormat="1" applyFont="1" applyBorder="1" applyAlignment="1">
      <alignment horizontal="center"/>
    </xf>
    <xf numFmtId="0" fontId="6" fillId="0" borderId="10" xfId="0" applyFont="1" applyBorder="1" applyAlignment="1">
      <alignment horizontal="center" wrapText="1"/>
    </xf>
    <xf numFmtId="3" fontId="1" fillId="0" borderId="0" xfId="0" applyNumberFormat="1" applyFont="1" applyAlignment="1">
      <alignment horizontal="center"/>
    </xf>
    <xf numFmtId="0" fontId="2" fillId="3" borderId="13" xfId="0" applyFont="1" applyFill="1" applyBorder="1" applyAlignment="1">
      <alignment horizontal="left" vertical="center"/>
    </xf>
    <xf numFmtId="166" fontId="1" fillId="0" borderId="12" xfId="0" applyNumberFormat="1" applyFont="1" applyBorder="1" applyAlignment="1">
      <alignment horizontal="center"/>
    </xf>
    <xf numFmtId="0" fontId="6" fillId="3" borderId="13" xfId="0" applyFont="1" applyFill="1" applyBorder="1" applyAlignment="1">
      <alignment horizontal="center" wrapText="1"/>
    </xf>
    <xf numFmtId="0" fontId="2" fillId="4" borderId="13" xfId="0" applyFont="1" applyFill="1" applyBorder="1" applyAlignment="1">
      <alignment horizontal="left"/>
    </xf>
    <xf numFmtId="0" fontId="6" fillId="3" borderId="14" xfId="0" applyFont="1" applyFill="1" applyBorder="1" applyAlignment="1">
      <alignment horizontal="center" wrapText="1"/>
    </xf>
    <xf numFmtId="166" fontId="1" fillId="4" borderId="13" xfId="0" applyNumberFormat="1" applyFont="1" applyFill="1" applyBorder="1" applyAlignment="1">
      <alignment horizontal="center"/>
    </xf>
    <xf numFmtId="0" fontId="6" fillId="3" borderId="15" xfId="0" applyFont="1" applyFill="1" applyBorder="1" applyAlignment="1">
      <alignment horizontal="center" wrapText="1"/>
    </xf>
    <xf numFmtId="0" fontId="1" fillId="4" borderId="14" xfId="0" applyFont="1" applyFill="1" applyBorder="1" applyAlignment="1">
      <alignment horizontal="center"/>
    </xf>
    <xf numFmtId="166" fontId="1" fillId="4" borderId="15" xfId="0" applyNumberFormat="1" applyFont="1" applyFill="1" applyBorder="1" applyAlignment="1">
      <alignment horizontal="center"/>
    </xf>
    <xf numFmtId="164" fontId="1" fillId="0" borderId="0" xfId="0" applyNumberFormat="1" applyFont="1" applyAlignment="1"/>
    <xf numFmtId="0" fontId="0" fillId="0" borderId="12" xfId="0" applyFont="1" applyBorder="1"/>
    <xf numFmtId="0" fontId="7" fillId="0" borderId="0" xfId="0" applyFont="1" applyAlignment="1"/>
    <xf numFmtId="0" fontId="1" fillId="0" borderId="10" xfId="0" applyFont="1" applyBorder="1"/>
    <xf numFmtId="166" fontId="9" fillId="0" borderId="20" xfId="0" applyNumberFormat="1" applyFont="1" applyBorder="1" applyAlignment="1">
      <alignment horizontal="center" wrapText="1"/>
    </xf>
    <xf numFmtId="0" fontId="1" fillId="0" borderId="12" xfId="0" applyFont="1" applyBorder="1"/>
    <xf numFmtId="0" fontId="9" fillId="0" borderId="12" xfId="0" applyFont="1" applyBorder="1" applyAlignment="1">
      <alignment horizontal="left" wrapText="1"/>
    </xf>
    <xf numFmtId="0" fontId="5" fillId="0" borderId="6" xfId="0" applyFont="1" applyBorder="1"/>
    <xf numFmtId="44" fontId="0" fillId="0" borderId="0" xfId="0" applyNumberFormat="1" applyFont="1"/>
    <xf numFmtId="166" fontId="6" fillId="3" borderId="15" xfId="0" applyNumberFormat="1" applyFont="1" applyFill="1" applyBorder="1" applyAlignment="1">
      <alignment horizontal="center" wrapText="1"/>
    </xf>
    <xf numFmtId="164" fontId="5" fillId="0" borderId="8" xfId="0" applyNumberFormat="1" applyFont="1" applyBorder="1"/>
    <xf numFmtId="0" fontId="1" fillId="0" borderId="21" xfId="0" applyFont="1" applyBorder="1" applyAlignment="1">
      <alignment horizontal="left" wrapText="1"/>
    </xf>
    <xf numFmtId="166" fontId="0" fillId="0" borderId="0" xfId="0" applyNumberFormat="1" applyFont="1"/>
    <xf numFmtId="166" fontId="1" fillId="0" borderId="8" xfId="0" applyNumberFormat="1" applyFont="1" applyBorder="1" applyAlignment="1">
      <alignment horizontal="center"/>
    </xf>
    <xf numFmtId="0" fontId="2" fillId="3" borderId="13" xfId="0" applyFont="1" applyFill="1" applyBorder="1" applyAlignment="1">
      <alignment horizontal="left"/>
    </xf>
    <xf numFmtId="166" fontId="1" fillId="3" borderId="13" xfId="0" applyNumberFormat="1" applyFont="1" applyFill="1" applyBorder="1" applyAlignment="1">
      <alignment horizontal="center"/>
    </xf>
    <xf numFmtId="9" fontId="1" fillId="0" borderId="10" xfId="0" applyNumberFormat="1" applyFont="1" applyBorder="1" applyAlignment="1">
      <alignment horizontal="right"/>
    </xf>
    <xf numFmtId="0" fontId="1" fillId="3" borderId="14" xfId="0" applyFont="1" applyFill="1" applyBorder="1" applyAlignment="1">
      <alignment horizontal="center"/>
    </xf>
    <xf numFmtId="166" fontId="1" fillId="3" borderId="15" xfId="0" applyNumberFormat="1" applyFont="1" applyFill="1" applyBorder="1" applyAlignment="1">
      <alignment horizontal="center"/>
    </xf>
    <xf numFmtId="0" fontId="1" fillId="0" borderId="10" xfId="0" applyFont="1" applyBorder="1" applyAlignment="1">
      <alignment horizontal="center"/>
    </xf>
    <xf numFmtId="0" fontId="1" fillId="3" borderId="13" xfId="0" applyFont="1" applyFill="1" applyBorder="1" applyAlignment="1">
      <alignment horizontal="center"/>
    </xf>
    <xf numFmtId="0" fontId="2" fillId="4" borderId="13" xfId="0" applyFont="1" applyFill="1" applyBorder="1"/>
    <xf numFmtId="0" fontId="1" fillId="4" borderId="13" xfId="0" applyFont="1" applyFill="1" applyBorder="1" applyAlignment="1">
      <alignment horizontal="center"/>
    </xf>
    <xf numFmtId="44" fontId="1" fillId="0" borderId="12" xfId="0" applyNumberFormat="1" applyFont="1" applyBorder="1" applyAlignment="1">
      <alignment horizontal="center"/>
    </xf>
    <xf numFmtId="165" fontId="1" fillId="0" borderId="10" xfId="0" applyNumberFormat="1" applyFont="1" applyBorder="1" applyAlignment="1">
      <alignment horizontal="center"/>
    </xf>
    <xf numFmtId="0" fontId="2" fillId="0" borderId="6" xfId="0" applyFont="1" applyBorder="1"/>
    <xf numFmtId="0" fontId="2" fillId="0" borderId="6" xfId="0" applyFont="1" applyBorder="1" applyAlignment="1">
      <alignment horizontal="center"/>
    </xf>
    <xf numFmtId="0" fontId="2" fillId="0" borderId="7" xfId="0" applyFont="1" applyBorder="1" applyAlignment="1">
      <alignment horizontal="center"/>
    </xf>
    <xf numFmtId="166" fontId="2" fillId="5" borderId="22" xfId="0" applyNumberFormat="1" applyFont="1" applyFill="1" applyBorder="1" applyAlignment="1">
      <alignment horizontal="center"/>
    </xf>
    <xf numFmtId="0" fontId="2" fillId="3" borderId="13" xfId="0" applyFont="1" applyFill="1" applyBorder="1"/>
    <xf numFmtId="164" fontId="2" fillId="0" borderId="0" xfId="0" applyNumberFormat="1" applyFont="1"/>
    <xf numFmtId="166" fontId="2" fillId="6" borderId="22" xfId="0" applyNumberFormat="1" applyFont="1" applyFill="1" applyBorder="1" applyAlignment="1">
      <alignment horizontal="center"/>
    </xf>
    <xf numFmtId="0" fontId="0" fillId="0" borderId="8" xfId="0" applyFont="1" applyBorder="1"/>
    <xf numFmtId="0" fontId="2" fillId="2" borderId="17" xfId="0" applyFont="1" applyFill="1" applyBorder="1" applyAlignment="1">
      <alignment vertical="center"/>
    </xf>
    <xf numFmtId="0" fontId="2" fillId="2" borderId="19" xfId="0" applyFont="1" applyFill="1" applyBorder="1" applyAlignment="1">
      <alignment vertical="center"/>
    </xf>
    <xf numFmtId="0" fontId="6" fillId="0" borderId="23" xfId="0" applyFont="1" applyBorder="1" applyAlignment="1">
      <alignment horizontal="center" wrapText="1"/>
    </xf>
    <xf numFmtId="0" fontId="0" fillId="3" borderId="24" xfId="0" applyFont="1" applyFill="1" applyBorder="1"/>
    <xf numFmtId="166" fontId="9" fillId="0" borderId="0" xfId="0" applyNumberFormat="1" applyFont="1" applyAlignment="1">
      <alignment horizontal="center" wrapText="1"/>
    </xf>
    <xf numFmtId="0" fontId="0" fillId="0" borderId="21" xfId="0" applyFont="1" applyBorder="1"/>
    <xf numFmtId="166" fontId="9" fillId="0" borderId="10" xfId="0" applyNumberFormat="1" applyFont="1" applyBorder="1" applyAlignment="1">
      <alignment horizontal="center" vertical="center" wrapText="1"/>
    </xf>
    <xf numFmtId="0" fontId="9" fillId="0" borderId="0" xfId="0" applyFont="1" applyAlignment="1">
      <alignment horizontal="center" vertical="center" wrapText="1"/>
    </xf>
    <xf numFmtId="166" fontId="9" fillId="0" borderId="25" xfId="0" applyNumberFormat="1" applyFont="1" applyBorder="1" applyAlignment="1">
      <alignment horizontal="center" vertical="center" wrapText="1"/>
    </xf>
    <xf numFmtId="0" fontId="1" fillId="0" borderId="21" xfId="0" applyFont="1" applyBorder="1" applyAlignment="1">
      <alignment horizontal="left" vertical="center"/>
    </xf>
    <xf numFmtId="0" fontId="1" fillId="0" borderId="0" xfId="0" applyFont="1" applyAlignment="1">
      <alignment horizontal="left" vertical="center"/>
    </xf>
    <xf numFmtId="0" fontId="0" fillId="0" borderId="0" xfId="0" applyFont="1"/>
    <xf numFmtId="0" fontId="0" fillId="3" borderId="15" xfId="0" applyFont="1" applyFill="1" applyBorder="1"/>
    <xf numFmtId="166" fontId="6" fillId="4" borderId="14" xfId="0" applyNumberFormat="1" applyFont="1" applyFill="1" applyBorder="1" applyAlignment="1">
      <alignment horizontal="center" wrapText="1"/>
    </xf>
    <xf numFmtId="166" fontId="1" fillId="0" borderId="0" xfId="0" applyNumberFormat="1" applyFont="1" applyAlignment="1">
      <alignment horizontal="center"/>
    </xf>
    <xf numFmtId="166" fontId="9" fillId="0" borderId="20" xfId="0" applyNumberFormat="1" applyFont="1" applyBorder="1" applyAlignment="1">
      <alignment horizontal="center" vertical="center" wrapText="1"/>
    </xf>
    <xf numFmtId="0" fontId="1" fillId="0" borderId="21" xfId="0" applyFont="1" applyBorder="1"/>
    <xf numFmtId="0" fontId="1" fillId="0" borderId="12" xfId="0" applyFont="1" applyBorder="1" applyAlignment="1">
      <alignment horizontal="left" vertical="center"/>
    </xf>
    <xf numFmtId="166" fontId="1" fillId="0" borderId="25" xfId="0" applyNumberFormat="1" applyFont="1" applyBorder="1" applyAlignment="1">
      <alignment horizontal="center"/>
    </xf>
    <xf numFmtId="166" fontId="1" fillId="4" borderId="14" xfId="0" applyNumberFormat="1" applyFont="1" applyFill="1" applyBorder="1" applyAlignment="1">
      <alignment horizontal="center"/>
    </xf>
    <xf numFmtId="166" fontId="1" fillId="0" borderId="10" xfId="0" applyNumberFormat="1" applyFont="1" applyBorder="1" applyAlignment="1">
      <alignment horizontal="center" vertical="center"/>
    </xf>
    <xf numFmtId="0" fontId="1" fillId="0" borderId="0" xfId="0" applyFont="1" applyAlignment="1">
      <alignment horizontal="center" vertical="center"/>
    </xf>
    <xf numFmtId="166" fontId="2" fillId="5" borderId="26" xfId="0" applyNumberFormat="1" applyFont="1" applyFill="1" applyBorder="1" applyAlignment="1">
      <alignment horizontal="center"/>
    </xf>
    <xf numFmtId="0" fontId="0" fillId="0" borderId="27" xfId="0" applyFont="1" applyBorder="1"/>
    <xf numFmtId="0" fontId="2" fillId="2" borderId="2" xfId="0" applyFont="1" applyFill="1" applyBorder="1" applyAlignment="1">
      <alignment horizontal="center" wrapText="1"/>
    </xf>
    <xf numFmtId="0" fontId="3" fillId="0" borderId="4" xfId="0" applyFont="1" applyBorder="1"/>
    <xf numFmtId="0" fontId="3" fillId="0" borderId="6" xfId="0" applyFont="1" applyBorder="1"/>
    <xf numFmtId="0" fontId="3" fillId="0" borderId="8" xfId="0" applyFont="1" applyBorder="1"/>
    <xf numFmtId="0" fontId="2" fillId="2" borderId="1" xfId="0" applyFont="1" applyFill="1" applyBorder="1" applyAlignment="1">
      <alignment horizontal="center" vertical="center"/>
    </xf>
    <xf numFmtId="0" fontId="3" fillId="0" borderId="5" xfId="0" applyFont="1" applyBorder="1"/>
    <xf numFmtId="0" fontId="2" fillId="2" borderId="2" xfId="0" applyFont="1" applyFill="1" applyBorder="1" applyAlignment="1">
      <alignment horizontal="center" vertical="center"/>
    </xf>
    <xf numFmtId="0" fontId="3" fillId="0" borderId="3" xfId="0" applyFont="1" applyBorder="1"/>
    <xf numFmtId="0" fontId="3" fillId="0" borderId="7" xfId="0" applyFont="1" applyBorder="1"/>
    <xf numFmtId="0" fontId="3" fillId="0" borderId="16" xfId="0" applyFont="1" applyBorder="1"/>
    <xf numFmtId="0" fontId="3" fillId="0" borderId="1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abSelected="1" workbookViewId="0"/>
  </sheetViews>
  <sheetFormatPr defaultColWidth="14.42578125" defaultRowHeight="15.75" customHeight="1" x14ac:dyDescent="0.2"/>
  <cols>
    <col min="1" max="1" width="4.140625" customWidth="1"/>
    <col min="2" max="2" width="23.140625" customWidth="1"/>
    <col min="3" max="3" width="14.42578125" customWidth="1"/>
    <col min="4" max="4" width="10.85546875" customWidth="1"/>
    <col min="5" max="5" width="16" customWidth="1"/>
    <col min="6" max="6" width="14.85546875" customWidth="1"/>
    <col min="7" max="26" width="10.71093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07" t="s">
        <v>2</v>
      </c>
      <c r="C2" s="108"/>
      <c r="D2" s="1"/>
      <c r="E2" s="1"/>
      <c r="F2" s="1"/>
      <c r="G2" s="1"/>
      <c r="H2" s="1"/>
      <c r="I2" s="1"/>
      <c r="J2" s="1"/>
      <c r="K2" s="1"/>
      <c r="L2" s="1"/>
      <c r="M2" s="1"/>
      <c r="N2" s="1"/>
      <c r="O2" s="1"/>
      <c r="P2" s="1"/>
      <c r="Q2" s="1"/>
      <c r="R2" s="1"/>
      <c r="S2" s="1"/>
      <c r="T2" s="1"/>
      <c r="U2" s="1"/>
      <c r="V2" s="1"/>
      <c r="W2" s="1"/>
      <c r="X2" s="1"/>
      <c r="Y2" s="1"/>
      <c r="Z2" s="1"/>
    </row>
    <row r="3" spans="1:26" x14ac:dyDescent="0.25">
      <c r="A3" s="1"/>
      <c r="B3" s="109"/>
      <c r="C3" s="110"/>
      <c r="D3" s="1"/>
      <c r="E3" s="1"/>
      <c r="F3" s="1"/>
      <c r="G3" s="1"/>
      <c r="H3" s="1"/>
      <c r="I3" s="1"/>
      <c r="J3" s="1"/>
      <c r="K3" s="1"/>
      <c r="L3" s="1"/>
      <c r="M3" s="1"/>
      <c r="N3" s="1"/>
      <c r="O3" s="1"/>
      <c r="P3" s="1"/>
      <c r="Q3" s="1"/>
      <c r="R3" s="1"/>
      <c r="S3" s="1"/>
      <c r="T3" s="1"/>
      <c r="U3" s="1"/>
      <c r="V3" s="1"/>
      <c r="W3" s="1"/>
      <c r="X3" s="1"/>
      <c r="Y3" s="1"/>
      <c r="Z3" s="1"/>
    </row>
    <row r="4" spans="1:26" x14ac:dyDescent="0.25">
      <c r="A4" s="1"/>
      <c r="B4" s="6" t="s">
        <v>4</v>
      </c>
      <c r="C4" s="11" t="s">
        <v>7</v>
      </c>
      <c r="D4" s="12"/>
      <c r="E4" s="14" t="s">
        <v>11</v>
      </c>
      <c r="F4" s="2" t="s">
        <v>14</v>
      </c>
      <c r="G4" s="1"/>
      <c r="H4" s="1"/>
      <c r="I4" s="1"/>
      <c r="J4" s="1"/>
      <c r="K4" s="1"/>
      <c r="L4" s="1"/>
      <c r="M4" s="1"/>
      <c r="N4" s="1"/>
      <c r="O4" s="1"/>
      <c r="P4" s="1"/>
      <c r="Q4" s="1"/>
      <c r="R4" s="1"/>
      <c r="S4" s="1"/>
      <c r="T4" s="1"/>
      <c r="U4" s="1"/>
      <c r="V4" s="1"/>
      <c r="W4" s="1"/>
      <c r="X4" s="1"/>
      <c r="Y4" s="1"/>
      <c r="Z4" s="1"/>
    </row>
    <row r="5" spans="1:26" x14ac:dyDescent="0.25">
      <c r="A5" s="1"/>
      <c r="B5" s="16" t="s">
        <v>0</v>
      </c>
      <c r="C5" s="19">
        <f>US!F26</f>
        <v>225520</v>
      </c>
      <c r="D5" s="1"/>
      <c r="E5" s="22">
        <f t="shared" ref="E5:E8" si="0">C5*1.1</f>
        <v>248072.00000000003</v>
      </c>
      <c r="F5" s="24" t="s">
        <v>16</v>
      </c>
      <c r="G5" s="1"/>
      <c r="H5" s="1"/>
      <c r="I5" s="1"/>
      <c r="J5" s="1"/>
      <c r="K5" s="1"/>
      <c r="L5" s="1"/>
      <c r="M5" s="1"/>
      <c r="N5" s="1"/>
      <c r="O5" s="1"/>
      <c r="P5" s="1"/>
      <c r="Q5" s="1"/>
      <c r="R5" s="1"/>
      <c r="S5" s="1"/>
      <c r="T5" s="1"/>
      <c r="U5" s="1"/>
      <c r="V5" s="1"/>
      <c r="W5" s="1"/>
      <c r="X5" s="1"/>
      <c r="Y5" s="1"/>
      <c r="Z5" s="1"/>
    </row>
    <row r="6" spans="1:26" x14ac:dyDescent="0.25">
      <c r="A6" s="1"/>
      <c r="B6" s="16" t="s">
        <v>17</v>
      </c>
      <c r="C6" s="29">
        <f>Kenya!F29</f>
        <v>341100</v>
      </c>
      <c r="D6" s="31"/>
      <c r="E6" s="22">
        <f t="shared" si="0"/>
        <v>375210.00000000006</v>
      </c>
      <c r="F6" s="33">
        <f t="shared" ref="F6:F8" si="1">E6+($E$5*(E6/SUM($E$6:$E$8)))</f>
        <v>512531.25803310622</v>
      </c>
      <c r="G6" s="1"/>
      <c r="H6" s="1"/>
      <c r="I6" s="1"/>
      <c r="J6" s="1"/>
      <c r="K6" s="1"/>
      <c r="L6" s="1"/>
      <c r="M6" s="1"/>
      <c r="N6" s="1"/>
      <c r="O6" s="1"/>
      <c r="P6" s="1"/>
      <c r="Q6" s="1"/>
      <c r="R6" s="1"/>
      <c r="S6" s="1"/>
      <c r="T6" s="1"/>
      <c r="U6" s="1"/>
      <c r="V6" s="1"/>
      <c r="W6" s="1"/>
      <c r="X6" s="1"/>
      <c r="Y6" s="1"/>
      <c r="Z6" s="1"/>
    </row>
    <row r="7" spans="1:26" x14ac:dyDescent="0.25">
      <c r="A7" s="1"/>
      <c r="B7" s="16" t="s">
        <v>20</v>
      </c>
      <c r="C7" s="19">
        <f>Uganda!F23</f>
        <v>153600</v>
      </c>
      <c r="D7" s="1"/>
      <c r="E7" s="22">
        <f t="shared" si="0"/>
        <v>168960</v>
      </c>
      <c r="F7" s="33">
        <f t="shared" si="1"/>
        <v>230796.83739045766</v>
      </c>
      <c r="G7" s="1"/>
      <c r="H7" s="1"/>
      <c r="I7" s="1"/>
      <c r="J7" s="1"/>
      <c r="K7" s="1"/>
      <c r="L7" s="1"/>
      <c r="M7" s="1"/>
      <c r="N7" s="1"/>
      <c r="O7" s="1"/>
      <c r="P7" s="1"/>
      <c r="Q7" s="1"/>
      <c r="R7" s="1"/>
      <c r="S7" s="1"/>
      <c r="T7" s="1"/>
      <c r="U7" s="1"/>
      <c r="V7" s="1"/>
      <c r="W7" s="1"/>
      <c r="X7" s="1"/>
      <c r="Y7" s="1"/>
      <c r="Z7" s="1"/>
    </row>
    <row r="8" spans="1:26" x14ac:dyDescent="0.25">
      <c r="A8" s="1"/>
      <c r="B8" s="16" t="s">
        <v>22</v>
      </c>
      <c r="C8" s="19">
        <f>Tanzania!F24</f>
        <v>121500</v>
      </c>
      <c r="D8" s="1"/>
      <c r="E8" s="22">
        <f t="shared" si="0"/>
        <v>133650</v>
      </c>
      <c r="F8" s="33">
        <f t="shared" si="1"/>
        <v>182563.90457643624</v>
      </c>
      <c r="G8" s="1"/>
      <c r="H8" s="1"/>
      <c r="I8" s="1"/>
      <c r="J8" s="1"/>
      <c r="K8" s="1"/>
      <c r="L8" s="1"/>
      <c r="M8" s="1"/>
      <c r="N8" s="1"/>
      <c r="O8" s="1"/>
      <c r="P8" s="1"/>
      <c r="Q8" s="1"/>
      <c r="R8" s="1"/>
      <c r="S8" s="1"/>
      <c r="T8" s="1"/>
      <c r="U8" s="1"/>
      <c r="V8" s="1"/>
      <c r="W8" s="1"/>
      <c r="X8" s="1"/>
      <c r="Y8" s="1"/>
      <c r="Z8" s="1"/>
    </row>
    <row r="9" spans="1:26" x14ac:dyDescent="0.25">
      <c r="A9" s="1"/>
      <c r="B9" s="16"/>
      <c r="C9" s="19"/>
      <c r="D9" s="1"/>
      <c r="E9" s="22"/>
      <c r="F9" s="1"/>
      <c r="G9" s="1"/>
      <c r="H9" s="1"/>
      <c r="I9" s="1"/>
      <c r="J9" s="1"/>
      <c r="K9" s="1"/>
      <c r="L9" s="1"/>
      <c r="M9" s="1"/>
      <c r="N9" s="1"/>
      <c r="O9" s="1"/>
      <c r="P9" s="1"/>
      <c r="Q9" s="1"/>
      <c r="R9" s="1"/>
      <c r="S9" s="1"/>
      <c r="T9" s="1"/>
      <c r="U9" s="1"/>
      <c r="V9" s="1"/>
      <c r="W9" s="1"/>
      <c r="X9" s="1"/>
      <c r="Y9" s="1"/>
      <c r="Z9" s="1"/>
    </row>
    <row r="10" spans="1:26" x14ac:dyDescent="0.25">
      <c r="A10" s="1"/>
      <c r="B10" s="16" t="s">
        <v>23</v>
      </c>
      <c r="C10" s="19">
        <f>SUM(C5:C8)</f>
        <v>841720</v>
      </c>
      <c r="D10" s="1"/>
      <c r="E10" s="50" t="s">
        <v>16</v>
      </c>
      <c r="F10" s="24" t="s">
        <v>16</v>
      </c>
      <c r="G10" s="1"/>
      <c r="H10" s="1"/>
      <c r="I10" s="1"/>
      <c r="J10" s="1"/>
      <c r="K10" s="1"/>
      <c r="L10" s="1"/>
      <c r="M10" s="1"/>
      <c r="N10" s="1"/>
      <c r="O10" s="1"/>
      <c r="P10" s="1"/>
      <c r="Q10" s="1"/>
      <c r="R10" s="1"/>
      <c r="S10" s="1"/>
      <c r="T10" s="1"/>
      <c r="U10" s="1"/>
      <c r="V10" s="1"/>
      <c r="W10" s="1"/>
      <c r="X10" s="1"/>
      <c r="Y10" s="1"/>
      <c r="Z10" s="1"/>
    </row>
    <row r="11" spans="1:26" x14ac:dyDescent="0.25">
      <c r="A11" s="1"/>
      <c r="B11" s="16" t="s">
        <v>27</v>
      </c>
      <c r="C11" s="19">
        <f>C10*0.1</f>
        <v>84172</v>
      </c>
      <c r="D11" s="31"/>
      <c r="E11" s="50" t="s">
        <v>16</v>
      </c>
      <c r="F11" s="52" t="s">
        <v>16</v>
      </c>
      <c r="G11" s="1"/>
      <c r="H11" s="1"/>
      <c r="I11" s="1"/>
      <c r="J11" s="1"/>
      <c r="K11" s="1"/>
      <c r="L11" s="1"/>
      <c r="M11" s="1"/>
      <c r="N11" s="1"/>
      <c r="O11" s="1"/>
      <c r="P11" s="1"/>
      <c r="Q11" s="1"/>
      <c r="R11" s="1"/>
      <c r="S11" s="1"/>
      <c r="T11" s="1"/>
      <c r="U11" s="1"/>
      <c r="V11" s="1"/>
      <c r="W11" s="1"/>
      <c r="X11" s="1"/>
      <c r="Y11" s="1"/>
      <c r="Z11" s="1"/>
    </row>
    <row r="12" spans="1:26" x14ac:dyDescent="0.25">
      <c r="A12" s="1"/>
      <c r="B12" s="53"/>
      <c r="C12" s="55"/>
      <c r="D12" s="1"/>
      <c r="E12" s="22"/>
      <c r="F12" s="1"/>
      <c r="G12" s="1"/>
      <c r="H12" s="1"/>
      <c r="I12" s="1"/>
      <c r="J12" s="1"/>
      <c r="K12" s="1"/>
      <c r="L12" s="1"/>
      <c r="M12" s="1"/>
      <c r="N12" s="1"/>
      <c r="O12" s="1"/>
      <c r="P12" s="1"/>
      <c r="Q12" s="1"/>
      <c r="R12" s="1"/>
      <c r="S12" s="1"/>
      <c r="T12" s="1"/>
      <c r="U12" s="1"/>
      <c r="V12" s="1"/>
      <c r="W12" s="1"/>
      <c r="X12" s="1"/>
      <c r="Y12" s="1"/>
      <c r="Z12" s="1"/>
    </row>
    <row r="13" spans="1:26" x14ac:dyDescent="0.25">
      <c r="A13" s="1"/>
      <c r="B13" s="57" t="s">
        <v>36</v>
      </c>
      <c r="C13" s="60">
        <f>SUM(C10:C11)</f>
        <v>925892</v>
      </c>
      <c r="D13" s="1"/>
      <c r="E13" s="22">
        <f t="shared" ref="E13:F13" si="2">SUM(E5:E12)</f>
        <v>925892.00000000012</v>
      </c>
      <c r="F13" s="22">
        <f t="shared" si="2"/>
        <v>925892.00000000012</v>
      </c>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D6"/>
  <sheetViews>
    <sheetView workbookViewId="0"/>
  </sheetViews>
  <sheetFormatPr defaultColWidth="14.42578125" defaultRowHeight="15.75" customHeight="1" x14ac:dyDescent="0.2"/>
  <sheetData>
    <row r="2" spans="2:4" ht="15.75" customHeight="1" x14ac:dyDescent="0.2">
      <c r="B2" s="2" t="s">
        <v>1</v>
      </c>
      <c r="C2" s="3">
        <f>'Budget summary'!F6</f>
        <v>512531.25803310622</v>
      </c>
    </row>
    <row r="4" spans="2:4" ht="15.75" customHeight="1" x14ac:dyDescent="0.2">
      <c r="B4" s="2" t="s">
        <v>5</v>
      </c>
      <c r="C4" s="5">
        <v>33000</v>
      </c>
      <c r="D4" s="7" t="s">
        <v>6</v>
      </c>
    </row>
    <row r="6" spans="2:4" ht="15.75" customHeight="1" x14ac:dyDescent="0.2">
      <c r="B6" s="2" t="s">
        <v>8</v>
      </c>
      <c r="C6" s="9">
        <f>C2/C4</f>
        <v>15.531250243427461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I1000"/>
  <sheetViews>
    <sheetView workbookViewId="0"/>
  </sheetViews>
  <sheetFormatPr defaultColWidth="14.42578125" defaultRowHeight="15.75" customHeight="1" x14ac:dyDescent="0.2"/>
  <cols>
    <col min="1" max="1" width="4.28515625" customWidth="1"/>
    <col min="2" max="2" width="39.7109375" customWidth="1"/>
    <col min="3" max="9" width="14.42578125" customWidth="1"/>
  </cols>
  <sheetData>
    <row r="2" spans="1:9" ht="15.75" customHeight="1" x14ac:dyDescent="0.2">
      <c r="B2" s="111" t="s">
        <v>0</v>
      </c>
      <c r="C2" s="113" t="s">
        <v>3</v>
      </c>
      <c r="D2" s="114"/>
      <c r="E2" s="114"/>
      <c r="F2" s="108"/>
    </row>
    <row r="3" spans="1:9" ht="15.75" customHeight="1" x14ac:dyDescent="0.2">
      <c r="B3" s="112"/>
      <c r="C3" s="109"/>
      <c r="D3" s="115"/>
      <c r="E3" s="115"/>
      <c r="F3" s="110"/>
    </row>
    <row r="4" spans="1:9" x14ac:dyDescent="0.25">
      <c r="A4" s="4"/>
      <c r="B4" s="8"/>
      <c r="C4" s="10" t="s">
        <v>9</v>
      </c>
      <c r="D4" s="13" t="s">
        <v>10</v>
      </c>
      <c r="E4" s="13" t="s">
        <v>12</v>
      </c>
      <c r="F4" s="15" t="s">
        <v>13</v>
      </c>
    </row>
    <row r="5" spans="1:9" x14ac:dyDescent="0.25">
      <c r="A5" s="17"/>
      <c r="B5" s="18" t="s">
        <v>15</v>
      </c>
      <c r="C5" s="20"/>
      <c r="D5" s="21"/>
      <c r="E5" s="21"/>
      <c r="F5" s="23"/>
    </row>
    <row r="6" spans="1:9" x14ac:dyDescent="0.25">
      <c r="A6" s="17"/>
      <c r="B6" s="25"/>
      <c r="C6" s="26"/>
      <c r="D6" s="27"/>
      <c r="E6" s="27"/>
      <c r="F6" s="28"/>
    </row>
    <row r="7" spans="1:9" x14ac:dyDescent="0.25">
      <c r="A7" s="17"/>
      <c r="B7" s="18" t="s">
        <v>18</v>
      </c>
      <c r="C7" s="20"/>
      <c r="D7" s="21"/>
      <c r="E7" s="21"/>
      <c r="F7" s="30"/>
    </row>
    <row r="8" spans="1:9" x14ac:dyDescent="0.25">
      <c r="A8" s="17"/>
      <c r="B8" s="32" t="s">
        <v>19</v>
      </c>
      <c r="C8" s="34">
        <f>500/2</f>
        <v>250</v>
      </c>
      <c r="D8" s="36" t="s">
        <v>21</v>
      </c>
      <c r="E8" s="36">
        <v>12</v>
      </c>
      <c r="F8" s="38">
        <f>C8*E8</f>
        <v>3000</v>
      </c>
    </row>
    <row r="9" spans="1:9" x14ac:dyDescent="0.25">
      <c r="B9" s="32"/>
      <c r="C9" s="34"/>
      <c r="D9" s="40"/>
      <c r="E9" s="40"/>
      <c r="F9" s="42">
        <f>F8</f>
        <v>3000</v>
      </c>
    </row>
    <row r="10" spans="1:9" x14ac:dyDescent="0.25">
      <c r="A10" s="4"/>
      <c r="B10" s="44" t="s">
        <v>25</v>
      </c>
      <c r="C10" s="46"/>
      <c r="D10" s="48"/>
      <c r="E10" s="48"/>
      <c r="F10" s="49"/>
    </row>
    <row r="11" spans="1:9" x14ac:dyDescent="0.25">
      <c r="A11" s="17"/>
      <c r="B11" s="32" t="s">
        <v>26</v>
      </c>
      <c r="C11" s="34">
        <f>65000/12</f>
        <v>5416.666666666667</v>
      </c>
      <c r="D11" s="36" t="s">
        <v>21</v>
      </c>
      <c r="E11" s="36">
        <v>12</v>
      </c>
      <c r="F11" s="42">
        <f t="shared" ref="F11:F16" si="0">C11*E11</f>
        <v>65000</v>
      </c>
    </row>
    <row r="12" spans="1:9" x14ac:dyDescent="0.25">
      <c r="A12" s="17"/>
      <c r="B12" s="32" t="s">
        <v>28</v>
      </c>
      <c r="C12" s="34">
        <f>(72000/12)*0.25</f>
        <v>1500</v>
      </c>
      <c r="D12" s="36" t="s">
        <v>21</v>
      </c>
      <c r="E12" s="36">
        <v>12</v>
      </c>
      <c r="F12" s="42">
        <f t="shared" si="0"/>
        <v>18000</v>
      </c>
    </row>
    <row r="13" spans="1:9" x14ac:dyDescent="0.25">
      <c r="A13" s="17"/>
      <c r="B13" s="32" t="s">
        <v>31</v>
      </c>
      <c r="C13" s="34">
        <f>(98000/12)*0.5</f>
        <v>4083.3333333333335</v>
      </c>
      <c r="D13" s="36" t="s">
        <v>21</v>
      </c>
      <c r="E13" s="36">
        <v>12</v>
      </c>
      <c r="F13" s="42">
        <f t="shared" si="0"/>
        <v>49000</v>
      </c>
    </row>
    <row r="14" spans="1:9" x14ac:dyDescent="0.25">
      <c r="A14" s="17"/>
      <c r="B14" s="32" t="s">
        <v>34</v>
      </c>
      <c r="C14" s="34">
        <f>(67500/12)*0.2</f>
        <v>1125</v>
      </c>
      <c r="D14" s="36" t="s">
        <v>21</v>
      </c>
      <c r="E14" s="36">
        <v>12</v>
      </c>
      <c r="F14" s="42">
        <f t="shared" si="0"/>
        <v>13500</v>
      </c>
      <c r="G14" s="58"/>
      <c r="H14" s="58"/>
      <c r="I14" s="58"/>
    </row>
    <row r="15" spans="1:9" x14ac:dyDescent="0.25">
      <c r="B15" s="32" t="s">
        <v>37</v>
      </c>
      <c r="C15" s="34">
        <f>18*20*4</f>
        <v>1440</v>
      </c>
      <c r="D15" s="36" t="s">
        <v>21</v>
      </c>
      <c r="E15" s="36">
        <v>12</v>
      </c>
      <c r="F15" s="42">
        <f t="shared" si="0"/>
        <v>17280</v>
      </c>
      <c r="G15" s="62"/>
      <c r="H15" s="62"/>
    </row>
    <row r="16" spans="1:9" x14ac:dyDescent="0.25">
      <c r="A16" s="4"/>
      <c r="B16" s="32" t="s">
        <v>43</v>
      </c>
      <c r="C16" s="34">
        <v>5000</v>
      </c>
      <c r="D16" s="36" t="s">
        <v>44</v>
      </c>
      <c r="E16" s="36">
        <v>2</v>
      </c>
      <c r="F16" s="63">
        <f t="shared" si="0"/>
        <v>10000</v>
      </c>
      <c r="H16" s="58"/>
      <c r="I16" s="58"/>
    </row>
    <row r="17" spans="1:6" x14ac:dyDescent="0.25">
      <c r="A17" s="4"/>
      <c r="B17" s="32"/>
      <c r="C17" s="34"/>
      <c r="D17" s="36"/>
      <c r="E17" s="36"/>
      <c r="F17" s="42">
        <f>SUM(F11:F16)</f>
        <v>172780</v>
      </c>
    </row>
    <row r="18" spans="1:6" x14ac:dyDescent="0.25">
      <c r="B18" s="32" t="s">
        <v>45</v>
      </c>
      <c r="C18" s="66">
        <v>0.28000000000000003</v>
      </c>
      <c r="D18" s="36"/>
      <c r="E18" s="36"/>
      <c r="F18" s="38">
        <f>(F11+F12+F13+F14)*C18</f>
        <v>40740.000000000007</v>
      </c>
    </row>
    <row r="19" spans="1:6" x14ac:dyDescent="0.25">
      <c r="B19" s="32"/>
      <c r="C19" s="69"/>
      <c r="D19" s="36"/>
      <c r="E19" s="36"/>
      <c r="F19" s="42">
        <f>F17+F18</f>
        <v>213520</v>
      </c>
    </row>
    <row r="20" spans="1:6" x14ac:dyDescent="0.25">
      <c r="B20" s="64" t="s">
        <v>47</v>
      </c>
      <c r="C20" s="70"/>
      <c r="D20" s="67"/>
      <c r="E20" s="67"/>
      <c r="F20" s="68"/>
    </row>
    <row r="21" spans="1:6" x14ac:dyDescent="0.25">
      <c r="B21" s="32" t="s">
        <v>49</v>
      </c>
      <c r="C21" s="34">
        <v>3000</v>
      </c>
      <c r="D21" s="36" t="s">
        <v>50</v>
      </c>
      <c r="E21" s="36">
        <v>3</v>
      </c>
      <c r="F21" s="38">
        <f>C21*E21</f>
        <v>9000</v>
      </c>
    </row>
    <row r="22" spans="1:6" x14ac:dyDescent="0.25">
      <c r="B22" s="32"/>
      <c r="C22" s="69"/>
      <c r="D22" s="36"/>
      <c r="E22" s="36"/>
      <c r="F22" s="42">
        <f>F21</f>
        <v>9000</v>
      </c>
    </row>
    <row r="23" spans="1:6" x14ac:dyDescent="0.25">
      <c r="B23" s="71" t="s">
        <v>52</v>
      </c>
      <c r="C23" s="72"/>
      <c r="D23" s="48"/>
      <c r="E23" s="48"/>
      <c r="F23" s="49"/>
    </row>
    <row r="24" spans="1:6" x14ac:dyDescent="0.25">
      <c r="B24" s="53"/>
      <c r="C24" s="34"/>
      <c r="D24" s="36"/>
      <c r="E24" s="36"/>
      <c r="F24" s="42"/>
    </row>
    <row r="25" spans="1:6" x14ac:dyDescent="0.25">
      <c r="B25" s="71" t="s">
        <v>55</v>
      </c>
      <c r="C25" s="72"/>
      <c r="D25" s="48"/>
      <c r="E25" s="48"/>
      <c r="F25" s="49"/>
    </row>
    <row r="26" spans="1:6" x14ac:dyDescent="0.25">
      <c r="B26" s="53" t="s">
        <v>56</v>
      </c>
      <c r="C26" s="69"/>
      <c r="D26" s="36"/>
      <c r="E26" s="36"/>
      <c r="F26" s="42">
        <f>SUM(F9+F19+F22)</f>
        <v>225520</v>
      </c>
    </row>
    <row r="27" spans="1:6" x14ac:dyDescent="0.25">
      <c r="B27" s="53" t="s">
        <v>58</v>
      </c>
      <c r="C27" s="66">
        <v>0.1</v>
      </c>
      <c r="D27" s="36"/>
      <c r="E27" s="36"/>
      <c r="F27" s="73">
        <f>F26*C27</f>
        <v>22552</v>
      </c>
    </row>
    <row r="28" spans="1:6" x14ac:dyDescent="0.25">
      <c r="B28" s="53"/>
      <c r="C28" s="69"/>
      <c r="D28" s="36"/>
      <c r="E28" s="36"/>
      <c r="F28" s="42"/>
    </row>
    <row r="29" spans="1:6" x14ac:dyDescent="0.25">
      <c r="B29" s="75" t="s">
        <v>59</v>
      </c>
      <c r="C29" s="76"/>
      <c r="D29" s="77"/>
      <c r="E29" s="77"/>
      <c r="F29" s="78">
        <f>SUM(F26:F27)</f>
        <v>248072</v>
      </c>
    </row>
    <row r="30" spans="1:6" ht="12.75" x14ac:dyDescent="0.2"/>
    <row r="31" spans="1:6" ht="12.75" x14ac:dyDescent="0.2"/>
    <row r="32" spans="1:6"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mergeCells count="2">
    <mergeCell ref="B2:B3"/>
    <mergeCell ref="C2: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3"/>
  <sheetViews>
    <sheetView workbookViewId="0"/>
  </sheetViews>
  <sheetFormatPr defaultColWidth="14.42578125" defaultRowHeight="15.75" customHeight="1" x14ac:dyDescent="0.2"/>
  <cols>
    <col min="1" max="1" width="4" customWidth="1"/>
    <col min="2" max="2" width="44.140625" customWidth="1"/>
    <col min="3" max="6" width="13.85546875" customWidth="1"/>
    <col min="7" max="7" width="122" customWidth="1"/>
    <col min="8" max="8" width="13.85546875" customWidth="1"/>
    <col min="9" max="17" width="13.42578125" customWidth="1"/>
  </cols>
  <sheetData>
    <row r="1" spans="1:17" x14ac:dyDescent="0.25">
      <c r="A1" s="1"/>
      <c r="B1" s="1"/>
      <c r="C1" s="1"/>
      <c r="D1" s="1"/>
      <c r="E1" s="1"/>
      <c r="F1" s="1"/>
      <c r="G1" s="1"/>
      <c r="H1" s="1"/>
      <c r="I1" s="1"/>
      <c r="J1" s="1"/>
      <c r="K1" s="1"/>
      <c r="L1" s="1"/>
      <c r="M1" s="1"/>
      <c r="N1" s="1"/>
      <c r="O1" s="1"/>
      <c r="P1" s="1"/>
      <c r="Q1" s="1"/>
    </row>
    <row r="2" spans="1:17" x14ac:dyDescent="0.25">
      <c r="A2" s="1"/>
      <c r="B2" s="111" t="s">
        <v>17</v>
      </c>
      <c r="C2" s="113" t="s">
        <v>3</v>
      </c>
      <c r="D2" s="114"/>
      <c r="E2" s="114"/>
      <c r="F2" s="116"/>
      <c r="G2" s="35"/>
      <c r="H2" s="1"/>
      <c r="I2" s="1"/>
      <c r="J2" s="1"/>
      <c r="K2" s="1"/>
      <c r="L2" s="1"/>
      <c r="M2" s="1"/>
      <c r="N2" s="1"/>
      <c r="O2" s="1"/>
      <c r="P2" s="1"/>
      <c r="Q2" s="1"/>
    </row>
    <row r="3" spans="1:17" x14ac:dyDescent="0.25">
      <c r="A3" s="1"/>
      <c r="B3" s="112"/>
      <c r="C3" s="109"/>
      <c r="D3" s="115"/>
      <c r="E3" s="115"/>
      <c r="F3" s="117"/>
      <c r="G3" s="37"/>
      <c r="H3" s="1"/>
      <c r="I3" s="1"/>
      <c r="J3" s="1"/>
      <c r="K3" s="1"/>
      <c r="L3" s="1"/>
      <c r="M3" s="1"/>
      <c r="N3" s="1"/>
      <c r="O3" s="1"/>
      <c r="P3" s="1"/>
      <c r="Q3" s="1"/>
    </row>
    <row r="4" spans="1:17" x14ac:dyDescent="0.25">
      <c r="A4" s="1"/>
      <c r="B4" s="8"/>
      <c r="C4" s="39" t="s">
        <v>9</v>
      </c>
      <c r="D4" s="13" t="s">
        <v>10</v>
      </c>
      <c r="E4" s="13" t="s">
        <v>12</v>
      </c>
      <c r="F4" s="15" t="s">
        <v>13</v>
      </c>
      <c r="G4" s="15" t="s">
        <v>24</v>
      </c>
      <c r="H4" s="1"/>
      <c r="I4" s="1"/>
      <c r="J4" s="1"/>
      <c r="K4" s="1"/>
      <c r="L4" s="1"/>
      <c r="M4" s="1"/>
      <c r="N4" s="1"/>
      <c r="O4" s="1"/>
      <c r="P4" s="1"/>
      <c r="Q4" s="1"/>
    </row>
    <row r="5" spans="1:17" x14ac:dyDescent="0.25">
      <c r="A5" s="1"/>
      <c r="B5" s="41" t="s">
        <v>15</v>
      </c>
      <c r="C5" s="43"/>
      <c r="D5" s="45"/>
      <c r="E5" s="45"/>
      <c r="F5" s="47"/>
      <c r="G5" s="51"/>
      <c r="H5" s="1"/>
      <c r="I5" s="1"/>
      <c r="J5" s="1"/>
      <c r="K5" s="1"/>
      <c r="L5" s="1"/>
      <c r="M5" s="1"/>
      <c r="N5" s="1"/>
      <c r="O5" s="1"/>
      <c r="P5" s="1"/>
      <c r="Q5" s="1"/>
    </row>
    <row r="6" spans="1:17" x14ac:dyDescent="0.25">
      <c r="A6" s="1"/>
      <c r="B6" s="25" t="s">
        <v>29</v>
      </c>
      <c r="C6" s="26">
        <v>15000</v>
      </c>
      <c r="D6" s="27" t="s">
        <v>30</v>
      </c>
      <c r="E6" s="27">
        <v>1</v>
      </c>
      <c r="F6" s="28">
        <f t="shared" ref="F6:F7" si="0">C6*E6</f>
        <v>15000</v>
      </c>
      <c r="G6" s="51"/>
      <c r="H6" s="1"/>
      <c r="I6" s="1"/>
      <c r="J6" s="1"/>
      <c r="K6" s="1"/>
      <c r="L6" s="1"/>
      <c r="M6" s="1"/>
      <c r="N6" s="1"/>
      <c r="O6" s="1"/>
      <c r="P6" s="1"/>
      <c r="Q6" s="1"/>
    </row>
    <row r="7" spans="1:17" x14ac:dyDescent="0.25">
      <c r="A7" s="1"/>
      <c r="B7" s="25" t="s">
        <v>32</v>
      </c>
      <c r="C7" s="26">
        <v>150</v>
      </c>
      <c r="D7" s="27" t="s">
        <v>33</v>
      </c>
      <c r="E7" s="27">
        <f>10*(9*4)</f>
        <v>360</v>
      </c>
      <c r="F7" s="54">
        <f t="shared" si="0"/>
        <v>54000</v>
      </c>
      <c r="G7" s="56" t="s">
        <v>35</v>
      </c>
      <c r="H7" s="1"/>
      <c r="I7" s="1"/>
      <c r="J7" s="1"/>
      <c r="K7" s="1"/>
      <c r="L7" s="1"/>
      <c r="M7" s="1"/>
      <c r="N7" s="1"/>
      <c r="O7" s="1"/>
      <c r="P7" s="1"/>
      <c r="Q7" s="1"/>
    </row>
    <row r="8" spans="1:17" x14ac:dyDescent="0.25">
      <c r="A8" s="1"/>
      <c r="B8" s="25"/>
      <c r="C8" s="26"/>
      <c r="D8" s="27"/>
      <c r="E8" s="27"/>
      <c r="F8" s="28">
        <f>SUM(F6:F7)</f>
        <v>69000</v>
      </c>
      <c r="G8" s="51"/>
      <c r="H8" s="1"/>
      <c r="I8" s="1"/>
      <c r="J8" s="1"/>
      <c r="K8" s="1"/>
      <c r="L8" s="1"/>
      <c r="M8" s="1"/>
      <c r="N8" s="1"/>
      <c r="O8" s="1"/>
      <c r="P8" s="1"/>
      <c r="Q8" s="1"/>
    </row>
    <row r="9" spans="1:17" x14ac:dyDescent="0.25">
      <c r="A9" s="1"/>
      <c r="B9" s="41" t="s">
        <v>18</v>
      </c>
      <c r="C9" s="43"/>
      <c r="D9" s="45"/>
      <c r="E9" s="45"/>
      <c r="F9" s="59"/>
      <c r="G9" s="51"/>
      <c r="H9" s="1"/>
      <c r="I9" s="1"/>
      <c r="J9" s="1"/>
      <c r="K9" s="1"/>
      <c r="L9" s="1"/>
      <c r="M9" s="1"/>
      <c r="N9" s="1"/>
      <c r="O9" s="1"/>
      <c r="P9" s="1"/>
      <c r="Q9" s="1"/>
    </row>
    <row r="10" spans="1:17" x14ac:dyDescent="0.25">
      <c r="A10" s="1"/>
      <c r="B10" s="32" t="s">
        <v>38</v>
      </c>
      <c r="C10" s="34">
        <v>9000</v>
      </c>
      <c r="D10" s="36" t="s">
        <v>21</v>
      </c>
      <c r="E10" s="36">
        <v>9</v>
      </c>
      <c r="F10" s="42">
        <f t="shared" ref="F10:F11" si="1">C10*E10</f>
        <v>81000</v>
      </c>
      <c r="G10" s="61" t="s">
        <v>39</v>
      </c>
      <c r="H10" s="1"/>
      <c r="I10" s="1"/>
      <c r="J10" s="1"/>
      <c r="K10" s="1"/>
      <c r="L10" s="1"/>
      <c r="M10" s="1"/>
      <c r="N10" s="1"/>
      <c r="O10" s="1"/>
      <c r="P10" s="1"/>
      <c r="Q10" s="1"/>
    </row>
    <row r="11" spans="1:17" x14ac:dyDescent="0.25">
      <c r="A11" s="1"/>
      <c r="B11" s="32" t="s">
        <v>40</v>
      </c>
      <c r="C11" s="34">
        <v>12000</v>
      </c>
      <c r="D11" s="40" t="s">
        <v>41</v>
      </c>
      <c r="E11" s="40">
        <v>1</v>
      </c>
      <c r="F11" s="38">
        <f t="shared" si="1"/>
        <v>12000</v>
      </c>
      <c r="G11" s="55" t="s">
        <v>42</v>
      </c>
      <c r="H11" s="1"/>
      <c r="I11" s="1"/>
      <c r="J11" s="1"/>
      <c r="K11" s="1"/>
      <c r="L11" s="1"/>
      <c r="M11" s="1"/>
      <c r="N11" s="1"/>
      <c r="O11" s="1"/>
      <c r="P11" s="1"/>
      <c r="Q11" s="1"/>
    </row>
    <row r="12" spans="1:17" x14ac:dyDescent="0.25">
      <c r="A12" s="1"/>
      <c r="B12" s="32"/>
      <c r="C12" s="34"/>
      <c r="D12" s="40"/>
      <c r="E12" s="40"/>
      <c r="F12" s="42">
        <f>SUM(F10:F11)</f>
        <v>93000</v>
      </c>
      <c r="G12" s="51"/>
      <c r="H12" s="1"/>
      <c r="I12" s="1"/>
      <c r="J12" s="1"/>
      <c r="K12" s="1"/>
      <c r="L12" s="1"/>
      <c r="M12" s="1"/>
      <c r="N12" s="1"/>
      <c r="O12" s="1"/>
      <c r="P12" s="1"/>
      <c r="Q12" s="1"/>
    </row>
    <row r="13" spans="1:17" x14ac:dyDescent="0.25">
      <c r="A13" s="1"/>
      <c r="B13" s="64" t="s">
        <v>25</v>
      </c>
      <c r="C13" s="65"/>
      <c r="D13" s="67"/>
      <c r="E13" s="67"/>
      <c r="F13" s="68"/>
      <c r="G13" s="51"/>
      <c r="H13" s="1"/>
      <c r="I13" s="1"/>
      <c r="J13" s="1"/>
      <c r="K13" s="1"/>
      <c r="L13" s="1"/>
      <c r="M13" s="1"/>
      <c r="N13" s="1"/>
      <c r="O13" s="1"/>
      <c r="P13" s="1"/>
      <c r="Q13" s="1"/>
    </row>
    <row r="14" spans="1:17" x14ac:dyDescent="0.25">
      <c r="A14" s="1"/>
      <c r="B14" s="32" t="s">
        <v>46</v>
      </c>
      <c r="C14" s="34">
        <f>50000/12</f>
        <v>4166.666666666667</v>
      </c>
      <c r="D14" s="36" t="s">
        <v>21</v>
      </c>
      <c r="E14" s="36">
        <v>12</v>
      </c>
      <c r="F14" s="42">
        <f t="shared" ref="F14:F19" si="2">C14*E14</f>
        <v>50000</v>
      </c>
      <c r="G14" s="51"/>
      <c r="H14" s="1"/>
      <c r="I14" s="1"/>
      <c r="J14" s="1"/>
      <c r="K14" s="1"/>
      <c r="L14" s="1"/>
      <c r="M14" s="1"/>
      <c r="N14" s="1"/>
      <c r="O14" s="1"/>
      <c r="P14" s="1"/>
      <c r="Q14" s="1"/>
    </row>
    <row r="15" spans="1:17" x14ac:dyDescent="0.25">
      <c r="A15" s="1"/>
      <c r="B15" s="32" t="s">
        <v>48</v>
      </c>
      <c r="C15" s="34">
        <f>41000/12</f>
        <v>3416.6666666666665</v>
      </c>
      <c r="D15" s="36" t="s">
        <v>21</v>
      </c>
      <c r="E15" s="36">
        <v>12</v>
      </c>
      <c r="F15" s="42">
        <f t="shared" si="2"/>
        <v>41000</v>
      </c>
      <c r="G15" s="51"/>
      <c r="H15" s="1"/>
      <c r="I15" s="1"/>
      <c r="J15" s="1"/>
      <c r="K15" s="1"/>
      <c r="L15" s="1"/>
      <c r="M15" s="1"/>
      <c r="N15" s="1"/>
      <c r="O15" s="1"/>
      <c r="P15" s="1"/>
      <c r="Q15" s="1"/>
    </row>
    <row r="16" spans="1:17" x14ac:dyDescent="0.25">
      <c r="A16" s="1"/>
      <c r="B16" s="32" t="s">
        <v>51</v>
      </c>
      <c r="C16" s="34">
        <f>20000/12</f>
        <v>1666.6666666666667</v>
      </c>
      <c r="D16" s="36" t="s">
        <v>21</v>
      </c>
      <c r="E16" s="36">
        <v>12</v>
      </c>
      <c r="F16" s="42">
        <f t="shared" si="2"/>
        <v>20000</v>
      </c>
      <c r="G16" s="51"/>
      <c r="H16" s="1"/>
      <c r="I16" s="1"/>
      <c r="J16" s="1"/>
      <c r="K16" s="1"/>
      <c r="L16" s="1"/>
      <c r="M16" s="1"/>
      <c r="N16" s="1"/>
      <c r="O16" s="1"/>
      <c r="P16" s="1"/>
      <c r="Q16" s="1"/>
    </row>
    <row r="17" spans="1:17" x14ac:dyDescent="0.25">
      <c r="A17" s="1"/>
      <c r="B17" s="32" t="s">
        <v>53</v>
      </c>
      <c r="C17" s="34">
        <f>(60000/12)*0.1</f>
        <v>500</v>
      </c>
      <c r="D17" s="36" t="s">
        <v>21</v>
      </c>
      <c r="E17" s="36">
        <v>12</v>
      </c>
      <c r="F17" s="42">
        <f t="shared" si="2"/>
        <v>6000</v>
      </c>
      <c r="G17" s="51"/>
      <c r="H17" s="1"/>
      <c r="I17" s="1"/>
      <c r="J17" s="1"/>
      <c r="K17" s="1"/>
      <c r="L17" s="1"/>
      <c r="M17" s="1"/>
      <c r="N17" s="1"/>
      <c r="O17" s="1"/>
      <c r="P17" s="1"/>
      <c r="Q17" s="1"/>
    </row>
    <row r="18" spans="1:17" x14ac:dyDescent="0.25">
      <c r="A18" s="1"/>
      <c r="B18" s="32" t="s">
        <v>54</v>
      </c>
      <c r="C18" s="34">
        <f>(60000/12)*0.3</f>
        <v>1500</v>
      </c>
      <c r="D18" s="36" t="s">
        <v>21</v>
      </c>
      <c r="E18" s="36">
        <v>12</v>
      </c>
      <c r="F18" s="42">
        <f t="shared" si="2"/>
        <v>18000</v>
      </c>
      <c r="G18" s="51"/>
      <c r="H18" s="1"/>
      <c r="I18" s="1"/>
      <c r="J18" s="1"/>
      <c r="K18" s="1"/>
      <c r="L18" s="1"/>
      <c r="M18" s="1"/>
      <c r="N18" s="1"/>
      <c r="O18" s="1"/>
      <c r="P18" s="1"/>
      <c r="Q18" s="1"/>
    </row>
    <row r="19" spans="1:17" x14ac:dyDescent="0.25">
      <c r="A19" s="1"/>
      <c r="B19" s="32" t="s">
        <v>57</v>
      </c>
      <c r="C19" s="34">
        <f>(30000/12)*0.3</f>
        <v>750</v>
      </c>
      <c r="D19" s="36" t="s">
        <v>21</v>
      </c>
      <c r="E19" s="36">
        <v>12</v>
      </c>
      <c r="F19" s="63">
        <f t="shared" si="2"/>
        <v>9000</v>
      </c>
      <c r="G19" s="51"/>
      <c r="H19" s="1"/>
      <c r="I19" s="1"/>
      <c r="J19" s="1"/>
      <c r="K19" s="1"/>
      <c r="L19" s="1"/>
      <c r="M19" s="1"/>
      <c r="N19" s="1"/>
      <c r="O19" s="1"/>
      <c r="P19" s="1"/>
      <c r="Q19" s="1"/>
    </row>
    <row r="20" spans="1:17" x14ac:dyDescent="0.25">
      <c r="A20" s="1"/>
      <c r="B20" s="32"/>
      <c r="C20" s="74"/>
      <c r="D20" s="36"/>
      <c r="E20" s="36"/>
      <c r="F20" s="42">
        <f>SUM(F14:F19)</f>
        <v>144000</v>
      </c>
      <c r="G20" s="51"/>
      <c r="H20" s="1"/>
      <c r="I20" s="1"/>
      <c r="J20" s="1"/>
      <c r="K20" s="1"/>
      <c r="L20" s="1"/>
      <c r="M20" s="1"/>
      <c r="N20" s="1"/>
      <c r="O20" s="1"/>
      <c r="P20" s="1"/>
      <c r="Q20" s="1"/>
    </row>
    <row r="21" spans="1:17" x14ac:dyDescent="0.25">
      <c r="A21" s="1"/>
      <c r="B21" s="32" t="s">
        <v>60</v>
      </c>
      <c r="C21" s="66">
        <v>0.15</v>
      </c>
      <c r="D21" s="36"/>
      <c r="E21" s="36"/>
      <c r="F21" s="38">
        <f>F20*C21</f>
        <v>21600</v>
      </c>
      <c r="G21" s="51"/>
      <c r="H21" s="1"/>
      <c r="I21" s="1"/>
      <c r="J21" s="1"/>
      <c r="K21" s="1"/>
      <c r="L21" s="1"/>
      <c r="M21" s="1"/>
      <c r="N21" s="1"/>
      <c r="O21" s="1"/>
      <c r="P21" s="1"/>
      <c r="Q21" s="1"/>
    </row>
    <row r="22" spans="1:17" x14ac:dyDescent="0.25">
      <c r="A22" s="1"/>
      <c r="B22" s="32"/>
      <c r="C22" s="69"/>
      <c r="D22" s="36"/>
      <c r="E22" s="36"/>
      <c r="F22" s="42">
        <f>SUM(F20+F21)</f>
        <v>165600</v>
      </c>
      <c r="G22" s="51"/>
      <c r="H22" s="1"/>
      <c r="I22" s="1"/>
      <c r="J22" s="1"/>
      <c r="K22" s="1"/>
      <c r="L22" s="1"/>
      <c r="M22" s="1"/>
      <c r="N22" s="1"/>
      <c r="O22" s="1"/>
      <c r="P22" s="1"/>
      <c r="Q22" s="1"/>
    </row>
    <row r="23" spans="1:17" x14ac:dyDescent="0.25">
      <c r="A23" s="1"/>
      <c r="B23" s="79" t="s">
        <v>47</v>
      </c>
      <c r="C23" s="70"/>
      <c r="D23" s="67"/>
      <c r="E23" s="67"/>
      <c r="F23" s="68"/>
      <c r="G23" s="51"/>
      <c r="H23" s="1"/>
      <c r="I23" s="1"/>
      <c r="J23" s="1"/>
      <c r="K23" s="1"/>
      <c r="L23" s="1"/>
      <c r="M23" s="1"/>
      <c r="N23" s="1"/>
      <c r="O23" s="1"/>
      <c r="P23" s="1"/>
      <c r="Q23" s="1"/>
    </row>
    <row r="24" spans="1:17" x14ac:dyDescent="0.25">
      <c r="A24" s="1"/>
      <c r="B24" s="32"/>
      <c r="C24" s="69"/>
      <c r="D24" s="36"/>
      <c r="E24" s="36"/>
      <c r="F24" s="42"/>
      <c r="G24" s="51"/>
      <c r="H24" s="1"/>
      <c r="I24" s="1"/>
      <c r="J24" s="1"/>
      <c r="K24" s="1"/>
      <c r="L24" s="1"/>
      <c r="M24" s="1"/>
      <c r="N24" s="1"/>
      <c r="O24" s="1"/>
      <c r="P24" s="1"/>
      <c r="Q24" s="1"/>
    </row>
    <row r="25" spans="1:17" x14ac:dyDescent="0.25">
      <c r="A25" s="1"/>
      <c r="B25" s="79" t="s">
        <v>52</v>
      </c>
      <c r="C25" s="70"/>
      <c r="D25" s="67"/>
      <c r="E25" s="67"/>
      <c r="F25" s="68"/>
      <c r="G25" s="51"/>
      <c r="H25" s="1"/>
      <c r="I25" s="1"/>
      <c r="J25" s="1"/>
      <c r="K25" s="1"/>
      <c r="L25" s="1"/>
      <c r="M25" s="1"/>
      <c r="N25" s="1"/>
      <c r="O25" s="1"/>
      <c r="P25" s="1"/>
      <c r="Q25" s="1"/>
    </row>
    <row r="26" spans="1:17" x14ac:dyDescent="0.25">
      <c r="A26" s="1"/>
      <c r="B26" s="53" t="s">
        <v>61</v>
      </c>
      <c r="C26" s="34">
        <f>(45000/12)*0.3</f>
        <v>1125</v>
      </c>
      <c r="D26" s="36" t="s">
        <v>21</v>
      </c>
      <c r="E26" s="36">
        <v>12</v>
      </c>
      <c r="F26" s="38">
        <f>C26*E26</f>
        <v>13500</v>
      </c>
      <c r="G26" s="51"/>
      <c r="H26" s="80"/>
      <c r="I26" s="1"/>
      <c r="J26" s="1"/>
      <c r="K26" s="1"/>
      <c r="L26" s="1"/>
      <c r="M26" s="1"/>
      <c r="N26" s="1"/>
      <c r="O26" s="1"/>
      <c r="P26" s="1"/>
      <c r="Q26" s="1"/>
    </row>
    <row r="27" spans="1:17" x14ac:dyDescent="0.25">
      <c r="A27" s="1"/>
      <c r="B27" s="53"/>
      <c r="C27" s="34"/>
      <c r="D27" s="36"/>
      <c r="E27" s="36"/>
      <c r="F27" s="42">
        <f>F26</f>
        <v>13500</v>
      </c>
      <c r="G27" s="51"/>
      <c r="H27" s="80"/>
      <c r="I27" s="1"/>
      <c r="J27" s="1"/>
      <c r="K27" s="1"/>
      <c r="L27" s="1"/>
      <c r="M27" s="1"/>
      <c r="N27" s="1"/>
      <c r="O27" s="1"/>
      <c r="P27" s="1"/>
      <c r="Q27" s="1"/>
    </row>
    <row r="28" spans="1:17" x14ac:dyDescent="0.25">
      <c r="A28" s="1"/>
      <c r="B28" s="79" t="s">
        <v>55</v>
      </c>
      <c r="C28" s="70"/>
      <c r="D28" s="67"/>
      <c r="E28" s="67"/>
      <c r="F28" s="68"/>
      <c r="G28" s="51"/>
      <c r="H28" s="1"/>
      <c r="I28" s="1"/>
      <c r="J28" s="1"/>
      <c r="K28" s="1"/>
      <c r="L28" s="1"/>
      <c r="M28" s="1"/>
      <c r="N28" s="1"/>
      <c r="O28" s="1"/>
      <c r="P28" s="1"/>
      <c r="Q28" s="1"/>
    </row>
    <row r="29" spans="1:17" x14ac:dyDescent="0.25">
      <c r="A29" s="1"/>
      <c r="B29" s="53" t="s">
        <v>56</v>
      </c>
      <c r="C29" s="69"/>
      <c r="D29" s="36"/>
      <c r="E29" s="36"/>
      <c r="F29" s="42">
        <f>SUM(F8+F12+F22+F27)</f>
        <v>341100</v>
      </c>
      <c r="G29" s="51"/>
      <c r="H29" s="1"/>
      <c r="I29" s="1"/>
      <c r="J29" s="1"/>
      <c r="K29" s="1"/>
      <c r="L29" s="1"/>
      <c r="M29" s="1"/>
      <c r="N29" s="1"/>
      <c r="O29" s="1"/>
      <c r="P29" s="1"/>
      <c r="Q29" s="1"/>
    </row>
    <row r="30" spans="1:17" x14ac:dyDescent="0.25">
      <c r="A30" s="1"/>
      <c r="B30" s="53" t="s">
        <v>58</v>
      </c>
      <c r="C30" s="66">
        <v>0.1</v>
      </c>
      <c r="D30" s="36"/>
      <c r="E30" s="36"/>
      <c r="F30" s="42">
        <f>C30*F29</f>
        <v>34110</v>
      </c>
      <c r="G30" s="51"/>
      <c r="H30" s="1"/>
      <c r="I30" s="1"/>
      <c r="J30" s="1"/>
      <c r="K30" s="1"/>
      <c r="L30" s="1"/>
      <c r="M30" s="1"/>
      <c r="N30" s="1"/>
      <c r="O30" s="1"/>
      <c r="P30" s="1"/>
      <c r="Q30" s="1"/>
    </row>
    <row r="31" spans="1:17" x14ac:dyDescent="0.25">
      <c r="A31" s="1"/>
      <c r="B31" s="53"/>
      <c r="C31" s="69"/>
      <c r="D31" s="36"/>
      <c r="E31" s="36"/>
      <c r="F31" s="42"/>
      <c r="G31" s="51"/>
      <c r="H31" s="1"/>
      <c r="I31" s="1"/>
      <c r="J31" s="1"/>
      <c r="K31" s="1"/>
      <c r="L31" s="1"/>
      <c r="M31" s="1"/>
      <c r="N31" s="1"/>
      <c r="O31" s="1"/>
      <c r="P31" s="1"/>
      <c r="Q31" s="1"/>
    </row>
    <row r="32" spans="1:17" x14ac:dyDescent="0.25">
      <c r="A32" s="1"/>
      <c r="B32" s="75" t="s">
        <v>62</v>
      </c>
      <c r="C32" s="76"/>
      <c r="D32" s="77"/>
      <c r="E32" s="77"/>
      <c r="F32" s="81">
        <f>SUM(F29:F30)</f>
        <v>375210</v>
      </c>
      <c r="G32" s="82"/>
      <c r="H32" s="1"/>
      <c r="I32" s="1"/>
      <c r="J32" s="1"/>
      <c r="K32" s="1"/>
      <c r="L32" s="1"/>
      <c r="M32" s="1"/>
      <c r="N32" s="1"/>
      <c r="O32" s="1"/>
      <c r="P32" s="1"/>
      <c r="Q32" s="1"/>
    </row>
    <row r="33" spans="1:17" x14ac:dyDescent="0.25">
      <c r="A33" s="1"/>
      <c r="B33" s="1"/>
      <c r="C33" s="1"/>
      <c r="D33" s="1"/>
      <c r="E33" s="1"/>
      <c r="F33" s="1"/>
      <c r="G33" s="1"/>
      <c r="H33" s="1"/>
      <c r="I33" s="1"/>
      <c r="J33" s="1"/>
      <c r="K33" s="1"/>
      <c r="L33" s="1"/>
      <c r="M33" s="1"/>
      <c r="N33" s="1"/>
      <c r="O33" s="1"/>
      <c r="P33" s="1"/>
      <c r="Q33" s="1"/>
    </row>
  </sheetData>
  <mergeCells count="2">
    <mergeCell ref="B2:B3"/>
    <mergeCell ref="C2: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I1000"/>
  <sheetViews>
    <sheetView workbookViewId="0"/>
  </sheetViews>
  <sheetFormatPr defaultColWidth="14.42578125" defaultRowHeight="15.75" customHeight="1" x14ac:dyDescent="0.2"/>
  <cols>
    <col min="1" max="1" width="4.140625" customWidth="1"/>
    <col min="2" max="2" width="37.28515625" customWidth="1"/>
    <col min="3" max="6" width="14.42578125" customWidth="1"/>
    <col min="7" max="7" width="119.140625" customWidth="1"/>
    <col min="8" max="9" width="14.42578125" customWidth="1"/>
  </cols>
  <sheetData>
    <row r="2" spans="2:9" ht="15.75" customHeight="1" x14ac:dyDescent="0.2">
      <c r="B2" s="111" t="s">
        <v>20</v>
      </c>
      <c r="C2" s="113" t="s">
        <v>3</v>
      </c>
      <c r="D2" s="114"/>
      <c r="E2" s="114"/>
      <c r="F2" s="108"/>
      <c r="G2" s="83"/>
    </row>
    <row r="3" spans="2:9" ht="15.75" customHeight="1" x14ac:dyDescent="0.2">
      <c r="B3" s="112"/>
      <c r="C3" s="109"/>
      <c r="D3" s="115"/>
      <c r="E3" s="115"/>
      <c r="F3" s="110"/>
      <c r="G3" s="84"/>
    </row>
    <row r="4" spans="2:9" x14ac:dyDescent="0.25">
      <c r="B4" s="8"/>
      <c r="C4" s="39" t="s">
        <v>9</v>
      </c>
      <c r="D4" s="13" t="s">
        <v>10</v>
      </c>
      <c r="E4" s="13" t="s">
        <v>12</v>
      </c>
      <c r="F4" s="13" t="s">
        <v>13</v>
      </c>
      <c r="G4" s="85" t="s">
        <v>24</v>
      </c>
    </row>
    <row r="5" spans="2:9" x14ac:dyDescent="0.25">
      <c r="B5" s="18" t="s">
        <v>15</v>
      </c>
      <c r="C5" s="20"/>
      <c r="D5" s="21"/>
      <c r="E5" s="21"/>
      <c r="F5" s="21"/>
      <c r="G5" s="86"/>
    </row>
    <row r="6" spans="2:9" x14ac:dyDescent="0.25">
      <c r="B6" s="25" t="s">
        <v>63</v>
      </c>
      <c r="C6" s="26">
        <v>5000</v>
      </c>
      <c r="D6" s="27" t="s">
        <v>30</v>
      </c>
      <c r="E6" s="27">
        <v>1</v>
      </c>
      <c r="F6" s="87">
        <f t="shared" ref="F6:F7" si="0">C6*E6</f>
        <v>5000</v>
      </c>
      <c r="G6" s="88"/>
    </row>
    <row r="7" spans="2:9" ht="15.75" customHeight="1" x14ac:dyDescent="0.2">
      <c r="B7" s="25" t="s">
        <v>32</v>
      </c>
      <c r="C7" s="89">
        <f>3*40</f>
        <v>120</v>
      </c>
      <c r="D7" s="90" t="s">
        <v>33</v>
      </c>
      <c r="E7" s="90">
        <f>10*(3*4)</f>
        <v>120</v>
      </c>
      <c r="F7" s="91">
        <f t="shared" si="0"/>
        <v>14400</v>
      </c>
      <c r="G7" s="92" t="s">
        <v>64</v>
      </c>
      <c r="H7" s="93"/>
      <c r="I7" s="94"/>
    </row>
    <row r="8" spans="2:9" x14ac:dyDescent="0.25">
      <c r="B8" s="25"/>
      <c r="C8" s="26"/>
      <c r="D8" s="27"/>
      <c r="E8" s="27"/>
      <c r="F8" s="87">
        <f>SUM(F6:F7)</f>
        <v>19400</v>
      </c>
      <c r="G8" s="88"/>
    </row>
    <row r="9" spans="2:9" x14ac:dyDescent="0.25">
      <c r="B9" s="18" t="s">
        <v>18</v>
      </c>
      <c r="C9" s="20"/>
      <c r="D9" s="21"/>
      <c r="E9" s="21"/>
      <c r="F9" s="96"/>
      <c r="G9" s="86"/>
    </row>
    <row r="10" spans="2:9" x14ac:dyDescent="0.25">
      <c r="B10" s="32" t="s">
        <v>40</v>
      </c>
      <c r="C10" s="34">
        <v>12000</v>
      </c>
      <c r="D10" s="36" t="s">
        <v>44</v>
      </c>
      <c r="E10" s="36">
        <v>1</v>
      </c>
      <c r="F10" s="97">
        <f t="shared" ref="F10:F11" si="1">C10*E10</f>
        <v>12000</v>
      </c>
      <c r="G10" s="99" t="s">
        <v>65</v>
      </c>
    </row>
    <row r="11" spans="2:9" x14ac:dyDescent="0.25">
      <c r="B11" s="32" t="s">
        <v>67</v>
      </c>
      <c r="C11" s="34">
        <v>15000</v>
      </c>
      <c r="D11" s="36" t="s">
        <v>41</v>
      </c>
      <c r="E11" s="36">
        <v>3</v>
      </c>
      <c r="F11" s="101">
        <f t="shared" si="1"/>
        <v>45000</v>
      </c>
      <c r="G11" s="88"/>
    </row>
    <row r="12" spans="2:9" x14ac:dyDescent="0.25">
      <c r="B12" s="32"/>
      <c r="C12" s="34"/>
      <c r="D12" s="36"/>
      <c r="E12" s="36"/>
      <c r="F12" s="97">
        <f>SUM(F10:F11)</f>
        <v>57000</v>
      </c>
      <c r="G12" s="88"/>
    </row>
    <row r="13" spans="2:9" x14ac:dyDescent="0.25">
      <c r="B13" s="44" t="s">
        <v>25</v>
      </c>
      <c r="C13" s="46"/>
      <c r="D13" s="48"/>
      <c r="E13" s="48"/>
      <c r="F13" s="102"/>
      <c r="G13" s="86"/>
    </row>
    <row r="14" spans="2:9" x14ac:dyDescent="0.25">
      <c r="B14" s="32" t="s">
        <v>71</v>
      </c>
      <c r="C14" s="34">
        <v>600</v>
      </c>
      <c r="D14" s="36" t="s">
        <v>21</v>
      </c>
      <c r="E14" s="36">
        <v>12</v>
      </c>
      <c r="F14" s="97">
        <f t="shared" ref="F14:F16" si="2">C14*E14</f>
        <v>7200</v>
      </c>
      <c r="G14" s="88"/>
    </row>
    <row r="15" spans="2:9" x14ac:dyDescent="0.25">
      <c r="B15" s="32" t="s">
        <v>75</v>
      </c>
      <c r="C15" s="34">
        <f>(50000+5000)/12</f>
        <v>4583.333333333333</v>
      </c>
      <c r="D15" s="36" t="s">
        <v>21</v>
      </c>
      <c r="E15" s="36">
        <v>12</v>
      </c>
      <c r="F15" s="97">
        <f t="shared" si="2"/>
        <v>55000</v>
      </c>
      <c r="G15" s="88"/>
    </row>
    <row r="16" spans="2:9" x14ac:dyDescent="0.25">
      <c r="B16" s="32" t="s">
        <v>76</v>
      </c>
      <c r="C16" s="34">
        <f>15000/12</f>
        <v>1250</v>
      </c>
      <c r="D16" s="36" t="s">
        <v>21</v>
      </c>
      <c r="E16" s="36">
        <v>12</v>
      </c>
      <c r="F16" s="101">
        <f t="shared" si="2"/>
        <v>15000</v>
      </c>
      <c r="G16" s="88"/>
    </row>
    <row r="17" spans="2:7" x14ac:dyDescent="0.25">
      <c r="B17" s="32"/>
      <c r="C17" s="69"/>
      <c r="D17" s="36"/>
      <c r="E17" s="36"/>
      <c r="F17" s="97">
        <f>SUM(F14:F16)</f>
        <v>77200</v>
      </c>
      <c r="G17" s="88"/>
    </row>
    <row r="18" spans="2:7" x14ac:dyDescent="0.25">
      <c r="B18" s="44" t="s">
        <v>47</v>
      </c>
      <c r="C18" s="72"/>
      <c r="D18" s="48"/>
      <c r="E18" s="48"/>
      <c r="F18" s="102"/>
      <c r="G18" s="86"/>
    </row>
    <row r="19" spans="2:7" x14ac:dyDescent="0.25">
      <c r="B19" s="32"/>
      <c r="C19" s="69"/>
      <c r="D19" s="36"/>
      <c r="E19" s="36"/>
      <c r="F19" s="97"/>
      <c r="G19" s="88"/>
    </row>
    <row r="20" spans="2:7" x14ac:dyDescent="0.25">
      <c r="B20" s="71" t="s">
        <v>52</v>
      </c>
      <c r="C20" s="72"/>
      <c r="D20" s="48"/>
      <c r="E20" s="48"/>
      <c r="F20" s="102"/>
      <c r="G20" s="86"/>
    </row>
    <row r="21" spans="2:7" x14ac:dyDescent="0.25">
      <c r="B21" s="53"/>
      <c r="C21" s="34"/>
      <c r="D21" s="36"/>
      <c r="E21" s="36"/>
      <c r="F21" s="97"/>
      <c r="G21" s="88"/>
    </row>
    <row r="22" spans="2:7" x14ac:dyDescent="0.25">
      <c r="B22" s="71" t="s">
        <v>55</v>
      </c>
      <c r="C22" s="72"/>
      <c r="D22" s="48"/>
      <c r="E22" s="48"/>
      <c r="F22" s="102"/>
      <c r="G22" s="86"/>
    </row>
    <row r="23" spans="2:7" x14ac:dyDescent="0.25">
      <c r="B23" s="53" t="s">
        <v>56</v>
      </c>
      <c r="C23" s="69"/>
      <c r="D23" s="36"/>
      <c r="E23" s="36"/>
      <c r="F23" s="97">
        <f>SUM(F8+F12+F17)</f>
        <v>153600</v>
      </c>
      <c r="G23" s="88"/>
    </row>
    <row r="24" spans="2:7" x14ac:dyDescent="0.25">
      <c r="B24" s="53" t="s">
        <v>58</v>
      </c>
      <c r="C24" s="66">
        <v>0.1</v>
      </c>
      <c r="D24" s="36"/>
      <c r="E24" s="36"/>
      <c r="F24" s="97">
        <f>F23*C24</f>
        <v>15360</v>
      </c>
      <c r="G24" s="88"/>
    </row>
    <row r="25" spans="2:7" x14ac:dyDescent="0.25">
      <c r="B25" s="53"/>
      <c r="C25" s="69"/>
      <c r="D25" s="36"/>
      <c r="E25" s="36"/>
      <c r="F25" s="97"/>
      <c r="G25" s="88"/>
    </row>
    <row r="26" spans="2:7" x14ac:dyDescent="0.25">
      <c r="B26" s="75" t="s">
        <v>78</v>
      </c>
      <c r="C26" s="76"/>
      <c r="D26" s="77"/>
      <c r="E26" s="77"/>
      <c r="F26" s="105">
        <f>F23+F24</f>
        <v>168960</v>
      </c>
      <c r="G26" s="106"/>
    </row>
    <row r="30" spans="2:7" ht="12.75" x14ac:dyDescent="0.2"/>
    <row r="31" spans="2:7" ht="12.75" x14ac:dyDescent="0.2"/>
    <row r="32" spans="2:7"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mergeCells count="2">
    <mergeCell ref="B2:B3"/>
    <mergeCell ref="C2:F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G1000"/>
  <sheetViews>
    <sheetView workbookViewId="0"/>
  </sheetViews>
  <sheetFormatPr defaultColWidth="14.42578125" defaultRowHeight="15.75" customHeight="1" x14ac:dyDescent="0.2"/>
  <cols>
    <col min="1" max="1" width="3.85546875" customWidth="1"/>
    <col min="2" max="2" width="46.140625" customWidth="1"/>
    <col min="3" max="6" width="14.42578125" customWidth="1"/>
    <col min="7" max="7" width="111.85546875" customWidth="1"/>
  </cols>
  <sheetData>
    <row r="2" spans="2:7" ht="15.75" customHeight="1" x14ac:dyDescent="0.2">
      <c r="B2" s="111" t="s">
        <v>22</v>
      </c>
      <c r="C2" s="113" t="s">
        <v>3</v>
      </c>
      <c r="D2" s="114"/>
      <c r="E2" s="114"/>
      <c r="F2" s="108"/>
      <c r="G2" s="83"/>
    </row>
    <row r="3" spans="2:7" ht="15.75" customHeight="1" x14ac:dyDescent="0.2">
      <c r="B3" s="112"/>
      <c r="C3" s="109"/>
      <c r="D3" s="115"/>
      <c r="E3" s="115"/>
      <c r="F3" s="110"/>
      <c r="G3" s="84"/>
    </row>
    <row r="4" spans="2:7" x14ac:dyDescent="0.25">
      <c r="B4" s="8"/>
      <c r="C4" s="39" t="s">
        <v>9</v>
      </c>
      <c r="D4" s="13" t="s">
        <v>10</v>
      </c>
      <c r="E4" s="13" t="s">
        <v>12</v>
      </c>
      <c r="F4" s="15" t="s">
        <v>13</v>
      </c>
      <c r="G4" s="15" t="s">
        <v>24</v>
      </c>
    </row>
    <row r="5" spans="2:7" x14ac:dyDescent="0.25">
      <c r="B5" s="18" t="s">
        <v>15</v>
      </c>
      <c r="C5" s="20"/>
      <c r="D5" s="21"/>
      <c r="E5" s="21"/>
      <c r="F5" s="23"/>
      <c r="G5" s="95"/>
    </row>
    <row r="6" spans="2:7" x14ac:dyDescent="0.25">
      <c r="B6" s="25" t="s">
        <v>63</v>
      </c>
      <c r="C6" s="26">
        <v>2000</v>
      </c>
      <c r="D6" s="27" t="s">
        <v>30</v>
      </c>
      <c r="E6" s="27">
        <v>1</v>
      </c>
      <c r="F6" s="28">
        <f t="shared" ref="F6:F7" si="0">C6*E6</f>
        <v>2000</v>
      </c>
      <c r="G6" s="51"/>
    </row>
    <row r="7" spans="2:7" ht="15.75" customHeight="1" x14ac:dyDescent="0.2">
      <c r="B7" s="25" t="s">
        <v>32</v>
      </c>
      <c r="C7" s="89">
        <f>45*2</f>
        <v>90</v>
      </c>
      <c r="D7" s="90" t="s">
        <v>33</v>
      </c>
      <c r="E7" s="90">
        <v>0</v>
      </c>
      <c r="F7" s="98">
        <f t="shared" si="0"/>
        <v>0</v>
      </c>
      <c r="G7" s="100" t="s">
        <v>66</v>
      </c>
    </row>
    <row r="8" spans="2:7" x14ac:dyDescent="0.25">
      <c r="B8" s="25"/>
      <c r="C8" s="26"/>
      <c r="D8" s="27"/>
      <c r="E8" s="27"/>
      <c r="F8" s="28">
        <f>SUM(F6:F7)</f>
        <v>2000</v>
      </c>
      <c r="G8" s="51"/>
    </row>
    <row r="9" spans="2:7" x14ac:dyDescent="0.25">
      <c r="B9" s="18" t="s">
        <v>18</v>
      </c>
      <c r="C9" s="20"/>
      <c r="D9" s="21"/>
      <c r="E9" s="21"/>
      <c r="F9" s="30"/>
      <c r="G9" s="95"/>
    </row>
    <row r="10" spans="2:7" x14ac:dyDescent="0.25">
      <c r="B10" s="32" t="s">
        <v>40</v>
      </c>
      <c r="C10" s="34">
        <v>12000</v>
      </c>
      <c r="D10" s="36" t="s">
        <v>44</v>
      </c>
      <c r="E10" s="36">
        <v>1</v>
      </c>
      <c r="F10" s="28">
        <f t="shared" ref="F10:F11" si="1">C10*E10</f>
        <v>12000</v>
      </c>
      <c r="G10" s="55" t="s">
        <v>68</v>
      </c>
    </row>
    <row r="11" spans="2:7" x14ac:dyDescent="0.25">
      <c r="B11" s="32" t="s">
        <v>69</v>
      </c>
      <c r="C11" s="34">
        <v>2500</v>
      </c>
      <c r="D11" s="36" t="s">
        <v>70</v>
      </c>
      <c r="E11" s="36">
        <v>3</v>
      </c>
      <c r="F11" s="28">
        <f t="shared" si="1"/>
        <v>7500</v>
      </c>
      <c r="G11" s="51"/>
    </row>
    <row r="12" spans="2:7" x14ac:dyDescent="0.25">
      <c r="B12" s="32" t="s">
        <v>72</v>
      </c>
      <c r="C12" s="34">
        <v>0</v>
      </c>
      <c r="D12" s="36" t="s">
        <v>73</v>
      </c>
      <c r="E12" s="36" t="s">
        <v>16</v>
      </c>
      <c r="F12" s="42">
        <v>0</v>
      </c>
      <c r="G12" s="51"/>
    </row>
    <row r="13" spans="2:7" ht="15.75" customHeight="1" x14ac:dyDescent="0.2">
      <c r="B13" s="25" t="s">
        <v>74</v>
      </c>
      <c r="C13" s="103">
        <v>2500</v>
      </c>
      <c r="D13" s="104" t="s">
        <v>21</v>
      </c>
      <c r="E13" s="104">
        <v>12</v>
      </c>
      <c r="F13" s="98">
        <f>C13*E13</f>
        <v>30000</v>
      </c>
      <c r="G13" s="51"/>
    </row>
    <row r="14" spans="2:7" x14ac:dyDescent="0.25">
      <c r="B14" s="32"/>
      <c r="C14" s="34"/>
      <c r="D14" s="36"/>
      <c r="E14" s="36"/>
      <c r="F14" s="28">
        <f>SUM(F10:F13)</f>
        <v>49500</v>
      </c>
      <c r="G14" s="51"/>
    </row>
    <row r="15" spans="2:7" x14ac:dyDescent="0.25">
      <c r="B15" s="44" t="s">
        <v>25</v>
      </c>
      <c r="C15" s="46"/>
      <c r="D15" s="48"/>
      <c r="E15" s="48"/>
      <c r="F15" s="49"/>
      <c r="G15" s="95"/>
    </row>
    <row r="16" spans="2:7" x14ac:dyDescent="0.25">
      <c r="B16" s="32" t="s">
        <v>77</v>
      </c>
      <c r="C16" s="34">
        <f>(50000+5000)/12</f>
        <v>4583.333333333333</v>
      </c>
      <c r="D16" s="36" t="s">
        <v>21</v>
      </c>
      <c r="E16" s="36">
        <v>12</v>
      </c>
      <c r="F16" s="42">
        <f t="shared" ref="F16:F17" si="2">C16*E16</f>
        <v>55000</v>
      </c>
      <c r="G16" s="51"/>
    </row>
    <row r="17" spans="2:7" x14ac:dyDescent="0.25">
      <c r="B17" s="32" t="s">
        <v>76</v>
      </c>
      <c r="C17" s="34">
        <f>15000/12</f>
        <v>1250</v>
      </c>
      <c r="D17" s="36" t="s">
        <v>21</v>
      </c>
      <c r="E17" s="36">
        <v>12</v>
      </c>
      <c r="F17" s="38">
        <f t="shared" si="2"/>
        <v>15000</v>
      </c>
      <c r="G17" s="51"/>
    </row>
    <row r="18" spans="2:7" x14ac:dyDescent="0.25">
      <c r="B18" s="32"/>
      <c r="C18" s="69"/>
      <c r="D18" s="36"/>
      <c r="E18" s="36"/>
      <c r="F18" s="42">
        <f>SUM(F16:F17)</f>
        <v>70000</v>
      </c>
      <c r="G18" s="51"/>
    </row>
    <row r="19" spans="2:7" x14ac:dyDescent="0.25">
      <c r="B19" s="44" t="s">
        <v>47</v>
      </c>
      <c r="C19" s="72"/>
      <c r="D19" s="48"/>
      <c r="E19" s="48"/>
      <c r="F19" s="49"/>
      <c r="G19" s="95"/>
    </row>
    <row r="20" spans="2:7" x14ac:dyDescent="0.25">
      <c r="B20" s="32"/>
      <c r="C20" s="69"/>
      <c r="D20" s="36"/>
      <c r="E20" s="36"/>
      <c r="F20" s="42"/>
      <c r="G20" s="51"/>
    </row>
    <row r="21" spans="2:7" x14ac:dyDescent="0.25">
      <c r="B21" s="71" t="s">
        <v>52</v>
      </c>
      <c r="C21" s="72"/>
      <c r="D21" s="48"/>
      <c r="E21" s="48"/>
      <c r="F21" s="49"/>
      <c r="G21" s="95"/>
    </row>
    <row r="22" spans="2:7" x14ac:dyDescent="0.25">
      <c r="B22" s="53"/>
      <c r="C22" s="34"/>
      <c r="D22" s="36"/>
      <c r="E22" s="36"/>
      <c r="F22" s="42"/>
      <c r="G22" s="51"/>
    </row>
    <row r="23" spans="2:7" x14ac:dyDescent="0.25">
      <c r="B23" s="71" t="s">
        <v>55</v>
      </c>
      <c r="C23" s="72"/>
      <c r="D23" s="48"/>
      <c r="E23" s="48"/>
      <c r="F23" s="49"/>
      <c r="G23" s="95"/>
    </row>
    <row r="24" spans="2:7" x14ac:dyDescent="0.25">
      <c r="B24" s="53" t="s">
        <v>56</v>
      </c>
      <c r="C24" s="69"/>
      <c r="D24" s="36"/>
      <c r="E24" s="36"/>
      <c r="F24" s="42">
        <f>SUM(F8+F14+F18)</f>
        <v>121500</v>
      </c>
      <c r="G24" s="51"/>
    </row>
    <row r="25" spans="2:7" x14ac:dyDescent="0.25">
      <c r="B25" s="53" t="s">
        <v>58</v>
      </c>
      <c r="C25" s="66">
        <v>0.1</v>
      </c>
      <c r="D25" s="36"/>
      <c r="E25" s="36"/>
      <c r="F25" s="42">
        <f>F24*C25</f>
        <v>12150</v>
      </c>
      <c r="G25" s="51"/>
    </row>
    <row r="26" spans="2:7" x14ac:dyDescent="0.25">
      <c r="B26" s="53"/>
      <c r="C26" s="69"/>
      <c r="D26" s="36"/>
      <c r="E26" s="36"/>
      <c r="F26" s="42"/>
      <c r="G26" s="51"/>
    </row>
    <row r="27" spans="2:7" x14ac:dyDescent="0.25">
      <c r="B27" s="75" t="s">
        <v>79</v>
      </c>
      <c r="C27" s="76"/>
      <c r="D27" s="77"/>
      <c r="E27" s="77"/>
      <c r="F27" s="78">
        <f>SUM(F24:F25)</f>
        <v>133650</v>
      </c>
      <c r="G27" s="82"/>
    </row>
    <row r="30" spans="2:7" ht="12.75" x14ac:dyDescent="0.2"/>
    <row r="31" spans="2:7" ht="12.75" x14ac:dyDescent="0.2"/>
    <row r="32" spans="2:7"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mergeCells count="2">
    <mergeCell ref="B2:B3"/>
    <mergeCell ref="C2: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 summary</vt:lpstr>
      <vt:lpstr>Kenya cost per vehicle</vt:lpstr>
      <vt:lpstr>US</vt:lpstr>
      <vt:lpstr>Kenya</vt:lpstr>
      <vt:lpstr>Uganda</vt:lpstr>
      <vt:lpstr>Tanzania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2018-05-26T00:25:55Z</dcterms:modified>
</cp:coreProperties>
</file>