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24300" yWindow="2745" windowWidth="32505" windowHeight="25395" firstSheet="1" activeTab="1"/>
  </bookViews>
  <sheets>
    <sheet name="Post-Doc" sheetId="1" state="hidden" r:id="rId1"/>
    <sheet name="Accounting" sheetId="11" r:id="rId2"/>
    <sheet name="Budget I" sheetId="2" r:id="rId3"/>
    <sheet name="Budget II" sheetId="8" r:id="rId4"/>
    <sheet name="Budget III" sheetId="9" r:id="rId5"/>
  </sheets>
  <definedNames>
    <definedName name="_xlnm.Print_Area" localSheetId="1">Accounting!$A$3:$B$49</definedName>
    <definedName name="_xlnm.Print_Area" localSheetId="2">'Budget I'!$A$11:$F$48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2" l="1"/>
  <c r="F38" i="2"/>
  <c r="F39" i="8"/>
  <c r="B37" i="2"/>
  <c r="F37" i="2"/>
  <c r="B18" i="11"/>
  <c r="B47" i="11"/>
  <c r="B49" i="11"/>
  <c r="B38" i="8"/>
  <c r="B38" i="9"/>
  <c r="B15" i="2"/>
  <c r="B14" i="8"/>
  <c r="B14" i="9"/>
  <c r="F39" i="9"/>
  <c r="F14" i="9"/>
  <c r="B15" i="9"/>
  <c r="F15" i="9"/>
  <c r="F16" i="9"/>
  <c r="B19" i="9"/>
  <c r="F19" i="9"/>
  <c r="B20" i="9"/>
  <c r="F20" i="9"/>
  <c r="B21" i="9"/>
  <c r="F21" i="9"/>
  <c r="B22" i="9"/>
  <c r="F22" i="9"/>
  <c r="F23" i="9"/>
  <c r="F26" i="9"/>
  <c r="F17" i="9"/>
  <c r="F24" i="9"/>
  <c r="F27" i="9"/>
  <c r="F28" i="9"/>
  <c r="F29" i="9"/>
  <c r="F31" i="9"/>
  <c r="F35" i="9"/>
  <c r="F36" i="9"/>
  <c r="F37" i="9"/>
  <c r="F38" i="9"/>
  <c r="F40" i="9"/>
  <c r="F41" i="9"/>
  <c r="B42" i="9"/>
  <c r="F42" i="9"/>
  <c r="F43" i="9"/>
  <c r="F45" i="9"/>
  <c r="F46" i="9"/>
  <c r="F48" i="9"/>
  <c r="F51" i="9"/>
  <c r="F52" i="9"/>
  <c r="F54" i="9"/>
  <c r="B20" i="8"/>
  <c r="F20" i="8"/>
  <c r="B19" i="8"/>
  <c r="F19" i="8"/>
  <c r="B21" i="8"/>
  <c r="F21" i="8"/>
  <c r="B22" i="8"/>
  <c r="F22" i="8"/>
  <c r="F23" i="8"/>
  <c r="F38" i="8"/>
  <c r="F40" i="8"/>
  <c r="F14" i="8"/>
  <c r="B15" i="8"/>
  <c r="F15" i="8"/>
  <c r="F16" i="8"/>
  <c r="F17" i="8"/>
  <c r="F24" i="8"/>
  <c r="F27" i="8"/>
  <c r="F26" i="8"/>
  <c r="F36" i="8"/>
  <c r="F37" i="8"/>
  <c r="F35" i="8"/>
  <c r="F41" i="8"/>
  <c r="B42" i="8"/>
  <c r="F42" i="8"/>
  <c r="F43" i="8"/>
  <c r="F45" i="8"/>
  <c r="F46" i="8"/>
  <c r="F28" i="8"/>
  <c r="F29" i="8"/>
  <c r="F31" i="8"/>
  <c r="F40" i="2"/>
  <c r="F15" i="2"/>
  <c r="B16" i="2"/>
  <c r="F16" i="2"/>
  <c r="F17" i="2"/>
  <c r="B20" i="2"/>
  <c r="F20" i="2"/>
  <c r="B21" i="2"/>
  <c r="F21" i="2"/>
  <c r="F22" i="2"/>
  <c r="F25" i="2"/>
  <c r="F18" i="2"/>
  <c r="F23" i="2"/>
  <c r="F26" i="2"/>
  <c r="F27" i="2"/>
  <c r="F28" i="2"/>
  <c r="F30" i="2"/>
  <c r="F35" i="2"/>
  <c r="F34" i="2"/>
  <c r="F36" i="2"/>
  <c r="B41" i="2"/>
  <c r="F41" i="2"/>
  <c r="F42" i="2"/>
  <c r="F44" i="2"/>
  <c r="F45" i="2"/>
  <c r="F47" i="2"/>
  <c r="F50" i="2"/>
  <c r="F51" i="2"/>
  <c r="F53" i="2"/>
  <c r="E26" i="1"/>
  <c r="F26" i="1"/>
  <c r="G26" i="1"/>
  <c r="H26" i="1"/>
  <c r="E10" i="1"/>
  <c r="E11" i="1"/>
  <c r="E12" i="1"/>
  <c r="E13" i="1"/>
  <c r="E14" i="1"/>
  <c r="E15" i="1"/>
  <c r="E20" i="1"/>
  <c r="E21" i="1"/>
  <c r="E19" i="1"/>
  <c r="E23" i="1"/>
  <c r="E24" i="1"/>
  <c r="E25" i="1"/>
  <c r="E22" i="1"/>
  <c r="E30" i="1"/>
  <c r="G68" i="1"/>
  <c r="G67" i="1"/>
  <c r="F68" i="1"/>
  <c r="F67" i="1"/>
  <c r="E68" i="1"/>
  <c r="E67" i="1"/>
  <c r="E66" i="1"/>
  <c r="E59" i="1"/>
  <c r="F59" i="1"/>
  <c r="G59" i="1"/>
  <c r="F58" i="1"/>
  <c r="G58" i="1"/>
  <c r="E58" i="1"/>
  <c r="E57" i="1"/>
  <c r="F57" i="1"/>
  <c r="G57" i="1"/>
  <c r="E56" i="1"/>
  <c r="F56" i="1"/>
  <c r="G56" i="1"/>
  <c r="F51" i="1"/>
  <c r="G51" i="1"/>
  <c r="E51" i="1"/>
  <c r="E50" i="1"/>
  <c r="F50" i="1"/>
  <c r="G50" i="1"/>
  <c r="F49" i="1"/>
  <c r="G49" i="1"/>
  <c r="E49" i="1"/>
  <c r="E48" i="1"/>
  <c r="F48" i="1"/>
  <c r="G48" i="1"/>
  <c r="E43" i="1"/>
  <c r="F43" i="1"/>
  <c r="G43" i="1"/>
  <c r="H88" i="1"/>
  <c r="H73" i="1"/>
  <c r="H74" i="1"/>
  <c r="F11" i="1"/>
  <c r="G11" i="1"/>
  <c r="H72" i="1"/>
  <c r="F64" i="1"/>
  <c r="G64" i="1"/>
  <c r="E64" i="1"/>
  <c r="H63" i="1"/>
  <c r="H62" i="1"/>
  <c r="E42" i="1"/>
  <c r="F42" i="1"/>
  <c r="G42" i="1"/>
  <c r="F19" i="1"/>
  <c r="G19" i="1"/>
  <c r="F12" i="1"/>
  <c r="G12" i="1"/>
  <c r="F13" i="1"/>
  <c r="G13" i="1"/>
  <c r="F14" i="1"/>
  <c r="G14" i="1"/>
  <c r="F15" i="1"/>
  <c r="G15" i="1"/>
  <c r="B5" i="1"/>
  <c r="G38" i="1"/>
  <c r="F38" i="1"/>
  <c r="E38" i="1"/>
  <c r="H37" i="1"/>
  <c r="H36" i="1"/>
  <c r="F22" i="1"/>
  <c r="G22" i="1"/>
  <c r="F25" i="1"/>
  <c r="G25" i="1"/>
  <c r="F24" i="1"/>
  <c r="G24" i="1"/>
  <c r="F23" i="1"/>
  <c r="G23" i="1"/>
  <c r="F21" i="1"/>
  <c r="G21" i="1"/>
  <c r="F20" i="1"/>
  <c r="G20" i="1"/>
  <c r="E69" i="1"/>
  <c r="G75" i="1"/>
  <c r="E75" i="1"/>
  <c r="F75" i="1"/>
  <c r="E65" i="1"/>
  <c r="F66" i="1"/>
  <c r="F65" i="1"/>
  <c r="E44" i="1"/>
  <c r="H56" i="1"/>
  <c r="H58" i="1"/>
  <c r="H57" i="1"/>
  <c r="H59" i="1"/>
  <c r="E52" i="1"/>
  <c r="H51" i="1"/>
  <c r="H50" i="1"/>
  <c r="H49" i="1"/>
  <c r="H48" i="1"/>
  <c r="F10" i="1"/>
  <c r="G10" i="1"/>
  <c r="G27" i="1"/>
  <c r="G7" i="1"/>
  <c r="F7" i="1"/>
  <c r="H38" i="1"/>
  <c r="E27" i="1"/>
  <c r="F27" i="1"/>
  <c r="F69" i="1"/>
  <c r="G30" i="1"/>
  <c r="F30" i="1"/>
  <c r="H21" i="1"/>
  <c r="H22" i="1"/>
  <c r="H23" i="1"/>
  <c r="H20" i="1"/>
  <c r="H19" i="1"/>
  <c r="E31" i="1"/>
  <c r="E33" i="1"/>
  <c r="H25" i="1"/>
  <c r="H43" i="1"/>
  <c r="G69" i="1"/>
  <c r="G66" i="1"/>
  <c r="G65" i="1"/>
  <c r="H68" i="1"/>
  <c r="F44" i="1"/>
  <c r="G44" i="1"/>
  <c r="H42" i="1"/>
  <c r="H15" i="1"/>
  <c r="G31" i="1"/>
  <c r="G33" i="1"/>
  <c r="H14" i="1"/>
  <c r="H11" i="1"/>
  <c r="H24" i="1"/>
  <c r="F52" i="1"/>
  <c r="F31" i="1"/>
  <c r="E78" i="1"/>
  <c r="E81" i="1"/>
  <c r="H27" i="1"/>
  <c r="H44" i="1"/>
  <c r="H67" i="1"/>
  <c r="H64" i="1"/>
  <c r="G52" i="1"/>
  <c r="G78" i="1"/>
  <c r="G81" i="1"/>
  <c r="H12" i="1"/>
  <c r="H13" i="1"/>
  <c r="H10" i="1"/>
  <c r="F33" i="1"/>
  <c r="F78" i="1"/>
  <c r="F81" i="1"/>
  <c r="E82" i="1"/>
  <c r="E85" i="1"/>
  <c r="H66" i="1"/>
  <c r="G82" i="1"/>
  <c r="G85" i="1"/>
  <c r="G91" i="1"/>
  <c r="F82" i="1"/>
  <c r="F85" i="1"/>
  <c r="F91" i="1"/>
  <c r="H75" i="1"/>
  <c r="H65" i="1"/>
  <c r="H30" i="1"/>
  <c r="H52" i="1"/>
  <c r="H31" i="1"/>
  <c r="E91" i="1"/>
  <c r="H33" i="1"/>
  <c r="H78" i="1"/>
  <c r="H81" i="1"/>
  <c r="H82" i="1"/>
  <c r="H91" i="1"/>
  <c r="H85" i="1"/>
  <c r="H69" i="1"/>
  <c r="F48" i="8"/>
  <c r="F51" i="8"/>
  <c r="F52" i="8"/>
  <c r="F54" i="8"/>
</calcChain>
</file>

<file path=xl/comments1.xml><?xml version="1.0" encoding="utf-8"?>
<comments xmlns="http://schemas.openxmlformats.org/spreadsheetml/2006/main">
  <authors>
    <author>Author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rates with current correct %s.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would be 10%. What they included on GU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Academic year or academic year plus summer? 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Academic year or academic year plus summer? 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>Partial Years not allowed.  Funding for full years only.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>Partial Years not allowed.  Funding for full years only.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</rPr>
          <t>Partial Years not allowed.  Funding for full years only.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25-30 students to come to GU ($150,000).
Fellowships for Ph.D studnts from universities abraod (3 per semester).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25-30 students to come to GU ($150,000).
Fellowships for Ph.D studnts from universities abraod (3 per semester). 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25-30 students to come to GU ($150,000).
Fellowships for Ph.D studnts from universities abraod (3 per semester). </t>
        </r>
      </text>
    </comment>
  </commentList>
</comments>
</file>

<file path=xl/sharedStrings.xml><?xml version="1.0" encoding="utf-8"?>
<sst xmlns="http://schemas.openxmlformats.org/spreadsheetml/2006/main" count="404" uniqueCount="166">
  <si>
    <t>Project Begin Date:</t>
  </si>
  <si>
    <t xml:space="preserve">Non-Personnel Inflation Rate: </t>
  </si>
  <si>
    <t>Project End Date:</t>
  </si>
  <si>
    <t>Number of years:</t>
  </si>
  <si>
    <t>YEAR 1</t>
  </si>
  <si>
    <t>YEAR 2</t>
  </si>
  <si>
    <t>YEAR 3</t>
  </si>
  <si>
    <t>A. SENIOR PERSONNEL</t>
  </si>
  <si>
    <t>Institutional Base</t>
  </si>
  <si>
    <t>B. OTHER PERSONNEL</t>
  </si>
  <si>
    <t>Postdoctoral Scholars</t>
  </si>
  <si>
    <t>Other Professionals</t>
  </si>
  <si>
    <t>Other</t>
  </si>
  <si>
    <t>TOTAL SALARIES AND WAGES (A+B)</t>
  </si>
  <si>
    <t>C. FRINGE BENEFITS</t>
  </si>
  <si>
    <t xml:space="preserve">FRINGE BENEFITS SUBTOTAL (C) </t>
  </si>
  <si>
    <t>TOTAL SALARIES, WAGES AND FRINGE BENFITS (A+B+C)</t>
  </si>
  <si>
    <t>D. EQUIPMENT</t>
  </si>
  <si>
    <t>EQUIPMENT SUBTOTAL</t>
  </si>
  <si>
    <t>E. TRAVEL</t>
  </si>
  <si>
    <t>Domestic</t>
  </si>
  <si>
    <t>Foreign</t>
  </si>
  <si>
    <t>TRAVEL SUBTOTAL</t>
  </si>
  <si>
    <t>F. PARTICIPANT SUPPORT COSTS</t>
  </si>
  <si>
    <t>Stipends</t>
  </si>
  <si>
    <t>Travel</t>
  </si>
  <si>
    <t>Subsistence</t>
  </si>
  <si>
    <t>PARTICIPANT SUPPORT COSTS SUBTOTAL</t>
  </si>
  <si>
    <t>G. OTHER DIRECT COSTS</t>
  </si>
  <si>
    <t>Materials and Supplies</t>
  </si>
  <si>
    <t>Publication Costs/Documentation/Dissmination</t>
  </si>
  <si>
    <t>Consultant Services</t>
  </si>
  <si>
    <t>Computer Services</t>
  </si>
  <si>
    <t>SUBAWARDS</t>
  </si>
  <si>
    <t>Subcontracts Subtotal</t>
  </si>
  <si>
    <t>OTHER</t>
  </si>
  <si>
    <t>Tuition Remission</t>
  </si>
  <si>
    <t>TOTAL OTHER DIRECT COSTS</t>
  </si>
  <si>
    <t>H. TOTAL DIRECT COSTS (A THROUGH G)</t>
  </si>
  <si>
    <t>TOTAL DIRECT COSTS</t>
  </si>
  <si>
    <t>I. INDIRECT COSTS</t>
  </si>
  <si>
    <t>MTDC Base</t>
  </si>
  <si>
    <t>TOTAL INDIRECT COSTS (F&amp;A)</t>
  </si>
  <si>
    <t>J. TOTAL DIRECT AND INDIRECT COSTS</t>
  </si>
  <si>
    <t>TOTAL DIRECT AND INDIRECT COSTS</t>
  </si>
  <si>
    <t>L. AMOUNT OF THIS REQUEST</t>
  </si>
  <si>
    <t>AMOUNT OF THIS REQUEST</t>
  </si>
  <si>
    <t xml:space="preserve"> Budget Worksheet</t>
  </si>
  <si>
    <t>TOTAL</t>
  </si>
  <si>
    <t xml:space="preserve">Personnel Inflation Rate: </t>
  </si>
  <si>
    <t xml:space="preserve">Graduate Student </t>
  </si>
  <si>
    <t>Undergraduate</t>
  </si>
  <si>
    <t>Rates</t>
  </si>
  <si>
    <t>Postdoctoral Fellow Fringe Rate:</t>
  </si>
  <si>
    <t>Faculty/Staff Fringe Rate:</t>
  </si>
  <si>
    <t>Temporary Workers Fringe Rate:</t>
  </si>
  <si>
    <t>Student Fringe Rate</t>
  </si>
  <si>
    <t>Years of Funding</t>
  </si>
  <si>
    <t>Months Per Year</t>
  </si>
  <si>
    <t>Faculty/Staff/Postdoc/Student Fringe</t>
  </si>
  <si>
    <t>SALARY INFORMATION</t>
  </si>
  <si>
    <t>Equipment</t>
  </si>
  <si>
    <t>Type</t>
  </si>
  <si>
    <t>DIRECT COSTS</t>
  </si>
  <si>
    <t>Subcontracts Direct Cost Subtotal</t>
  </si>
  <si>
    <t>Salary/Stipend</t>
  </si>
  <si>
    <t>Subcontracts MTDC Subtotal</t>
  </si>
  <si>
    <t>Subaward 1 (Direct Costs to GU)</t>
  </si>
  <si>
    <t>Subaward 2 (Direct Costs to GU)</t>
  </si>
  <si>
    <t>GU Indirect Costs (Subaward 1)</t>
  </si>
  <si>
    <t>GU Indirect Costs (Subaward 2)</t>
  </si>
  <si>
    <t>Subcontracts MTDC Exclusion</t>
  </si>
  <si>
    <t xml:space="preserve">K. RESIDUAL FUNDS </t>
  </si>
  <si>
    <t>RESIDUAL FUNDS (IF FOR FURTHER SUPPORT OF CURRENT PROJECT)</t>
  </si>
  <si>
    <t>Title/Name</t>
  </si>
  <si>
    <t>Year 1 Amount</t>
  </si>
  <si>
    <t>IDC Rate</t>
  </si>
  <si>
    <t>Kimberly Sellers, PhD (PI)</t>
  </si>
  <si>
    <t>Ali Arab, PhD (Co-PI)</t>
  </si>
  <si>
    <t>TOTAL SALARIES AND WAGES</t>
  </si>
  <si>
    <t>TOTAL FRINGE</t>
  </si>
  <si>
    <t>Fringe benefits</t>
  </si>
  <si>
    <t>Subtotal</t>
  </si>
  <si>
    <t>PERSONNEL GRAND TOTAL</t>
  </si>
  <si>
    <t xml:space="preserve">PERSONNEL </t>
  </si>
  <si>
    <t>Unit</t>
  </si>
  <si>
    <t>IDC</t>
  </si>
  <si>
    <t>SUBTOTAL</t>
  </si>
  <si>
    <t>ODC GRAND TOTAL</t>
  </si>
  <si>
    <t>GRAND TOTAL</t>
  </si>
  <si>
    <t>Purchase at GU</t>
  </si>
  <si>
    <t>Kenya and India Office Faculty/Staff Fringe Rate</t>
  </si>
  <si>
    <t>New GU hire; position required by USAID</t>
  </si>
  <si>
    <t>$20/hr*20hrs/wk*4 weeks*8 months; only half time in first year</t>
  </si>
  <si>
    <t>Finance and Compliance Officer</t>
  </si>
  <si>
    <t>Personnel Inflation Rate</t>
  </si>
  <si>
    <t>Non-Personnel Inflation Rate</t>
  </si>
  <si>
    <t>Main Campus Faculty/Staff Fringe Rate</t>
  </si>
  <si>
    <t>Postdoctoral Fellow Fringe Rate</t>
  </si>
  <si>
    <t>Temporary Workers Fringe Rate</t>
  </si>
  <si>
    <t>Program Manager</t>
  </si>
  <si>
    <t>Unit Cost</t>
  </si>
  <si>
    <t>Month</t>
  </si>
  <si>
    <t>IDC TOTAL (10% of eligible costs)</t>
  </si>
  <si>
    <t>Total</t>
  </si>
  <si>
    <t>Data and Research Manager</t>
  </si>
  <si>
    <t>GW</t>
  </si>
  <si>
    <t>Georgetown</t>
  </si>
  <si>
    <t>gui2de-East Africa</t>
  </si>
  <si>
    <t>Program Assistant</t>
  </si>
  <si>
    <t>gui2de-EA rent</t>
  </si>
  <si>
    <t>Sticker design (photo shoot, digital editing)</t>
  </si>
  <si>
    <t>Time</t>
  </si>
  <si>
    <t>Sticker printing</t>
  </si>
  <si>
    <t>Sticker</t>
  </si>
  <si>
    <t>Shipment</t>
  </si>
  <si>
    <t># Units</t>
  </si>
  <si>
    <t>Staff travel and communication</t>
  </si>
  <si>
    <t>[40,000 matatus and 10,000 buses] 2 x per year</t>
  </si>
  <si>
    <t>[40,000 matatus and 10,000 buses] 1 x per year</t>
  </si>
  <si>
    <t>Sticker shipment distribution</t>
  </si>
  <si>
    <t>Survey</t>
  </si>
  <si>
    <t>Lottery</t>
  </si>
  <si>
    <t>Weekly draw</t>
  </si>
  <si>
    <t>Monitoring/top up distribution (bus park or at inspection centers)</t>
  </si>
  <si>
    <t>Director</t>
  </si>
  <si>
    <t xml:space="preserve">Finance Officer </t>
  </si>
  <si>
    <t>Finance Officer</t>
  </si>
  <si>
    <t>Zusha staff at NTSA centers</t>
  </si>
  <si>
    <t>Monitoring/top up distribution (bus parks)</t>
  </si>
  <si>
    <t>Uganda</t>
  </si>
  <si>
    <t>US (Georgetown)</t>
  </si>
  <si>
    <t>Kenya (gui2de-EA)</t>
  </si>
  <si>
    <t xml:space="preserve">Director of Programs </t>
  </si>
  <si>
    <t>Student Research Assistants</t>
  </si>
  <si>
    <t xml:space="preserve">Finance and Complicanc Officer </t>
  </si>
  <si>
    <t>Zusha! Data and Research Associate</t>
  </si>
  <si>
    <t xml:space="preserve">Office Director </t>
  </si>
  <si>
    <t>Zusha! Program Director</t>
  </si>
  <si>
    <t>Zusha! Program Coordinator</t>
  </si>
  <si>
    <t>Project Assistant</t>
  </si>
  <si>
    <t>Kenya staff travel</t>
  </si>
  <si>
    <t>Computers</t>
  </si>
  <si>
    <t>Communications</t>
  </si>
  <si>
    <t>Tablets for data collection (Kenya, TZ, Uganda)</t>
  </si>
  <si>
    <t>Enumerators (NTSA staff, monitoring)</t>
  </si>
  <si>
    <t>Sticker printing and distribution</t>
  </si>
  <si>
    <t>Graphic design</t>
  </si>
  <si>
    <t>Permits and licensing</t>
  </si>
  <si>
    <t>gui2de-EA office rent</t>
  </si>
  <si>
    <t>Tanzania RCT</t>
  </si>
  <si>
    <t>Uganda RCT</t>
  </si>
  <si>
    <t>Kenya enumerator travel</t>
  </si>
  <si>
    <t>PERSONNEL</t>
  </si>
  <si>
    <t>TRAVEL AND ACCOMMODATION</t>
  </si>
  <si>
    <t>SERVICES</t>
  </si>
  <si>
    <t>OTHER DIRECT COSTS</t>
  </si>
  <si>
    <t>US to Kenya, Uganda, Tanzania travel</t>
  </si>
  <si>
    <t>Sticker shipment and distribution</t>
  </si>
  <si>
    <t>gui2de runs and funds lottery: 20 vehicles per week, 3 winners of $50 USD per vehicle, runs for 52 weeks/year</t>
  </si>
  <si>
    <t>Lottery continues to be run and funded by Direct Line: 8 vehicles per week, 3 winners of $50 each per vehicle, runs for 36 weeks/year</t>
  </si>
  <si>
    <t>gui2de runs and funds lottery: 40 vehicles per week, 3 winners of $50 USD per vehicle, runs for 52 weeks/year</t>
  </si>
  <si>
    <t>Continue current operation of staffing NTSA inspection centers with gui2de staff to distribute stickers and collect data</t>
  </si>
  <si>
    <t>Additional monitoring and distribution by gui2de in bus parks</t>
  </si>
  <si>
    <t>Withdraw current gui2de staff from NTSA inspection centers and hand over sticker distribution and data collection to NTSA staff</t>
  </si>
  <si>
    <t>No additional monitoring and distribution by gui2de in bus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</si>
</sst>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  <numFmt numFmtId="168" formatCode="_(&quot;$&quot;* #,##0_);_(&quot;$&quot;* \(#,##0\);_(&quot;$&quot;* &quot;-&quot;??_);_(@_)"/>
    <numFmt numFmtId="169" formatCode="0.000000000000E+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u/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i/>
      <sz val="16"/>
      <color theme="7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5"/>
      <color rgb="FF1F1F1F"/>
      <name val="Helvetica Neue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F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7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9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166" fontId="0" fillId="2" borderId="0" xfId="0" applyNumberFormat="1" applyFill="1"/>
    <xf numFmtId="14" fontId="0" fillId="0" borderId="1" xfId="0" applyNumberFormat="1" applyFill="1" applyBorder="1"/>
    <xf numFmtId="0" fontId="0" fillId="4" borderId="1" xfId="0" applyFill="1" applyBorder="1"/>
    <xf numFmtId="166" fontId="0" fillId="4" borderId="1" xfId="0" applyNumberFormat="1" applyFill="1" applyBorder="1"/>
    <xf numFmtId="0" fontId="0" fillId="0" borderId="1" xfId="0" applyFill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165" fontId="0" fillId="4" borderId="1" xfId="0" applyNumberFormat="1" applyFill="1" applyBorder="1"/>
    <xf numFmtId="0" fontId="1" fillId="4" borderId="1" xfId="0" applyFont="1" applyFill="1" applyBorder="1"/>
    <xf numFmtId="165" fontId="1" fillId="4" borderId="1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166" fontId="0" fillId="2" borderId="6" xfId="0" applyNumberFormat="1" applyFill="1" applyBorder="1"/>
    <xf numFmtId="165" fontId="0" fillId="2" borderId="0" xfId="0" applyNumberFormat="1" applyFill="1"/>
    <xf numFmtId="165" fontId="0" fillId="2" borderId="8" xfId="0" applyNumberFormat="1" applyFill="1" applyBorder="1"/>
    <xf numFmtId="0" fontId="0" fillId="2" borderId="11" xfId="0" applyFill="1" applyBorder="1"/>
    <xf numFmtId="165" fontId="0" fillId="2" borderId="9" xfId="0" applyNumberFormat="1" applyFill="1" applyBorder="1"/>
    <xf numFmtId="0" fontId="0" fillId="2" borderId="13" xfId="0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0" fillId="2" borderId="12" xfId="0" applyFill="1" applyBorder="1"/>
    <xf numFmtId="0" fontId="0" fillId="2" borderId="0" xfId="0" applyFill="1" applyBorder="1"/>
    <xf numFmtId="166" fontId="0" fillId="2" borderId="0" xfId="0" applyNumberFormat="1" applyFill="1" applyBorder="1"/>
    <xf numFmtId="165" fontId="0" fillId="2" borderId="14" xfId="0" applyNumberFormat="1" applyFill="1" applyBorder="1"/>
    <xf numFmtId="0" fontId="0" fillId="2" borderId="8" xfId="0" applyFill="1" applyBorder="1"/>
    <xf numFmtId="14" fontId="0" fillId="0" borderId="4" xfId="0" applyNumberFormat="1" applyFill="1" applyBorder="1"/>
    <xf numFmtId="0" fontId="0" fillId="2" borderId="14" xfId="0" applyFill="1" applyBorder="1"/>
    <xf numFmtId="0" fontId="5" fillId="2" borderId="0" xfId="0" applyFont="1" applyFill="1" applyBorder="1"/>
    <xf numFmtId="0" fontId="5" fillId="2" borderId="14" xfId="0" applyFont="1" applyFill="1" applyBorder="1"/>
    <xf numFmtId="164" fontId="7" fillId="0" borderId="1" xfId="0" applyNumberFormat="1" applyFont="1" applyBorder="1"/>
    <xf numFmtId="0" fontId="9" fillId="4" borderId="1" xfId="0" applyFont="1" applyFill="1" applyBorder="1"/>
    <xf numFmtId="0" fontId="10" fillId="4" borderId="1" xfId="0" applyFont="1" applyFill="1" applyBorder="1"/>
    <xf numFmtId="0" fontId="11" fillId="4" borderId="1" xfId="0" applyFont="1" applyFill="1" applyBorder="1"/>
    <xf numFmtId="0" fontId="0" fillId="4" borderId="7" xfId="0" applyFill="1" applyBorder="1"/>
    <xf numFmtId="0" fontId="1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9" fillId="2" borderId="10" xfId="0" applyFont="1" applyFill="1" applyBorder="1"/>
    <xf numFmtId="0" fontId="8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/>
    </xf>
    <xf numFmtId="166" fontId="0" fillId="2" borderId="13" xfId="0" applyNumberFormat="1" applyFill="1" applyBorder="1"/>
    <xf numFmtId="0" fontId="0" fillId="4" borderId="1" xfId="0" applyFill="1" applyBorder="1" applyAlignment="1">
      <alignment horizontal="left" indent="2"/>
    </xf>
    <xf numFmtId="0" fontId="0" fillId="4" borderId="1" xfId="0" applyFill="1" applyBorder="1" applyAlignment="1">
      <alignment horizontal="left" indent="4"/>
    </xf>
    <xf numFmtId="0" fontId="8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indent="4"/>
    </xf>
    <xf numFmtId="0" fontId="1" fillId="4" borderId="1" xfId="0" applyFont="1" applyFill="1" applyBorder="1" applyAlignment="1">
      <alignment horizontal="left" indent="6"/>
    </xf>
    <xf numFmtId="0" fontId="9" fillId="4" borderId="1" xfId="0" applyFont="1" applyFill="1" applyBorder="1" applyAlignment="1">
      <alignment wrapText="1"/>
    </xf>
    <xf numFmtId="166" fontId="0" fillId="2" borderId="9" xfId="0" applyNumberFormat="1" applyFill="1" applyBorder="1"/>
    <xf numFmtId="0" fontId="7" fillId="3" borderId="1" xfId="0" applyFont="1" applyFill="1" applyBorder="1"/>
    <xf numFmtId="0" fontId="6" fillId="3" borderId="10" xfId="0" applyFont="1" applyFill="1" applyBorder="1"/>
    <xf numFmtId="0" fontId="7" fillId="3" borderId="7" xfId="0" applyFont="1" applyFill="1" applyBorder="1"/>
    <xf numFmtId="0" fontId="0" fillId="0" borderId="1" xfId="0" applyFont="1" applyFill="1" applyBorder="1"/>
    <xf numFmtId="0" fontId="7" fillId="0" borderId="6" xfId="0" applyFont="1" applyFill="1" applyBorder="1"/>
    <xf numFmtId="0" fontId="0" fillId="0" borderId="6" xfId="0" applyBorder="1"/>
    <xf numFmtId="167" fontId="0" fillId="0" borderId="0" xfId="0" applyNumberFormat="1"/>
    <xf numFmtId="0" fontId="0" fillId="0" borderId="0" xfId="0" applyFont="1"/>
    <xf numFmtId="0" fontId="1" fillId="4" borderId="0" xfId="0" applyFont="1" applyFill="1" applyBorder="1" applyAlignment="1">
      <alignment horizontal="center"/>
    </xf>
    <xf numFmtId="168" fontId="0" fillId="0" borderId="0" xfId="1" applyNumberFormat="1" applyFont="1" applyFill="1" applyBorder="1"/>
    <xf numFmtId="9" fontId="0" fillId="0" borderId="0" xfId="2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6" fontId="1" fillId="4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9" fontId="0" fillId="6" borderId="0" xfId="2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/>
    <xf numFmtId="165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 applyFill="1"/>
    <xf numFmtId="0" fontId="19" fillId="0" borderId="0" xfId="0" applyFont="1" applyFill="1" applyBorder="1"/>
    <xf numFmtId="164" fontId="19" fillId="0" borderId="0" xfId="0" applyNumberFormat="1" applyFont="1" applyFill="1" applyBorder="1"/>
    <xf numFmtId="0" fontId="0" fillId="7" borderId="0" xfId="0" applyFont="1" applyFill="1" applyBorder="1"/>
    <xf numFmtId="164" fontId="0" fillId="7" borderId="0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left"/>
    </xf>
    <xf numFmtId="0" fontId="1" fillId="0" borderId="13" xfId="0" applyFont="1" applyBorder="1"/>
    <xf numFmtId="0" fontId="0" fillId="4" borderId="6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5" fontId="0" fillId="0" borderId="14" xfId="1" applyNumberFormat="1" applyFont="1" applyFill="1" applyBorder="1"/>
    <xf numFmtId="0" fontId="1" fillId="0" borderId="13" xfId="0" applyFont="1" applyFill="1" applyBorder="1"/>
    <xf numFmtId="165" fontId="1" fillId="0" borderId="9" xfId="1" applyNumberFormat="1" applyFont="1" applyFill="1" applyBorder="1"/>
    <xf numFmtId="165" fontId="0" fillId="0" borderId="14" xfId="0" applyNumberFormat="1" applyFont="1" applyFill="1" applyBorder="1"/>
    <xf numFmtId="165" fontId="1" fillId="0" borderId="9" xfId="0" applyNumberFormat="1" applyFont="1" applyFill="1" applyBorder="1"/>
    <xf numFmtId="165" fontId="1" fillId="0" borderId="14" xfId="0" applyNumberFormat="1" applyFont="1" applyFill="1" applyBorder="1"/>
    <xf numFmtId="0" fontId="1" fillId="6" borderId="13" xfId="0" applyFont="1" applyFill="1" applyBorder="1"/>
    <xf numFmtId="165" fontId="1" fillId="6" borderId="15" xfId="0" applyNumberFormat="1" applyFont="1" applyFill="1" applyBorder="1"/>
    <xf numFmtId="0" fontId="1" fillId="0" borderId="11" xfId="0" applyFont="1" applyBorder="1"/>
    <xf numFmtId="0" fontId="0" fillId="8" borderId="0" xfId="0" applyFont="1" applyFill="1" applyBorder="1"/>
    <xf numFmtId="0" fontId="0" fillId="8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2" fontId="0" fillId="0" borderId="0" xfId="2" applyNumberFormat="1" applyFont="1" applyFill="1" applyBorder="1" applyAlignment="1">
      <alignment horizontal="center"/>
    </xf>
    <xf numFmtId="1" fontId="0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 applyBorder="1"/>
    <xf numFmtId="167" fontId="0" fillId="0" borderId="0" xfId="0" applyNumberFormat="1" applyFont="1" applyAlignment="1">
      <alignment vertical="center"/>
    </xf>
    <xf numFmtId="167" fontId="0" fillId="0" borderId="0" xfId="0" applyNumberFormat="1" applyFont="1"/>
    <xf numFmtId="9" fontId="0" fillId="0" borderId="0" xfId="0" applyNumberFormat="1" applyFont="1" applyBorder="1"/>
    <xf numFmtId="166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6" borderId="0" xfId="0" applyFont="1" applyFill="1" applyBorder="1"/>
    <xf numFmtId="166" fontId="0" fillId="6" borderId="0" xfId="0" applyNumberFormat="1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4" borderId="0" xfId="0" applyFont="1" applyFill="1" applyBorder="1"/>
    <xf numFmtId="166" fontId="0" fillId="4" borderId="0" xfId="0" applyNumberFormat="1" applyFont="1" applyFill="1" applyBorder="1"/>
    <xf numFmtId="165" fontId="0" fillId="4" borderId="14" xfId="0" applyNumberFormat="1" applyFont="1" applyFill="1" applyBorder="1"/>
    <xf numFmtId="166" fontId="0" fillId="0" borderId="0" xfId="0" applyNumberFormat="1" applyFont="1" applyBorder="1"/>
    <xf numFmtId="166" fontId="0" fillId="0" borderId="12" xfId="0" applyNumberFormat="1" applyFont="1" applyBorder="1"/>
    <xf numFmtId="0" fontId="0" fillId="0" borderId="13" xfId="0" applyFont="1" applyBorder="1"/>
    <xf numFmtId="165" fontId="0" fillId="0" borderId="14" xfId="0" applyNumberFormat="1" applyFont="1" applyBorder="1"/>
    <xf numFmtId="0" fontId="0" fillId="6" borderId="0" xfId="0" applyFont="1" applyFill="1" applyBorder="1" applyAlignment="1">
      <alignment horizontal="center"/>
    </xf>
    <xf numFmtId="0" fontId="0" fillId="0" borderId="14" xfId="0" applyFont="1" applyBorder="1"/>
    <xf numFmtId="0" fontId="0" fillId="0" borderId="12" xfId="0" applyFont="1" applyBorder="1"/>
    <xf numFmtId="166" fontId="0" fillId="0" borderId="0" xfId="0" applyNumberFormat="1" applyFont="1"/>
    <xf numFmtId="0" fontId="6" fillId="8" borderId="0" xfId="0" applyFont="1" applyFill="1" applyBorder="1"/>
    <xf numFmtId="0" fontId="20" fillId="8" borderId="0" xfId="0" applyFont="1" applyFill="1" applyBorder="1"/>
    <xf numFmtId="0" fontId="6" fillId="4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vertical="center"/>
    </xf>
    <xf numFmtId="0" fontId="8" fillId="5" borderId="1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6" fillId="4" borderId="13" xfId="0" applyFont="1" applyFill="1" applyBorder="1"/>
    <xf numFmtId="167" fontId="0" fillId="0" borderId="14" xfId="0" applyNumberFormat="1" applyFont="1" applyBorder="1"/>
    <xf numFmtId="165" fontId="1" fillId="0" borderId="16" xfId="0" applyNumberFormat="1" applyFont="1" applyBorder="1"/>
    <xf numFmtId="0" fontId="8" fillId="5" borderId="1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169" fontId="21" fillId="0" borderId="0" xfId="0" applyNumberFormat="1" applyFont="1"/>
    <xf numFmtId="0" fontId="0" fillId="0" borderId="13" xfId="0" applyFont="1" applyBorder="1" applyAlignment="1">
      <alignment horizontal="left"/>
    </xf>
    <xf numFmtId="44" fontId="0" fillId="0" borderId="0" xfId="0" applyNumberFormat="1" applyFont="1"/>
    <xf numFmtId="0" fontId="0" fillId="0" borderId="10" xfId="0" applyFont="1" applyFill="1" applyBorder="1" applyAlignment="1">
      <alignment horizontal="left"/>
    </xf>
    <xf numFmtId="165" fontId="0" fillId="0" borderId="7" xfId="1" applyNumberFormat="1" applyFont="1" applyFill="1" applyBorder="1"/>
    <xf numFmtId="0" fontId="1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165" fontId="0" fillId="0" borderId="7" xfId="0" applyNumberFormat="1" applyFont="1" applyFill="1" applyBorder="1"/>
    <xf numFmtId="0" fontId="0" fillId="0" borderId="10" xfId="0" applyFont="1" applyBorder="1" applyAlignment="1">
      <alignment horizontal="left"/>
    </xf>
    <xf numFmtId="0" fontId="0" fillId="0" borderId="10" xfId="0" applyFont="1" applyFill="1" applyBorder="1"/>
    <xf numFmtId="0" fontId="1" fillId="6" borderId="17" xfId="0" applyFont="1" applyFill="1" applyBorder="1"/>
    <xf numFmtId="0" fontId="8" fillId="5" borderId="13" xfId="0" applyFont="1" applyFill="1" applyBorder="1" applyAlignment="1">
      <alignment horizontal="left"/>
    </xf>
    <xf numFmtId="44" fontId="1" fillId="5" borderId="14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left"/>
    </xf>
    <xf numFmtId="165" fontId="0" fillId="7" borderId="14" xfId="1" applyNumberFormat="1" applyFont="1" applyFill="1" applyBorder="1"/>
    <xf numFmtId="0" fontId="8" fillId="5" borderId="1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</cellXfs>
  <cellStyles count="1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CFFC0"/>
      <color rgb="FFFF7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workbookViewId="0">
      <selection activeCell="B9" sqref="B9"/>
    </sheetView>
  </sheetViews>
  <sheetFormatPr defaultColWidth="8.85546875" defaultRowHeight="15"/>
  <cols>
    <col min="1" max="1" width="62.42578125" bestFit="1" customWidth="1"/>
    <col min="2" max="2" width="21.140625" customWidth="1"/>
    <col min="3" max="3" width="21" bestFit="1" customWidth="1"/>
    <col min="4" max="4" width="23.140625" style="2" bestFit="1" customWidth="1"/>
    <col min="5" max="5" width="12.140625" customWidth="1"/>
    <col min="6" max="7" width="12.140625" bestFit="1" customWidth="1"/>
    <col min="8" max="8" width="12.42578125" bestFit="1" customWidth="1"/>
    <col min="9" max="9" width="9.140625" bestFit="1" customWidth="1"/>
    <col min="10" max="10" width="36.42578125" bestFit="1" customWidth="1"/>
  </cols>
  <sheetData>
    <row r="1" spans="1:11" ht="26.25">
      <c r="A1" s="36" t="s">
        <v>47</v>
      </c>
      <c r="B1" s="14"/>
      <c r="C1" s="15"/>
      <c r="D1" s="16"/>
      <c r="E1" s="15"/>
      <c r="F1" s="15"/>
      <c r="G1" s="15"/>
      <c r="H1" s="29"/>
    </row>
    <row r="2" spans="1:11" ht="18.75">
      <c r="A2" s="41"/>
      <c r="B2" s="25"/>
      <c r="C2" s="26"/>
      <c r="D2" s="26"/>
      <c r="E2" s="26"/>
      <c r="F2" s="26"/>
      <c r="G2" s="26"/>
      <c r="H2" s="31"/>
      <c r="J2" s="56" t="s">
        <v>52</v>
      </c>
      <c r="K2" s="57"/>
    </row>
    <row r="3" spans="1:11">
      <c r="A3" s="22" t="s">
        <v>0</v>
      </c>
      <c r="B3" s="30">
        <v>41821</v>
      </c>
      <c r="C3" s="3"/>
      <c r="D3" s="26"/>
      <c r="E3" s="26"/>
      <c r="F3" s="26"/>
      <c r="G3" s="26"/>
      <c r="H3" s="31"/>
      <c r="J3" s="55" t="s">
        <v>49</v>
      </c>
      <c r="K3" s="34">
        <v>0.03</v>
      </c>
    </row>
    <row r="4" spans="1:11">
      <c r="A4" s="23" t="s">
        <v>2</v>
      </c>
      <c r="B4" s="5">
        <v>42916</v>
      </c>
      <c r="C4" s="3"/>
      <c r="D4" s="26"/>
      <c r="E4" s="26"/>
      <c r="F4" s="26"/>
      <c r="G4" s="26"/>
      <c r="H4" s="31"/>
      <c r="J4" s="55" t="s">
        <v>1</v>
      </c>
      <c r="K4" s="34">
        <v>0.03</v>
      </c>
    </row>
    <row r="5" spans="1:11">
      <c r="A5" s="24" t="s">
        <v>3</v>
      </c>
      <c r="B5" s="38">
        <f>ROUND((B4-B3)/365,0)</f>
        <v>3</v>
      </c>
      <c r="C5" s="21"/>
      <c r="D5" s="26"/>
      <c r="E5" s="26"/>
      <c r="F5" s="26"/>
      <c r="G5" s="26"/>
      <c r="H5" s="31"/>
      <c r="J5" s="55" t="s">
        <v>54</v>
      </c>
      <c r="K5" s="34">
        <v>0.28199999999999997</v>
      </c>
    </row>
    <row r="6" spans="1:11" ht="18.75">
      <c r="A6" s="41"/>
      <c r="B6" s="15"/>
      <c r="C6" s="26"/>
      <c r="D6" s="26"/>
      <c r="E6" s="26"/>
      <c r="F6" s="26"/>
      <c r="G6" s="26"/>
      <c r="H6" s="31"/>
      <c r="J6" s="55" t="s">
        <v>53</v>
      </c>
      <c r="K6" s="34">
        <v>0.20200000000000001</v>
      </c>
    </row>
    <row r="7" spans="1:11" ht="21">
      <c r="A7" s="37" t="s">
        <v>60</v>
      </c>
      <c r="B7" s="21"/>
      <c r="C7" s="26"/>
      <c r="D7" s="26"/>
      <c r="E7" s="32"/>
      <c r="F7" s="32" t="str">
        <f>IF($B$5&gt;1,"yes","no")</f>
        <v>yes</v>
      </c>
      <c r="G7" s="32" t="str">
        <f>IF($B$5&gt;2,"yes","no")</f>
        <v>yes</v>
      </c>
      <c r="H7" s="33"/>
      <c r="J7" s="55" t="s">
        <v>55</v>
      </c>
      <c r="K7" s="34">
        <v>6.5000000000000002E-2</v>
      </c>
    </row>
    <row r="8" spans="1:11" ht="18.75">
      <c r="A8" s="35" t="s">
        <v>7</v>
      </c>
      <c r="B8" s="21"/>
      <c r="C8" s="26"/>
      <c r="D8" s="26"/>
      <c r="E8" s="32">
        <v>1</v>
      </c>
      <c r="F8" s="32">
        <v>2</v>
      </c>
      <c r="G8" s="32">
        <v>3</v>
      </c>
      <c r="H8" s="33"/>
      <c r="J8" s="55" t="s">
        <v>56</v>
      </c>
      <c r="K8" s="34">
        <v>0</v>
      </c>
    </row>
    <row r="9" spans="1:11">
      <c r="A9" s="42" t="s">
        <v>74</v>
      </c>
      <c r="B9" s="43" t="s">
        <v>58</v>
      </c>
      <c r="C9" s="44" t="s">
        <v>57</v>
      </c>
      <c r="D9" s="40" t="s">
        <v>8</v>
      </c>
      <c r="E9" s="40" t="s">
        <v>4</v>
      </c>
      <c r="F9" s="40" t="s">
        <v>5</v>
      </c>
      <c r="G9" s="40" t="s">
        <v>6</v>
      </c>
      <c r="H9" s="40" t="s">
        <v>48</v>
      </c>
      <c r="J9" s="55" t="s">
        <v>76</v>
      </c>
      <c r="K9" s="34">
        <v>0.55500000000000005</v>
      </c>
    </row>
    <row r="10" spans="1:11">
      <c r="A10" s="58" t="s">
        <v>77</v>
      </c>
      <c r="B10" s="9">
        <v>0.9</v>
      </c>
      <c r="C10" s="8">
        <v>3</v>
      </c>
      <c r="D10" s="10"/>
      <c r="E10" s="11">
        <f t="shared" ref="E10:E15" si="0">IF(C10&gt;0,ROUND((B10/9)*D10, 0),0)</f>
        <v>0</v>
      </c>
      <c r="F10" s="11">
        <f t="shared" ref="F10:G15" si="1">IF($C10&gt;F$8,ROUND(E10*(1+$K$3),0),IF($C10=F$8,ROUND(E10*(1+$K$3),0),0))</f>
        <v>0</v>
      </c>
      <c r="G10" s="11">
        <f t="shared" si="1"/>
        <v>0</v>
      </c>
      <c r="H10" s="11">
        <f t="shared" ref="H10:H15" si="2">SUM(E10:G10)</f>
        <v>0</v>
      </c>
    </row>
    <row r="11" spans="1:11">
      <c r="A11" s="8" t="s">
        <v>78</v>
      </c>
      <c r="B11" s="9">
        <v>0.9</v>
      </c>
      <c r="C11" s="8">
        <v>3</v>
      </c>
      <c r="D11" s="10"/>
      <c r="E11" s="11">
        <f t="shared" si="0"/>
        <v>0</v>
      </c>
      <c r="F11" s="11">
        <f t="shared" si="1"/>
        <v>0</v>
      </c>
      <c r="G11" s="11">
        <f t="shared" si="1"/>
        <v>0</v>
      </c>
      <c r="H11" s="11">
        <f t="shared" si="2"/>
        <v>0</v>
      </c>
    </row>
    <row r="12" spans="1:11">
      <c r="A12" s="8"/>
      <c r="B12" s="9">
        <v>0</v>
      </c>
      <c r="C12" s="8">
        <v>0</v>
      </c>
      <c r="D12" s="10">
        <v>0</v>
      </c>
      <c r="E12" s="11">
        <f t="shared" si="0"/>
        <v>0</v>
      </c>
      <c r="F12" s="11">
        <f t="shared" si="1"/>
        <v>0</v>
      </c>
      <c r="G12" s="11">
        <f t="shared" si="1"/>
        <v>0</v>
      </c>
      <c r="H12" s="11">
        <f t="shared" si="2"/>
        <v>0</v>
      </c>
    </row>
    <row r="13" spans="1:11">
      <c r="A13" s="8"/>
      <c r="B13" s="9">
        <v>0</v>
      </c>
      <c r="C13" s="8">
        <v>0</v>
      </c>
      <c r="D13" s="10">
        <v>0</v>
      </c>
      <c r="E13" s="11">
        <f t="shared" si="0"/>
        <v>0</v>
      </c>
      <c r="F13" s="11">
        <f t="shared" si="1"/>
        <v>0</v>
      </c>
      <c r="G13" s="11">
        <f t="shared" si="1"/>
        <v>0</v>
      </c>
      <c r="H13" s="11">
        <f t="shared" si="2"/>
        <v>0</v>
      </c>
    </row>
    <row r="14" spans="1:11">
      <c r="A14" s="8"/>
      <c r="B14" s="9">
        <v>0</v>
      </c>
      <c r="C14" s="8">
        <v>0</v>
      </c>
      <c r="D14" s="10">
        <v>0</v>
      </c>
      <c r="E14" s="11">
        <f t="shared" si="0"/>
        <v>0</v>
      </c>
      <c r="F14" s="11">
        <f t="shared" si="1"/>
        <v>0</v>
      </c>
      <c r="G14" s="11">
        <f t="shared" si="1"/>
        <v>0</v>
      </c>
      <c r="H14" s="11">
        <f t="shared" si="2"/>
        <v>0</v>
      </c>
    </row>
    <row r="15" spans="1:11">
      <c r="A15" s="8"/>
      <c r="B15" s="9">
        <v>0</v>
      </c>
      <c r="C15" s="8">
        <v>0</v>
      </c>
      <c r="D15" s="10">
        <v>0</v>
      </c>
      <c r="E15" s="11">
        <f t="shared" si="0"/>
        <v>0</v>
      </c>
      <c r="F15" s="11">
        <f t="shared" si="1"/>
        <v>0</v>
      </c>
      <c r="G15" s="11">
        <f t="shared" si="1"/>
        <v>0</v>
      </c>
      <c r="H15" s="11">
        <f t="shared" si="2"/>
        <v>0</v>
      </c>
    </row>
    <row r="16" spans="1:11" ht="18.75">
      <c r="A16" s="41"/>
      <c r="B16" s="26"/>
      <c r="C16" s="26"/>
      <c r="D16" s="27"/>
      <c r="E16" s="17"/>
      <c r="F16" s="17"/>
      <c r="G16" s="17"/>
      <c r="H16" s="18"/>
    </row>
    <row r="17" spans="1:9" ht="18.75">
      <c r="A17" s="35" t="s">
        <v>9</v>
      </c>
      <c r="B17" s="19"/>
      <c r="C17" s="3"/>
      <c r="D17" s="4"/>
      <c r="E17" s="17"/>
      <c r="F17" s="17"/>
      <c r="G17" s="17"/>
      <c r="H17" s="28"/>
    </row>
    <row r="18" spans="1:9">
      <c r="A18" s="42" t="s">
        <v>62</v>
      </c>
      <c r="B18" s="45" t="s">
        <v>58</v>
      </c>
      <c r="C18" s="44" t="s">
        <v>57</v>
      </c>
      <c r="D18" s="44" t="s">
        <v>65</v>
      </c>
      <c r="E18" s="40" t="s">
        <v>4</v>
      </c>
      <c r="F18" s="40" t="s">
        <v>5</v>
      </c>
      <c r="G18" s="40" t="s">
        <v>6</v>
      </c>
      <c r="H18" s="40" t="s">
        <v>48</v>
      </c>
    </row>
    <row r="19" spans="1:9">
      <c r="A19" s="6" t="s">
        <v>10</v>
      </c>
      <c r="B19" s="9">
        <v>12</v>
      </c>
      <c r="C19" s="8">
        <v>3</v>
      </c>
      <c r="D19" s="10">
        <v>90000</v>
      </c>
      <c r="E19" s="11">
        <f>ROUND((B19/12)*D19, 0)</f>
        <v>90000</v>
      </c>
      <c r="F19" s="11">
        <f t="shared" ref="F19:G26" si="3">IF($C19&gt;F$8,ROUND(E19*(1+$K$3),0),IF($C19=F$8,ROUND(E19*(1+$K$3),0),0))</f>
        <v>92700</v>
      </c>
      <c r="G19" s="11">
        <f t="shared" si="3"/>
        <v>95481</v>
      </c>
      <c r="H19" s="11">
        <f t="shared" ref="H19:H27" si="4">SUM(E19:G19)</f>
        <v>278181</v>
      </c>
      <c r="I19" s="61"/>
    </row>
    <row r="20" spans="1:9" hidden="1">
      <c r="A20" s="6" t="s">
        <v>11</v>
      </c>
      <c r="B20" s="9">
        <v>0</v>
      </c>
      <c r="C20" s="8">
        <v>0</v>
      </c>
      <c r="D20" s="10">
        <v>0</v>
      </c>
      <c r="E20" s="11">
        <f>ROUND((B20/12)*D20, 0)</f>
        <v>0</v>
      </c>
      <c r="F20" s="11">
        <f t="shared" si="3"/>
        <v>0</v>
      </c>
      <c r="G20" s="11">
        <f t="shared" si="3"/>
        <v>0</v>
      </c>
      <c r="H20" s="11">
        <f t="shared" si="4"/>
        <v>0</v>
      </c>
      <c r="I20" s="1"/>
    </row>
    <row r="21" spans="1:9" hidden="1">
      <c r="A21" s="6" t="s">
        <v>11</v>
      </c>
      <c r="B21" s="9">
        <v>0</v>
      </c>
      <c r="C21" s="8">
        <v>0</v>
      </c>
      <c r="D21" s="10">
        <v>0</v>
      </c>
      <c r="E21" s="11">
        <f>ROUND((B21/12)*D21, 0)</f>
        <v>0</v>
      </c>
      <c r="F21" s="11">
        <f t="shared" si="3"/>
        <v>0</v>
      </c>
      <c r="G21" s="11">
        <f t="shared" si="3"/>
        <v>0</v>
      </c>
      <c r="H21" s="11">
        <f t="shared" si="4"/>
        <v>0</v>
      </c>
    </row>
    <row r="22" spans="1:9" hidden="1">
      <c r="A22" s="6" t="s">
        <v>12</v>
      </c>
      <c r="B22" s="9">
        <v>0</v>
      </c>
      <c r="C22" s="8">
        <v>0</v>
      </c>
      <c r="D22" s="10">
        <v>0</v>
      </c>
      <c r="E22" s="11">
        <f>ROUND((B22/12)*D22, 0)</f>
        <v>0</v>
      </c>
      <c r="F22" s="11">
        <f t="shared" si="3"/>
        <v>0</v>
      </c>
      <c r="G22" s="11">
        <f t="shared" si="3"/>
        <v>0</v>
      </c>
      <c r="H22" s="11">
        <f t="shared" si="4"/>
        <v>0</v>
      </c>
    </row>
    <row r="23" spans="1:9">
      <c r="A23" s="6" t="s">
        <v>50</v>
      </c>
      <c r="B23" s="9">
        <v>12</v>
      </c>
      <c r="C23" s="8">
        <v>3</v>
      </c>
      <c r="D23" s="10">
        <v>8320</v>
      </c>
      <c r="E23" s="11">
        <f>+IF(C23&gt;0,D23,0)</f>
        <v>8320</v>
      </c>
      <c r="F23" s="11">
        <f t="shared" si="3"/>
        <v>8570</v>
      </c>
      <c r="G23" s="11">
        <f t="shared" si="3"/>
        <v>8827</v>
      </c>
      <c r="H23" s="11">
        <f t="shared" si="4"/>
        <v>25717</v>
      </c>
    </row>
    <row r="24" spans="1:9">
      <c r="A24" s="6" t="s">
        <v>50</v>
      </c>
      <c r="B24" s="9">
        <v>12</v>
      </c>
      <c r="C24" s="8">
        <v>0</v>
      </c>
      <c r="D24" s="10">
        <v>0</v>
      </c>
      <c r="E24" s="11">
        <f t="shared" ref="E24:E26" si="5">+IF(C24&gt;0,D24,0)</f>
        <v>0</v>
      </c>
      <c r="F24" s="11">
        <f t="shared" si="3"/>
        <v>0</v>
      </c>
      <c r="G24" s="11">
        <f t="shared" si="3"/>
        <v>0</v>
      </c>
      <c r="H24" s="11">
        <f t="shared" si="4"/>
        <v>0</v>
      </c>
    </row>
    <row r="25" spans="1:9">
      <c r="A25" s="6" t="s">
        <v>51</v>
      </c>
      <c r="B25" s="9">
        <v>2</v>
      </c>
      <c r="C25" s="8">
        <v>3</v>
      </c>
      <c r="D25" s="10">
        <v>2000</v>
      </c>
      <c r="E25" s="11">
        <f t="shared" si="5"/>
        <v>2000</v>
      </c>
      <c r="F25" s="11">
        <f t="shared" si="3"/>
        <v>2060</v>
      </c>
      <c r="G25" s="11">
        <f t="shared" si="3"/>
        <v>2122</v>
      </c>
      <c r="H25" s="11">
        <f t="shared" si="4"/>
        <v>6182</v>
      </c>
    </row>
    <row r="26" spans="1:9">
      <c r="A26" s="6" t="s">
        <v>51</v>
      </c>
      <c r="B26" s="9">
        <v>2</v>
      </c>
      <c r="C26" s="8">
        <v>3</v>
      </c>
      <c r="D26" s="10">
        <v>2000</v>
      </c>
      <c r="E26" s="11">
        <f t="shared" si="5"/>
        <v>2000</v>
      </c>
      <c r="F26" s="11">
        <f t="shared" si="3"/>
        <v>2060</v>
      </c>
      <c r="G26" s="11">
        <f t="shared" si="3"/>
        <v>2122</v>
      </c>
      <c r="H26" s="11">
        <f t="shared" si="4"/>
        <v>6182</v>
      </c>
    </row>
    <row r="27" spans="1:9">
      <c r="A27" s="12" t="s">
        <v>13</v>
      </c>
      <c r="B27" s="6"/>
      <c r="C27" s="6"/>
      <c r="D27" s="7"/>
      <c r="E27" s="13">
        <f>SUM(E10:E15,E19:E25)</f>
        <v>100320</v>
      </c>
      <c r="F27" s="13">
        <f>SUM(F10:F15,F19:F25)</f>
        <v>103330</v>
      </c>
      <c r="G27" s="13">
        <f>SUM(G10:G15,G19:G25)</f>
        <v>106430</v>
      </c>
      <c r="H27" s="13">
        <f t="shared" si="4"/>
        <v>310080</v>
      </c>
    </row>
    <row r="28" spans="1:9" ht="18.75">
      <c r="A28" s="41"/>
      <c r="B28" s="26"/>
      <c r="C28" s="26"/>
      <c r="D28" s="27"/>
      <c r="E28" s="17"/>
      <c r="F28" s="17"/>
      <c r="G28" s="17"/>
      <c r="H28" s="18"/>
    </row>
    <row r="29" spans="1:9" ht="18.75">
      <c r="A29" s="35" t="s">
        <v>14</v>
      </c>
      <c r="B29" s="26"/>
      <c r="C29" s="26"/>
      <c r="D29" s="27"/>
      <c r="E29" s="40" t="s">
        <v>4</v>
      </c>
      <c r="F29" s="40" t="s">
        <v>5</v>
      </c>
      <c r="G29" s="40" t="s">
        <v>6</v>
      </c>
      <c r="H29" s="40" t="s">
        <v>48</v>
      </c>
    </row>
    <row r="30" spans="1:9">
      <c r="A30" s="6" t="s">
        <v>59</v>
      </c>
      <c r="B30" s="3"/>
      <c r="C30" s="3"/>
      <c r="D30" s="4"/>
      <c r="E30" s="11">
        <f>+SUM(E10:E15,E20:E21)*$K$5+SUM(E19:E19)*$K$6+SUM(E23:E25)*$K$8+E22*$K$7</f>
        <v>18180</v>
      </c>
      <c r="F30" s="11">
        <f>+SUM(F10:F15,F20:F21)*$K$5+SUM(F19:F19)*$K$6+SUM(F23:F25)*$K$8+F22*$K$7</f>
        <v>18725.400000000001</v>
      </c>
      <c r="G30" s="11">
        <f>+SUM(G10:G15,G20:G21)*$K$5+SUM(G19:G19)*$K$6+SUM(G23:G25)*$K$8+G22*$K$7</f>
        <v>19287.162</v>
      </c>
      <c r="H30" s="11">
        <f>SUM(E30:G30)</f>
        <v>56192.562000000005</v>
      </c>
    </row>
    <row r="31" spans="1:9">
      <c r="A31" s="12" t="s">
        <v>15</v>
      </c>
      <c r="B31" s="21"/>
      <c r="C31" s="26"/>
      <c r="D31" s="27"/>
      <c r="E31" s="11">
        <f>SUM(E30:E30)</f>
        <v>18180</v>
      </c>
      <c r="F31" s="11">
        <f>SUM(F30:F30)</f>
        <v>18725.400000000001</v>
      </c>
      <c r="G31" s="11">
        <f>SUM(G30:G30)</f>
        <v>19287.162</v>
      </c>
      <c r="H31" s="11">
        <f>SUM(E31:G31)</f>
        <v>56192.562000000005</v>
      </c>
    </row>
    <row r="32" spans="1:9" ht="18.75">
      <c r="A32" s="41"/>
      <c r="B32" s="26"/>
      <c r="C32" s="26"/>
      <c r="D32" s="27"/>
      <c r="E32" s="17"/>
      <c r="F32" s="17"/>
      <c r="G32" s="17"/>
      <c r="H32" s="18"/>
    </row>
    <row r="33" spans="1:8" ht="15.75">
      <c r="A33" s="39" t="s">
        <v>16</v>
      </c>
      <c r="B33" s="21"/>
      <c r="C33" s="26"/>
      <c r="D33" s="27"/>
      <c r="E33" s="13">
        <f>SUM(E27,E31)</f>
        <v>118500</v>
      </c>
      <c r="F33" s="13">
        <f>SUM(F27,F31)</f>
        <v>122055.4</v>
      </c>
      <c r="G33" s="13">
        <f>SUM(G27,G31)</f>
        <v>125717.162</v>
      </c>
      <c r="H33" s="13">
        <f>SUM(E33:G33)</f>
        <v>366272.56199999998</v>
      </c>
    </row>
    <row r="34" spans="1:8" ht="18.75">
      <c r="A34" s="41"/>
      <c r="B34" s="26"/>
      <c r="C34" s="26"/>
      <c r="D34" s="27"/>
      <c r="E34" s="17"/>
      <c r="F34" s="17"/>
      <c r="G34" s="17"/>
      <c r="H34" s="18"/>
    </row>
    <row r="35" spans="1:8" ht="18.75">
      <c r="A35" s="35" t="s">
        <v>17</v>
      </c>
      <c r="B35" s="26"/>
      <c r="C35" s="26"/>
      <c r="D35" s="27"/>
      <c r="E35" s="40" t="s">
        <v>4</v>
      </c>
      <c r="F35" s="40" t="s">
        <v>5</v>
      </c>
      <c r="G35" s="40" t="s">
        <v>6</v>
      </c>
      <c r="H35" s="40" t="s">
        <v>48</v>
      </c>
    </row>
    <row r="36" spans="1:8">
      <c r="A36" s="6" t="s">
        <v>61</v>
      </c>
      <c r="B36" s="3"/>
      <c r="C36" s="3"/>
      <c r="D36" s="4"/>
      <c r="E36" s="10">
        <v>0</v>
      </c>
      <c r="F36" s="10">
        <v>0</v>
      </c>
      <c r="G36" s="10">
        <v>0</v>
      </c>
      <c r="H36" s="11">
        <f>SUM(E36:G36)</f>
        <v>0</v>
      </c>
    </row>
    <row r="37" spans="1:8">
      <c r="A37" s="6" t="s">
        <v>61</v>
      </c>
      <c r="B37" s="21"/>
      <c r="C37" s="26"/>
      <c r="D37" s="27"/>
      <c r="E37" s="10">
        <v>0</v>
      </c>
      <c r="F37" s="10">
        <v>0</v>
      </c>
      <c r="G37" s="10">
        <v>0</v>
      </c>
      <c r="H37" s="11">
        <f>SUM(E37:G37)</f>
        <v>0</v>
      </c>
    </row>
    <row r="38" spans="1:8">
      <c r="A38" s="12" t="s">
        <v>18</v>
      </c>
      <c r="B38" s="21"/>
      <c r="C38" s="26"/>
      <c r="D38" s="27"/>
      <c r="E38" s="13">
        <f>SUM(E36:E37)</f>
        <v>0</v>
      </c>
      <c r="F38" s="13">
        <f>SUM(F36:F37)</f>
        <v>0</v>
      </c>
      <c r="G38" s="13">
        <f>SUM(G36:G37)</f>
        <v>0</v>
      </c>
      <c r="H38" s="13">
        <f>SUM(E38:G38)</f>
        <v>0</v>
      </c>
    </row>
    <row r="39" spans="1:8" ht="18.75">
      <c r="A39" s="41"/>
      <c r="B39" s="26"/>
      <c r="C39" s="26"/>
      <c r="D39" s="27"/>
      <c r="E39" s="17"/>
      <c r="F39" s="17"/>
      <c r="G39" s="17"/>
      <c r="H39" s="18"/>
    </row>
    <row r="40" spans="1:8" ht="18.75">
      <c r="A40" s="35" t="s">
        <v>19</v>
      </c>
      <c r="B40" s="19"/>
      <c r="C40" s="25"/>
      <c r="D40" s="27"/>
      <c r="E40" s="17"/>
      <c r="F40" s="17"/>
      <c r="G40" s="17"/>
      <c r="H40" s="28"/>
    </row>
    <row r="41" spans="1:8">
      <c r="A41" s="42" t="s">
        <v>62</v>
      </c>
      <c r="B41" s="44" t="s">
        <v>57</v>
      </c>
      <c r="C41" s="45" t="s">
        <v>75</v>
      </c>
      <c r="D41" s="46"/>
      <c r="E41" s="40" t="s">
        <v>4</v>
      </c>
      <c r="F41" s="40" t="s">
        <v>5</v>
      </c>
      <c r="G41" s="40" t="s">
        <v>6</v>
      </c>
      <c r="H41" s="40" t="s">
        <v>48</v>
      </c>
    </row>
    <row r="42" spans="1:8">
      <c r="A42" s="6" t="s">
        <v>20</v>
      </c>
      <c r="B42" s="8">
        <v>3</v>
      </c>
      <c r="C42" s="10">
        <v>2000</v>
      </c>
      <c r="D42" s="46"/>
      <c r="E42" s="11">
        <f>+C42</f>
        <v>2000</v>
      </c>
      <c r="F42" s="11">
        <f>IF($B42&gt;F$8,ROUND(E42*(1+$K$4),0),IF($B42=F$8,ROUND(E42*(1+$K$4),0),0))</f>
        <v>2060</v>
      </c>
      <c r="G42" s="11">
        <f>IF($B42&gt;G$8,ROUND(F42*(1+$K$4),0),IF($B42=G$8,ROUND(F42*(1+$K$4),0),0))</f>
        <v>2122</v>
      </c>
      <c r="H42" s="11">
        <f>SUM(E42:G42)</f>
        <v>6182</v>
      </c>
    </row>
    <row r="43" spans="1:8">
      <c r="A43" s="6" t="s">
        <v>21</v>
      </c>
      <c r="B43" s="8">
        <v>3</v>
      </c>
      <c r="C43" s="10">
        <v>3000</v>
      </c>
      <c r="D43" s="46"/>
      <c r="E43" s="11">
        <f>+C43</f>
        <v>3000</v>
      </c>
      <c r="F43" s="11">
        <f>IF($B43&gt;F$8,ROUND(E43*(1+$K$4),0),IF($B43=F$8,ROUND(E43*(1+$K$4),0),0))</f>
        <v>3090</v>
      </c>
      <c r="G43" s="11">
        <f>IF($B43&gt;G$8,ROUND(F43*(1+$K$4),0),IF($B43=G$8,ROUND(F43*(1+$K$4),0),0))</f>
        <v>3183</v>
      </c>
      <c r="H43" s="11">
        <f>SUM(E43:G43)</f>
        <v>9273</v>
      </c>
    </row>
    <row r="44" spans="1:8">
      <c r="A44" s="12" t="s">
        <v>22</v>
      </c>
      <c r="B44" s="21"/>
      <c r="C44" s="26"/>
      <c r="D44" s="27"/>
      <c r="E44" s="13">
        <f>SUM(E42:E43)</f>
        <v>5000</v>
      </c>
      <c r="F44" s="13">
        <f>SUM(F42:F43)</f>
        <v>5150</v>
      </c>
      <c r="G44" s="13">
        <f>SUM(G42:G43)</f>
        <v>5305</v>
      </c>
      <c r="H44" s="13">
        <f>SUM(E44:G44)</f>
        <v>15455</v>
      </c>
    </row>
    <row r="45" spans="1:8" ht="18.75">
      <c r="A45" s="41"/>
      <c r="B45" s="26"/>
      <c r="C45" s="26"/>
      <c r="D45" s="27"/>
      <c r="E45" s="17"/>
      <c r="F45" s="17"/>
      <c r="G45" s="17"/>
      <c r="H45" s="18"/>
    </row>
    <row r="46" spans="1:8" ht="18.75">
      <c r="A46" s="35" t="s">
        <v>23</v>
      </c>
      <c r="B46" s="26"/>
      <c r="C46" s="26"/>
      <c r="D46" s="27"/>
      <c r="E46" s="17"/>
      <c r="F46" s="17"/>
      <c r="G46" s="17"/>
      <c r="H46" s="20"/>
    </row>
    <row r="47" spans="1:8">
      <c r="A47" s="42" t="s">
        <v>62</v>
      </c>
      <c r="B47" s="44" t="s">
        <v>57</v>
      </c>
      <c r="C47" s="45" t="s">
        <v>75</v>
      </c>
      <c r="D47" s="46"/>
      <c r="E47" s="40" t="s">
        <v>4</v>
      </c>
      <c r="F47" s="40" t="s">
        <v>5</v>
      </c>
      <c r="G47" s="40" t="s">
        <v>6</v>
      </c>
      <c r="H47" s="40" t="s">
        <v>48</v>
      </c>
    </row>
    <row r="48" spans="1:8">
      <c r="A48" s="6" t="s">
        <v>24</v>
      </c>
      <c r="B48" s="8">
        <v>0</v>
      </c>
      <c r="C48" s="10">
        <v>0</v>
      </c>
      <c r="D48" s="46"/>
      <c r="E48" s="11">
        <f>+C48</f>
        <v>0</v>
      </c>
      <c r="F48" s="11">
        <f>IF($B48&gt;F$8,ROUND(E48*(1+$K$3),0),IF($B48=F$8,ROUND(E48*(1+$K$3),0),0))</f>
        <v>0</v>
      </c>
      <c r="G48" s="11">
        <f>IF($B48&gt;G$8,ROUND(F48*(1+$K$3),0),IF($B48=G$8,ROUND(F48*(1+$K$3),0),0))</f>
        <v>0</v>
      </c>
      <c r="H48" s="11">
        <f>SUM(E48:G48)</f>
        <v>0</v>
      </c>
    </row>
    <row r="49" spans="1:8">
      <c r="A49" s="6" t="s">
        <v>25</v>
      </c>
      <c r="B49" s="8">
        <v>0</v>
      </c>
      <c r="C49" s="10">
        <v>0</v>
      </c>
      <c r="D49" s="46"/>
      <c r="E49" s="11">
        <f>+C49</f>
        <v>0</v>
      </c>
      <c r="F49" s="11">
        <f t="shared" ref="F49:G51" si="6">IF($B49&gt;F$8,ROUND(E49*(1+$K$4),0),IF($B49=F$8,ROUND(E49*(1+$K$4),0),0))</f>
        <v>0</v>
      </c>
      <c r="G49" s="11">
        <f t="shared" si="6"/>
        <v>0</v>
      </c>
      <c r="H49" s="11">
        <f>SUM(E49:G49)</f>
        <v>0</v>
      </c>
    </row>
    <row r="50" spans="1:8">
      <c r="A50" s="6" t="s">
        <v>26</v>
      </c>
      <c r="B50" s="8">
        <v>0</v>
      </c>
      <c r="C50" s="10">
        <v>0</v>
      </c>
      <c r="D50" s="46"/>
      <c r="E50" s="11">
        <f>+C50</f>
        <v>0</v>
      </c>
      <c r="F50" s="11">
        <f t="shared" si="6"/>
        <v>0</v>
      </c>
      <c r="G50" s="11">
        <f t="shared" si="6"/>
        <v>0</v>
      </c>
      <c r="H50" s="11">
        <f>SUM(E50:G50)</f>
        <v>0</v>
      </c>
    </row>
    <row r="51" spans="1:8">
      <c r="A51" s="6" t="s">
        <v>12</v>
      </c>
      <c r="B51" s="8">
        <v>0</v>
      </c>
      <c r="C51" s="10">
        <v>0</v>
      </c>
      <c r="D51" s="46"/>
      <c r="E51" s="11">
        <f>+C51</f>
        <v>0</v>
      </c>
      <c r="F51" s="11">
        <f t="shared" si="6"/>
        <v>0</v>
      </c>
      <c r="G51" s="11">
        <f t="shared" si="6"/>
        <v>0</v>
      </c>
      <c r="H51" s="11">
        <f>SUM(E51:G51)</f>
        <v>0</v>
      </c>
    </row>
    <row r="52" spans="1:8">
      <c r="A52" s="12" t="s">
        <v>27</v>
      </c>
      <c r="B52" s="21"/>
      <c r="C52" s="26"/>
      <c r="D52" s="27"/>
      <c r="E52" s="13">
        <f>SUM(E48:E51)</f>
        <v>0</v>
      </c>
      <c r="F52" s="13">
        <f>SUM(F48:F51)</f>
        <v>0</v>
      </c>
      <c r="G52" s="13">
        <f>SUM(G48:G51)</f>
        <v>0</v>
      </c>
      <c r="H52" s="13">
        <f>SUM(E52:G52)</f>
        <v>0</v>
      </c>
    </row>
    <row r="53" spans="1:8" ht="18.75">
      <c r="A53" s="41"/>
      <c r="B53" s="26"/>
      <c r="C53" s="26"/>
      <c r="D53" s="27"/>
      <c r="E53" s="17"/>
      <c r="F53" s="17"/>
      <c r="G53" s="17"/>
      <c r="H53" s="18"/>
    </row>
    <row r="54" spans="1:8" ht="18.75">
      <c r="A54" s="35" t="s">
        <v>28</v>
      </c>
      <c r="B54" s="21"/>
      <c r="C54" s="26"/>
      <c r="D54" s="27"/>
      <c r="E54" s="17"/>
      <c r="F54" s="17"/>
      <c r="G54" s="17"/>
      <c r="H54" s="28"/>
    </row>
    <row r="55" spans="1:8">
      <c r="A55" s="50" t="s">
        <v>63</v>
      </c>
      <c r="B55" s="44" t="s">
        <v>57</v>
      </c>
      <c r="C55" s="45" t="s">
        <v>75</v>
      </c>
      <c r="D55" s="46"/>
      <c r="E55" s="40" t="s">
        <v>4</v>
      </c>
      <c r="F55" s="40" t="s">
        <v>5</v>
      </c>
      <c r="G55" s="40" t="s">
        <v>6</v>
      </c>
      <c r="H55" s="40" t="s">
        <v>48</v>
      </c>
    </row>
    <row r="56" spans="1:8">
      <c r="A56" s="47" t="s">
        <v>29</v>
      </c>
      <c r="B56" s="8">
        <v>3</v>
      </c>
      <c r="C56" s="10">
        <v>1500</v>
      </c>
      <c r="D56" s="46"/>
      <c r="E56" s="11">
        <f>+C56</f>
        <v>1500</v>
      </c>
      <c r="F56" s="11">
        <f t="shared" ref="F56:G59" si="7">IF($B56&gt;F$8,ROUND(E56*(1+$K$4),0),IF($B56=F$8,ROUND(E56*(1+$K$4),0),0))</f>
        <v>1545</v>
      </c>
      <c r="G56" s="11">
        <f t="shared" si="7"/>
        <v>1591</v>
      </c>
      <c r="H56" s="11">
        <f>SUM(E56:G56)</f>
        <v>4636</v>
      </c>
    </row>
    <row r="57" spans="1:8">
      <c r="A57" s="47" t="s">
        <v>30</v>
      </c>
      <c r="B57" s="8">
        <v>3</v>
      </c>
      <c r="C57" s="10">
        <v>500</v>
      </c>
      <c r="D57" s="46"/>
      <c r="E57" s="11">
        <f>+C57</f>
        <v>500</v>
      </c>
      <c r="F57" s="11">
        <f t="shared" si="7"/>
        <v>515</v>
      </c>
      <c r="G57" s="11">
        <f t="shared" si="7"/>
        <v>530</v>
      </c>
      <c r="H57" s="11">
        <f>SUM(E57:G57)</f>
        <v>1545</v>
      </c>
    </row>
    <row r="58" spans="1:8">
      <c r="A58" s="47" t="s">
        <v>31</v>
      </c>
      <c r="B58" s="8">
        <v>0</v>
      </c>
      <c r="C58" s="10">
        <v>0</v>
      </c>
      <c r="D58" s="46"/>
      <c r="E58" s="11">
        <f>+C58</f>
        <v>0</v>
      </c>
      <c r="F58" s="11">
        <f t="shared" si="7"/>
        <v>0</v>
      </c>
      <c r="G58" s="11">
        <f t="shared" si="7"/>
        <v>0</v>
      </c>
      <c r="H58" s="11">
        <f>SUM(E58:G58)</f>
        <v>0</v>
      </c>
    </row>
    <row r="59" spans="1:8">
      <c r="A59" s="47" t="s">
        <v>32</v>
      </c>
      <c r="B59" s="8">
        <v>0</v>
      </c>
      <c r="C59" s="10">
        <v>0</v>
      </c>
      <c r="D59" s="46"/>
      <c r="E59" s="11">
        <f>+C59</f>
        <v>0</v>
      </c>
      <c r="F59" s="11">
        <f t="shared" si="7"/>
        <v>0</v>
      </c>
      <c r="G59" s="11">
        <f t="shared" si="7"/>
        <v>0</v>
      </c>
      <c r="H59" s="11">
        <f>SUM(E59:G59)</f>
        <v>0</v>
      </c>
    </row>
    <row r="60" spans="1:8" ht="18.75">
      <c r="A60" s="41"/>
      <c r="B60" s="26"/>
      <c r="C60" s="26"/>
      <c r="D60" s="27"/>
      <c r="E60" s="17"/>
      <c r="F60" s="17"/>
      <c r="G60" s="17"/>
      <c r="H60" s="18"/>
    </row>
    <row r="61" spans="1:8">
      <c r="A61" s="6" t="s">
        <v>33</v>
      </c>
      <c r="B61" s="26"/>
      <c r="C61" s="26"/>
      <c r="D61" s="27"/>
      <c r="E61" s="40" t="s">
        <v>4</v>
      </c>
      <c r="F61" s="40" t="s">
        <v>5</v>
      </c>
      <c r="G61" s="40" t="s">
        <v>6</v>
      </c>
      <c r="H61" s="40" t="s">
        <v>48</v>
      </c>
    </row>
    <row r="62" spans="1:8">
      <c r="A62" s="47" t="s">
        <v>67</v>
      </c>
      <c r="B62" s="3"/>
      <c r="C62" s="3"/>
      <c r="D62" s="4"/>
      <c r="E62" s="10">
        <v>0</v>
      </c>
      <c r="F62" s="10">
        <v>0</v>
      </c>
      <c r="G62" s="10">
        <v>0</v>
      </c>
      <c r="H62" s="11">
        <f t="shared" ref="H62:H69" si="8">SUM(E62:G62)</f>
        <v>0</v>
      </c>
    </row>
    <row r="63" spans="1:8">
      <c r="A63" s="47" t="s">
        <v>68</v>
      </c>
      <c r="B63" s="21"/>
      <c r="C63" s="26"/>
      <c r="D63" s="27"/>
      <c r="E63" s="10">
        <v>0</v>
      </c>
      <c r="F63" s="10">
        <v>0</v>
      </c>
      <c r="G63" s="10">
        <v>0</v>
      </c>
      <c r="H63" s="11">
        <f t="shared" si="8"/>
        <v>0</v>
      </c>
    </row>
    <row r="64" spans="1:8">
      <c r="A64" s="51" t="s">
        <v>64</v>
      </c>
      <c r="B64" s="3"/>
      <c r="C64" s="3"/>
      <c r="D64" s="4"/>
      <c r="E64" s="13">
        <f>+E62+E63</f>
        <v>0</v>
      </c>
      <c r="F64" s="13">
        <f>+F62+F63</f>
        <v>0</v>
      </c>
      <c r="G64" s="13">
        <f>+G62+G63</f>
        <v>0</v>
      </c>
      <c r="H64" s="13">
        <f t="shared" si="8"/>
        <v>0</v>
      </c>
    </row>
    <row r="65" spans="1:8" hidden="1">
      <c r="A65" s="47" t="s">
        <v>71</v>
      </c>
      <c r="B65" s="3"/>
      <c r="C65" s="3"/>
      <c r="D65" s="4"/>
      <c r="E65" s="11">
        <f>+E64-E66</f>
        <v>0</v>
      </c>
      <c r="F65" s="11">
        <f t="shared" ref="F65:G65" si="9">+F64-F66</f>
        <v>0</v>
      </c>
      <c r="G65" s="11">
        <f t="shared" si="9"/>
        <v>0</v>
      </c>
      <c r="H65" s="11">
        <f t="shared" si="8"/>
        <v>0</v>
      </c>
    </row>
    <row r="66" spans="1:8" hidden="1">
      <c r="A66" s="51" t="s">
        <v>66</v>
      </c>
      <c r="B66" s="3"/>
      <c r="C66" s="3"/>
      <c r="D66" s="4"/>
      <c r="E66" s="13">
        <f>+E67/$K$9+E68/$K$9</f>
        <v>0</v>
      </c>
      <c r="F66" s="13">
        <f>+F67/$K$9+F68/$K$9</f>
        <v>0</v>
      </c>
      <c r="G66" s="13">
        <f>+G67/$K$9+G68/$K$9</f>
        <v>0</v>
      </c>
      <c r="H66" s="13">
        <f t="shared" si="8"/>
        <v>0</v>
      </c>
    </row>
    <row r="67" spans="1:8">
      <c r="A67" s="47" t="s">
        <v>69</v>
      </c>
      <c r="B67" s="21"/>
      <c r="C67" s="26"/>
      <c r="D67" s="27"/>
      <c r="E67" s="11">
        <f>IF(E62*$K$9&gt;=25000,25000,E62*$K$9)</f>
        <v>0</v>
      </c>
      <c r="F67" s="11">
        <f>IF((E62*$K$9)+(F62*$K$9)&gt;=25000,25000-E67,F62*$K$9)</f>
        <v>0</v>
      </c>
      <c r="G67" s="11">
        <f>IF((E62*$K$9)+((F62+G62)*$K$9)&gt;=25000,25000-E67-F67,G62*$K$9)</f>
        <v>0</v>
      </c>
      <c r="H67" s="11">
        <f t="shared" si="8"/>
        <v>0</v>
      </c>
    </row>
    <row r="68" spans="1:8">
      <c r="A68" s="47" t="s">
        <v>70</v>
      </c>
      <c r="B68" s="26"/>
      <c r="C68" s="26"/>
      <c r="D68" s="27"/>
      <c r="E68" s="11">
        <f>IF(E63*$K$9&gt;=25000,25000,E63*$K$9)</f>
        <v>0</v>
      </c>
      <c r="F68" s="11">
        <f>IF((E63*$K$9)+(F63*$K$9)&gt;=25000,25000-E68,F63*$K$9)</f>
        <v>0</v>
      </c>
      <c r="G68" s="11">
        <f>IF((E63*$K$9)+((F63+G63)*$K$9)&gt;=25000,25000-E68-F68,G63*$K$9)</f>
        <v>0</v>
      </c>
      <c r="H68" s="11">
        <f t="shared" si="8"/>
        <v>0</v>
      </c>
    </row>
    <row r="69" spans="1:8">
      <c r="A69" s="52" t="s">
        <v>34</v>
      </c>
      <c r="B69" s="21"/>
      <c r="C69" s="26"/>
      <c r="D69" s="27"/>
      <c r="E69" s="13">
        <f>+E64+E67+E68</f>
        <v>0</v>
      </c>
      <c r="F69" s="13">
        <f t="shared" ref="F69:G69" si="10">+F64+F67+F68</f>
        <v>0</v>
      </c>
      <c r="G69" s="13">
        <f t="shared" si="10"/>
        <v>0</v>
      </c>
      <c r="H69" s="13">
        <f t="shared" si="8"/>
        <v>0</v>
      </c>
    </row>
    <row r="70" spans="1:8" ht="18.75">
      <c r="A70" s="41"/>
      <c r="B70" s="26"/>
      <c r="C70" s="26"/>
      <c r="D70" s="27"/>
      <c r="E70" s="17"/>
      <c r="F70" s="17"/>
      <c r="G70" s="17"/>
      <c r="H70" s="18"/>
    </row>
    <row r="71" spans="1:8">
      <c r="A71" s="6" t="s">
        <v>35</v>
      </c>
      <c r="B71" s="26"/>
      <c r="C71" s="26"/>
      <c r="D71" s="26"/>
      <c r="E71" s="40" t="s">
        <v>4</v>
      </c>
      <c r="F71" s="40" t="s">
        <v>5</v>
      </c>
      <c r="G71" s="40" t="s">
        <v>6</v>
      </c>
      <c r="H71" s="40" t="s">
        <v>48</v>
      </c>
    </row>
    <row r="72" spans="1:8">
      <c r="A72" s="48" t="s">
        <v>12</v>
      </c>
      <c r="B72" s="26"/>
      <c r="C72" s="26"/>
      <c r="D72" s="26"/>
      <c r="E72" s="10">
        <v>0</v>
      </c>
      <c r="F72" s="10">
        <v>0</v>
      </c>
      <c r="G72" s="10">
        <v>0</v>
      </c>
      <c r="H72" s="11">
        <f>SUM(E72:G72)</f>
        <v>0</v>
      </c>
    </row>
    <row r="73" spans="1:8">
      <c r="A73" s="48" t="s">
        <v>36</v>
      </c>
      <c r="B73" s="3"/>
      <c r="C73" s="26"/>
      <c r="D73" s="3"/>
      <c r="E73" s="10">
        <v>0</v>
      </c>
      <c r="F73" s="10">
        <v>0</v>
      </c>
      <c r="G73" s="10">
        <v>0</v>
      </c>
      <c r="H73" s="11">
        <f>SUM(E73:G73)</f>
        <v>0</v>
      </c>
    </row>
    <row r="74" spans="1:8">
      <c r="A74" s="48" t="s">
        <v>36</v>
      </c>
      <c r="B74" s="21"/>
      <c r="C74" s="26"/>
      <c r="D74" s="26"/>
      <c r="E74" s="10">
        <v>0</v>
      </c>
      <c r="F74" s="10">
        <v>0</v>
      </c>
      <c r="G74" s="10">
        <v>0</v>
      </c>
      <c r="H74" s="11">
        <f>SUM(E74:G74)</f>
        <v>0</v>
      </c>
    </row>
    <row r="75" spans="1:8">
      <c r="A75" s="12" t="s">
        <v>37</v>
      </c>
      <c r="B75" s="21"/>
      <c r="C75" s="26"/>
      <c r="D75" s="26"/>
      <c r="E75" s="13">
        <f>SUM(E56:E59,E64,E72:E74)</f>
        <v>2000</v>
      </c>
      <c r="F75" s="13">
        <f>SUM(F56:F59,F64,F72:F74)</f>
        <v>2060</v>
      </c>
      <c r="G75" s="13">
        <f>SUM(G56:G59,G64,G72:G74)</f>
        <v>2121</v>
      </c>
      <c r="H75" s="13">
        <f>SUM(E75:G75)</f>
        <v>6181</v>
      </c>
    </row>
    <row r="76" spans="1:8" ht="18.75">
      <c r="A76" s="41"/>
      <c r="B76" s="26"/>
      <c r="C76" s="26"/>
      <c r="D76" s="27"/>
      <c r="E76" s="17"/>
      <c r="F76" s="17"/>
      <c r="G76" s="17"/>
      <c r="H76" s="18"/>
    </row>
    <row r="77" spans="1:8" ht="18.75">
      <c r="A77" s="35" t="s">
        <v>38</v>
      </c>
      <c r="B77" s="26"/>
      <c r="C77" s="26"/>
      <c r="D77" s="27"/>
      <c r="E77" s="40" t="s">
        <v>4</v>
      </c>
      <c r="F77" s="40" t="s">
        <v>5</v>
      </c>
      <c r="G77" s="40" t="s">
        <v>6</v>
      </c>
      <c r="H77" s="40" t="s">
        <v>48</v>
      </c>
    </row>
    <row r="78" spans="1:8">
      <c r="A78" s="49" t="s">
        <v>39</v>
      </c>
      <c r="B78" s="26"/>
      <c r="C78" s="26"/>
      <c r="D78" s="27"/>
      <c r="E78" s="13">
        <f>SUM(E75,E52,E44,E38,E33)</f>
        <v>125500</v>
      </c>
      <c r="F78" s="13">
        <f>SUM(F75,F52,F44,F38,F33)</f>
        <v>129265.4</v>
      </c>
      <c r="G78" s="13">
        <f>SUM(G75,G52,G44,G38,G33)</f>
        <v>133143.16200000001</v>
      </c>
      <c r="H78" s="13">
        <f>SUM(E78:G78)</f>
        <v>387908.56200000003</v>
      </c>
    </row>
    <row r="79" spans="1:8" ht="18.75">
      <c r="A79" s="41"/>
      <c r="B79" s="26"/>
      <c r="C79" s="26"/>
      <c r="D79" s="27"/>
      <c r="E79" s="17"/>
      <c r="F79" s="17"/>
      <c r="G79" s="17"/>
      <c r="H79" s="18"/>
    </row>
    <row r="80" spans="1:8" ht="18.75">
      <c r="A80" s="35" t="s">
        <v>40</v>
      </c>
      <c r="B80" s="26"/>
      <c r="C80" s="26"/>
      <c r="D80" s="27"/>
      <c r="E80" s="40" t="s">
        <v>4</v>
      </c>
      <c r="F80" s="40" t="s">
        <v>5</v>
      </c>
      <c r="G80" s="40" t="s">
        <v>6</v>
      </c>
      <c r="H80" s="40" t="s">
        <v>48</v>
      </c>
    </row>
    <row r="81" spans="1:8">
      <c r="A81" s="6" t="s">
        <v>41</v>
      </c>
      <c r="B81" s="26"/>
      <c r="C81" s="26"/>
      <c r="D81" s="27"/>
      <c r="E81" s="11">
        <f>E78-(E74+E73+E65+E52+E38)</f>
        <v>125500</v>
      </c>
      <c r="F81" s="11">
        <f>F78-(F74+F73+F65+F52+F38)</f>
        <v>129265.4</v>
      </c>
      <c r="G81" s="11">
        <f>G78-(G74+G73+G65+G52+G38)</f>
        <v>133143.16200000001</v>
      </c>
      <c r="H81" s="11">
        <f>SUM(E81:G81)</f>
        <v>387908.56200000003</v>
      </c>
    </row>
    <row r="82" spans="1:8">
      <c r="A82" s="49" t="s">
        <v>42</v>
      </c>
      <c r="B82" s="26"/>
      <c r="C82" s="26"/>
      <c r="D82" s="27"/>
      <c r="E82" s="13">
        <f>E81*$K$9</f>
        <v>69652.5</v>
      </c>
      <c r="F82" s="13">
        <f>F81*$K$9</f>
        <v>71742.297000000006</v>
      </c>
      <c r="G82" s="13">
        <f>G81*$K$9</f>
        <v>73894.454910000015</v>
      </c>
      <c r="H82" s="13">
        <f>SUM(E82:G82)</f>
        <v>215289.25191000005</v>
      </c>
    </row>
    <row r="83" spans="1:8" ht="18.75">
      <c r="A83" s="41"/>
      <c r="B83" s="26"/>
      <c r="C83" s="26"/>
      <c r="D83" s="27"/>
      <c r="E83" s="17"/>
      <c r="F83" s="17"/>
      <c r="G83" s="17"/>
      <c r="H83" s="18"/>
    </row>
    <row r="84" spans="1:8" ht="18.75">
      <c r="A84" s="35" t="s">
        <v>43</v>
      </c>
      <c r="B84" s="26"/>
      <c r="C84" s="26"/>
      <c r="D84" s="27"/>
      <c r="E84" s="40" t="s">
        <v>4</v>
      </c>
      <c r="F84" s="40" t="s">
        <v>5</v>
      </c>
      <c r="G84" s="40" t="s">
        <v>6</v>
      </c>
      <c r="H84" s="40" t="s">
        <v>48</v>
      </c>
    </row>
    <row r="85" spans="1:8">
      <c r="A85" s="49" t="s">
        <v>44</v>
      </c>
      <c r="B85" s="26"/>
      <c r="C85" s="26"/>
      <c r="D85" s="27"/>
      <c r="E85" s="13">
        <f>SUM(E82+E78)</f>
        <v>195152.5</v>
      </c>
      <c r="F85" s="13">
        <f>SUM(F82+F78)</f>
        <v>201007.69699999999</v>
      </c>
      <c r="G85" s="13">
        <f>SUM(G82+G78)</f>
        <v>207037.61691000004</v>
      </c>
      <c r="H85" s="13">
        <f>SUM(E85:G85)</f>
        <v>603197.81391000003</v>
      </c>
    </row>
    <row r="86" spans="1:8" ht="18.75">
      <c r="A86" s="41"/>
      <c r="B86" s="26"/>
      <c r="C86" s="26"/>
      <c r="D86" s="27"/>
      <c r="E86" s="17"/>
      <c r="F86" s="17"/>
      <c r="G86" s="17"/>
      <c r="H86" s="18"/>
    </row>
    <row r="87" spans="1:8" ht="18.75">
      <c r="A87" s="53" t="s">
        <v>72</v>
      </c>
      <c r="B87" s="26"/>
      <c r="C87" s="26"/>
      <c r="D87" s="27"/>
      <c r="E87" s="40" t="s">
        <v>4</v>
      </c>
      <c r="F87" s="40" t="s">
        <v>5</v>
      </c>
      <c r="G87" s="40" t="s">
        <v>6</v>
      </c>
      <c r="H87" s="40" t="s">
        <v>48</v>
      </c>
    </row>
    <row r="88" spans="1:8">
      <c r="A88" s="49" t="s">
        <v>73</v>
      </c>
      <c r="B88" s="26"/>
      <c r="C88" s="26"/>
      <c r="D88" s="27"/>
      <c r="E88" s="10">
        <v>0</v>
      </c>
      <c r="F88" s="10">
        <v>0</v>
      </c>
      <c r="G88" s="10">
        <v>0</v>
      </c>
      <c r="H88" s="11">
        <f>SUM(E88:G88)</f>
        <v>0</v>
      </c>
    </row>
    <row r="89" spans="1:8" ht="18.75">
      <c r="A89" s="41"/>
      <c r="B89" s="26"/>
      <c r="C89" s="26"/>
      <c r="D89" s="27"/>
      <c r="E89" s="17"/>
      <c r="F89" s="17"/>
      <c r="G89" s="17"/>
      <c r="H89" s="18"/>
    </row>
    <row r="90" spans="1:8" ht="18.75">
      <c r="A90" s="35" t="s">
        <v>45</v>
      </c>
      <c r="B90" s="26"/>
      <c r="C90" s="26"/>
      <c r="D90" s="27"/>
      <c r="E90" s="40" t="s">
        <v>4</v>
      </c>
      <c r="F90" s="40" t="s">
        <v>5</v>
      </c>
      <c r="G90" s="40" t="s">
        <v>6</v>
      </c>
      <c r="H90" s="40" t="s">
        <v>48</v>
      </c>
    </row>
    <row r="91" spans="1:8">
      <c r="A91" s="49" t="s">
        <v>46</v>
      </c>
      <c r="B91" s="26"/>
      <c r="C91" s="26"/>
      <c r="D91" s="54"/>
      <c r="E91" s="13">
        <f>E85-E88</f>
        <v>195152.5</v>
      </c>
      <c r="F91" s="13">
        <f>F85-F88</f>
        <v>201007.69699999999</v>
      </c>
      <c r="G91" s="13">
        <f>G85-G88</f>
        <v>207037.61691000004</v>
      </c>
      <c r="H91" s="13">
        <f>SUM(E91:G91)</f>
        <v>603197.81391000003</v>
      </c>
    </row>
    <row r="92" spans="1:8">
      <c r="B92" s="60"/>
      <c r="C92" s="59"/>
      <c r="E92" s="1"/>
      <c r="F92" s="1"/>
      <c r="G92" s="1"/>
      <c r="H92" s="1"/>
    </row>
    <row r="93" spans="1:8">
      <c r="E93" s="1"/>
      <c r="F93" s="1"/>
      <c r="G93" s="1"/>
      <c r="H93" s="1"/>
    </row>
    <row r="94" spans="1:8">
      <c r="E94" s="1"/>
      <c r="F94" s="1"/>
      <c r="G94" s="1"/>
      <c r="H94" s="1"/>
    </row>
    <row r="95" spans="1:8">
      <c r="E95" s="1"/>
      <c r="F95" s="1"/>
      <c r="G95" s="1"/>
      <c r="H95" s="1"/>
    </row>
    <row r="96" spans="1:8">
      <c r="E96" s="1"/>
      <c r="F96" s="1"/>
      <c r="G96" s="1"/>
      <c r="H96" s="1"/>
    </row>
    <row r="97" spans="5:8">
      <c r="E97" s="1"/>
      <c r="F97" s="1"/>
      <c r="G97" s="1"/>
      <c r="H97" s="1"/>
    </row>
    <row r="98" spans="5:8">
      <c r="E98" s="1"/>
      <c r="F98" s="1"/>
      <c r="G98" s="1"/>
      <c r="H98" s="1"/>
    </row>
    <row r="99" spans="5:8">
      <c r="E99" s="1"/>
      <c r="F99" s="1"/>
      <c r="G99" s="1"/>
      <c r="H99" s="1"/>
    </row>
    <row r="100" spans="5:8">
      <c r="E100" s="1"/>
      <c r="F100" s="1"/>
      <c r="G100" s="1"/>
      <c r="H100" s="1"/>
    </row>
  </sheetData>
  <pageMargins left="0.7" right="0.7" top="0.75" bottom="0.75" header="0.3" footer="0.3"/>
  <pageSetup orientation="portrait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zoomScalePageLayoutView="93" workbookViewId="0"/>
  </sheetViews>
  <sheetFormatPr defaultColWidth="8.85546875" defaultRowHeight="15"/>
  <cols>
    <col min="1" max="1" width="36.42578125" style="62" bestFit="1" customWidth="1"/>
    <col min="2" max="2" width="8.140625" style="62" bestFit="1" customWidth="1"/>
    <col min="3" max="3" width="34.85546875" style="62" hidden="1" customWidth="1"/>
    <col min="4" max="4" width="34.42578125" style="62" hidden="1" customWidth="1"/>
    <col min="5" max="5" width="75" style="62" bestFit="1" customWidth="1"/>
    <col min="6" max="6" width="10.28515625" style="62" bestFit="1" customWidth="1"/>
    <col min="7" max="16384" width="8.85546875" style="62"/>
  </cols>
  <sheetData>
    <row r="1" spans="1:8">
      <c r="A1" s="126"/>
      <c r="B1" s="97"/>
      <c r="C1" s="69"/>
      <c r="D1" s="69"/>
      <c r="E1" s="69"/>
    </row>
    <row r="2" spans="1:8">
      <c r="A2" s="127"/>
      <c r="B2" s="97"/>
      <c r="C2" s="76"/>
      <c r="D2" s="77"/>
      <c r="E2" s="69"/>
    </row>
    <row r="3" spans="1:8">
      <c r="A3" s="151" t="s">
        <v>153</v>
      </c>
      <c r="B3" s="152"/>
      <c r="C3" s="107"/>
      <c r="E3" s="82"/>
      <c r="F3" s="108"/>
    </row>
    <row r="4" spans="1:8" s="71" customFormat="1" ht="20.100000000000001" hidden="1" customHeight="1">
      <c r="A4" s="137"/>
      <c r="B4" s="139"/>
      <c r="C4" s="106"/>
      <c r="E4" s="129"/>
      <c r="F4" s="130"/>
      <c r="G4" t="s">
        <v>130</v>
      </c>
      <c r="H4">
        <v>240000</v>
      </c>
    </row>
    <row r="5" spans="1:8">
      <c r="A5" s="154" t="s">
        <v>131</v>
      </c>
      <c r="B5" s="155">
        <v>170070</v>
      </c>
      <c r="C5" s="62" t="s">
        <v>92</v>
      </c>
      <c r="E5" s="142"/>
    </row>
    <row r="6" spans="1:8">
      <c r="A6" s="82" t="s">
        <v>133</v>
      </c>
      <c r="B6" s="88"/>
    </row>
    <row r="7" spans="1:8">
      <c r="A7" s="82" t="s">
        <v>105</v>
      </c>
      <c r="B7" s="88"/>
    </row>
    <row r="8" spans="1:8">
      <c r="A8" s="82" t="s">
        <v>136</v>
      </c>
      <c r="B8" s="88"/>
    </row>
    <row r="9" spans="1:8">
      <c r="A9" s="82" t="s">
        <v>135</v>
      </c>
      <c r="B9" s="88"/>
    </row>
    <row r="10" spans="1:8">
      <c r="A10" s="82" t="s">
        <v>134</v>
      </c>
      <c r="B10" s="88"/>
    </row>
    <row r="11" spans="1:8">
      <c r="A11" s="154" t="s">
        <v>132</v>
      </c>
      <c r="B11" s="155">
        <v>64804</v>
      </c>
    </row>
    <row r="12" spans="1:8">
      <c r="A12" s="82" t="s">
        <v>137</v>
      </c>
      <c r="B12" s="88"/>
    </row>
    <row r="13" spans="1:8">
      <c r="A13" s="82" t="s">
        <v>94</v>
      </c>
      <c r="B13" s="88"/>
    </row>
    <row r="14" spans="1:8">
      <c r="A14" s="82" t="s">
        <v>138</v>
      </c>
      <c r="B14" s="88"/>
    </row>
    <row r="15" spans="1:8">
      <c r="A15" s="82" t="s">
        <v>139</v>
      </c>
      <c r="B15" s="88"/>
    </row>
    <row r="16" spans="1:8">
      <c r="A16" s="82" t="s">
        <v>140</v>
      </c>
      <c r="B16" s="88"/>
    </row>
    <row r="17" spans="1:3">
      <c r="A17" s="82"/>
      <c r="B17" s="88"/>
    </row>
    <row r="18" spans="1:3">
      <c r="A18" s="143" t="s">
        <v>87</v>
      </c>
      <c r="B18" s="144">
        <f>SUM(B5+B11)</f>
        <v>234874</v>
      </c>
    </row>
    <row r="19" spans="1:3">
      <c r="A19" s="82"/>
      <c r="B19" s="88"/>
    </row>
    <row r="20" spans="1:3">
      <c r="A20" s="151" t="s">
        <v>154</v>
      </c>
      <c r="B20" s="153"/>
    </row>
    <row r="21" spans="1:3">
      <c r="A21" s="146" t="s">
        <v>157</v>
      </c>
      <c r="B21" s="145"/>
    </row>
    <row r="22" spans="1:3">
      <c r="A22" s="146" t="s">
        <v>141</v>
      </c>
      <c r="B22" s="145"/>
    </row>
    <row r="23" spans="1:3">
      <c r="A23" s="146" t="s">
        <v>152</v>
      </c>
      <c r="B23" s="145"/>
    </row>
    <row r="24" spans="1:3">
      <c r="A24" s="146"/>
      <c r="B24" s="145"/>
    </row>
    <row r="25" spans="1:3">
      <c r="A25" s="143" t="s">
        <v>87</v>
      </c>
      <c r="B25" s="147">
        <v>77401</v>
      </c>
      <c r="C25" s="62" t="s">
        <v>90</v>
      </c>
    </row>
    <row r="26" spans="1:3">
      <c r="A26" s="82"/>
      <c r="B26" s="91"/>
    </row>
    <row r="27" spans="1:3">
      <c r="A27" s="151" t="s">
        <v>155</v>
      </c>
      <c r="B27" s="153"/>
    </row>
    <row r="28" spans="1:3">
      <c r="A28" s="82" t="s">
        <v>145</v>
      </c>
      <c r="B28" s="91"/>
    </row>
    <row r="29" spans="1:3">
      <c r="A29" s="82" t="s">
        <v>147</v>
      </c>
      <c r="B29" s="91"/>
    </row>
    <row r="30" spans="1:3">
      <c r="A30" s="82" t="s">
        <v>146</v>
      </c>
      <c r="B30" s="91"/>
    </row>
    <row r="31" spans="1:3">
      <c r="A31" s="82"/>
      <c r="B31" s="91"/>
    </row>
    <row r="32" spans="1:3">
      <c r="A32" s="143" t="s">
        <v>87</v>
      </c>
      <c r="B32" s="147">
        <v>126051</v>
      </c>
    </row>
    <row r="33" spans="1:3">
      <c r="A33" s="82"/>
      <c r="B33" s="91"/>
    </row>
    <row r="34" spans="1:3">
      <c r="A34" s="151" t="s">
        <v>156</v>
      </c>
      <c r="B34" s="153"/>
    </row>
    <row r="35" spans="1:3">
      <c r="A35" s="141" t="s">
        <v>144</v>
      </c>
      <c r="B35" s="91"/>
    </row>
    <row r="36" spans="1:3">
      <c r="A36" s="141" t="s">
        <v>142</v>
      </c>
      <c r="B36" s="91"/>
    </row>
    <row r="37" spans="1:3">
      <c r="A37" s="141" t="s">
        <v>143</v>
      </c>
      <c r="B37" s="91"/>
    </row>
    <row r="38" spans="1:3">
      <c r="A38" s="141" t="s">
        <v>148</v>
      </c>
      <c r="B38" s="91"/>
    </row>
    <row r="39" spans="1:3">
      <c r="A39" s="141" t="s">
        <v>149</v>
      </c>
      <c r="B39" s="91"/>
    </row>
    <row r="40" spans="1:3">
      <c r="A40" s="141"/>
      <c r="B40" s="91"/>
    </row>
    <row r="41" spans="1:3">
      <c r="A41" s="148" t="s">
        <v>87</v>
      </c>
      <c r="B41" s="147">
        <v>46674</v>
      </c>
    </row>
    <row r="42" spans="1:3">
      <c r="A42" s="141"/>
      <c r="B42" s="91"/>
    </row>
    <row r="43" spans="1:3">
      <c r="A43" s="151" t="s">
        <v>33</v>
      </c>
      <c r="B43" s="153"/>
      <c r="C43" s="73"/>
    </row>
    <row r="44" spans="1:3">
      <c r="A44" s="120" t="s">
        <v>150</v>
      </c>
      <c r="B44" s="91">
        <v>240000</v>
      </c>
      <c r="C44" s="73"/>
    </row>
    <row r="45" spans="1:3">
      <c r="A45" s="120" t="s">
        <v>151</v>
      </c>
      <c r="B45" s="91">
        <v>175000</v>
      </c>
      <c r="C45" s="73"/>
    </row>
    <row r="46" spans="1:3">
      <c r="A46" s="89"/>
      <c r="B46" s="91"/>
      <c r="C46" s="73"/>
    </row>
    <row r="47" spans="1:3">
      <c r="A47" s="149" t="s">
        <v>87</v>
      </c>
      <c r="B47" s="147">
        <f>SUM(B44:B45)</f>
        <v>415000</v>
      </c>
      <c r="C47" s="73"/>
    </row>
    <row r="48" spans="1:3">
      <c r="A48" s="89"/>
      <c r="B48" s="91"/>
      <c r="C48" s="73"/>
    </row>
    <row r="49" spans="1:5" ht="15.75" thickBot="1">
      <c r="A49" s="150" t="s">
        <v>89</v>
      </c>
      <c r="B49" s="95">
        <f>SUM(B18+B25+B41+B32+B47)</f>
        <v>900000</v>
      </c>
      <c r="C49" s="73"/>
      <c r="E49" s="107"/>
    </row>
    <row r="50" spans="1:5" ht="15.75" thickTop="1"/>
  </sheetData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/>
  </sheetViews>
  <sheetFormatPr defaultColWidth="8.85546875" defaultRowHeight="15"/>
  <cols>
    <col min="1" max="1" width="39.85546875" style="62" bestFit="1" customWidth="1"/>
    <col min="2" max="2" width="9.7109375" style="62" bestFit="1" customWidth="1"/>
    <col min="3" max="3" width="12" style="62" customWidth="1"/>
    <col min="4" max="4" width="5.140625" style="125" bestFit="1" customWidth="1"/>
    <col min="5" max="5" width="8.85546875" style="125" bestFit="1" customWidth="1"/>
    <col min="6" max="6" width="9.7109375" style="62" bestFit="1" customWidth="1"/>
    <col min="7" max="7" width="34.85546875" style="62" hidden="1" customWidth="1"/>
    <col min="8" max="8" width="34.42578125" style="62" hidden="1" customWidth="1"/>
    <col min="9" max="9" width="75" style="62" bestFit="1" customWidth="1"/>
    <col min="10" max="10" width="10.28515625" style="62" bestFit="1" customWidth="1"/>
    <col min="11" max="16384" width="8.85546875" style="62"/>
  </cols>
  <sheetData>
    <row r="1" spans="1:10">
      <c r="A1" s="126"/>
      <c r="B1" s="97"/>
      <c r="C1" s="97"/>
      <c r="D1" s="97"/>
      <c r="E1" s="97"/>
      <c r="F1" s="97"/>
      <c r="G1" s="69"/>
      <c r="H1" s="69"/>
      <c r="I1" s="69"/>
    </row>
    <row r="2" spans="1:10">
      <c r="A2" s="78" t="s">
        <v>76</v>
      </c>
      <c r="B2" s="79">
        <v>0.1</v>
      </c>
      <c r="C2" s="80">
        <v>1.1000000000000001</v>
      </c>
      <c r="D2" s="97"/>
      <c r="E2" s="97"/>
      <c r="F2" s="97"/>
      <c r="G2" s="69"/>
      <c r="H2" s="69"/>
      <c r="I2" s="69"/>
    </row>
    <row r="3" spans="1:10">
      <c r="A3" s="78" t="s">
        <v>95</v>
      </c>
      <c r="B3" s="79">
        <v>0.02</v>
      </c>
      <c r="C3" s="80">
        <v>1.02</v>
      </c>
      <c r="D3" s="97"/>
      <c r="E3" s="97"/>
      <c r="F3" s="97"/>
      <c r="G3" s="69"/>
      <c r="H3" s="69"/>
      <c r="I3" s="69"/>
    </row>
    <row r="4" spans="1:10">
      <c r="A4" s="78" t="s">
        <v>96</v>
      </c>
      <c r="B4" s="79">
        <v>0.02</v>
      </c>
      <c r="C4" s="80">
        <v>1.02</v>
      </c>
      <c r="D4" s="97"/>
      <c r="E4" s="97"/>
      <c r="F4" s="97"/>
      <c r="G4" s="69"/>
      <c r="H4" s="69"/>
      <c r="I4" s="69"/>
    </row>
    <row r="5" spans="1:10">
      <c r="A5" s="78" t="s">
        <v>97</v>
      </c>
      <c r="B5" s="79">
        <v>0.27300000000000002</v>
      </c>
      <c r="C5" s="80">
        <v>1.2729999999999999</v>
      </c>
      <c r="D5" s="97"/>
      <c r="E5" s="97"/>
      <c r="F5" s="97"/>
      <c r="G5" s="69"/>
      <c r="H5" s="69"/>
      <c r="I5" s="69"/>
    </row>
    <row r="6" spans="1:10">
      <c r="A6" s="78" t="s">
        <v>91</v>
      </c>
      <c r="B6" s="79">
        <v>0.12</v>
      </c>
      <c r="C6" s="80">
        <v>1.1200000000000001</v>
      </c>
      <c r="D6" s="97"/>
      <c r="E6" s="97"/>
      <c r="F6" s="97"/>
      <c r="G6" s="69"/>
      <c r="H6" s="69"/>
      <c r="I6" s="69"/>
    </row>
    <row r="7" spans="1:10">
      <c r="A7" s="78" t="s">
        <v>98</v>
      </c>
      <c r="B7" s="79">
        <v>0.20200000000000001</v>
      </c>
      <c r="C7" s="80">
        <v>1.202</v>
      </c>
      <c r="D7" s="97"/>
      <c r="E7" s="97"/>
      <c r="F7" s="97"/>
      <c r="G7" s="69"/>
      <c r="H7" s="69"/>
      <c r="I7" s="69"/>
    </row>
    <row r="8" spans="1:10">
      <c r="A8" s="78" t="s">
        <v>99</v>
      </c>
      <c r="B8" s="79">
        <v>6.5000000000000002E-2</v>
      </c>
      <c r="C8" s="80">
        <v>1.0649999999999999</v>
      </c>
      <c r="D8" s="97"/>
      <c r="E8" s="97"/>
      <c r="F8" s="97"/>
      <c r="G8" s="76"/>
      <c r="H8" s="77"/>
      <c r="I8" s="69"/>
    </row>
    <row r="9" spans="1:10">
      <c r="A9" s="78" t="s">
        <v>56</v>
      </c>
      <c r="B9" s="79">
        <v>0</v>
      </c>
      <c r="C9" s="80">
        <v>0</v>
      </c>
      <c r="D9" s="97"/>
      <c r="E9" s="97"/>
      <c r="F9" s="97"/>
      <c r="G9" s="76"/>
      <c r="H9" s="77"/>
      <c r="I9" s="69"/>
    </row>
    <row r="10" spans="1:10">
      <c r="A10" s="127"/>
      <c r="B10" s="98"/>
      <c r="C10" s="98"/>
      <c r="D10" s="97"/>
      <c r="E10" s="97"/>
      <c r="F10" s="97"/>
      <c r="G10" s="76"/>
      <c r="H10" s="77"/>
      <c r="I10" s="69"/>
    </row>
    <row r="11" spans="1:10" s="71" customFormat="1" ht="24.95" customHeight="1">
      <c r="A11" s="128" t="s">
        <v>84</v>
      </c>
      <c r="B11" s="84"/>
      <c r="C11" s="84"/>
      <c r="D11" s="84"/>
      <c r="E11" s="84"/>
      <c r="F11" s="85"/>
      <c r="G11" s="106"/>
    </row>
    <row r="12" spans="1:10">
      <c r="A12" s="86" t="s">
        <v>74</v>
      </c>
      <c r="B12" s="68" t="s">
        <v>101</v>
      </c>
      <c r="C12" s="68" t="s">
        <v>85</v>
      </c>
      <c r="D12" s="63" t="s">
        <v>106</v>
      </c>
      <c r="E12" s="63" t="s">
        <v>116</v>
      </c>
      <c r="F12" s="87" t="s">
        <v>104</v>
      </c>
      <c r="G12" s="107"/>
      <c r="I12" s="82"/>
      <c r="J12" s="108"/>
    </row>
    <row r="13" spans="1:10" s="71" customFormat="1" ht="20.100000000000001" customHeight="1">
      <c r="A13" s="156" t="s">
        <v>107</v>
      </c>
      <c r="B13" s="157"/>
      <c r="C13" s="157"/>
      <c r="D13" s="157"/>
      <c r="E13" s="157"/>
      <c r="F13" s="158"/>
      <c r="G13" s="106"/>
      <c r="I13" s="129"/>
      <c r="J13" s="130"/>
    </row>
    <row r="14" spans="1:10" s="71" customFormat="1" ht="20.100000000000001" hidden="1" customHeight="1">
      <c r="A14" s="131"/>
      <c r="B14" s="132"/>
      <c r="C14" s="132"/>
      <c r="D14" s="132"/>
      <c r="E14" s="132"/>
      <c r="F14" s="133"/>
      <c r="G14" s="106"/>
      <c r="I14" s="129"/>
      <c r="J14" s="130"/>
    </row>
    <row r="15" spans="1:10">
      <c r="A15" s="81" t="s">
        <v>105</v>
      </c>
      <c r="B15" s="67">
        <f>76000/12</f>
        <v>6333.333333333333</v>
      </c>
      <c r="C15" s="66" t="s">
        <v>102</v>
      </c>
      <c r="D15" s="65">
        <v>0.1</v>
      </c>
      <c r="E15" s="101">
        <v>12</v>
      </c>
      <c r="F15" s="88">
        <f>$E15*$B15*$D15</f>
        <v>7600</v>
      </c>
      <c r="G15" s="62" t="s">
        <v>92</v>
      </c>
    </row>
    <row r="16" spans="1:10">
      <c r="A16" s="81" t="s">
        <v>94</v>
      </c>
      <c r="B16" s="67">
        <f>68000/12</f>
        <v>5666.666666666667</v>
      </c>
      <c r="C16" s="66" t="s">
        <v>102</v>
      </c>
      <c r="D16" s="65">
        <v>0.1</v>
      </c>
      <c r="E16" s="101">
        <v>12</v>
      </c>
      <c r="F16" s="88">
        <f>$E16*$B16*$D16</f>
        <v>6800</v>
      </c>
    </row>
    <row r="17" spans="1:9">
      <c r="A17" s="89" t="s">
        <v>82</v>
      </c>
      <c r="B17" s="66"/>
      <c r="C17" s="66"/>
      <c r="D17" s="64"/>
      <c r="E17" s="64"/>
      <c r="F17" s="90">
        <f>SUM(F15:F16)</f>
        <v>14400</v>
      </c>
      <c r="G17" s="73"/>
      <c r="I17" s="73"/>
    </row>
    <row r="18" spans="1:9">
      <c r="A18" s="81" t="s">
        <v>81</v>
      </c>
      <c r="B18" s="66"/>
      <c r="C18" s="66"/>
      <c r="D18" s="64"/>
      <c r="E18" s="64"/>
      <c r="F18" s="88">
        <f>F17*$B$5</f>
        <v>3931.2000000000003</v>
      </c>
      <c r="G18" s="74"/>
    </row>
    <row r="19" spans="1:9" s="71" customFormat="1" ht="20.100000000000001" customHeight="1">
      <c r="A19" s="156" t="s">
        <v>108</v>
      </c>
      <c r="B19" s="157"/>
      <c r="C19" s="157"/>
      <c r="D19" s="157"/>
      <c r="E19" s="157"/>
      <c r="F19" s="158"/>
      <c r="G19" s="99"/>
    </row>
    <row r="20" spans="1:9" s="99" customFormat="1" ht="15" customHeight="1">
      <c r="A20" s="81" t="s">
        <v>100</v>
      </c>
      <c r="B20" s="103">
        <f>40000/12</f>
        <v>3333.3333333333335</v>
      </c>
      <c r="C20" s="66" t="s">
        <v>102</v>
      </c>
      <c r="D20" s="65">
        <v>1</v>
      </c>
      <c r="E20" s="101">
        <v>12</v>
      </c>
      <c r="F20" s="91">
        <f>$B20*$D20*$E20</f>
        <v>40000</v>
      </c>
    </row>
    <row r="21" spans="1:9">
      <c r="A21" s="81" t="s">
        <v>109</v>
      </c>
      <c r="B21" s="103">
        <f>25000/12</f>
        <v>2083.3333333333335</v>
      </c>
      <c r="C21" s="66" t="s">
        <v>102</v>
      </c>
      <c r="D21" s="65">
        <v>0.5</v>
      </c>
      <c r="E21" s="101">
        <v>12</v>
      </c>
      <c r="F21" s="91">
        <f>$B21*$D21*$E21</f>
        <v>12500</v>
      </c>
      <c r="G21" s="72" t="s">
        <v>93</v>
      </c>
    </row>
    <row r="22" spans="1:9">
      <c r="A22" s="89" t="s">
        <v>82</v>
      </c>
      <c r="B22" s="102"/>
      <c r="C22" s="66"/>
      <c r="D22" s="65"/>
      <c r="E22" s="101"/>
      <c r="F22" s="92">
        <f>SUM(F20:F21)</f>
        <v>52500</v>
      </c>
      <c r="G22" s="75"/>
    </row>
    <row r="23" spans="1:9">
      <c r="A23" s="81" t="s">
        <v>81</v>
      </c>
      <c r="B23" s="102"/>
      <c r="C23" s="66"/>
      <c r="D23" s="65"/>
      <c r="E23" s="100"/>
      <c r="F23" s="91">
        <f>F22*B6</f>
        <v>6300</v>
      </c>
      <c r="G23" s="72"/>
    </row>
    <row r="24" spans="1:9">
      <c r="A24" s="81"/>
      <c r="B24" s="66"/>
      <c r="C24" s="66"/>
      <c r="D24" s="65"/>
      <c r="E24" s="100"/>
      <c r="F24" s="91"/>
      <c r="G24" s="72"/>
    </row>
    <row r="25" spans="1:9">
      <c r="A25" s="89" t="s">
        <v>79</v>
      </c>
      <c r="B25" s="69"/>
      <c r="C25" s="69"/>
      <c r="D25" s="109"/>
      <c r="E25" s="110"/>
      <c r="F25" s="91">
        <f>SUM(F$17+F$22)</f>
        <v>66900</v>
      </c>
      <c r="G25" s="73"/>
      <c r="I25" s="73"/>
    </row>
    <row r="26" spans="1:9">
      <c r="A26" s="89" t="s">
        <v>80</v>
      </c>
      <c r="B26" s="69"/>
      <c r="C26" s="69"/>
      <c r="D26" s="109"/>
      <c r="E26" s="109"/>
      <c r="F26" s="91">
        <f>F$18+F$23</f>
        <v>10231.200000000001</v>
      </c>
      <c r="G26" s="73"/>
    </row>
    <row r="27" spans="1:9">
      <c r="A27" s="89" t="s">
        <v>87</v>
      </c>
      <c r="B27" s="69"/>
      <c r="C27" s="69"/>
      <c r="D27" s="109"/>
      <c r="E27" s="109"/>
      <c r="F27" s="92">
        <f>SUM(F25:F26)</f>
        <v>77131.199999999997</v>
      </c>
      <c r="G27" s="73"/>
      <c r="I27" s="73"/>
    </row>
    <row r="28" spans="1:9">
      <c r="A28" s="89" t="s">
        <v>86</v>
      </c>
      <c r="B28" s="69"/>
      <c r="C28" s="69"/>
      <c r="D28" s="109"/>
      <c r="E28" s="109"/>
      <c r="F28" s="91">
        <f>F27*B2</f>
        <v>7713.12</v>
      </c>
      <c r="G28" s="73"/>
    </row>
    <row r="29" spans="1:9">
      <c r="A29" s="89"/>
      <c r="B29" s="69"/>
      <c r="C29" s="69"/>
      <c r="D29" s="109"/>
      <c r="E29" s="109"/>
      <c r="F29" s="93"/>
      <c r="G29" s="73"/>
    </row>
    <row r="30" spans="1:9" ht="15.75" thickBot="1">
      <c r="A30" s="94" t="s">
        <v>83</v>
      </c>
      <c r="B30" s="111"/>
      <c r="C30" s="111"/>
      <c r="D30" s="112"/>
      <c r="E30" s="112"/>
      <c r="F30" s="95">
        <f t="shared" ref="F30" si="0">SUM(F27:F28)</f>
        <v>84844.319999999992</v>
      </c>
      <c r="G30" s="73"/>
    </row>
    <row r="31" spans="1:9" ht="15.75" thickTop="1">
      <c r="A31" s="89"/>
      <c r="B31" s="69"/>
      <c r="C31" s="69"/>
      <c r="D31" s="109"/>
      <c r="E31" s="109"/>
      <c r="F31" s="93"/>
    </row>
    <row r="32" spans="1:9">
      <c r="A32" s="134" t="s">
        <v>63</v>
      </c>
      <c r="B32" s="115"/>
      <c r="C32" s="115"/>
      <c r="D32" s="116"/>
      <c r="E32" s="116"/>
      <c r="F32" s="117"/>
    </row>
    <row r="33" spans="1:9">
      <c r="A33" s="86" t="s">
        <v>62</v>
      </c>
      <c r="B33" s="68" t="s">
        <v>101</v>
      </c>
      <c r="C33" s="68" t="s">
        <v>85</v>
      </c>
      <c r="D33" s="63" t="s">
        <v>106</v>
      </c>
      <c r="E33" s="63" t="s">
        <v>116</v>
      </c>
      <c r="F33" s="87" t="s">
        <v>104</v>
      </c>
    </row>
    <row r="34" spans="1:9">
      <c r="A34" s="120" t="s">
        <v>111</v>
      </c>
      <c r="B34" s="103">
        <v>10000</v>
      </c>
      <c r="C34" s="66" t="s">
        <v>112</v>
      </c>
      <c r="D34" s="65">
        <v>1</v>
      </c>
      <c r="E34" s="101">
        <v>1</v>
      </c>
      <c r="F34" s="91">
        <f>$B34*$D34*$E34</f>
        <v>10000</v>
      </c>
      <c r="G34" s="62" t="s">
        <v>90</v>
      </c>
    </row>
    <row r="35" spans="1:9">
      <c r="A35" s="120" t="s">
        <v>113</v>
      </c>
      <c r="B35" s="102">
        <v>0.2</v>
      </c>
      <c r="C35" s="66" t="s">
        <v>114</v>
      </c>
      <c r="D35" s="65">
        <v>1</v>
      </c>
      <c r="E35" s="101">
        <v>250000</v>
      </c>
      <c r="F35" s="91">
        <f>$B35*$D35*$E35</f>
        <v>50000</v>
      </c>
      <c r="I35" s="62" t="s">
        <v>119</v>
      </c>
    </row>
    <row r="36" spans="1:9">
      <c r="A36" s="120" t="s">
        <v>158</v>
      </c>
      <c r="B36" s="103">
        <v>1200</v>
      </c>
      <c r="C36" s="66" t="s">
        <v>115</v>
      </c>
      <c r="D36" s="65">
        <v>1</v>
      </c>
      <c r="E36" s="101">
        <v>3</v>
      </c>
      <c r="F36" s="91">
        <f>$B36*$D36*$E36</f>
        <v>3600</v>
      </c>
    </row>
    <row r="37" spans="1:9">
      <c r="A37" s="120" t="s">
        <v>122</v>
      </c>
      <c r="B37" s="103">
        <f>8*150</f>
        <v>1200</v>
      </c>
      <c r="C37" s="66" t="s">
        <v>123</v>
      </c>
      <c r="D37" s="65">
        <v>0</v>
      </c>
      <c r="E37" s="101">
        <v>36</v>
      </c>
      <c r="F37" s="91">
        <f>$B37*$D37*$E37</f>
        <v>0</v>
      </c>
      <c r="I37" s="62" t="s">
        <v>160</v>
      </c>
    </row>
    <row r="38" spans="1:9">
      <c r="A38" s="120" t="s">
        <v>128</v>
      </c>
      <c r="B38" s="103">
        <v>12000</v>
      </c>
      <c r="C38" s="66" t="s">
        <v>102</v>
      </c>
      <c r="D38" s="65">
        <v>0</v>
      </c>
      <c r="E38" s="101">
        <v>12</v>
      </c>
      <c r="F38" s="91">
        <f t="shared" ref="F38:F39" si="1">$B38*$D38*$E38</f>
        <v>0</v>
      </c>
      <c r="G38" t="s">
        <v>164</v>
      </c>
      <c r="I38" t="s">
        <v>164</v>
      </c>
    </row>
    <row r="39" spans="1:9">
      <c r="A39" s="120" t="s">
        <v>129</v>
      </c>
      <c r="B39" s="103">
        <v>15000</v>
      </c>
      <c r="C39" s="66" t="s">
        <v>121</v>
      </c>
      <c r="D39" s="65">
        <v>0</v>
      </c>
      <c r="E39" s="101">
        <v>2</v>
      </c>
      <c r="F39" s="91">
        <f t="shared" si="1"/>
        <v>0</v>
      </c>
      <c r="G39" t="s">
        <v>163</v>
      </c>
      <c r="I39" t="s">
        <v>165</v>
      </c>
    </row>
    <row r="40" spans="1:9">
      <c r="A40" s="120" t="s">
        <v>117</v>
      </c>
      <c r="B40" s="103">
        <v>100</v>
      </c>
      <c r="C40" s="66" t="s">
        <v>102</v>
      </c>
      <c r="D40" s="65">
        <v>1</v>
      </c>
      <c r="E40" s="101">
        <v>12</v>
      </c>
      <c r="F40" s="91">
        <f>$B40*$D40*$E40</f>
        <v>1200</v>
      </c>
    </row>
    <row r="41" spans="1:9">
      <c r="A41" s="81" t="s">
        <v>110</v>
      </c>
      <c r="B41" s="103">
        <f>45000/12</f>
        <v>3750</v>
      </c>
      <c r="C41" s="66" t="s">
        <v>102</v>
      </c>
      <c r="D41" s="65">
        <v>0.1</v>
      </c>
      <c r="E41" s="101">
        <v>12</v>
      </c>
      <c r="F41" s="91">
        <f>$B41*$D41*$E41</f>
        <v>4500</v>
      </c>
    </row>
    <row r="42" spans="1:9">
      <c r="A42" s="83" t="s">
        <v>82</v>
      </c>
      <c r="B42" s="113"/>
      <c r="C42" s="113"/>
      <c r="D42" s="118"/>
      <c r="E42" s="118"/>
      <c r="F42" s="92">
        <f>SUM(F34:F41)</f>
        <v>69300</v>
      </c>
      <c r="G42" s="73"/>
    </row>
    <row r="43" spans="1:9">
      <c r="A43" s="120"/>
      <c r="B43" s="113"/>
      <c r="C43" s="113"/>
      <c r="D43" s="118"/>
      <c r="E43" s="118"/>
      <c r="F43" s="91"/>
      <c r="G43" s="73"/>
    </row>
    <row r="44" spans="1:9">
      <c r="A44" s="89" t="s">
        <v>87</v>
      </c>
      <c r="B44" s="114"/>
      <c r="C44" s="114"/>
      <c r="D44" s="65"/>
      <c r="E44" s="65"/>
      <c r="F44" s="92">
        <f>F$42</f>
        <v>69300</v>
      </c>
      <c r="G44" s="73"/>
    </row>
    <row r="45" spans="1:9">
      <c r="A45" s="89" t="s">
        <v>86</v>
      </c>
      <c r="B45" s="114"/>
      <c r="C45" s="114"/>
      <c r="D45" s="65"/>
      <c r="E45" s="65"/>
      <c r="F45" s="91">
        <f>F$44*$B$2</f>
        <v>6930</v>
      </c>
      <c r="G45" s="73"/>
    </row>
    <row r="46" spans="1:9">
      <c r="A46" s="89"/>
      <c r="B46" s="114"/>
      <c r="C46" s="114"/>
      <c r="D46" s="65"/>
      <c r="E46" s="65"/>
      <c r="F46" s="91"/>
      <c r="G46" s="73"/>
    </row>
    <row r="47" spans="1:9" ht="15.75" thickBot="1">
      <c r="A47" s="94" t="s">
        <v>88</v>
      </c>
      <c r="B47" s="122"/>
      <c r="C47" s="122"/>
      <c r="D47" s="70"/>
      <c r="E47" s="70"/>
      <c r="F47" s="95">
        <f>SUM(F44:F45)</f>
        <v>76230</v>
      </c>
      <c r="G47" s="73"/>
      <c r="I47" s="107"/>
    </row>
    <row r="48" spans="1:9" ht="15.75" thickTop="1">
      <c r="A48" s="89"/>
      <c r="B48" s="114"/>
      <c r="C48" s="114"/>
      <c r="D48" s="65"/>
      <c r="E48" s="65"/>
      <c r="F48" s="93"/>
      <c r="G48" s="73"/>
    </row>
    <row r="49" spans="1:7">
      <c r="A49" s="120"/>
      <c r="B49" s="113"/>
      <c r="C49" s="113"/>
      <c r="D49" s="118"/>
      <c r="E49" s="118"/>
      <c r="F49" s="123"/>
    </row>
    <row r="50" spans="1:7">
      <c r="A50" s="83" t="s">
        <v>87</v>
      </c>
      <c r="B50" s="113"/>
      <c r="C50" s="113"/>
      <c r="D50" s="118"/>
      <c r="E50" s="118"/>
      <c r="F50" s="121">
        <f>F30+F47</f>
        <v>161074.32</v>
      </c>
    </row>
    <row r="51" spans="1:7">
      <c r="A51" s="83" t="s">
        <v>103</v>
      </c>
      <c r="B51" s="104"/>
      <c r="C51" s="104"/>
      <c r="D51" s="105"/>
      <c r="E51" s="105"/>
      <c r="F51" s="135">
        <f>F50*B2</f>
        <v>16107.432000000001</v>
      </c>
    </row>
    <row r="52" spans="1:7" ht="15.75" thickBot="1">
      <c r="A52" s="120"/>
      <c r="B52" s="113"/>
      <c r="C52" s="113"/>
      <c r="D52" s="118"/>
      <c r="E52" s="118"/>
      <c r="F52" s="123"/>
    </row>
    <row r="53" spans="1:7" ht="15.75" thickBot="1">
      <c r="A53" s="96" t="s">
        <v>89</v>
      </c>
      <c r="B53" s="124"/>
      <c r="C53" s="124"/>
      <c r="D53" s="119"/>
      <c r="E53" s="119"/>
      <c r="F53" s="136">
        <f>SUM(F50:F51)</f>
        <v>177181.75200000001</v>
      </c>
    </row>
    <row r="55" spans="1:7">
      <c r="G55" s="62" t="s">
        <v>86</v>
      </c>
    </row>
    <row r="56" spans="1:7">
      <c r="F56" s="125"/>
    </row>
  </sheetData>
  <mergeCells count="2">
    <mergeCell ref="A13:F13"/>
    <mergeCell ref="A19:F19"/>
  </mergeCells>
  <phoneticPr fontId="16" type="noConversion"/>
  <pageMargins left="0.7" right="0.7" top="0.75" bottom="0.75" header="0.3" footer="0.3"/>
  <pageSetup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defaultColWidth="11.42578125" defaultRowHeight="15"/>
  <cols>
    <col min="1" max="1" width="50" bestFit="1" customWidth="1"/>
    <col min="7" max="7" width="36.42578125" bestFit="1" customWidth="1"/>
  </cols>
  <sheetData>
    <row r="1" spans="1:6">
      <c r="A1" s="78" t="s">
        <v>76</v>
      </c>
      <c r="B1" s="79">
        <v>0.1</v>
      </c>
      <c r="C1" s="80">
        <v>1.1000000000000001</v>
      </c>
      <c r="D1" s="97"/>
      <c r="E1" s="97"/>
      <c r="F1" s="97"/>
    </row>
    <row r="2" spans="1:6">
      <c r="A2" s="78" t="s">
        <v>95</v>
      </c>
      <c r="B2" s="79">
        <v>0.02</v>
      </c>
      <c r="C2" s="80">
        <v>1.02</v>
      </c>
      <c r="D2" s="97"/>
      <c r="E2" s="97"/>
      <c r="F2" s="97"/>
    </row>
    <row r="3" spans="1:6">
      <c r="A3" s="78" t="s">
        <v>96</v>
      </c>
      <c r="B3" s="79">
        <v>0.02</v>
      </c>
      <c r="C3" s="80">
        <v>1.02</v>
      </c>
      <c r="D3" s="97"/>
      <c r="E3" s="97"/>
      <c r="F3" s="97"/>
    </row>
    <row r="4" spans="1:6">
      <c r="A4" s="78" t="s">
        <v>97</v>
      </c>
      <c r="B4" s="79">
        <v>0.27300000000000002</v>
      </c>
      <c r="C4" s="80">
        <v>1.2729999999999999</v>
      </c>
      <c r="D4" s="97"/>
      <c r="E4" s="97"/>
      <c r="F4" s="97"/>
    </row>
    <row r="5" spans="1:6">
      <c r="A5" s="78" t="s">
        <v>91</v>
      </c>
      <c r="B5" s="79">
        <v>0.12</v>
      </c>
      <c r="C5" s="80">
        <v>1.1200000000000001</v>
      </c>
      <c r="D5" s="97"/>
      <c r="E5" s="97"/>
      <c r="F5" s="97"/>
    </row>
    <row r="6" spans="1:6">
      <c r="A6" s="78" t="s">
        <v>98</v>
      </c>
      <c r="B6" s="79">
        <v>0.20200000000000001</v>
      </c>
      <c r="C6" s="80">
        <v>1.202</v>
      </c>
      <c r="D6" s="97"/>
      <c r="E6" s="97"/>
      <c r="F6" s="97"/>
    </row>
    <row r="7" spans="1:6">
      <c r="A7" s="78" t="s">
        <v>99</v>
      </c>
      <c r="B7" s="79">
        <v>6.5000000000000002E-2</v>
      </c>
      <c r="C7" s="80">
        <v>1.0649999999999999</v>
      </c>
      <c r="D7" s="97"/>
      <c r="E7" s="97"/>
      <c r="F7" s="97"/>
    </row>
    <row r="8" spans="1:6">
      <c r="A8" s="78" t="s">
        <v>56</v>
      </c>
      <c r="B8" s="79">
        <v>0</v>
      </c>
      <c r="C8" s="80">
        <v>0</v>
      </c>
      <c r="D8" s="97"/>
      <c r="E8" s="97"/>
      <c r="F8" s="97"/>
    </row>
    <row r="9" spans="1:6">
      <c r="A9" s="127"/>
      <c r="B9" s="98"/>
      <c r="C9" s="98"/>
      <c r="D9" s="97"/>
      <c r="E9" s="97"/>
      <c r="F9" s="97"/>
    </row>
    <row r="10" spans="1:6">
      <c r="A10" s="128" t="s">
        <v>84</v>
      </c>
      <c r="B10" s="84"/>
      <c r="C10" s="84"/>
      <c r="D10" s="84"/>
      <c r="E10" s="84"/>
      <c r="F10" s="85"/>
    </row>
    <row r="11" spans="1:6">
      <c r="A11" s="86" t="s">
        <v>74</v>
      </c>
      <c r="B11" s="68" t="s">
        <v>101</v>
      </c>
      <c r="C11" s="68" t="s">
        <v>85</v>
      </c>
      <c r="D11" s="63" t="s">
        <v>106</v>
      </c>
      <c r="E11" s="63" t="s">
        <v>116</v>
      </c>
      <c r="F11" s="87" t="s">
        <v>104</v>
      </c>
    </row>
    <row r="12" spans="1:6">
      <c r="A12" s="156" t="s">
        <v>107</v>
      </c>
      <c r="B12" s="157"/>
      <c r="C12" s="157"/>
      <c r="D12" s="157"/>
      <c r="E12" s="157"/>
      <c r="F12" s="158"/>
    </row>
    <row r="13" spans="1:6">
      <c r="A13" s="131"/>
      <c r="B13" s="132"/>
      <c r="C13" s="132"/>
      <c r="D13" s="132"/>
      <c r="E13" s="132"/>
      <c r="F13" s="133"/>
    </row>
    <row r="14" spans="1:6">
      <c r="A14" s="81" t="s">
        <v>105</v>
      </c>
      <c r="B14" s="67">
        <f>76000/12</f>
        <v>6333.333333333333</v>
      </c>
      <c r="C14" s="66" t="s">
        <v>102</v>
      </c>
      <c r="D14" s="65">
        <v>0.1</v>
      </c>
      <c r="E14" s="101">
        <v>12</v>
      </c>
      <c r="F14" s="88">
        <f>$E14*$B14*$D14</f>
        <v>7600</v>
      </c>
    </row>
    <row r="15" spans="1:6">
      <c r="A15" s="81" t="s">
        <v>127</v>
      </c>
      <c r="B15" s="67">
        <f>68000/12</f>
        <v>5666.666666666667</v>
      </c>
      <c r="C15" s="66" t="s">
        <v>102</v>
      </c>
      <c r="D15" s="65">
        <v>0.1</v>
      </c>
      <c r="E15" s="101">
        <v>12</v>
      </c>
      <c r="F15" s="88">
        <f>$E15*$B15*$D15</f>
        <v>6800</v>
      </c>
    </row>
    <row r="16" spans="1:6">
      <c r="A16" s="89" t="s">
        <v>82</v>
      </c>
      <c r="B16" s="66"/>
      <c r="C16" s="66"/>
      <c r="D16" s="64"/>
      <c r="E16" s="64"/>
      <c r="F16" s="90">
        <f>SUM(F14:F15)</f>
        <v>14400</v>
      </c>
    </row>
    <row r="17" spans="1:6">
      <c r="A17" s="81" t="s">
        <v>81</v>
      </c>
      <c r="B17" s="66"/>
      <c r="C17" s="66"/>
      <c r="D17" s="64"/>
      <c r="E17" s="64"/>
      <c r="F17" s="88">
        <f>F16*B4</f>
        <v>3931.2000000000003</v>
      </c>
    </row>
    <row r="18" spans="1:6">
      <c r="A18" s="156" t="s">
        <v>108</v>
      </c>
      <c r="B18" s="157"/>
      <c r="C18" s="157"/>
      <c r="D18" s="157"/>
      <c r="E18" s="157"/>
      <c r="F18" s="158"/>
    </row>
    <row r="19" spans="1:6">
      <c r="A19" s="81" t="s">
        <v>125</v>
      </c>
      <c r="B19" s="103">
        <f>60000/12</f>
        <v>5000</v>
      </c>
      <c r="C19" s="66" t="s">
        <v>102</v>
      </c>
      <c r="D19" s="65">
        <v>0.1</v>
      </c>
      <c r="E19" s="101">
        <v>12</v>
      </c>
      <c r="F19" s="91">
        <f>$B19*$D19*$E19</f>
        <v>6000</v>
      </c>
    </row>
    <row r="20" spans="1:6">
      <c r="A20" s="81" t="s">
        <v>126</v>
      </c>
      <c r="B20" s="103">
        <f>30000/12</f>
        <v>2500</v>
      </c>
      <c r="C20" s="66" t="s">
        <v>102</v>
      </c>
      <c r="D20" s="65">
        <v>0.1</v>
      </c>
      <c r="E20" s="101">
        <v>12</v>
      </c>
      <c r="F20" s="91">
        <f>$B20*$D20*$E20</f>
        <v>3000</v>
      </c>
    </row>
    <row r="21" spans="1:6">
      <c r="A21" s="81" t="s">
        <v>100</v>
      </c>
      <c r="B21" s="103">
        <f>40000/12</f>
        <v>3333.3333333333335</v>
      </c>
      <c r="C21" s="66" t="s">
        <v>102</v>
      </c>
      <c r="D21" s="65">
        <v>1</v>
      </c>
      <c r="E21" s="101">
        <v>12</v>
      </c>
      <c r="F21" s="91">
        <f>$B21*$D21*$E21</f>
        <v>40000</v>
      </c>
    </row>
    <row r="22" spans="1:6">
      <c r="A22" s="81" t="s">
        <v>109</v>
      </c>
      <c r="B22" s="103">
        <f>25000/12</f>
        <v>2083.3333333333335</v>
      </c>
      <c r="C22" s="66" t="s">
        <v>102</v>
      </c>
      <c r="D22" s="65">
        <v>1</v>
      </c>
      <c r="E22" s="101">
        <v>12</v>
      </c>
      <c r="F22" s="91">
        <f>$B22*$D22*$E22</f>
        <v>25000</v>
      </c>
    </row>
    <row r="23" spans="1:6">
      <c r="A23" s="89" t="s">
        <v>82</v>
      </c>
      <c r="B23" s="102"/>
      <c r="C23" s="66"/>
      <c r="D23" s="65"/>
      <c r="E23" s="101"/>
      <c r="F23" s="92">
        <f>SUM(F19:F22)</f>
        <v>74000</v>
      </c>
    </row>
    <row r="24" spans="1:6">
      <c r="A24" s="81" t="s">
        <v>81</v>
      </c>
      <c r="B24" s="102"/>
      <c r="C24" s="66"/>
      <c r="D24" s="65"/>
      <c r="E24" s="100"/>
      <c r="F24" s="91">
        <f>F23*B5</f>
        <v>8880</v>
      </c>
    </row>
    <row r="25" spans="1:6">
      <c r="A25" s="81"/>
      <c r="B25" s="66"/>
      <c r="C25" s="66"/>
      <c r="D25" s="65"/>
      <c r="E25" s="100"/>
      <c r="F25" s="91"/>
    </row>
    <row r="26" spans="1:6">
      <c r="A26" s="89" t="s">
        <v>79</v>
      </c>
      <c r="B26" s="69"/>
      <c r="C26" s="69"/>
      <c r="D26" s="109"/>
      <c r="E26" s="110"/>
      <c r="F26" s="91">
        <f>F16+F23</f>
        <v>88400</v>
      </c>
    </row>
    <row r="27" spans="1:6">
      <c r="A27" s="89" t="s">
        <v>80</v>
      </c>
      <c r="B27" s="69"/>
      <c r="C27" s="69"/>
      <c r="D27" s="109"/>
      <c r="E27" s="109"/>
      <c r="F27" s="91">
        <f>F17+F24</f>
        <v>12811.2</v>
      </c>
    </row>
    <row r="28" spans="1:6">
      <c r="A28" s="89" t="s">
        <v>87</v>
      </c>
      <c r="B28" s="69"/>
      <c r="C28" s="69"/>
      <c r="D28" s="109"/>
      <c r="E28" s="109"/>
      <c r="F28" s="92">
        <f>SUM(F26:F27)</f>
        <v>101211.2</v>
      </c>
    </row>
    <row r="29" spans="1:6">
      <c r="A29" s="89" t="s">
        <v>86</v>
      </c>
      <c r="B29" s="69"/>
      <c r="C29" s="69"/>
      <c r="D29" s="109"/>
      <c r="E29" s="109"/>
      <c r="F29" s="91">
        <f>F28*B1</f>
        <v>10121.120000000001</v>
      </c>
    </row>
    <row r="30" spans="1:6">
      <c r="A30" s="89"/>
      <c r="B30" s="69"/>
      <c r="C30" s="69"/>
      <c r="D30" s="109"/>
      <c r="E30" s="109"/>
      <c r="F30" s="93"/>
    </row>
    <row r="31" spans="1:6" ht="15.75" thickBot="1">
      <c r="A31" s="94" t="s">
        <v>83</v>
      </c>
      <c r="B31" s="111"/>
      <c r="C31" s="111"/>
      <c r="D31" s="112"/>
      <c r="E31" s="112"/>
      <c r="F31" s="95">
        <f t="shared" ref="F31" si="0">SUM(F28:F29)</f>
        <v>111332.31999999999</v>
      </c>
    </row>
    <row r="32" spans="1:6" ht="15.75" thickTop="1">
      <c r="A32" s="89"/>
      <c r="B32" s="69"/>
      <c r="C32" s="69"/>
      <c r="D32" s="109"/>
      <c r="E32" s="109"/>
      <c r="F32" s="93"/>
    </row>
    <row r="33" spans="1:7">
      <c r="A33" s="134" t="s">
        <v>63</v>
      </c>
      <c r="B33" s="115"/>
      <c r="C33" s="115"/>
      <c r="D33" s="116"/>
      <c r="E33" s="116"/>
      <c r="F33" s="117"/>
    </row>
    <row r="34" spans="1:7">
      <c r="A34" s="86" t="s">
        <v>62</v>
      </c>
      <c r="B34" s="68" t="s">
        <v>101</v>
      </c>
      <c r="C34" s="68" t="s">
        <v>85</v>
      </c>
      <c r="D34" s="63" t="s">
        <v>106</v>
      </c>
      <c r="E34" s="63" t="s">
        <v>116</v>
      </c>
      <c r="F34" s="87" t="s">
        <v>104</v>
      </c>
    </row>
    <row r="35" spans="1:7">
      <c r="A35" s="120" t="s">
        <v>111</v>
      </c>
      <c r="B35" s="103">
        <v>10000</v>
      </c>
      <c r="C35" s="66" t="s">
        <v>112</v>
      </c>
      <c r="D35" s="65">
        <v>1</v>
      </c>
      <c r="E35" s="101">
        <v>1</v>
      </c>
      <c r="F35" s="91">
        <f t="shared" ref="F35:F42" si="1">$B35*$D35*$E35</f>
        <v>10000</v>
      </c>
    </row>
    <row r="36" spans="1:7">
      <c r="A36" s="120" t="s">
        <v>113</v>
      </c>
      <c r="B36" s="102">
        <v>0.2</v>
      </c>
      <c r="C36" s="66" t="s">
        <v>114</v>
      </c>
      <c r="D36" s="65">
        <v>1</v>
      </c>
      <c r="E36" s="101">
        <v>500000</v>
      </c>
      <c r="F36" s="91">
        <f t="shared" si="1"/>
        <v>100000</v>
      </c>
      <c r="G36" s="62" t="s">
        <v>118</v>
      </c>
    </row>
    <row r="37" spans="1:7">
      <c r="A37" s="120" t="s">
        <v>120</v>
      </c>
      <c r="B37" s="103">
        <v>1200</v>
      </c>
      <c r="C37" s="66" t="s">
        <v>115</v>
      </c>
      <c r="D37" s="65">
        <v>1</v>
      </c>
      <c r="E37" s="101">
        <v>6</v>
      </c>
      <c r="F37" s="91">
        <f t="shared" si="1"/>
        <v>7200</v>
      </c>
    </row>
    <row r="38" spans="1:7">
      <c r="A38" s="120" t="s">
        <v>122</v>
      </c>
      <c r="B38" s="103">
        <f>20*150</f>
        <v>3000</v>
      </c>
      <c r="C38" s="66" t="s">
        <v>123</v>
      </c>
      <c r="D38" s="65">
        <v>1</v>
      </c>
      <c r="E38" s="101">
        <v>52</v>
      </c>
      <c r="F38" s="91">
        <f t="shared" si="1"/>
        <v>156000</v>
      </c>
      <c r="G38" t="s">
        <v>159</v>
      </c>
    </row>
    <row r="39" spans="1:7">
      <c r="A39" s="120" t="s">
        <v>128</v>
      </c>
      <c r="B39" s="103">
        <v>12000</v>
      </c>
      <c r="C39" s="66" t="s">
        <v>102</v>
      </c>
      <c r="D39" s="65">
        <v>0</v>
      </c>
      <c r="E39" s="101">
        <v>12</v>
      </c>
      <c r="F39" s="91">
        <f t="shared" si="1"/>
        <v>0</v>
      </c>
      <c r="G39" t="s">
        <v>164</v>
      </c>
    </row>
    <row r="40" spans="1:7">
      <c r="A40" s="120" t="s">
        <v>124</v>
      </c>
      <c r="B40" s="103">
        <v>15000</v>
      </c>
      <c r="C40" s="66" t="s">
        <v>121</v>
      </c>
      <c r="D40" s="65">
        <v>1</v>
      </c>
      <c r="E40" s="101">
        <v>2</v>
      </c>
      <c r="F40" s="91">
        <f t="shared" si="1"/>
        <v>30000</v>
      </c>
      <c r="G40" t="s">
        <v>163</v>
      </c>
    </row>
    <row r="41" spans="1:7">
      <c r="A41" s="120" t="s">
        <v>117</v>
      </c>
      <c r="B41" s="103">
        <v>200</v>
      </c>
      <c r="C41" s="66" t="s">
        <v>102</v>
      </c>
      <c r="D41" s="65">
        <v>1</v>
      </c>
      <c r="E41" s="101">
        <v>12</v>
      </c>
      <c r="F41" s="91">
        <f t="shared" si="1"/>
        <v>2400</v>
      </c>
    </row>
    <row r="42" spans="1:7">
      <c r="A42" s="81" t="s">
        <v>110</v>
      </c>
      <c r="B42" s="103">
        <f>45000/12</f>
        <v>3750</v>
      </c>
      <c r="C42" s="66" t="s">
        <v>102</v>
      </c>
      <c r="D42" s="65">
        <v>0.1</v>
      </c>
      <c r="E42" s="101">
        <v>12</v>
      </c>
      <c r="F42" s="91">
        <f t="shared" si="1"/>
        <v>4500</v>
      </c>
    </row>
    <row r="43" spans="1:7">
      <c r="A43" s="83" t="s">
        <v>82</v>
      </c>
      <c r="B43" s="113"/>
      <c r="C43" s="113"/>
      <c r="D43" s="118"/>
      <c r="E43" s="118"/>
      <c r="F43" s="92">
        <f>SUM(F35:F42)</f>
        <v>310100</v>
      </c>
    </row>
    <row r="44" spans="1:7">
      <c r="A44" s="120"/>
      <c r="B44" s="113"/>
      <c r="C44" s="113"/>
      <c r="D44" s="118"/>
      <c r="E44" s="118"/>
      <c r="F44" s="91"/>
    </row>
    <row r="45" spans="1:7">
      <c r="A45" s="89" t="s">
        <v>87</v>
      </c>
      <c r="B45" s="114"/>
      <c r="C45" s="114"/>
      <c r="D45" s="65"/>
      <c r="E45" s="65"/>
      <c r="F45" s="92">
        <f>F43</f>
        <v>310100</v>
      </c>
    </row>
    <row r="46" spans="1:7">
      <c r="A46" s="89" t="s">
        <v>86</v>
      </c>
      <c r="B46" s="114"/>
      <c r="C46" s="114"/>
      <c r="D46" s="65"/>
      <c r="E46" s="65"/>
      <c r="F46" s="91">
        <f>F45*B1</f>
        <v>31010</v>
      </c>
    </row>
    <row r="47" spans="1:7">
      <c r="A47" s="89"/>
      <c r="B47" s="114"/>
      <c r="C47" s="114"/>
      <c r="D47" s="65"/>
      <c r="E47" s="65"/>
      <c r="F47" s="91"/>
    </row>
    <row r="48" spans="1:7" ht="15.75" thickBot="1">
      <c r="A48" s="94" t="s">
        <v>88</v>
      </c>
      <c r="B48" s="122"/>
      <c r="C48" s="122"/>
      <c r="D48" s="70"/>
      <c r="E48" s="70"/>
      <c r="F48" s="95">
        <f>SUM(F45:F46)</f>
        <v>341110</v>
      </c>
    </row>
    <row r="49" spans="1:6" ht="15.75" thickTop="1">
      <c r="A49" s="89"/>
      <c r="B49" s="114"/>
      <c r="C49" s="114"/>
      <c r="D49" s="65"/>
      <c r="E49" s="65"/>
      <c r="F49" s="93"/>
    </row>
    <row r="50" spans="1:6">
      <c r="A50" s="120"/>
      <c r="B50" s="113"/>
      <c r="C50" s="113"/>
      <c r="D50" s="118"/>
      <c r="E50" s="118"/>
      <c r="F50" s="123"/>
    </row>
    <row r="51" spans="1:6">
      <c r="A51" s="83" t="s">
        <v>87</v>
      </c>
      <c r="B51" s="113"/>
      <c r="C51" s="113"/>
      <c r="D51" s="118"/>
      <c r="E51" s="118"/>
      <c r="F51" s="121">
        <f>F31+F48</f>
        <v>452442.32</v>
      </c>
    </row>
    <row r="52" spans="1:6">
      <c r="A52" s="83" t="s">
        <v>103</v>
      </c>
      <c r="B52" s="104"/>
      <c r="C52" s="104"/>
      <c r="D52" s="105"/>
      <c r="E52" s="105"/>
      <c r="F52" s="135">
        <f>F51*B1</f>
        <v>45244.232000000004</v>
      </c>
    </row>
    <row r="53" spans="1:6" ht="15.75" thickBot="1">
      <c r="A53" s="120"/>
      <c r="B53" s="113"/>
      <c r="C53" s="113"/>
      <c r="D53" s="118"/>
      <c r="E53" s="118"/>
      <c r="F53" s="123"/>
    </row>
    <row r="54" spans="1:6" ht="15.75" thickBot="1">
      <c r="A54" s="96" t="s">
        <v>89</v>
      </c>
      <c r="B54" s="124"/>
      <c r="C54" s="124"/>
      <c r="D54" s="119"/>
      <c r="E54" s="119"/>
      <c r="F54" s="136">
        <f>SUM(F51:F52)</f>
        <v>497686.55200000003</v>
      </c>
    </row>
  </sheetData>
  <mergeCells count="2">
    <mergeCell ref="A12:F12"/>
    <mergeCell ref="A18:F18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workbookViewId="0"/>
  </sheetViews>
  <sheetFormatPr defaultColWidth="11.42578125" defaultRowHeight="15"/>
  <cols>
    <col min="1" max="1" width="50" bestFit="1" customWidth="1"/>
    <col min="7" max="7" width="36.42578125" bestFit="1" customWidth="1"/>
    <col min="14" max="14" width="35.28515625" customWidth="1"/>
  </cols>
  <sheetData>
    <row r="1" spans="1:14">
      <c r="A1" s="78" t="s">
        <v>76</v>
      </c>
      <c r="B1" s="79">
        <v>0.1</v>
      </c>
      <c r="C1" s="80">
        <v>1.1000000000000001</v>
      </c>
      <c r="D1" s="97"/>
      <c r="E1" s="97"/>
      <c r="F1" s="97"/>
    </row>
    <row r="2" spans="1:14">
      <c r="A2" s="78" t="s">
        <v>95</v>
      </c>
      <c r="B2" s="79">
        <v>0.02</v>
      </c>
      <c r="C2" s="80">
        <v>1.02</v>
      </c>
      <c r="D2" s="97"/>
      <c r="E2" s="97"/>
      <c r="F2" s="97"/>
    </row>
    <row r="3" spans="1:14">
      <c r="A3" s="78" t="s">
        <v>96</v>
      </c>
      <c r="B3" s="79">
        <v>0.02</v>
      </c>
      <c r="C3" s="80">
        <v>1.02</v>
      </c>
      <c r="D3" s="97"/>
      <c r="E3" s="97"/>
      <c r="F3" s="97"/>
    </row>
    <row r="4" spans="1:14">
      <c r="A4" s="78" t="s">
        <v>97</v>
      </c>
      <c r="B4" s="79">
        <v>0.27300000000000002</v>
      </c>
      <c r="C4" s="80">
        <v>1.2729999999999999</v>
      </c>
      <c r="D4" s="97"/>
      <c r="E4" s="97"/>
      <c r="F4" s="97"/>
    </row>
    <row r="5" spans="1:14">
      <c r="A5" s="78" t="s">
        <v>91</v>
      </c>
      <c r="B5" s="79">
        <v>0.12</v>
      </c>
      <c r="C5" s="80">
        <v>1.1200000000000001</v>
      </c>
      <c r="D5" s="97"/>
      <c r="E5" s="97"/>
      <c r="F5" s="97"/>
    </row>
    <row r="6" spans="1:14">
      <c r="A6" s="78" t="s">
        <v>98</v>
      </c>
      <c r="B6" s="79">
        <v>0.20200000000000001</v>
      </c>
      <c r="C6" s="80">
        <v>1.202</v>
      </c>
      <c r="D6" s="97"/>
      <c r="E6" s="97"/>
      <c r="F6" s="97"/>
    </row>
    <row r="7" spans="1:14">
      <c r="A7" s="78" t="s">
        <v>99</v>
      </c>
      <c r="B7" s="79">
        <v>6.5000000000000002E-2</v>
      </c>
      <c r="C7" s="80">
        <v>1.0649999999999999</v>
      </c>
      <c r="D7" s="97"/>
      <c r="E7" s="97"/>
      <c r="F7" s="97"/>
    </row>
    <row r="8" spans="1:14">
      <c r="A8" s="78" t="s">
        <v>56</v>
      </c>
      <c r="B8" s="79">
        <v>0</v>
      </c>
      <c r="C8" s="80">
        <v>0</v>
      </c>
      <c r="D8" s="97"/>
      <c r="E8" s="97"/>
      <c r="F8" s="97"/>
    </row>
    <row r="9" spans="1:14">
      <c r="A9" s="127"/>
      <c r="B9" s="98"/>
      <c r="C9" s="98"/>
      <c r="D9" s="97"/>
      <c r="E9" s="97"/>
      <c r="F9" s="97"/>
    </row>
    <row r="10" spans="1:14" ht="18.75">
      <c r="A10" s="128" t="s">
        <v>84</v>
      </c>
      <c r="B10" s="84"/>
      <c r="C10" s="84"/>
      <c r="D10" s="84"/>
      <c r="E10" s="84"/>
      <c r="F10" s="85"/>
      <c r="N10" s="140"/>
    </row>
    <row r="11" spans="1:14">
      <c r="A11" s="86" t="s">
        <v>74</v>
      </c>
      <c r="B11" s="68" t="s">
        <v>101</v>
      </c>
      <c r="C11" s="68" t="s">
        <v>85</v>
      </c>
      <c r="D11" s="63" t="s">
        <v>106</v>
      </c>
      <c r="E11" s="63" t="s">
        <v>116</v>
      </c>
      <c r="F11" s="87" t="s">
        <v>104</v>
      </c>
    </row>
    <row r="12" spans="1:14">
      <c r="A12" s="156" t="s">
        <v>107</v>
      </c>
      <c r="B12" s="157"/>
      <c r="C12" s="157"/>
      <c r="D12" s="157"/>
      <c r="E12" s="157"/>
      <c r="F12" s="158"/>
    </row>
    <row r="13" spans="1:14">
      <c r="A13" s="137"/>
      <c r="B13" s="138"/>
      <c r="C13" s="138"/>
      <c r="D13" s="138"/>
      <c r="E13" s="138"/>
      <c r="F13" s="139"/>
    </row>
    <row r="14" spans="1:14">
      <c r="A14" s="81" t="s">
        <v>105</v>
      </c>
      <c r="B14" s="67">
        <f>76000/12</f>
        <v>6333.333333333333</v>
      </c>
      <c r="C14" s="66" t="s">
        <v>102</v>
      </c>
      <c r="D14" s="65">
        <v>0.25</v>
      </c>
      <c r="E14" s="101">
        <v>12</v>
      </c>
      <c r="F14" s="88">
        <f>$E14*$B14*$D14</f>
        <v>19000</v>
      </c>
    </row>
    <row r="15" spans="1:14">
      <c r="A15" s="81" t="s">
        <v>127</v>
      </c>
      <c r="B15" s="67">
        <f>68000/12</f>
        <v>5666.666666666667</v>
      </c>
      <c r="C15" s="66" t="s">
        <v>102</v>
      </c>
      <c r="D15" s="65">
        <v>0.25</v>
      </c>
      <c r="E15" s="101">
        <v>12</v>
      </c>
      <c r="F15" s="88">
        <f>$E15*$B15*$D15</f>
        <v>17000</v>
      </c>
    </row>
    <row r="16" spans="1:14">
      <c r="A16" s="89" t="s">
        <v>82</v>
      </c>
      <c r="B16" s="66"/>
      <c r="C16" s="66"/>
      <c r="D16" s="64"/>
      <c r="E16" s="64"/>
      <c r="F16" s="90">
        <f>SUM(F14:F15)</f>
        <v>36000</v>
      </c>
    </row>
    <row r="17" spans="1:6">
      <c r="A17" s="81" t="s">
        <v>81</v>
      </c>
      <c r="B17" s="66"/>
      <c r="C17" s="66"/>
      <c r="D17" s="64"/>
      <c r="E17" s="64"/>
      <c r="F17" s="88">
        <f>F16*B4</f>
        <v>9828</v>
      </c>
    </row>
    <row r="18" spans="1:6">
      <c r="A18" s="156" t="s">
        <v>108</v>
      </c>
      <c r="B18" s="157"/>
      <c r="C18" s="157"/>
      <c r="D18" s="157"/>
      <c r="E18" s="157"/>
      <c r="F18" s="158"/>
    </row>
    <row r="19" spans="1:6">
      <c r="A19" s="81" t="s">
        <v>125</v>
      </c>
      <c r="B19" s="103">
        <f>60000/12</f>
        <v>5000</v>
      </c>
      <c r="C19" s="66" t="s">
        <v>102</v>
      </c>
      <c r="D19" s="65">
        <v>0.25</v>
      </c>
      <c r="E19" s="101">
        <v>12</v>
      </c>
      <c r="F19" s="91">
        <f>$B19*$D19*$E19</f>
        <v>15000</v>
      </c>
    </row>
    <row r="20" spans="1:6">
      <c r="A20" s="81" t="s">
        <v>126</v>
      </c>
      <c r="B20" s="103">
        <f>30000/12</f>
        <v>2500</v>
      </c>
      <c r="C20" s="66" t="s">
        <v>102</v>
      </c>
      <c r="D20" s="65">
        <v>0.25</v>
      </c>
      <c r="E20" s="101">
        <v>12</v>
      </c>
      <c r="F20" s="91">
        <f>$B20*$D20*$E20</f>
        <v>7500</v>
      </c>
    </row>
    <row r="21" spans="1:6">
      <c r="A21" s="81" t="s">
        <v>100</v>
      </c>
      <c r="B21" s="103">
        <f>40000/12</f>
        <v>3333.3333333333335</v>
      </c>
      <c r="C21" s="66" t="s">
        <v>102</v>
      </c>
      <c r="D21" s="65">
        <v>1</v>
      </c>
      <c r="E21" s="101">
        <v>12</v>
      </c>
      <c r="F21" s="91">
        <f>$B21*$D21*$E21</f>
        <v>40000</v>
      </c>
    </row>
    <row r="22" spans="1:6">
      <c r="A22" s="81" t="s">
        <v>109</v>
      </c>
      <c r="B22" s="103">
        <f>25000/12</f>
        <v>2083.3333333333335</v>
      </c>
      <c r="C22" s="66" t="s">
        <v>102</v>
      </c>
      <c r="D22" s="65">
        <v>1</v>
      </c>
      <c r="E22" s="101">
        <v>12</v>
      </c>
      <c r="F22" s="91">
        <f>$B22*$D22*$E22</f>
        <v>25000</v>
      </c>
    </row>
    <row r="23" spans="1:6">
      <c r="A23" s="89" t="s">
        <v>82</v>
      </c>
      <c r="B23" s="102"/>
      <c r="C23" s="66"/>
      <c r="D23" s="65"/>
      <c r="E23" s="101"/>
      <c r="F23" s="92">
        <f>SUM(F19:F22)</f>
        <v>87500</v>
      </c>
    </row>
    <row r="24" spans="1:6">
      <c r="A24" s="81" t="s">
        <v>81</v>
      </c>
      <c r="B24" s="102"/>
      <c r="C24" s="66"/>
      <c r="D24" s="65"/>
      <c r="E24" s="100"/>
      <c r="F24" s="91">
        <f>F23*B5</f>
        <v>10500</v>
      </c>
    </row>
    <row r="25" spans="1:6">
      <c r="A25" s="81"/>
      <c r="B25" s="66"/>
      <c r="C25" s="66"/>
      <c r="D25" s="65"/>
      <c r="E25" s="100"/>
      <c r="F25" s="91"/>
    </row>
    <row r="26" spans="1:6">
      <c r="A26" s="89" t="s">
        <v>79</v>
      </c>
      <c r="B26" s="69"/>
      <c r="C26" s="69"/>
      <c r="D26" s="109"/>
      <c r="E26" s="110"/>
      <c r="F26" s="91">
        <f>F16+F23</f>
        <v>123500</v>
      </c>
    </row>
    <row r="27" spans="1:6">
      <c r="A27" s="89" t="s">
        <v>80</v>
      </c>
      <c r="B27" s="69"/>
      <c r="C27" s="69"/>
      <c r="D27" s="109"/>
      <c r="E27" s="109"/>
      <c r="F27" s="91">
        <f>F17+F24</f>
        <v>20328</v>
      </c>
    </row>
    <row r="28" spans="1:6">
      <c r="A28" s="89" t="s">
        <v>87</v>
      </c>
      <c r="B28" s="69"/>
      <c r="C28" s="69"/>
      <c r="D28" s="109"/>
      <c r="E28" s="109"/>
      <c r="F28" s="92">
        <f>SUM(F26:F27)</f>
        <v>143828</v>
      </c>
    </row>
    <row r="29" spans="1:6">
      <c r="A29" s="89" t="s">
        <v>86</v>
      </c>
      <c r="B29" s="69"/>
      <c r="C29" s="69"/>
      <c r="D29" s="109"/>
      <c r="E29" s="109"/>
      <c r="F29" s="91">
        <f>F28*B1</f>
        <v>14382.800000000001</v>
      </c>
    </row>
    <row r="30" spans="1:6">
      <c r="A30" s="89"/>
      <c r="B30" s="69"/>
      <c r="C30" s="69"/>
      <c r="D30" s="109"/>
      <c r="E30" s="109"/>
      <c r="F30" s="93"/>
    </row>
    <row r="31" spans="1:6" ht="15.75" thickBot="1">
      <c r="A31" s="94" t="s">
        <v>83</v>
      </c>
      <c r="B31" s="111"/>
      <c r="C31" s="111"/>
      <c r="D31" s="112"/>
      <c r="E31" s="112"/>
      <c r="F31" s="95">
        <f t="shared" ref="F31" si="0">SUM(F28:F29)</f>
        <v>158210.79999999999</v>
      </c>
    </row>
    <row r="32" spans="1:6" ht="15.75" thickTop="1">
      <c r="A32" s="89"/>
      <c r="B32" s="69"/>
      <c r="C32" s="69"/>
      <c r="D32" s="109"/>
      <c r="E32" s="109"/>
      <c r="F32" s="93"/>
    </row>
    <row r="33" spans="1:7">
      <c r="A33" s="134" t="s">
        <v>63</v>
      </c>
      <c r="B33" s="115"/>
      <c r="C33" s="115"/>
      <c r="D33" s="116"/>
      <c r="E33" s="116"/>
      <c r="F33" s="117"/>
    </row>
    <row r="34" spans="1:7">
      <c r="A34" s="86" t="s">
        <v>62</v>
      </c>
      <c r="B34" s="68" t="s">
        <v>101</v>
      </c>
      <c r="C34" s="68" t="s">
        <v>85</v>
      </c>
      <c r="D34" s="63" t="s">
        <v>106</v>
      </c>
      <c r="E34" s="63" t="s">
        <v>116</v>
      </c>
      <c r="F34" s="87" t="s">
        <v>104</v>
      </c>
    </row>
    <row r="35" spans="1:7">
      <c r="A35" s="120" t="s">
        <v>111</v>
      </c>
      <c r="B35" s="103">
        <v>10000</v>
      </c>
      <c r="C35" s="66" t="s">
        <v>112</v>
      </c>
      <c r="D35" s="65">
        <v>1</v>
      </c>
      <c r="E35" s="101">
        <v>1</v>
      </c>
      <c r="F35" s="91">
        <f t="shared" ref="F35:F42" si="1">$B35*$D35*$E35</f>
        <v>10000</v>
      </c>
    </row>
    <row r="36" spans="1:7">
      <c r="A36" s="120" t="s">
        <v>113</v>
      </c>
      <c r="B36" s="102">
        <v>0.2</v>
      </c>
      <c r="C36" s="66" t="s">
        <v>114</v>
      </c>
      <c r="D36" s="65">
        <v>1</v>
      </c>
      <c r="E36" s="101">
        <v>500000</v>
      </c>
      <c r="F36" s="91">
        <f t="shared" si="1"/>
        <v>100000</v>
      </c>
      <c r="G36" s="62" t="s">
        <v>118</v>
      </c>
    </row>
    <row r="37" spans="1:7">
      <c r="A37" s="120" t="s">
        <v>120</v>
      </c>
      <c r="B37" s="103">
        <v>1200</v>
      </c>
      <c r="C37" s="66" t="s">
        <v>115</v>
      </c>
      <c r="D37" s="65">
        <v>1</v>
      </c>
      <c r="E37" s="101">
        <v>6</v>
      </c>
      <c r="F37" s="91">
        <f t="shared" si="1"/>
        <v>7200</v>
      </c>
    </row>
    <row r="38" spans="1:7">
      <c r="A38" s="120" t="s">
        <v>122</v>
      </c>
      <c r="B38" s="103">
        <f>40*150</f>
        <v>6000</v>
      </c>
      <c r="C38" s="66" t="s">
        <v>123</v>
      </c>
      <c r="D38" s="65">
        <v>1</v>
      </c>
      <c r="E38" s="101">
        <v>52</v>
      </c>
      <c r="F38" s="91">
        <f t="shared" si="1"/>
        <v>312000</v>
      </c>
      <c r="G38" t="s">
        <v>161</v>
      </c>
    </row>
    <row r="39" spans="1:7">
      <c r="A39" s="120" t="s">
        <v>128</v>
      </c>
      <c r="B39" s="103">
        <v>12000</v>
      </c>
      <c r="C39" s="66" t="s">
        <v>102</v>
      </c>
      <c r="D39" s="65">
        <v>1</v>
      </c>
      <c r="E39" s="101">
        <v>12</v>
      </c>
      <c r="F39" s="91">
        <f t="shared" si="1"/>
        <v>144000</v>
      </c>
      <c r="G39" t="s">
        <v>162</v>
      </c>
    </row>
    <row r="40" spans="1:7">
      <c r="A40" s="120" t="s">
        <v>129</v>
      </c>
      <c r="B40" s="103">
        <v>15000</v>
      </c>
      <c r="C40" s="66" t="s">
        <v>121</v>
      </c>
      <c r="D40" s="65">
        <v>1</v>
      </c>
      <c r="E40" s="101">
        <v>2</v>
      </c>
      <c r="F40" s="91">
        <f t="shared" si="1"/>
        <v>30000</v>
      </c>
      <c r="G40" t="s">
        <v>163</v>
      </c>
    </row>
    <row r="41" spans="1:7">
      <c r="A41" s="120" t="s">
        <v>117</v>
      </c>
      <c r="B41" s="103">
        <v>200</v>
      </c>
      <c r="C41" s="66" t="s">
        <v>102</v>
      </c>
      <c r="D41" s="65">
        <v>1</v>
      </c>
      <c r="E41" s="101">
        <v>12</v>
      </c>
      <c r="F41" s="91">
        <f t="shared" si="1"/>
        <v>2400</v>
      </c>
    </row>
    <row r="42" spans="1:7">
      <c r="A42" s="81" t="s">
        <v>110</v>
      </c>
      <c r="B42" s="103">
        <f>45000/12</f>
        <v>3750</v>
      </c>
      <c r="C42" s="66" t="s">
        <v>102</v>
      </c>
      <c r="D42" s="65">
        <v>0.25</v>
      </c>
      <c r="E42" s="101">
        <v>12</v>
      </c>
      <c r="F42" s="91">
        <f t="shared" si="1"/>
        <v>11250</v>
      </c>
    </row>
    <row r="43" spans="1:7">
      <c r="A43" s="83" t="s">
        <v>82</v>
      </c>
      <c r="B43" s="113"/>
      <c r="C43" s="113"/>
      <c r="D43" s="118"/>
      <c r="E43" s="118"/>
      <c r="F43" s="92">
        <f>SUM(F35:F42)</f>
        <v>616850</v>
      </c>
    </row>
    <row r="44" spans="1:7">
      <c r="A44" s="120"/>
      <c r="B44" s="113"/>
      <c r="C44" s="113"/>
      <c r="D44" s="118"/>
      <c r="E44" s="118"/>
      <c r="F44" s="91"/>
    </row>
    <row r="45" spans="1:7">
      <c r="A45" s="89" t="s">
        <v>87</v>
      </c>
      <c r="B45" s="114"/>
      <c r="C45" s="114"/>
      <c r="D45" s="65"/>
      <c r="E45" s="65"/>
      <c r="F45" s="92">
        <f>F43</f>
        <v>616850</v>
      </c>
    </row>
    <row r="46" spans="1:7">
      <c r="A46" s="89" t="s">
        <v>86</v>
      </c>
      <c r="B46" s="114"/>
      <c r="C46" s="114"/>
      <c r="D46" s="65"/>
      <c r="E46" s="65"/>
      <c r="F46" s="91">
        <f>F45*B1</f>
        <v>61685</v>
      </c>
    </row>
    <row r="47" spans="1:7">
      <c r="A47" s="89"/>
      <c r="B47" s="114"/>
      <c r="C47" s="114"/>
      <c r="D47" s="65"/>
      <c r="E47" s="65"/>
      <c r="F47" s="91"/>
    </row>
    <row r="48" spans="1:7" ht="15.75" thickBot="1">
      <c r="A48" s="94" t="s">
        <v>88</v>
      </c>
      <c r="B48" s="122"/>
      <c r="C48" s="122"/>
      <c r="D48" s="70"/>
      <c r="E48" s="70"/>
      <c r="F48" s="95">
        <f>SUM(F45:F46)</f>
        <v>678535</v>
      </c>
    </row>
    <row r="49" spans="1:6" ht="15.75" thickTop="1">
      <c r="A49" s="89"/>
      <c r="B49" s="114"/>
      <c r="C49" s="114"/>
      <c r="D49" s="65"/>
      <c r="E49" s="65"/>
      <c r="F49" s="93"/>
    </row>
    <row r="50" spans="1:6">
      <c r="A50" s="120"/>
      <c r="B50" s="113"/>
      <c r="C50" s="113"/>
      <c r="D50" s="118"/>
      <c r="E50" s="118"/>
      <c r="F50" s="123"/>
    </row>
    <row r="51" spans="1:6">
      <c r="A51" s="83" t="s">
        <v>87</v>
      </c>
      <c r="B51" s="113"/>
      <c r="C51" s="113"/>
      <c r="D51" s="118"/>
      <c r="E51" s="118"/>
      <c r="F51" s="121">
        <f>F31+F48</f>
        <v>836745.8</v>
      </c>
    </row>
    <row r="52" spans="1:6">
      <c r="A52" s="83" t="s">
        <v>103</v>
      </c>
      <c r="B52" s="104"/>
      <c r="C52" s="104"/>
      <c r="D52" s="105"/>
      <c r="E52" s="105"/>
      <c r="F52" s="135">
        <f>F51*B1</f>
        <v>83674.580000000016</v>
      </c>
    </row>
    <row r="53" spans="1:6" ht="15.75" thickBot="1">
      <c r="A53" s="120"/>
      <c r="B53" s="113"/>
      <c r="C53" s="113"/>
      <c r="D53" s="118"/>
      <c r="E53" s="118"/>
      <c r="F53" s="123"/>
    </row>
    <row r="54" spans="1:6" ht="15.75" thickBot="1">
      <c r="A54" s="96" t="s">
        <v>89</v>
      </c>
      <c r="B54" s="124"/>
      <c r="C54" s="124"/>
      <c r="D54" s="119"/>
      <c r="E54" s="119"/>
      <c r="F54" s="136">
        <f>SUM(F51:F52)</f>
        <v>920420.38000000012</v>
      </c>
    </row>
  </sheetData>
  <mergeCells count="2">
    <mergeCell ref="A12:F12"/>
    <mergeCell ref="A18:F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Post-Doc</vt:lpstr>
      <vt:lpstr>Accounting</vt:lpstr>
      <vt:lpstr>Budget I</vt:lpstr>
      <vt:lpstr>Budget II</vt:lpstr>
      <vt:lpstr>Budget III</vt:lpstr>
      <vt:lpstr>Accounting!Print_Area</vt:lpstr>
      <vt:lpstr>'Budget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2018-05-25T23:53:59Z</dcterms:created>
  <dcterms:modified xsi:type="dcterms:W3CDTF">2018-05-25T23:54:33Z</dcterms:modified>
</cp:coreProperties>
</file>