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filterPrivacy="1" codeName="ThisWorkbook" autoCompressPictures="0"/>
  <bookViews>
    <workbookView xWindow="-32060" yWindow="0" windowWidth="25600" windowHeight="15600"/>
  </bookViews>
  <sheets>
    <sheet name="PCT targets SCH" sheetId="5" r:id="rId1"/>
  </sheets>
  <externalReferences>
    <externalReference r:id="rId2"/>
  </externalReferences>
  <definedNames>
    <definedName name="_22_0__123Grap" localSheetId="0" hidden="1">#REF!</definedName>
    <definedName name="_22_0__123Grap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w" localSheetId="0" hidden="1">#REF!</definedName>
    <definedName name="ew" hidden="1">#REF!</definedName>
    <definedName name="_xlnm.Extract" localSheetId="0">#REF!</definedName>
    <definedName name="_xlnm.Extract">#REF!</definedName>
    <definedName name="hours_m">166.67</definedName>
    <definedName name="hours_y">1833</definedName>
    <definedName name="ITE_Off">[1]Pricing!$C$10</definedName>
    <definedName name="ITE_OffOther">[1]Pricing!$C$11</definedName>
    <definedName name="ITE_on">[1]Pricing!$C$5</definedName>
    <definedName name="ITE_OnOther">[1]Pricing!$C$6</definedName>
    <definedName name="sorts" localSheetId="0" hidden="1">#REF!</definedName>
    <definedName name="sorts" hidden="1">#REF!</definedName>
    <definedName name="UKInf" localSheetId="0">#REF!</definedName>
    <definedName name="UKInf">#REF!</definedName>
    <definedName name="wrn.All._.Grant._.Forms." hidden="1">{"Form DD",#N/A,FALSE,"DD";"EE",#N/A,FALSE,"EE";"Indirects",#N/A,FALSE,"DD"}</definedName>
    <definedName name="wrn.Summary._.1._.Year." hidden="1">{"One Year",#N/A,FALSE,"Summary"}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5" l="1"/>
  <c r="H96" i="5"/>
  <c r="H97" i="5"/>
  <c r="H68" i="5"/>
  <c r="H69" i="5"/>
  <c r="H70" i="5"/>
  <c r="H37" i="5"/>
  <c r="H38" i="5"/>
  <c r="H39" i="5"/>
  <c r="G25" i="5"/>
  <c r="G26" i="5"/>
  <c r="G27" i="5"/>
  <c r="G37" i="5"/>
  <c r="G38" i="5"/>
  <c r="G39" i="5"/>
  <c r="F37" i="5"/>
  <c r="F38" i="5"/>
  <c r="F39" i="5"/>
  <c r="E37" i="5"/>
  <c r="E38" i="5"/>
  <c r="E39" i="5"/>
  <c r="Q81" i="5"/>
  <c r="Q83" i="5"/>
  <c r="P81" i="5"/>
  <c r="P83" i="5"/>
  <c r="O81" i="5"/>
  <c r="O83" i="5"/>
  <c r="N81" i="5"/>
  <c r="N83" i="5"/>
  <c r="M81" i="5"/>
  <c r="M83" i="5"/>
  <c r="L81" i="5"/>
  <c r="L83" i="5"/>
  <c r="K81" i="5"/>
  <c r="K83" i="5"/>
  <c r="J81" i="5"/>
  <c r="J83" i="5"/>
  <c r="I81" i="5"/>
  <c r="I83" i="5"/>
  <c r="H81" i="5"/>
  <c r="H83" i="5"/>
  <c r="G81" i="5"/>
  <c r="G83" i="5"/>
  <c r="F81" i="5"/>
  <c r="F83" i="5"/>
  <c r="E81" i="5"/>
  <c r="E83" i="5"/>
  <c r="D81" i="5"/>
  <c r="D83" i="5"/>
  <c r="R83" i="5"/>
  <c r="D59" i="5"/>
  <c r="F59" i="5"/>
  <c r="G59" i="5"/>
  <c r="H59" i="5"/>
  <c r="I59" i="5"/>
  <c r="J59" i="5"/>
  <c r="K59" i="5"/>
  <c r="L59" i="5"/>
  <c r="M59" i="5"/>
  <c r="N59" i="5"/>
  <c r="R59" i="5"/>
  <c r="D71" i="5"/>
  <c r="D56" i="5"/>
  <c r="D57" i="5"/>
  <c r="D58" i="5"/>
  <c r="D61" i="5"/>
  <c r="D62" i="5"/>
  <c r="D63" i="5"/>
  <c r="E56" i="5"/>
  <c r="E57" i="5"/>
  <c r="E58" i="5"/>
  <c r="E61" i="5"/>
  <c r="E62" i="5"/>
  <c r="E63" i="5"/>
  <c r="F56" i="5"/>
  <c r="F57" i="5"/>
  <c r="F58" i="5"/>
  <c r="F61" i="5"/>
  <c r="F62" i="5"/>
  <c r="F63" i="5"/>
  <c r="G56" i="5"/>
  <c r="G57" i="5"/>
  <c r="G58" i="5"/>
  <c r="G61" i="5"/>
  <c r="G62" i="5"/>
  <c r="G63" i="5"/>
  <c r="H56" i="5"/>
  <c r="H57" i="5"/>
  <c r="H58" i="5"/>
  <c r="H61" i="5"/>
  <c r="H62" i="5"/>
  <c r="H63" i="5"/>
  <c r="I56" i="5"/>
  <c r="I57" i="5"/>
  <c r="I58" i="5"/>
  <c r="I61" i="5"/>
  <c r="I62" i="5"/>
  <c r="I63" i="5"/>
  <c r="J56" i="5"/>
  <c r="J57" i="5"/>
  <c r="J58" i="5"/>
  <c r="J61" i="5"/>
  <c r="J62" i="5"/>
  <c r="J63" i="5"/>
  <c r="K56" i="5"/>
  <c r="K57" i="5"/>
  <c r="K58" i="5"/>
  <c r="K61" i="5"/>
  <c r="K62" i="5"/>
  <c r="K63" i="5"/>
  <c r="L56" i="5"/>
  <c r="L57" i="5"/>
  <c r="L58" i="5"/>
  <c r="L61" i="5"/>
  <c r="L62" i="5"/>
  <c r="L63" i="5"/>
  <c r="M56" i="5"/>
  <c r="M57" i="5"/>
  <c r="M58" i="5"/>
  <c r="M61" i="5"/>
  <c r="M62" i="5"/>
  <c r="M63" i="5"/>
  <c r="N56" i="5"/>
  <c r="N57" i="5"/>
  <c r="N58" i="5"/>
  <c r="N61" i="5"/>
  <c r="N62" i="5"/>
  <c r="N63" i="5"/>
  <c r="O56" i="5"/>
  <c r="O57" i="5"/>
  <c r="O58" i="5"/>
  <c r="O61" i="5"/>
  <c r="O62" i="5"/>
  <c r="O63" i="5"/>
  <c r="P56" i="5"/>
  <c r="P57" i="5"/>
  <c r="P58" i="5"/>
  <c r="P61" i="5"/>
  <c r="P62" i="5"/>
  <c r="P63" i="5"/>
  <c r="Q56" i="5"/>
  <c r="Q57" i="5"/>
  <c r="Q58" i="5"/>
  <c r="Q61" i="5"/>
  <c r="Q62" i="5"/>
  <c r="Q63" i="5"/>
  <c r="R63" i="5"/>
  <c r="D75" i="5"/>
  <c r="R62" i="5"/>
  <c r="D74" i="5"/>
  <c r="R61" i="5"/>
  <c r="D73" i="5"/>
  <c r="R60" i="5"/>
  <c r="D72" i="5"/>
  <c r="R58" i="5"/>
  <c r="D70" i="5"/>
  <c r="D97" i="5"/>
  <c r="D84" i="5"/>
  <c r="E84" i="5"/>
  <c r="F84" i="5"/>
  <c r="G84" i="5"/>
  <c r="H84" i="5"/>
  <c r="I84" i="5"/>
  <c r="J84" i="5"/>
  <c r="K84" i="5"/>
  <c r="L84" i="5"/>
  <c r="M84" i="5"/>
  <c r="N84" i="5"/>
  <c r="R84" i="5"/>
  <c r="D98" i="5"/>
  <c r="R85" i="5"/>
  <c r="D99" i="5"/>
  <c r="D100" i="5"/>
  <c r="D101" i="5"/>
  <c r="D102" i="5"/>
  <c r="E95" i="5"/>
  <c r="E96" i="5"/>
  <c r="E97" i="5"/>
  <c r="E100" i="5"/>
  <c r="E101" i="5"/>
  <c r="E102" i="5"/>
  <c r="F95" i="5"/>
  <c r="F96" i="5"/>
  <c r="F97" i="5"/>
  <c r="F100" i="5"/>
  <c r="F101" i="5"/>
  <c r="F102" i="5"/>
  <c r="G95" i="5"/>
  <c r="G96" i="5"/>
  <c r="G97" i="5"/>
  <c r="G100" i="5"/>
  <c r="G102" i="5"/>
  <c r="H100" i="5"/>
  <c r="H102" i="5"/>
  <c r="I102" i="5"/>
  <c r="I101" i="5"/>
  <c r="I97" i="5"/>
  <c r="I98" i="5"/>
  <c r="I99" i="5"/>
  <c r="I100" i="5"/>
  <c r="D86" i="5"/>
  <c r="D87" i="5"/>
  <c r="D88" i="5"/>
  <c r="E86" i="5"/>
  <c r="E87" i="5"/>
  <c r="E88" i="5"/>
  <c r="F86" i="5"/>
  <c r="F87" i="5"/>
  <c r="F88" i="5"/>
  <c r="G86" i="5"/>
  <c r="G87" i="5"/>
  <c r="G88" i="5"/>
  <c r="H86" i="5"/>
  <c r="H87" i="5"/>
  <c r="H88" i="5"/>
  <c r="I86" i="5"/>
  <c r="I87" i="5"/>
  <c r="I88" i="5"/>
  <c r="J86" i="5"/>
  <c r="J87" i="5"/>
  <c r="J88" i="5"/>
  <c r="K86" i="5"/>
  <c r="K87" i="5"/>
  <c r="K88" i="5"/>
  <c r="L86" i="5"/>
  <c r="L87" i="5"/>
  <c r="L88" i="5"/>
  <c r="M86" i="5"/>
  <c r="M87" i="5"/>
  <c r="M88" i="5"/>
  <c r="N86" i="5"/>
  <c r="N87" i="5"/>
  <c r="N88" i="5"/>
  <c r="O86" i="5"/>
  <c r="O87" i="5"/>
  <c r="O88" i="5"/>
  <c r="P86" i="5"/>
  <c r="P87" i="5"/>
  <c r="P88" i="5"/>
  <c r="Q86" i="5"/>
  <c r="Q87" i="5"/>
  <c r="Q88" i="5"/>
  <c r="R88" i="5"/>
  <c r="R87" i="5"/>
  <c r="R86" i="5"/>
  <c r="Q9" i="5"/>
  <c r="Q10" i="5"/>
  <c r="Q25" i="5"/>
  <c r="Q26" i="5"/>
  <c r="Q82" i="5"/>
  <c r="Q90" i="5"/>
  <c r="P9" i="5"/>
  <c r="P10" i="5"/>
  <c r="P25" i="5"/>
  <c r="P26" i="5"/>
  <c r="P82" i="5"/>
  <c r="P90" i="5"/>
  <c r="O9" i="5"/>
  <c r="O10" i="5"/>
  <c r="O25" i="5"/>
  <c r="O26" i="5"/>
  <c r="O82" i="5"/>
  <c r="O90" i="5"/>
  <c r="N9" i="5"/>
  <c r="N10" i="5"/>
  <c r="N25" i="5"/>
  <c r="N26" i="5"/>
  <c r="N82" i="5"/>
  <c r="N90" i="5"/>
  <c r="M9" i="5"/>
  <c r="M10" i="5"/>
  <c r="M25" i="5"/>
  <c r="M26" i="5"/>
  <c r="M82" i="5"/>
  <c r="M90" i="5"/>
  <c r="L5" i="5"/>
  <c r="L9" i="5"/>
  <c r="L10" i="5"/>
  <c r="L25" i="5"/>
  <c r="L26" i="5"/>
  <c r="L82" i="5"/>
  <c r="L90" i="5"/>
  <c r="K5" i="5"/>
  <c r="K25" i="5"/>
  <c r="K26" i="5"/>
  <c r="K82" i="5"/>
  <c r="K90" i="5"/>
  <c r="J5" i="5"/>
  <c r="J9" i="5"/>
  <c r="J10" i="5"/>
  <c r="J25" i="5"/>
  <c r="J26" i="5"/>
  <c r="J82" i="5"/>
  <c r="J90" i="5"/>
  <c r="I5" i="5"/>
  <c r="I9" i="5"/>
  <c r="I10" i="5"/>
  <c r="I25" i="5"/>
  <c r="I26" i="5"/>
  <c r="I82" i="5"/>
  <c r="I90" i="5"/>
  <c r="H5" i="5"/>
  <c r="H9" i="5"/>
  <c r="H10" i="5"/>
  <c r="H25" i="5"/>
  <c r="H26" i="5"/>
  <c r="H82" i="5"/>
  <c r="H90" i="5"/>
  <c r="G5" i="5"/>
  <c r="G9" i="5"/>
  <c r="G10" i="5"/>
  <c r="G82" i="5"/>
  <c r="G90" i="5"/>
  <c r="F5" i="5"/>
  <c r="F9" i="5"/>
  <c r="F10" i="5"/>
  <c r="F25" i="5"/>
  <c r="F26" i="5"/>
  <c r="F82" i="5"/>
  <c r="F90" i="5"/>
  <c r="E5" i="5"/>
  <c r="E9" i="5"/>
  <c r="E10" i="5"/>
  <c r="E25" i="5"/>
  <c r="E26" i="5"/>
  <c r="E82" i="5"/>
  <c r="E90" i="5"/>
  <c r="E68" i="5"/>
  <c r="E69" i="5"/>
  <c r="E70" i="5"/>
  <c r="E73" i="5"/>
  <c r="E74" i="5"/>
  <c r="E75" i="5"/>
  <c r="F68" i="5"/>
  <c r="F69" i="5"/>
  <c r="F70" i="5"/>
  <c r="F73" i="5"/>
  <c r="F74" i="5"/>
  <c r="F75" i="5"/>
  <c r="G68" i="5"/>
  <c r="G69" i="5"/>
  <c r="G70" i="5"/>
  <c r="G73" i="5"/>
  <c r="G75" i="5"/>
  <c r="H73" i="5"/>
  <c r="H75" i="5"/>
  <c r="I75" i="5"/>
  <c r="I74" i="5"/>
  <c r="D69" i="5"/>
  <c r="I69" i="5"/>
  <c r="I70" i="5"/>
  <c r="I71" i="5"/>
  <c r="I72" i="5"/>
  <c r="I73" i="5"/>
  <c r="D28" i="5"/>
  <c r="E28" i="5"/>
  <c r="F28" i="5"/>
  <c r="G28" i="5"/>
  <c r="H28" i="5"/>
  <c r="I28" i="5"/>
  <c r="J28" i="5"/>
  <c r="K28" i="5"/>
  <c r="L28" i="5"/>
  <c r="M28" i="5"/>
  <c r="N28" i="5"/>
  <c r="R28" i="5"/>
  <c r="D40" i="5"/>
  <c r="I40" i="5"/>
  <c r="D25" i="5"/>
  <c r="D26" i="5"/>
  <c r="D27" i="5"/>
  <c r="E27" i="5"/>
  <c r="F27" i="5"/>
  <c r="H27" i="5"/>
  <c r="I27" i="5"/>
  <c r="J27" i="5"/>
  <c r="K27" i="5"/>
  <c r="L27" i="5"/>
  <c r="M27" i="5"/>
  <c r="N27" i="5"/>
  <c r="O27" i="5"/>
  <c r="P27" i="5"/>
  <c r="Q27" i="5"/>
  <c r="R27" i="5"/>
  <c r="D39" i="5"/>
  <c r="R29" i="5"/>
  <c r="D41" i="5"/>
  <c r="D42" i="5"/>
  <c r="D43" i="5"/>
  <c r="D44" i="5"/>
  <c r="E42" i="5"/>
  <c r="E43" i="5"/>
  <c r="E44" i="5"/>
  <c r="F42" i="5"/>
  <c r="F43" i="5"/>
  <c r="F44" i="5"/>
  <c r="G42" i="5"/>
  <c r="G44" i="5"/>
  <c r="H42" i="5"/>
  <c r="H44" i="5"/>
  <c r="I44" i="5"/>
  <c r="I43" i="5"/>
  <c r="I42" i="5"/>
  <c r="I41" i="5"/>
  <c r="I39" i="5"/>
  <c r="D30" i="5"/>
  <c r="D31" i="5"/>
  <c r="D32" i="5"/>
  <c r="E30" i="5"/>
  <c r="E31" i="5"/>
  <c r="E32" i="5"/>
  <c r="F30" i="5"/>
  <c r="F31" i="5"/>
  <c r="F32" i="5"/>
  <c r="G30" i="5"/>
  <c r="G31" i="5"/>
  <c r="G32" i="5"/>
  <c r="H30" i="5"/>
  <c r="H31" i="5"/>
  <c r="H32" i="5"/>
  <c r="I30" i="5"/>
  <c r="I31" i="5"/>
  <c r="I32" i="5"/>
  <c r="J30" i="5"/>
  <c r="J31" i="5"/>
  <c r="J32" i="5"/>
  <c r="K30" i="5"/>
  <c r="K31" i="5"/>
  <c r="K32" i="5"/>
  <c r="L30" i="5"/>
  <c r="L31" i="5"/>
  <c r="L32" i="5"/>
  <c r="M30" i="5"/>
  <c r="M31" i="5"/>
  <c r="M32" i="5"/>
  <c r="N30" i="5"/>
  <c r="N31" i="5"/>
  <c r="N32" i="5"/>
  <c r="O30" i="5"/>
  <c r="O31" i="5"/>
  <c r="O32" i="5"/>
  <c r="P30" i="5"/>
  <c r="P31" i="5"/>
  <c r="P32" i="5"/>
  <c r="Q30" i="5"/>
  <c r="Q31" i="5"/>
  <c r="Q32" i="5"/>
  <c r="R32" i="5"/>
  <c r="R30" i="5"/>
  <c r="D19" i="5"/>
  <c r="R81" i="5"/>
  <c r="E18" i="5"/>
  <c r="E19" i="5"/>
  <c r="E104" i="5"/>
  <c r="F18" i="5"/>
  <c r="F19" i="5"/>
  <c r="F104" i="5"/>
  <c r="G18" i="5"/>
  <c r="G19" i="5"/>
  <c r="G104" i="5"/>
  <c r="H18" i="5"/>
  <c r="H19" i="5"/>
  <c r="H104" i="5"/>
  <c r="I104" i="5"/>
  <c r="R57" i="5"/>
  <c r="R25" i="5"/>
  <c r="D37" i="5"/>
  <c r="D38" i="5"/>
  <c r="I38" i="5"/>
  <c r="R26" i="5"/>
  <c r="I96" i="5"/>
  <c r="I37" i="5"/>
  <c r="I68" i="5"/>
  <c r="K68" i="5"/>
  <c r="I95" i="5"/>
  <c r="D5" i="5"/>
  <c r="D9" i="5"/>
  <c r="D10" i="5"/>
  <c r="D82" i="5"/>
  <c r="D90" i="5"/>
  <c r="R31" i="5"/>
  <c r="I94" i="5"/>
  <c r="I67" i="5"/>
  <c r="I36" i="5"/>
  <c r="I19" i="5"/>
  <c r="I18" i="5"/>
  <c r="I17" i="5"/>
  <c r="I14" i="5"/>
  <c r="R90" i="5"/>
  <c r="R82" i="5"/>
  <c r="R80" i="5"/>
  <c r="R56" i="5"/>
  <c r="R55" i="5"/>
  <c r="R24" i="5"/>
  <c r="R10" i="5"/>
  <c r="K9" i="5"/>
  <c r="R9" i="5"/>
  <c r="R8" i="5"/>
  <c r="R5" i="5"/>
</calcChain>
</file>

<file path=xl/sharedStrings.xml><?xml version="1.0" encoding="utf-8"?>
<sst xmlns="http://schemas.openxmlformats.org/spreadsheetml/2006/main" count="234" uniqueCount="46">
  <si>
    <t>YEAR</t>
  </si>
  <si>
    <t>Cote D'Ivoire</t>
  </si>
  <si>
    <t>Liberia</t>
  </si>
  <si>
    <t xml:space="preserve">Malawi </t>
  </si>
  <si>
    <t xml:space="preserve">Mozambique </t>
  </si>
  <si>
    <t>Tanzania</t>
  </si>
  <si>
    <t>Zambia</t>
  </si>
  <si>
    <t xml:space="preserve">Niger </t>
  </si>
  <si>
    <t>Uganda</t>
  </si>
  <si>
    <t xml:space="preserve">DRC </t>
  </si>
  <si>
    <t xml:space="preserve">Ethiopia </t>
  </si>
  <si>
    <t>TOTAL</t>
  </si>
  <si>
    <t>No.of treatments delivered and distributed  to countries in line with WHO treatment stategy</t>
  </si>
  <si>
    <t>Total number of treatments</t>
  </si>
  <si>
    <t>1st October 2010 - 31st March 2015</t>
  </si>
  <si>
    <t>Actual Treatment numbers</t>
  </si>
  <si>
    <t>1st April 2015 - 31st March 2016</t>
  </si>
  <si>
    <t xml:space="preserve">Target Treatment Numbers </t>
  </si>
  <si>
    <t>-</t>
  </si>
  <si>
    <t>Assuming 80% coverage</t>
  </si>
  <si>
    <t>1st April 2016 - 31st March 2017</t>
  </si>
  <si>
    <t>1st April 2017 - 31st March 2018</t>
  </si>
  <si>
    <t>Zanzibar</t>
  </si>
  <si>
    <t>Burundi</t>
  </si>
  <si>
    <t>Madagascar</t>
  </si>
  <si>
    <t>Rwanda</t>
  </si>
  <si>
    <t xml:space="preserve">Sudan </t>
  </si>
  <si>
    <t xml:space="preserve">Yemen </t>
  </si>
  <si>
    <t xml:space="preserve">Mauritania </t>
  </si>
  <si>
    <t xml:space="preserve">Total treatments by 2019 </t>
  </si>
  <si>
    <t xml:space="preserve">Nigeria </t>
  </si>
  <si>
    <t>carried forward</t>
  </si>
  <si>
    <t xml:space="preserve"> </t>
  </si>
  <si>
    <t>Balance required</t>
  </si>
  <si>
    <t>TOTAL required</t>
  </si>
  <si>
    <t>Available from DFID</t>
  </si>
  <si>
    <t>Central cost required (normally 20%)</t>
  </si>
  <si>
    <t>Central cost required (normally 20% but Nigeria needs start up costs)</t>
  </si>
  <si>
    <t>Total</t>
  </si>
  <si>
    <t>Planned SCH Treatment numbers by country by year - estimated available and requested resources</t>
  </si>
  <si>
    <t>estimated cost required for country at 0.25 cents per treatment</t>
  </si>
  <si>
    <t>estimated cost required for country at 0.25 cents per treatment ($million)</t>
  </si>
  <si>
    <t>NEXT TWO YEARS  2017/18 AND 2018/19</t>
  </si>
  <si>
    <r>
      <t xml:space="preserve">Available from </t>
    </r>
    <r>
      <rPr>
        <b/>
        <sz val="12"/>
        <color rgb="FFFF0000"/>
        <rFont val="Arial"/>
        <family val="2"/>
      </rPr>
      <t>ENDFUND/other donor</t>
    </r>
  </si>
  <si>
    <t>1st April 2018 - 30th Dec 2019</t>
  </si>
  <si>
    <t xml:space="preserve">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</si>
</sst>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[$$-409]#,##0.00"/>
    <numFmt numFmtId="167" formatCode="[$$-1009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color theme="3" tint="-0.249977111117893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2"/>
      <color theme="4" tint="-0.249977111117893"/>
      <name val="Arial"/>
      <family val="2"/>
    </font>
    <font>
      <b/>
      <i/>
      <sz val="12"/>
      <color theme="4" tint="-0.249977111117893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i/>
      <sz val="12"/>
      <color theme="8"/>
      <name val="Arial"/>
      <family val="2"/>
    </font>
    <font>
      <b/>
      <i/>
      <sz val="12"/>
      <color rgb="FFFF0000"/>
      <name val="Arial"/>
      <family val="2"/>
    </font>
    <font>
      <i/>
      <sz val="12"/>
      <color theme="0" tint="-0.499984740745262"/>
      <name val="Arial"/>
      <family val="2"/>
    </font>
    <font>
      <i/>
      <sz val="12"/>
      <color theme="4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2" fillId="0" borderId="0" xfId="3"/>
    <xf numFmtId="164" fontId="2" fillId="0" borderId="0" xfId="3" applyNumberFormat="1"/>
    <xf numFmtId="164" fontId="0" fillId="0" borderId="0" xfId="0" applyNumberFormat="1"/>
    <xf numFmtId="0" fontId="3" fillId="0" borderId="0" xfId="0" applyFont="1"/>
    <xf numFmtId="0" fontId="4" fillId="0" borderId="0" xfId="3" applyFont="1"/>
    <xf numFmtId="0" fontId="3" fillId="0" borderId="0" xfId="0" applyFont="1" applyBorder="1"/>
    <xf numFmtId="0" fontId="3" fillId="0" borderId="27" xfId="0" applyFont="1" applyBorder="1"/>
    <xf numFmtId="0" fontId="6" fillId="0" borderId="0" xfId="0" applyFont="1"/>
    <xf numFmtId="0" fontId="7" fillId="0" borderId="0" xfId="3" applyFont="1"/>
    <xf numFmtId="0" fontId="8" fillId="0" borderId="0" xfId="3" applyFont="1"/>
    <xf numFmtId="0" fontId="9" fillId="2" borderId="1" xfId="3" applyFont="1" applyFill="1" applyBorder="1" applyAlignment="1">
      <alignment horizontal="left" vertical="top" wrapText="1"/>
    </xf>
    <xf numFmtId="0" fontId="9" fillId="2" borderId="2" xfId="3" applyFont="1" applyFill="1" applyBorder="1" applyAlignment="1">
      <alignment horizontal="center" vertical="top" wrapText="1"/>
    </xf>
    <xf numFmtId="0" fontId="9" fillId="2" borderId="3" xfId="3" applyFont="1" applyFill="1" applyBorder="1" applyAlignment="1">
      <alignment horizontal="left" vertical="top" wrapText="1"/>
    </xf>
    <xf numFmtId="0" fontId="9" fillId="2" borderId="3" xfId="3" applyFont="1" applyFill="1" applyBorder="1" applyAlignment="1">
      <alignment horizontal="center" vertical="top" wrapText="1"/>
    </xf>
    <xf numFmtId="0" fontId="9" fillId="2" borderId="17" xfId="3" applyFont="1" applyFill="1" applyBorder="1" applyAlignment="1">
      <alignment horizontal="center" vertical="top" wrapText="1"/>
    </xf>
    <xf numFmtId="0" fontId="9" fillId="2" borderId="12" xfId="3" applyFont="1" applyFill="1" applyBorder="1" applyAlignment="1">
      <alignment horizontal="center" vertical="top" wrapText="1"/>
    </xf>
    <xf numFmtId="0" fontId="10" fillId="6" borderId="16" xfId="3" applyFont="1" applyFill="1" applyBorder="1" applyAlignment="1">
      <alignment horizontal="center" vertical="center" wrapText="1"/>
    </xf>
    <xf numFmtId="0" fontId="11" fillId="4" borderId="24" xfId="3" applyFont="1" applyFill="1" applyBorder="1" applyAlignment="1">
      <alignment horizontal="left" vertical="center" wrapText="1"/>
    </xf>
    <xf numFmtId="164" fontId="12" fillId="4" borderId="12" xfId="3" applyNumberFormat="1" applyFont="1" applyFill="1" applyBorder="1" applyAlignment="1">
      <alignment horizontal="center" vertical="center" wrapText="1"/>
    </xf>
    <xf numFmtId="164" fontId="12" fillId="4" borderId="15" xfId="3" applyNumberFormat="1" applyFont="1" applyFill="1" applyBorder="1" applyAlignment="1">
      <alignment horizontal="center" vertical="center" wrapText="1"/>
    </xf>
    <xf numFmtId="164" fontId="13" fillId="4" borderId="13" xfId="3" applyNumberFormat="1" applyFont="1" applyFill="1" applyBorder="1" applyAlignment="1">
      <alignment horizontal="center" vertical="center" wrapText="1"/>
    </xf>
    <xf numFmtId="0" fontId="10" fillId="6" borderId="30" xfId="3" applyFont="1" applyFill="1" applyBorder="1" applyAlignment="1">
      <alignment horizontal="center" vertical="center" wrapText="1"/>
    </xf>
    <xf numFmtId="0" fontId="10" fillId="6" borderId="22" xfId="3" applyFont="1" applyFill="1" applyBorder="1" applyAlignment="1">
      <alignment horizontal="center" vertical="center" wrapText="1"/>
    </xf>
    <xf numFmtId="0" fontId="10" fillId="6" borderId="35" xfId="3" applyFont="1" applyFill="1" applyBorder="1" applyAlignment="1">
      <alignment horizontal="center" vertical="center" wrapText="1"/>
    </xf>
    <xf numFmtId="0" fontId="10" fillId="6" borderId="31" xfId="3" applyFont="1" applyFill="1" applyBorder="1" applyAlignment="1">
      <alignment horizontal="center" vertical="center" wrapText="1"/>
    </xf>
    <xf numFmtId="0" fontId="10" fillId="6" borderId="23" xfId="3" applyFont="1" applyFill="1" applyBorder="1" applyAlignment="1">
      <alignment horizontal="center" vertical="center" wrapText="1"/>
    </xf>
    <xf numFmtId="0" fontId="10" fillId="6" borderId="36" xfId="3" applyFont="1" applyFill="1" applyBorder="1" applyAlignment="1">
      <alignment horizontal="center" vertical="center" wrapText="1"/>
    </xf>
    <xf numFmtId="0" fontId="14" fillId="5" borderId="26" xfId="3" applyFont="1" applyFill="1" applyBorder="1" applyAlignment="1">
      <alignment horizontal="left" vertical="top" wrapText="1"/>
    </xf>
    <xf numFmtId="164" fontId="15" fillId="5" borderId="10" xfId="3" applyNumberFormat="1" applyFont="1" applyFill="1" applyBorder="1" applyAlignment="1">
      <alignment horizontal="center" vertical="center" wrapText="1"/>
    </xf>
    <xf numFmtId="164" fontId="15" fillId="5" borderId="5" xfId="3" applyNumberFormat="1" applyFont="1" applyFill="1" applyBorder="1" applyAlignment="1">
      <alignment horizontal="center" vertical="center" wrapText="1"/>
    </xf>
    <xf numFmtId="164" fontId="13" fillId="4" borderId="21" xfId="3" applyNumberFormat="1" applyFont="1" applyFill="1" applyBorder="1" applyAlignment="1">
      <alignment horizontal="center" vertical="center" wrapText="1"/>
    </xf>
    <xf numFmtId="0" fontId="14" fillId="5" borderId="25" xfId="3" applyFont="1" applyFill="1" applyBorder="1" applyAlignment="1">
      <alignment horizontal="left" vertical="top" wrapText="1"/>
    </xf>
    <xf numFmtId="164" fontId="15" fillId="5" borderId="9" xfId="3" applyNumberFormat="1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left" vertical="top" wrapText="1"/>
    </xf>
    <xf numFmtId="0" fontId="11" fillId="3" borderId="0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top" wrapText="1"/>
    </xf>
    <xf numFmtId="0" fontId="9" fillId="2" borderId="8" xfId="3" applyFont="1" applyFill="1" applyBorder="1" applyAlignment="1">
      <alignment horizontal="center" vertical="top" wrapText="1"/>
    </xf>
    <xf numFmtId="0" fontId="9" fillId="2" borderId="3" xfId="3" applyFont="1" applyFill="1" applyBorder="1" applyAlignment="1">
      <alignment vertical="top" wrapText="1"/>
    </xf>
    <xf numFmtId="0" fontId="9" fillId="2" borderId="0" xfId="3" applyFont="1" applyFill="1" applyBorder="1" applyAlignment="1">
      <alignment horizontal="center" vertical="top" wrapText="1"/>
    </xf>
    <xf numFmtId="0" fontId="10" fillId="6" borderId="12" xfId="3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left" vertical="center" wrapText="1"/>
    </xf>
    <xf numFmtId="164" fontId="16" fillId="4" borderId="18" xfId="3" applyNumberFormat="1" applyFont="1" applyFill="1" applyBorder="1" applyAlignment="1">
      <alignment horizontal="center" vertical="center" wrapText="1"/>
    </xf>
    <xf numFmtId="164" fontId="12" fillId="4" borderId="18" xfId="3" applyNumberFormat="1" applyFont="1" applyFill="1" applyBorder="1" applyAlignment="1">
      <alignment horizontal="center" vertical="center" wrapText="1"/>
    </xf>
    <xf numFmtId="164" fontId="12" fillId="4" borderId="4" xfId="3" applyNumberFormat="1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4" fillId="5" borderId="10" xfId="3" applyFont="1" applyFill="1" applyBorder="1" applyAlignment="1">
      <alignment horizontal="left" vertical="top" wrapText="1"/>
    </xf>
    <xf numFmtId="164" fontId="15" fillId="7" borderId="5" xfId="3" applyNumberFormat="1" applyFont="1" applyFill="1" applyBorder="1" applyAlignment="1">
      <alignment horizontal="center" vertical="center" wrapText="1"/>
    </xf>
    <xf numFmtId="164" fontId="15" fillId="7" borderId="10" xfId="3" applyNumberFormat="1" applyFont="1" applyFill="1" applyBorder="1" applyAlignment="1">
      <alignment horizontal="center" vertical="center" wrapText="1"/>
    </xf>
    <xf numFmtId="164" fontId="17" fillId="5" borderId="10" xfId="3" applyNumberFormat="1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left" vertical="top" wrapText="1"/>
    </xf>
    <xf numFmtId="164" fontId="18" fillId="5" borderId="9" xfId="3" applyNumberFormat="1" applyFont="1" applyFill="1" applyBorder="1" applyAlignment="1">
      <alignment horizontal="center" vertical="center" wrapText="1"/>
    </xf>
    <xf numFmtId="164" fontId="17" fillId="5" borderId="4" xfId="3" applyNumberFormat="1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left" vertical="top" wrapText="1"/>
    </xf>
    <xf numFmtId="164" fontId="16" fillId="4" borderId="12" xfId="3" applyNumberFormat="1" applyFont="1" applyFill="1" applyBorder="1" applyAlignment="1">
      <alignment horizontal="center" vertical="center" wrapText="1"/>
    </xf>
    <xf numFmtId="0" fontId="14" fillId="5" borderId="34" xfId="3" applyFont="1" applyFill="1" applyBorder="1" applyAlignment="1">
      <alignment horizontal="left" vertical="top" wrapText="1"/>
    </xf>
    <xf numFmtId="0" fontId="14" fillId="5" borderId="29" xfId="3" applyFont="1" applyFill="1" applyBorder="1" applyAlignment="1">
      <alignment horizontal="left" vertical="top" wrapText="1"/>
    </xf>
    <xf numFmtId="0" fontId="11" fillId="4" borderId="1" xfId="3" applyFont="1" applyFill="1" applyBorder="1" applyAlignment="1">
      <alignment horizontal="left" vertical="top" wrapText="1"/>
    </xf>
    <xf numFmtId="164" fontId="12" fillId="4" borderId="14" xfId="3" applyNumberFormat="1" applyFont="1" applyFill="1" applyBorder="1" applyAlignment="1">
      <alignment horizontal="center" vertical="center" wrapText="1"/>
    </xf>
    <xf numFmtId="164" fontId="13" fillId="4" borderId="20" xfId="3" applyNumberFormat="1" applyFont="1" applyFill="1" applyBorder="1" applyAlignment="1">
      <alignment horizontal="center" vertical="center" wrapText="1"/>
    </xf>
    <xf numFmtId="0" fontId="11" fillId="3" borderId="27" xfId="3" applyFont="1" applyFill="1" applyBorder="1" applyAlignment="1">
      <alignment horizontal="center" vertical="center" wrapText="1"/>
    </xf>
    <xf numFmtId="0" fontId="11" fillId="4" borderId="25" xfId="3" applyFont="1" applyFill="1" applyBorder="1" applyAlignment="1">
      <alignment horizontal="left" vertical="top" wrapText="1"/>
    </xf>
    <xf numFmtId="166" fontId="12" fillId="4" borderId="4" xfId="3" applyNumberFormat="1" applyFont="1" applyFill="1" applyBorder="1" applyAlignment="1">
      <alignment horizontal="center" vertical="center" wrapText="1"/>
    </xf>
    <xf numFmtId="167" fontId="12" fillId="4" borderId="4" xfId="3" applyNumberFormat="1" applyFont="1" applyFill="1" applyBorder="1" applyAlignment="1">
      <alignment horizontal="center" vertical="center" wrapText="1"/>
    </xf>
    <xf numFmtId="167" fontId="19" fillId="4" borderId="4" xfId="3" applyNumberFormat="1" applyFont="1" applyFill="1" applyBorder="1" applyAlignment="1">
      <alignment horizontal="center" vertical="center" wrapText="1"/>
    </xf>
    <xf numFmtId="167" fontId="15" fillId="4" borderId="4" xfId="3" applyNumberFormat="1" applyFont="1" applyFill="1" applyBorder="1" applyAlignment="1">
      <alignment horizontal="center" vertical="center" wrapText="1"/>
    </xf>
    <xf numFmtId="0" fontId="11" fillId="4" borderId="33" xfId="3" applyFont="1" applyFill="1" applyBorder="1" applyAlignment="1">
      <alignment horizontal="left" vertical="top" wrapText="1"/>
    </xf>
    <xf numFmtId="0" fontId="11" fillId="3" borderId="28" xfId="3" applyFont="1" applyFill="1" applyBorder="1" applyAlignment="1">
      <alignment horizontal="center" vertical="center" wrapText="1"/>
    </xf>
    <xf numFmtId="0" fontId="11" fillId="4" borderId="29" xfId="3" applyFont="1" applyFill="1" applyBorder="1" applyAlignment="1">
      <alignment horizontal="left" vertical="top" wrapText="1"/>
    </xf>
    <xf numFmtId="167" fontId="12" fillId="4" borderId="9" xfId="3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1" fillId="4" borderId="5" xfId="3" applyFont="1" applyFill="1" applyBorder="1" applyAlignment="1">
      <alignment horizontal="left" vertical="top" wrapText="1"/>
    </xf>
    <xf numFmtId="0" fontId="11" fillId="3" borderId="14" xfId="3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11" fillId="4" borderId="14" xfId="3" applyFont="1" applyFill="1" applyBorder="1" applyAlignment="1">
      <alignment horizontal="left" vertical="top" wrapText="1"/>
    </xf>
    <xf numFmtId="0" fontId="11" fillId="4" borderId="4" xfId="3" applyFont="1" applyFill="1" applyBorder="1" applyAlignment="1">
      <alignment horizontal="left" vertical="top" wrapText="1"/>
    </xf>
    <xf numFmtId="0" fontId="11" fillId="3" borderId="31" xfId="3" applyFont="1" applyFill="1" applyBorder="1" applyAlignment="1">
      <alignment horizontal="center" vertical="center" wrapText="1"/>
    </xf>
    <xf numFmtId="0" fontId="6" fillId="0" borderId="23" xfId="0" applyFont="1" applyBorder="1"/>
    <xf numFmtId="0" fontId="21" fillId="0" borderId="0" xfId="0" applyFont="1" applyBorder="1"/>
    <xf numFmtId="0" fontId="6" fillId="0" borderId="32" xfId="0" applyFont="1" applyBorder="1"/>
    <xf numFmtId="0" fontId="6" fillId="0" borderId="27" xfId="0" applyFont="1" applyBorder="1"/>
    <xf numFmtId="0" fontId="11" fillId="4" borderId="24" xfId="3" applyFont="1" applyFill="1" applyBorder="1" applyAlignment="1">
      <alignment horizontal="left" vertical="top" wrapText="1"/>
    </xf>
    <xf numFmtId="0" fontId="11" fillId="3" borderId="37" xfId="3" applyFont="1" applyFill="1" applyBorder="1" applyAlignment="1">
      <alignment horizontal="center" vertical="center" wrapText="1"/>
    </xf>
    <xf numFmtId="0" fontId="11" fillId="3" borderId="23" xfId="3" applyFont="1" applyFill="1" applyBorder="1" applyAlignment="1">
      <alignment horizontal="center" vertical="center" wrapText="1"/>
    </xf>
    <xf numFmtId="0" fontId="11" fillId="3" borderId="36" xfId="3" applyFont="1" applyFill="1" applyBorder="1" applyAlignment="1">
      <alignment horizontal="center" vertical="center" wrapText="1"/>
    </xf>
    <xf numFmtId="164" fontId="15" fillId="7" borderId="19" xfId="3" applyNumberFormat="1" applyFont="1" applyFill="1" applyBorder="1" applyAlignment="1">
      <alignment horizontal="center" vertical="center" wrapText="1"/>
    </xf>
    <xf numFmtId="165" fontId="12" fillId="4" borderId="4" xfId="3" applyNumberFormat="1" applyFont="1" applyFill="1" applyBorder="1" applyAlignment="1">
      <alignment horizontal="center" vertical="center" wrapText="1"/>
    </xf>
    <xf numFmtId="164" fontId="12" fillId="4" borderId="3" xfId="3" applyNumberFormat="1" applyFont="1" applyFill="1" applyBorder="1" applyAlignment="1">
      <alignment horizontal="center" vertical="center" wrapText="1"/>
    </xf>
    <xf numFmtId="165" fontId="22" fillId="4" borderId="12" xfId="3" applyNumberFormat="1" applyFont="1" applyFill="1" applyBorder="1" applyAlignment="1">
      <alignment horizontal="center" vertical="center" wrapText="1"/>
    </xf>
    <xf numFmtId="164" fontId="16" fillId="5" borderId="9" xfId="3" applyNumberFormat="1" applyFont="1" applyFill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left" vertical="top" wrapText="1"/>
    </xf>
    <xf numFmtId="164" fontId="16" fillId="4" borderId="3" xfId="3" applyNumberFormat="1" applyFont="1" applyFill="1" applyBorder="1" applyAlignment="1">
      <alignment horizontal="center" vertical="center" wrapText="1"/>
    </xf>
    <xf numFmtId="164" fontId="13" fillId="4" borderId="7" xfId="3" applyNumberFormat="1" applyFont="1" applyFill="1" applyBorder="1" applyAlignment="1">
      <alignment horizontal="center" vertical="center" wrapText="1"/>
    </xf>
    <xf numFmtId="164" fontId="13" fillId="4" borderId="16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top" wrapText="1"/>
    </xf>
    <xf numFmtId="0" fontId="11" fillId="4" borderId="8" xfId="3" applyFont="1" applyFill="1" applyBorder="1" applyAlignment="1">
      <alignment horizontal="left" vertical="top" wrapText="1"/>
    </xf>
    <xf numFmtId="167" fontId="12" fillId="4" borderId="5" xfId="3" applyNumberFormat="1" applyFont="1" applyFill="1" applyBorder="1" applyAlignment="1">
      <alignment horizontal="center" vertical="center" wrapText="1"/>
    </xf>
    <xf numFmtId="167" fontId="12" fillId="4" borderId="18" xfId="3" applyNumberFormat="1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11" fillId="3" borderId="27" xfId="3" applyFont="1" applyFill="1" applyBorder="1" applyAlignment="1">
      <alignment horizontal="center" vertical="center" wrapText="1"/>
    </xf>
    <xf numFmtId="4" fontId="12" fillId="4" borderId="4" xfId="3" applyNumberFormat="1" applyFont="1" applyFill="1" applyBorder="1" applyAlignment="1">
      <alignment horizontal="center" vertical="center" wrapText="1"/>
    </xf>
    <xf numFmtId="0" fontId="0" fillId="0" borderId="38" xfId="0" applyBorder="1"/>
    <xf numFmtId="164" fontId="12" fillId="4" borderId="13" xfId="3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/>
    <xf numFmtId="0" fontId="6" fillId="3" borderId="22" xfId="4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vertical="center" wrapText="1"/>
    </xf>
    <xf numFmtId="0" fontId="6" fillId="3" borderId="23" xfId="4" applyFont="1" applyFill="1" applyBorder="1" applyAlignment="1">
      <alignment horizontal="center" vertical="center" wrapText="1"/>
    </xf>
    <xf numFmtId="0" fontId="11" fillId="3" borderId="28" xfId="3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4 2 4 2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&amp;M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 Table"/>
      <sheetName val="Task Summary"/>
      <sheetName val="DL Table"/>
      <sheetName val="Task Detail"/>
      <sheetName val="Travel"/>
      <sheetName val="T&amp;M Sum Client"/>
      <sheetName val="T&amp;M Sum RTI"/>
      <sheetName val="T&amp;M Labor Client"/>
      <sheetName val="T&amp;M Labor RTI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abSelected="1" topLeftCell="B91" workbookViewId="0">
      <selection activeCell="H98" sqref="H98"/>
    </sheetView>
  </sheetViews>
  <sheetFormatPr baseColWidth="10" defaultColWidth="8.83203125" defaultRowHeight="14" x14ac:dyDescent="0"/>
  <cols>
    <col min="1" max="1" width="17" customWidth="1"/>
    <col min="2" max="2" width="20.6640625" customWidth="1"/>
    <col min="3" max="3" width="29.1640625" customWidth="1"/>
    <col min="4" max="4" width="12.1640625" customWidth="1"/>
    <col min="5" max="5" width="10.1640625" customWidth="1"/>
    <col min="6" max="6" width="10" customWidth="1"/>
    <col min="7" max="7" width="15.5" customWidth="1"/>
    <col min="8" max="8" width="11.5" customWidth="1"/>
    <col min="9" max="9" width="10" customWidth="1"/>
    <col min="10" max="10" width="11" customWidth="1"/>
    <col min="11" max="11" width="10.33203125" customWidth="1"/>
    <col min="12" max="12" width="11.5" customWidth="1"/>
    <col min="13" max="13" width="9.1640625" customWidth="1"/>
    <col min="14" max="14" width="10.1640625" customWidth="1"/>
    <col min="15" max="15" width="13.5" customWidth="1"/>
    <col min="16" max="16" width="14.83203125" customWidth="1"/>
    <col min="17" max="17" width="12.83203125" customWidth="1"/>
    <col min="18" max="21" width="13" customWidth="1"/>
    <col min="23" max="23" width="13.6640625" customWidth="1"/>
  </cols>
  <sheetData>
    <row r="1" spans="1:21" ht="15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1" ht="15">
      <c r="A2" s="9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"/>
      <c r="T2" s="1"/>
      <c r="U2" s="1"/>
    </row>
    <row r="3" spans="1:21" ht="16" thickBot="1">
      <c r="A3" s="8"/>
      <c r="B3" s="8"/>
      <c r="C3" s="8"/>
      <c r="D3" s="10" t="s">
        <v>32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1" ht="31" thickBot="1">
      <c r="A4" s="11"/>
      <c r="B4" s="12" t="s">
        <v>0</v>
      </c>
      <c r="C4" s="13"/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22</v>
      </c>
      <c r="M4" s="14" t="s">
        <v>9</v>
      </c>
      <c r="N4" s="14" t="s">
        <v>10</v>
      </c>
      <c r="O4" s="15" t="s">
        <v>23</v>
      </c>
      <c r="P4" s="16" t="s">
        <v>24</v>
      </c>
      <c r="Q4" s="16" t="s">
        <v>28</v>
      </c>
      <c r="R4" s="14" t="s">
        <v>38</v>
      </c>
    </row>
    <row r="5" spans="1:21" ht="31" thickBot="1">
      <c r="A5" s="104" t="s">
        <v>12</v>
      </c>
      <c r="B5" s="17" t="s">
        <v>14</v>
      </c>
      <c r="C5" s="18" t="s">
        <v>15</v>
      </c>
      <c r="D5" s="19">
        <f>1.5+3.1</f>
        <v>4.5999999999999996</v>
      </c>
      <c r="E5" s="19">
        <f>0.64+0</f>
        <v>0.64</v>
      </c>
      <c r="F5" s="19">
        <f>4.1+4.3</f>
        <v>8.3999999999999986</v>
      </c>
      <c r="G5" s="19">
        <f>10.03+4.3</f>
        <v>14.329999999999998</v>
      </c>
      <c r="H5" s="19">
        <f>2.2+2.1</f>
        <v>4.3000000000000007</v>
      </c>
      <c r="I5" s="19">
        <f>0.05+1</f>
        <v>1.05</v>
      </c>
      <c r="J5" s="19">
        <f>2.1+1.2</f>
        <v>3.3</v>
      </c>
      <c r="K5" s="19">
        <f>0.9+0.02</f>
        <v>0.92</v>
      </c>
      <c r="L5" s="19">
        <f>3.7+1.6</f>
        <v>5.3000000000000007</v>
      </c>
      <c r="M5" s="19">
        <v>2.2999999999999998</v>
      </c>
      <c r="N5" s="19">
        <v>0</v>
      </c>
      <c r="O5" s="19">
        <v>1.8</v>
      </c>
      <c r="P5" s="20">
        <v>0</v>
      </c>
      <c r="Q5" s="20">
        <v>0.1</v>
      </c>
      <c r="R5" s="21">
        <f>SUM(D5:Q5)</f>
        <v>47.039999999999985</v>
      </c>
    </row>
    <row r="6" spans="1:21" ht="15">
      <c r="A6" s="105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21" ht="16" thickBot="1">
      <c r="A7" s="105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</row>
    <row r="8" spans="1:21" ht="16" thickBot="1">
      <c r="A8" s="105"/>
      <c r="B8" s="107" t="s">
        <v>16</v>
      </c>
      <c r="C8" s="28" t="s">
        <v>17</v>
      </c>
      <c r="D8" s="29">
        <v>0.56000000000000005</v>
      </c>
      <c r="E8" s="29">
        <v>0.75</v>
      </c>
      <c r="F8" s="29">
        <v>5.8609999999999998</v>
      </c>
      <c r="G8" s="29">
        <v>6.7</v>
      </c>
      <c r="H8" s="29">
        <v>4.3</v>
      </c>
      <c r="I8" s="29">
        <v>1.1000000000000001</v>
      </c>
      <c r="J8" s="29">
        <v>2.161</v>
      </c>
      <c r="K8" s="29">
        <v>1.2</v>
      </c>
      <c r="L8" s="29">
        <v>2</v>
      </c>
      <c r="M8" s="29">
        <v>5.0439999999999996</v>
      </c>
      <c r="N8" s="29">
        <v>13.3</v>
      </c>
      <c r="O8" s="30">
        <v>0.6</v>
      </c>
      <c r="P8" s="30">
        <v>1.4059999999999999</v>
      </c>
      <c r="Q8" s="30">
        <v>0.15</v>
      </c>
      <c r="R8" s="31">
        <f t="shared" ref="R8:R82" si="0">SUM(D8:Q8)</f>
        <v>45.131999999999998</v>
      </c>
    </row>
    <row r="9" spans="1:21" ht="16" thickBot="1">
      <c r="A9" s="105"/>
      <c r="B9" s="108"/>
      <c r="C9" s="32" t="s">
        <v>19</v>
      </c>
      <c r="D9" s="33">
        <f>D8*0.8</f>
        <v>0.44800000000000006</v>
      </c>
      <c r="E9" s="33">
        <f t="shared" ref="E9:Q9" si="1">E8*0.8</f>
        <v>0.60000000000000009</v>
      </c>
      <c r="F9" s="33">
        <f t="shared" si="1"/>
        <v>4.6887999999999996</v>
      </c>
      <c r="G9" s="33">
        <f t="shared" si="1"/>
        <v>5.36</v>
      </c>
      <c r="H9" s="33">
        <f t="shared" si="1"/>
        <v>3.44</v>
      </c>
      <c r="I9" s="33">
        <f t="shared" si="1"/>
        <v>0.88000000000000012</v>
      </c>
      <c r="J9" s="33">
        <f t="shared" si="1"/>
        <v>1.7288000000000001</v>
      </c>
      <c r="K9" s="33">
        <f t="shared" si="1"/>
        <v>0.96</v>
      </c>
      <c r="L9" s="33">
        <f t="shared" si="1"/>
        <v>1.6</v>
      </c>
      <c r="M9" s="33">
        <f t="shared" si="1"/>
        <v>4.0351999999999997</v>
      </c>
      <c r="N9" s="33">
        <f t="shared" si="1"/>
        <v>10.64</v>
      </c>
      <c r="O9" s="33">
        <f t="shared" si="1"/>
        <v>0.48</v>
      </c>
      <c r="P9" s="33">
        <f t="shared" si="1"/>
        <v>1.1248</v>
      </c>
      <c r="Q9" s="33">
        <f t="shared" si="1"/>
        <v>0.12</v>
      </c>
      <c r="R9" s="21">
        <f t="shared" si="0"/>
        <v>36.105600000000003</v>
      </c>
    </row>
    <row r="10" spans="1:21" ht="16" thickBot="1">
      <c r="A10" s="105"/>
      <c r="B10" s="108"/>
      <c r="C10" s="34" t="s">
        <v>13</v>
      </c>
      <c r="D10" s="19">
        <f t="shared" ref="D10:J10" si="2">D9</f>
        <v>0.44800000000000006</v>
      </c>
      <c r="E10" s="19">
        <f t="shared" si="2"/>
        <v>0.60000000000000009</v>
      </c>
      <c r="F10" s="19">
        <f t="shared" si="2"/>
        <v>4.6887999999999996</v>
      </c>
      <c r="G10" s="19">
        <f t="shared" si="2"/>
        <v>5.36</v>
      </c>
      <c r="H10" s="19">
        <f t="shared" si="2"/>
        <v>3.44</v>
      </c>
      <c r="I10" s="19">
        <f t="shared" si="2"/>
        <v>0.88000000000000012</v>
      </c>
      <c r="J10" s="19">
        <f t="shared" si="2"/>
        <v>1.7288000000000001</v>
      </c>
      <c r="K10" s="19">
        <v>1</v>
      </c>
      <c r="L10" s="19">
        <f t="shared" ref="L10:Q10" si="3">L9</f>
        <v>1.6</v>
      </c>
      <c r="M10" s="19">
        <f t="shared" si="3"/>
        <v>4.0351999999999997</v>
      </c>
      <c r="N10" s="19">
        <f t="shared" si="3"/>
        <v>10.64</v>
      </c>
      <c r="O10" s="19">
        <f t="shared" si="3"/>
        <v>0.48</v>
      </c>
      <c r="P10" s="19">
        <f t="shared" si="3"/>
        <v>1.1248</v>
      </c>
      <c r="Q10" s="19">
        <f t="shared" si="3"/>
        <v>0.12</v>
      </c>
      <c r="R10" s="21">
        <f t="shared" si="0"/>
        <v>36.145599999999995</v>
      </c>
    </row>
    <row r="11" spans="1:21" ht="15">
      <c r="A11" s="10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1" ht="16" thickBot="1">
      <c r="A12" s="10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21" ht="31" thickBot="1">
      <c r="A13" s="105"/>
      <c r="B13" s="12" t="s">
        <v>0</v>
      </c>
      <c r="C13" s="12"/>
      <c r="D13" s="20" t="s">
        <v>31</v>
      </c>
      <c r="E13" s="16" t="s">
        <v>25</v>
      </c>
      <c r="F13" s="36" t="s">
        <v>26</v>
      </c>
      <c r="G13" s="37" t="s">
        <v>27</v>
      </c>
      <c r="H13" s="37" t="s">
        <v>30</v>
      </c>
      <c r="I13" s="12" t="s">
        <v>11</v>
      </c>
      <c r="J13" s="38" t="s">
        <v>32</v>
      </c>
      <c r="K13" s="39" t="s">
        <v>32</v>
      </c>
      <c r="L13" s="35"/>
      <c r="M13" s="35"/>
      <c r="N13" s="35"/>
      <c r="O13" s="35"/>
      <c r="P13" s="35"/>
      <c r="Q13" s="35"/>
      <c r="R13" s="35"/>
    </row>
    <row r="14" spans="1:21" ht="31" thickBot="1">
      <c r="A14" s="105"/>
      <c r="B14" s="40" t="s">
        <v>14</v>
      </c>
      <c r="C14" s="41" t="s">
        <v>15</v>
      </c>
      <c r="D14" s="20">
        <v>47.039999999999985</v>
      </c>
      <c r="E14" s="20">
        <v>1.8</v>
      </c>
      <c r="F14" s="42">
        <v>3.1</v>
      </c>
      <c r="G14" s="43">
        <v>24.9</v>
      </c>
      <c r="H14" s="44">
        <v>0</v>
      </c>
      <c r="I14" s="21">
        <f>SUM(D14:H14)</f>
        <v>76.839999999999975</v>
      </c>
      <c r="J14" s="21" t="s">
        <v>32</v>
      </c>
      <c r="K14" s="8"/>
      <c r="L14" s="35"/>
      <c r="M14" s="35"/>
      <c r="N14" s="35"/>
      <c r="O14" s="35"/>
      <c r="P14" s="35"/>
      <c r="Q14" s="35"/>
      <c r="R14" s="35"/>
    </row>
    <row r="15" spans="1:21" ht="15">
      <c r="A15" s="105"/>
      <c r="B15" s="22"/>
      <c r="C15" s="23"/>
      <c r="D15" s="23"/>
      <c r="E15" s="23"/>
      <c r="F15" s="23"/>
      <c r="G15" s="23"/>
      <c r="H15" s="23"/>
      <c r="I15" s="23"/>
      <c r="J15" s="24"/>
      <c r="K15" s="8"/>
      <c r="L15" s="35"/>
      <c r="M15" s="35"/>
      <c r="N15" s="35"/>
      <c r="O15" s="35"/>
      <c r="P15" s="35"/>
      <c r="Q15" s="35"/>
      <c r="R15" s="35"/>
    </row>
    <row r="16" spans="1:21" ht="16" thickBot="1">
      <c r="A16" s="105"/>
      <c r="B16" s="25"/>
      <c r="C16" s="26"/>
      <c r="D16" s="26"/>
      <c r="E16" s="26"/>
      <c r="F16" s="26"/>
      <c r="G16" s="26"/>
      <c r="H16" s="26"/>
      <c r="I16" s="26"/>
      <c r="J16" s="27"/>
      <c r="K16" s="8"/>
      <c r="L16" s="35"/>
      <c r="M16" s="35"/>
      <c r="N16" s="35"/>
      <c r="O16" s="35"/>
      <c r="P16" s="35"/>
      <c r="Q16" s="35"/>
      <c r="R16" s="35"/>
    </row>
    <row r="17" spans="1:18" ht="31" thickBot="1">
      <c r="A17" s="105"/>
      <c r="B17" s="45" t="s">
        <v>16</v>
      </c>
      <c r="C17" s="46" t="s">
        <v>17</v>
      </c>
      <c r="D17" s="20">
        <v>45.131999999999998</v>
      </c>
      <c r="E17" s="47">
        <v>0.32</v>
      </c>
      <c r="F17" s="48">
        <v>3.1</v>
      </c>
      <c r="G17" s="29">
        <v>2.5</v>
      </c>
      <c r="H17" s="48">
        <v>2.5</v>
      </c>
      <c r="I17" s="31">
        <f>SUM(D17:H17)</f>
        <v>53.552</v>
      </c>
      <c r="J17" s="49" t="s">
        <v>18</v>
      </c>
      <c r="K17" s="8"/>
      <c r="L17" s="35"/>
      <c r="M17" s="35"/>
      <c r="N17" s="35"/>
      <c r="O17" s="35"/>
      <c r="P17" s="35"/>
      <c r="Q17" s="35"/>
      <c r="R17" s="35"/>
    </row>
    <row r="18" spans="1:18" ht="16" thickBot="1">
      <c r="A18" s="105"/>
      <c r="B18" s="45"/>
      <c r="C18" s="50" t="s">
        <v>19</v>
      </c>
      <c r="D18" s="20">
        <v>36.105600000000003</v>
      </c>
      <c r="E18" s="33">
        <f>E17*0.8</f>
        <v>0.25600000000000001</v>
      </c>
      <c r="F18" s="33">
        <f>F17*0.8</f>
        <v>2.4800000000000004</v>
      </c>
      <c r="G18" s="51">
        <f>G17*0.8</f>
        <v>2</v>
      </c>
      <c r="H18" s="51">
        <f>H17*0.8</f>
        <v>2</v>
      </c>
      <c r="I18" s="21">
        <f>SUM(D18:H18)</f>
        <v>42.8416</v>
      </c>
      <c r="J18" s="52" t="s">
        <v>18</v>
      </c>
      <c r="K18" s="8"/>
      <c r="L18" s="35"/>
      <c r="M18" s="35"/>
      <c r="N18" s="35"/>
      <c r="O18" s="35"/>
      <c r="P18" s="35"/>
      <c r="Q18" s="35"/>
      <c r="R18" s="35"/>
    </row>
    <row r="19" spans="1:18" ht="16" thickBot="1">
      <c r="A19" s="105"/>
      <c r="B19" s="45"/>
      <c r="C19" s="53" t="s">
        <v>13</v>
      </c>
      <c r="D19" s="20">
        <f>D18</f>
        <v>36.105600000000003</v>
      </c>
      <c r="E19" s="19">
        <f>E18</f>
        <v>0.25600000000000001</v>
      </c>
      <c r="F19" s="54">
        <f>F18</f>
        <v>2.4800000000000004</v>
      </c>
      <c r="G19" s="54">
        <f>G18</f>
        <v>2</v>
      </c>
      <c r="H19" s="54">
        <f t="shared" ref="H19" si="4">H18</f>
        <v>2</v>
      </c>
      <c r="I19" s="21">
        <f>SUM(D19:H19)</f>
        <v>42.8416</v>
      </c>
      <c r="J19" s="21" t="s">
        <v>32</v>
      </c>
      <c r="K19" s="8"/>
      <c r="L19" s="35"/>
      <c r="M19" s="35"/>
      <c r="N19" s="35"/>
      <c r="O19" s="35"/>
      <c r="P19" s="35"/>
      <c r="Q19" s="35"/>
      <c r="R19" s="35"/>
    </row>
    <row r="20" spans="1:18" ht="15">
      <c r="A20" s="105"/>
      <c r="B20" s="45"/>
      <c r="C20" s="45"/>
      <c r="D20" s="45"/>
      <c r="E20" s="45"/>
      <c r="F20" s="45"/>
      <c r="G20" s="45"/>
      <c r="H20" s="45"/>
      <c r="I20" s="45"/>
      <c r="J20" s="45"/>
      <c r="K20" s="8"/>
      <c r="L20" s="35"/>
      <c r="M20" s="35"/>
      <c r="N20" s="35"/>
      <c r="O20" s="35"/>
      <c r="P20" s="35"/>
      <c r="Q20" s="35"/>
      <c r="R20" s="35"/>
    </row>
    <row r="21" spans="1:18" ht="15">
      <c r="A21" s="10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6" thickBot="1">
      <c r="A22" s="10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31" thickBot="1">
      <c r="A23" s="105"/>
      <c r="B23" s="12" t="s">
        <v>0</v>
      </c>
      <c r="C23" s="13"/>
      <c r="D23" s="14" t="s">
        <v>1</v>
      </c>
      <c r="E23" s="14" t="s">
        <v>2</v>
      </c>
      <c r="F23" s="14" t="s">
        <v>3</v>
      </c>
      <c r="G23" s="14" t="s">
        <v>4</v>
      </c>
      <c r="H23" s="14" t="s">
        <v>5</v>
      </c>
      <c r="I23" s="14" t="s">
        <v>6</v>
      </c>
      <c r="J23" s="14" t="s">
        <v>7</v>
      </c>
      <c r="K23" s="14" t="s">
        <v>8</v>
      </c>
      <c r="L23" s="14" t="s">
        <v>22</v>
      </c>
      <c r="M23" s="14" t="s">
        <v>9</v>
      </c>
      <c r="N23" s="14" t="s">
        <v>10</v>
      </c>
      <c r="O23" s="15" t="s">
        <v>23</v>
      </c>
      <c r="P23" s="16" t="s">
        <v>24</v>
      </c>
      <c r="Q23" s="16" t="s">
        <v>28</v>
      </c>
      <c r="R23" s="14" t="s">
        <v>38</v>
      </c>
    </row>
    <row r="24" spans="1:18" ht="16" thickBot="1">
      <c r="A24" s="105"/>
      <c r="B24" s="8"/>
      <c r="C24" s="55" t="s">
        <v>17</v>
      </c>
      <c r="D24" s="29">
        <v>3.3719999999999999</v>
      </c>
      <c r="E24" s="29">
        <v>0.75</v>
      </c>
      <c r="F24" s="29">
        <v>5.8609999999999998</v>
      </c>
      <c r="G24" s="29">
        <v>12</v>
      </c>
      <c r="H24" s="48">
        <v>3</v>
      </c>
      <c r="I24" s="29">
        <v>3.6</v>
      </c>
      <c r="J24" s="29">
        <v>1.982</v>
      </c>
      <c r="K24" s="29">
        <v>2.2000000000000002</v>
      </c>
      <c r="L24" s="29">
        <v>2</v>
      </c>
      <c r="M24" s="29">
        <v>1.681</v>
      </c>
      <c r="N24" s="29">
        <v>18</v>
      </c>
      <c r="O24" s="29">
        <v>1.2</v>
      </c>
      <c r="P24" s="29">
        <v>1.2</v>
      </c>
      <c r="Q24" s="29">
        <v>0.2</v>
      </c>
      <c r="R24" s="21">
        <f t="shared" si="0"/>
        <v>57.046000000000006</v>
      </c>
    </row>
    <row r="25" spans="1:18" ht="16" thickBot="1">
      <c r="A25" s="105"/>
      <c r="B25" s="8"/>
      <c r="C25" s="56" t="s">
        <v>19</v>
      </c>
      <c r="D25" s="33">
        <f>D24*0.8</f>
        <v>2.6976</v>
      </c>
      <c r="E25" s="33">
        <f t="shared" ref="E25:Q25" si="5">E24*0.8</f>
        <v>0.60000000000000009</v>
      </c>
      <c r="F25" s="33">
        <f t="shared" si="5"/>
        <v>4.6887999999999996</v>
      </c>
      <c r="G25" s="33">
        <f t="shared" si="5"/>
        <v>9.6000000000000014</v>
      </c>
      <c r="H25" s="33">
        <f t="shared" si="5"/>
        <v>2.4000000000000004</v>
      </c>
      <c r="I25" s="33">
        <f t="shared" si="5"/>
        <v>2.8800000000000003</v>
      </c>
      <c r="J25" s="33">
        <f t="shared" si="5"/>
        <v>1.5856000000000001</v>
      </c>
      <c r="K25" s="33">
        <f t="shared" si="5"/>
        <v>1.7600000000000002</v>
      </c>
      <c r="L25" s="33">
        <f t="shared" si="5"/>
        <v>1.6</v>
      </c>
      <c r="M25" s="33">
        <f t="shared" si="5"/>
        <v>1.3448000000000002</v>
      </c>
      <c r="N25" s="33">
        <f t="shared" si="5"/>
        <v>14.4</v>
      </c>
      <c r="O25" s="33">
        <f t="shared" si="5"/>
        <v>0.96</v>
      </c>
      <c r="P25" s="33">
        <f t="shared" si="5"/>
        <v>0.96</v>
      </c>
      <c r="Q25" s="33">
        <f t="shared" si="5"/>
        <v>0.16000000000000003</v>
      </c>
      <c r="R25" s="21">
        <f t="shared" si="0"/>
        <v>45.636800000000001</v>
      </c>
    </row>
    <row r="26" spans="1:18" ht="15">
      <c r="A26" s="105"/>
      <c r="B26" s="8"/>
      <c r="C26" s="57" t="s">
        <v>13</v>
      </c>
      <c r="D26" s="58">
        <f>D25</f>
        <v>2.6976</v>
      </c>
      <c r="E26" s="58">
        <f t="shared" ref="E26:Q26" si="6">E25</f>
        <v>0.60000000000000009</v>
      </c>
      <c r="F26" s="58">
        <f t="shared" si="6"/>
        <v>4.6887999999999996</v>
      </c>
      <c r="G26" s="58">
        <f t="shared" si="6"/>
        <v>9.6000000000000014</v>
      </c>
      <c r="H26" s="58">
        <f t="shared" si="6"/>
        <v>2.4000000000000004</v>
      </c>
      <c r="I26" s="58">
        <f t="shared" si="6"/>
        <v>2.8800000000000003</v>
      </c>
      <c r="J26" s="58">
        <f t="shared" si="6"/>
        <v>1.5856000000000001</v>
      </c>
      <c r="K26" s="58">
        <f t="shared" si="6"/>
        <v>1.7600000000000002</v>
      </c>
      <c r="L26" s="58">
        <f t="shared" si="6"/>
        <v>1.6</v>
      </c>
      <c r="M26" s="58">
        <f t="shared" si="6"/>
        <v>1.3448000000000002</v>
      </c>
      <c r="N26" s="58">
        <f t="shared" si="6"/>
        <v>14.4</v>
      </c>
      <c r="O26" s="58">
        <f t="shared" si="6"/>
        <v>0.96</v>
      </c>
      <c r="P26" s="58">
        <f t="shared" si="6"/>
        <v>0.96</v>
      </c>
      <c r="Q26" s="58">
        <f t="shared" si="6"/>
        <v>0.16000000000000003</v>
      </c>
      <c r="R26" s="59">
        <f t="shared" si="0"/>
        <v>45.636800000000001</v>
      </c>
    </row>
    <row r="27" spans="1:18" ht="45">
      <c r="A27" s="105"/>
      <c r="B27" s="60" t="s">
        <v>20</v>
      </c>
      <c r="C27" s="61" t="s">
        <v>40</v>
      </c>
      <c r="D27" s="62">
        <f>D26*0.25</f>
        <v>0.6744</v>
      </c>
      <c r="E27" s="62">
        <f t="shared" ref="E27:Q27" si="7">E26*0.25</f>
        <v>0.15000000000000002</v>
      </c>
      <c r="F27" s="62">
        <f t="shared" si="7"/>
        <v>1.1721999999999999</v>
      </c>
      <c r="G27" s="62">
        <f>G26*0.25</f>
        <v>2.4000000000000004</v>
      </c>
      <c r="H27" s="62">
        <f t="shared" si="7"/>
        <v>0.60000000000000009</v>
      </c>
      <c r="I27" s="62">
        <f t="shared" si="7"/>
        <v>0.72000000000000008</v>
      </c>
      <c r="J27" s="62">
        <f t="shared" si="7"/>
        <v>0.39640000000000003</v>
      </c>
      <c r="K27" s="62">
        <f t="shared" si="7"/>
        <v>0.44000000000000006</v>
      </c>
      <c r="L27" s="62">
        <f t="shared" si="7"/>
        <v>0.4</v>
      </c>
      <c r="M27" s="62">
        <f t="shared" si="7"/>
        <v>0.33620000000000005</v>
      </c>
      <c r="N27" s="62">
        <f t="shared" si="7"/>
        <v>3.6</v>
      </c>
      <c r="O27" s="62">
        <f t="shared" si="7"/>
        <v>0.24</v>
      </c>
      <c r="P27" s="62">
        <f t="shared" si="7"/>
        <v>0.24</v>
      </c>
      <c r="Q27" s="62">
        <f t="shared" si="7"/>
        <v>4.0000000000000008E-2</v>
      </c>
      <c r="R27" s="62">
        <f t="shared" ref="R27:R32" si="8">SUM(D27:Q27)</f>
        <v>11.4092</v>
      </c>
    </row>
    <row r="28" spans="1:18" ht="15">
      <c r="A28" s="105"/>
      <c r="B28" s="60"/>
      <c r="C28" s="61" t="s">
        <v>35</v>
      </c>
      <c r="D28" s="63">
        <f>0.35*1.5</f>
        <v>0.52499999999999991</v>
      </c>
      <c r="E28" s="63">
        <f>0.12*1.5</f>
        <v>0.18</v>
      </c>
      <c r="F28" s="63">
        <f>0.35*1.5</f>
        <v>0.52499999999999991</v>
      </c>
      <c r="G28" s="63">
        <f>0.6*1.5</f>
        <v>0.89999999999999991</v>
      </c>
      <c r="H28" s="63">
        <f>0.3*1.5</f>
        <v>0.44999999999999996</v>
      </c>
      <c r="I28" s="63">
        <f>0.3*1.5</f>
        <v>0.44999999999999996</v>
      </c>
      <c r="J28" s="63">
        <f>0.32*1.5</f>
        <v>0.48</v>
      </c>
      <c r="K28" s="63">
        <f>0.2*1.5</f>
        <v>0.30000000000000004</v>
      </c>
      <c r="L28" s="63">
        <f>0.32*1.5</f>
        <v>0.48</v>
      </c>
      <c r="M28" s="63">
        <f>0.2*1.5</f>
        <v>0.30000000000000004</v>
      </c>
      <c r="N28" s="63">
        <f>0.4*1.5</f>
        <v>0.60000000000000009</v>
      </c>
      <c r="O28" s="64">
        <v>0</v>
      </c>
      <c r="P28" s="64">
        <v>0</v>
      </c>
      <c r="Q28" s="63">
        <v>0</v>
      </c>
      <c r="R28" s="62">
        <f t="shared" si="8"/>
        <v>5.1900000000000013</v>
      </c>
    </row>
    <row r="29" spans="1:18" ht="30">
      <c r="A29" s="105"/>
      <c r="B29" s="60"/>
      <c r="C29" s="61" t="s">
        <v>43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5">
        <v>1.5</v>
      </c>
      <c r="O29" s="64">
        <v>0</v>
      </c>
      <c r="P29" s="65">
        <v>0.25</v>
      </c>
      <c r="Q29" s="63">
        <v>0</v>
      </c>
      <c r="R29" s="62">
        <f t="shared" si="8"/>
        <v>1.75</v>
      </c>
    </row>
    <row r="30" spans="1:18" ht="15">
      <c r="A30" s="105"/>
      <c r="B30" s="8"/>
      <c r="C30" s="66" t="s">
        <v>33</v>
      </c>
      <c r="D30" s="63">
        <f>D27-D28-D29</f>
        <v>0.14940000000000009</v>
      </c>
      <c r="E30" s="63">
        <f t="shared" ref="E30:Q30" si="9">E27-E28-E29</f>
        <v>-2.9999999999999971E-2</v>
      </c>
      <c r="F30" s="63">
        <f t="shared" si="9"/>
        <v>0.6472</v>
      </c>
      <c r="G30" s="63">
        <f t="shared" si="9"/>
        <v>1.5000000000000004</v>
      </c>
      <c r="H30" s="63">
        <f t="shared" si="9"/>
        <v>0.15000000000000013</v>
      </c>
      <c r="I30" s="63">
        <f t="shared" si="9"/>
        <v>0.27000000000000013</v>
      </c>
      <c r="J30" s="63">
        <f t="shared" si="9"/>
        <v>-8.3599999999999952E-2</v>
      </c>
      <c r="K30" s="63">
        <f t="shared" si="9"/>
        <v>0.14000000000000001</v>
      </c>
      <c r="L30" s="63">
        <f t="shared" si="9"/>
        <v>-7.999999999999996E-2</v>
      </c>
      <c r="M30" s="63">
        <f t="shared" si="9"/>
        <v>3.620000000000001E-2</v>
      </c>
      <c r="N30" s="63">
        <f t="shared" si="9"/>
        <v>1.5</v>
      </c>
      <c r="O30" s="63">
        <f t="shared" si="9"/>
        <v>0.24</v>
      </c>
      <c r="P30" s="63">
        <f t="shared" si="9"/>
        <v>-1.0000000000000009E-2</v>
      </c>
      <c r="Q30" s="63">
        <f t="shared" si="9"/>
        <v>4.0000000000000008E-2</v>
      </c>
      <c r="R30" s="63">
        <f t="shared" si="8"/>
        <v>4.4692000000000016</v>
      </c>
    </row>
    <row r="31" spans="1:18" ht="30">
      <c r="A31" s="105"/>
      <c r="B31" s="8"/>
      <c r="C31" s="66" t="s">
        <v>36</v>
      </c>
      <c r="D31" s="63">
        <f>D27*0.2</f>
        <v>0.13488</v>
      </c>
      <c r="E31" s="63">
        <f t="shared" ref="E31:Q31" si="10">E27*0.2</f>
        <v>3.0000000000000006E-2</v>
      </c>
      <c r="F31" s="63">
        <f t="shared" si="10"/>
        <v>0.23443999999999998</v>
      </c>
      <c r="G31" s="63">
        <f t="shared" si="10"/>
        <v>0.48000000000000009</v>
      </c>
      <c r="H31" s="63">
        <f t="shared" si="10"/>
        <v>0.12000000000000002</v>
      </c>
      <c r="I31" s="63">
        <f t="shared" si="10"/>
        <v>0.14400000000000002</v>
      </c>
      <c r="J31" s="63">
        <f t="shared" si="10"/>
        <v>7.9280000000000017E-2</v>
      </c>
      <c r="K31" s="63">
        <f t="shared" si="10"/>
        <v>8.8000000000000023E-2</v>
      </c>
      <c r="L31" s="63">
        <f t="shared" si="10"/>
        <v>8.0000000000000016E-2</v>
      </c>
      <c r="M31" s="63">
        <f t="shared" si="10"/>
        <v>6.7240000000000008E-2</v>
      </c>
      <c r="N31" s="63">
        <f t="shared" si="10"/>
        <v>0.72000000000000008</v>
      </c>
      <c r="O31" s="63">
        <f t="shared" si="10"/>
        <v>4.8000000000000001E-2</v>
      </c>
      <c r="P31" s="63">
        <f t="shared" si="10"/>
        <v>4.8000000000000001E-2</v>
      </c>
      <c r="Q31" s="63">
        <f t="shared" si="10"/>
        <v>8.0000000000000019E-3</v>
      </c>
      <c r="R31" s="63">
        <f t="shared" si="8"/>
        <v>2.2818400000000003</v>
      </c>
    </row>
    <row r="32" spans="1:18" ht="16" thickBot="1">
      <c r="A32" s="105"/>
      <c r="B32" s="67"/>
      <c r="C32" s="68" t="s">
        <v>34</v>
      </c>
      <c r="D32" s="69">
        <f>D30+D31</f>
        <v>0.28428000000000009</v>
      </c>
      <c r="E32" s="69">
        <f t="shared" ref="E32:Q32" si="11">E30+E31</f>
        <v>3.4694469519536142E-17</v>
      </c>
      <c r="F32" s="69">
        <f t="shared" si="11"/>
        <v>0.88163999999999998</v>
      </c>
      <c r="G32" s="69">
        <f t="shared" si="11"/>
        <v>1.9800000000000004</v>
      </c>
      <c r="H32" s="69">
        <f t="shared" si="11"/>
        <v>0.27000000000000013</v>
      </c>
      <c r="I32" s="69">
        <f t="shared" si="11"/>
        <v>0.41400000000000015</v>
      </c>
      <c r="J32" s="69">
        <f t="shared" si="11"/>
        <v>-4.319999999999935E-3</v>
      </c>
      <c r="K32" s="69">
        <f t="shared" si="11"/>
        <v>0.22800000000000004</v>
      </c>
      <c r="L32" s="69">
        <f t="shared" si="11"/>
        <v>0</v>
      </c>
      <c r="M32" s="69">
        <f t="shared" si="11"/>
        <v>0.10344000000000002</v>
      </c>
      <c r="N32" s="69">
        <f t="shared" si="11"/>
        <v>2.2200000000000002</v>
      </c>
      <c r="O32" s="69">
        <f t="shared" si="11"/>
        <v>0.28799999999999998</v>
      </c>
      <c r="P32" s="69">
        <f t="shared" si="11"/>
        <v>3.7999999999999992E-2</v>
      </c>
      <c r="Q32" s="69">
        <f t="shared" si="11"/>
        <v>4.8000000000000008E-2</v>
      </c>
      <c r="R32" s="69">
        <f t="shared" si="8"/>
        <v>6.7510400000000015</v>
      </c>
    </row>
    <row r="33" spans="1:18" ht="15">
      <c r="A33" s="10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6" thickBot="1">
      <c r="A34" s="105"/>
      <c r="B34" s="8"/>
      <c r="C34" s="8"/>
      <c r="D34" s="8"/>
      <c r="E34" s="8"/>
      <c r="F34" s="8"/>
      <c r="G34" s="8"/>
      <c r="H34" s="8"/>
      <c r="I34" s="8"/>
      <c r="J34" s="8"/>
      <c r="K34" s="8"/>
      <c r="L34" s="70"/>
      <c r="M34" s="70"/>
      <c r="N34" s="70"/>
      <c r="O34" s="70"/>
      <c r="P34" s="70"/>
      <c r="Q34" s="70"/>
      <c r="R34" s="70"/>
    </row>
    <row r="35" spans="1:18" ht="31" thickBot="1">
      <c r="A35" s="105"/>
      <c r="B35" s="12" t="s">
        <v>0</v>
      </c>
      <c r="C35" s="71"/>
      <c r="D35" s="20" t="s">
        <v>31</v>
      </c>
      <c r="E35" s="16" t="s">
        <v>25</v>
      </c>
      <c r="F35" s="36" t="s">
        <v>26</v>
      </c>
      <c r="G35" s="37" t="s">
        <v>27</v>
      </c>
      <c r="H35" s="37" t="s">
        <v>30</v>
      </c>
      <c r="I35" s="12" t="s">
        <v>11</v>
      </c>
      <c r="J35" s="38" t="s">
        <v>32</v>
      </c>
      <c r="K35" s="39" t="s">
        <v>32</v>
      </c>
      <c r="L35" s="70"/>
      <c r="M35" s="70"/>
      <c r="N35" s="70"/>
      <c r="O35" s="70"/>
      <c r="P35" s="70"/>
      <c r="Q35" s="70"/>
      <c r="R35" s="70"/>
    </row>
    <row r="36" spans="1:18" ht="31" thickBot="1">
      <c r="A36" s="105"/>
      <c r="B36" s="72" t="s">
        <v>20</v>
      </c>
      <c r="C36" s="46" t="s">
        <v>17</v>
      </c>
      <c r="D36" s="20">
        <v>57</v>
      </c>
      <c r="E36" s="48">
        <v>0.6</v>
      </c>
      <c r="F36" s="47">
        <v>5.46</v>
      </c>
      <c r="G36" s="30">
        <v>2.5</v>
      </c>
      <c r="H36" s="47">
        <v>3</v>
      </c>
      <c r="I36" s="21">
        <f>SUM(D36:H36)</f>
        <v>68.56</v>
      </c>
      <c r="J36" s="49" t="s">
        <v>18</v>
      </c>
      <c r="K36" s="8"/>
      <c r="L36" s="70"/>
      <c r="M36" s="70"/>
      <c r="N36" s="70"/>
      <c r="O36" s="70"/>
      <c r="P36" s="70"/>
      <c r="Q36" s="70"/>
      <c r="R36" s="70"/>
    </row>
    <row r="37" spans="1:18" ht="16" thickBot="1">
      <c r="A37" s="105"/>
      <c r="B37" s="45"/>
      <c r="C37" s="50" t="s">
        <v>19</v>
      </c>
      <c r="D37" s="20">
        <f>R25</f>
        <v>45.636800000000001</v>
      </c>
      <c r="E37" s="33">
        <f>E36*0.8</f>
        <v>0.48</v>
      </c>
      <c r="F37" s="33">
        <f>F36*0.8</f>
        <v>4.3680000000000003</v>
      </c>
      <c r="G37" s="33">
        <f>G36*0.8</f>
        <v>2</v>
      </c>
      <c r="H37" s="33">
        <f t="shared" ref="H37" si="12">H36*0.8</f>
        <v>2.4000000000000004</v>
      </c>
      <c r="I37" s="21">
        <f>SUM(D37:H37)</f>
        <v>54.884799999999998</v>
      </c>
      <c r="J37" s="52" t="s">
        <v>18</v>
      </c>
      <c r="K37" s="73" t="s">
        <v>32</v>
      </c>
      <c r="L37" s="70"/>
      <c r="M37" s="70"/>
      <c r="N37" s="70"/>
      <c r="O37" s="70"/>
      <c r="P37" s="70"/>
      <c r="Q37" s="70"/>
      <c r="R37" s="70"/>
    </row>
    <row r="38" spans="1:18" ht="16" thickBot="1">
      <c r="A38" s="105"/>
      <c r="B38" s="45"/>
      <c r="C38" s="74" t="s">
        <v>13</v>
      </c>
      <c r="D38" s="20">
        <f>D37</f>
        <v>45.636800000000001</v>
      </c>
      <c r="E38" s="19">
        <f>E37</f>
        <v>0.48</v>
      </c>
      <c r="F38" s="54">
        <f>F37</f>
        <v>4.3680000000000003</v>
      </c>
      <c r="G38" s="19">
        <f>G37</f>
        <v>2</v>
      </c>
      <c r="H38" s="19">
        <f t="shared" ref="H38" si="13">H37</f>
        <v>2.4000000000000004</v>
      </c>
      <c r="I38" s="102">
        <f>SUM(D38:H38)</f>
        <v>54.884799999999998</v>
      </c>
      <c r="J38" s="21" t="s">
        <v>32</v>
      </c>
      <c r="K38" s="62" t="s">
        <v>32</v>
      </c>
      <c r="L38" s="70"/>
      <c r="M38" s="70"/>
      <c r="N38" s="70"/>
      <c r="O38" s="70"/>
      <c r="P38" s="70"/>
      <c r="Q38" s="70"/>
      <c r="R38" s="70"/>
    </row>
    <row r="39" spans="1:18" ht="45">
      <c r="A39" s="105"/>
      <c r="B39" s="45"/>
      <c r="C39" s="61" t="s">
        <v>41</v>
      </c>
      <c r="D39" s="62">
        <f>R27</f>
        <v>11.4092</v>
      </c>
      <c r="E39" s="62">
        <f>E38*0.25</f>
        <v>0.12</v>
      </c>
      <c r="F39" s="62">
        <f t="shared" ref="F39:G39" si="14">F38*0.25</f>
        <v>1.0920000000000001</v>
      </c>
      <c r="G39" s="62">
        <f t="shared" si="14"/>
        <v>0.5</v>
      </c>
      <c r="H39" s="62">
        <f>H38*0.4</f>
        <v>0.96000000000000019</v>
      </c>
      <c r="I39" s="62">
        <f>SUM(D39:H39)</f>
        <v>14.081200000000001</v>
      </c>
      <c r="J39" s="62" t="s">
        <v>32</v>
      </c>
      <c r="K39" s="62" t="s">
        <v>32</v>
      </c>
      <c r="L39" s="70"/>
      <c r="M39" s="103" t="s">
        <v>32</v>
      </c>
      <c r="N39" s="70"/>
      <c r="O39" s="70"/>
      <c r="P39" s="70"/>
      <c r="Q39" s="70"/>
      <c r="R39" s="70"/>
    </row>
    <row r="40" spans="1:18" ht="15">
      <c r="A40" s="105"/>
      <c r="B40" s="45"/>
      <c r="C40" s="61" t="s">
        <v>35</v>
      </c>
      <c r="D40" s="63">
        <f>R28</f>
        <v>5.1900000000000013</v>
      </c>
      <c r="E40" s="63">
        <v>0</v>
      </c>
      <c r="F40" s="63">
        <v>0</v>
      </c>
      <c r="G40" s="63">
        <v>0</v>
      </c>
      <c r="H40" s="63">
        <v>0</v>
      </c>
      <c r="I40" s="62">
        <f>SUM(D40:H40)</f>
        <v>5.1900000000000013</v>
      </c>
      <c r="J40" s="63" t="s">
        <v>32</v>
      </c>
      <c r="K40" s="63" t="s">
        <v>32</v>
      </c>
      <c r="L40" s="70"/>
      <c r="M40" s="103" t="s">
        <v>32</v>
      </c>
      <c r="N40" s="70"/>
      <c r="O40" s="70" t="s">
        <v>45</v>
      </c>
      <c r="P40" s="70"/>
      <c r="Q40" s="70"/>
      <c r="R40" s="70"/>
    </row>
    <row r="41" spans="1:18" ht="30">
      <c r="A41" s="105"/>
      <c r="B41" s="45"/>
      <c r="C41" s="75" t="s">
        <v>43</v>
      </c>
      <c r="D41" s="63">
        <f>R29</f>
        <v>1.75</v>
      </c>
      <c r="E41" s="65">
        <v>0.1</v>
      </c>
      <c r="F41" s="63">
        <v>0</v>
      </c>
      <c r="G41" s="65">
        <v>0.4</v>
      </c>
      <c r="H41" s="63">
        <v>0</v>
      </c>
      <c r="I41" s="62">
        <f t="shared" ref="I41:I44" si="15">SUM(D41:H41)</f>
        <v>2.25</v>
      </c>
      <c r="J41" s="63"/>
      <c r="K41" s="65" t="s">
        <v>32</v>
      </c>
      <c r="L41" s="70"/>
      <c r="M41" s="70"/>
      <c r="N41" s="70"/>
      <c r="O41" s="70"/>
      <c r="P41" s="70"/>
      <c r="Q41" s="70"/>
      <c r="R41" s="70"/>
    </row>
    <row r="42" spans="1:18" ht="15">
      <c r="A42" s="105"/>
      <c r="B42" s="45"/>
      <c r="C42" s="75" t="s">
        <v>33</v>
      </c>
      <c r="D42" s="63">
        <f>D39-D40-D41</f>
        <v>4.469199999999999</v>
      </c>
      <c r="E42" s="63">
        <f t="shared" ref="E42:H42" si="16">E39-E40-E41</f>
        <v>1.999999999999999E-2</v>
      </c>
      <c r="F42" s="63">
        <f t="shared" si="16"/>
        <v>1.0920000000000001</v>
      </c>
      <c r="G42" s="63">
        <f t="shared" si="16"/>
        <v>9.9999999999999978E-2</v>
      </c>
      <c r="H42" s="63">
        <f t="shared" si="16"/>
        <v>0.96000000000000019</v>
      </c>
      <c r="I42" s="62">
        <f t="shared" si="15"/>
        <v>6.6411999999999987</v>
      </c>
      <c r="J42" s="63" t="s">
        <v>32</v>
      </c>
      <c r="K42" s="63" t="s">
        <v>32</v>
      </c>
      <c r="L42" s="70"/>
      <c r="M42" s="70"/>
      <c r="N42" s="70"/>
      <c r="O42" s="70"/>
      <c r="P42" s="70"/>
      <c r="Q42" s="70"/>
      <c r="R42" s="70"/>
    </row>
    <row r="43" spans="1:18" ht="52.5" customHeight="1">
      <c r="A43" s="105"/>
      <c r="B43" s="45"/>
      <c r="C43" s="75" t="s">
        <v>37</v>
      </c>
      <c r="D43" s="63">
        <f>D39*0.2</f>
        <v>2.2818400000000003</v>
      </c>
      <c r="E43" s="63">
        <f>E39*0.2</f>
        <v>2.4E-2</v>
      </c>
      <c r="F43" s="63">
        <f t="shared" ref="F43" si="17">F39*0.2</f>
        <v>0.21840000000000004</v>
      </c>
      <c r="G43" s="65">
        <v>0</v>
      </c>
      <c r="H43" s="65">
        <v>0.3</v>
      </c>
      <c r="I43" s="62">
        <f t="shared" si="15"/>
        <v>2.8242400000000001</v>
      </c>
      <c r="J43" s="63" t="s">
        <v>32</v>
      </c>
      <c r="K43" s="63" t="s">
        <v>32</v>
      </c>
      <c r="L43" s="70"/>
      <c r="M43" s="70"/>
      <c r="N43" s="70"/>
      <c r="O43" s="70"/>
      <c r="P43" s="70"/>
      <c r="Q43" s="70"/>
      <c r="R43" s="70"/>
    </row>
    <row r="44" spans="1:18" ht="15">
      <c r="A44" s="105"/>
      <c r="B44" s="45"/>
      <c r="C44" s="75" t="s">
        <v>34</v>
      </c>
      <c r="D44" s="63">
        <f>D42+D43</f>
        <v>6.7510399999999997</v>
      </c>
      <c r="E44" s="63">
        <f>E42+E43</f>
        <v>4.3999999999999991E-2</v>
      </c>
      <c r="F44" s="63">
        <f t="shared" ref="F44:H44" si="18">F42+F43</f>
        <v>1.3104</v>
      </c>
      <c r="G44" s="63">
        <f t="shared" si="18"/>
        <v>9.9999999999999978E-2</v>
      </c>
      <c r="H44" s="63">
        <f t="shared" si="18"/>
        <v>1.2600000000000002</v>
      </c>
      <c r="I44" s="62">
        <f t="shared" si="15"/>
        <v>9.4654399999999992</v>
      </c>
      <c r="J44" s="63" t="s">
        <v>32</v>
      </c>
      <c r="K44" s="63" t="s">
        <v>32</v>
      </c>
      <c r="L44" s="70"/>
      <c r="M44" s="70"/>
      <c r="N44" s="70"/>
      <c r="O44" s="70"/>
      <c r="P44" s="70"/>
      <c r="Q44" s="70"/>
      <c r="R44" s="70"/>
    </row>
    <row r="45" spans="1:18" ht="16" thickBot="1">
      <c r="A45" s="105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">
      <c r="A46" s="105"/>
      <c r="B46" s="35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18" ht="15">
      <c r="A47" s="105"/>
      <c r="B47" s="35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18" ht="15">
      <c r="A48" s="105"/>
      <c r="B48" s="35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ht="15">
      <c r="A49" s="105"/>
      <c r="B49" s="3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1:18" ht="15">
      <c r="A50" s="105"/>
      <c r="B50" s="35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18" ht="15">
      <c r="A51" s="105"/>
      <c r="B51" s="35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1:18" ht="15">
      <c r="A52" s="105"/>
      <c r="B52" s="35"/>
      <c r="C52" s="78" t="s">
        <v>42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1:18" ht="16" thickBot="1">
      <c r="A53" s="105"/>
      <c r="B53" s="35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7"/>
      <c r="Q53" s="77"/>
      <c r="R53" s="70"/>
    </row>
    <row r="54" spans="1:18" ht="31" thickBot="1">
      <c r="A54" s="105"/>
      <c r="B54" s="12" t="s">
        <v>0</v>
      </c>
      <c r="C54" s="13"/>
      <c r="D54" s="14" t="s">
        <v>1</v>
      </c>
      <c r="E54" s="14" t="s">
        <v>2</v>
      </c>
      <c r="F54" s="14" t="s">
        <v>3</v>
      </c>
      <c r="G54" s="14" t="s">
        <v>4</v>
      </c>
      <c r="H54" s="14" t="s">
        <v>5</v>
      </c>
      <c r="I54" s="14" t="s">
        <v>6</v>
      </c>
      <c r="J54" s="14" t="s">
        <v>7</v>
      </c>
      <c r="K54" s="14" t="s">
        <v>8</v>
      </c>
      <c r="L54" s="14" t="s">
        <v>22</v>
      </c>
      <c r="M54" s="14" t="s">
        <v>9</v>
      </c>
      <c r="N54" s="14" t="s">
        <v>10</v>
      </c>
      <c r="O54" s="15" t="s">
        <v>23</v>
      </c>
      <c r="P54" s="16" t="s">
        <v>24</v>
      </c>
      <c r="Q54" s="16" t="s">
        <v>28</v>
      </c>
      <c r="R54" s="14" t="s">
        <v>38</v>
      </c>
    </row>
    <row r="55" spans="1:18" ht="16" thickBot="1">
      <c r="A55" s="105"/>
      <c r="B55" s="79"/>
      <c r="C55" s="28" t="s">
        <v>17</v>
      </c>
      <c r="D55" s="29">
        <v>2.8969999999999998</v>
      </c>
      <c r="E55" s="29">
        <v>0.75</v>
      </c>
      <c r="F55" s="29">
        <v>5.8609999999999998</v>
      </c>
      <c r="G55" s="29">
        <v>21</v>
      </c>
      <c r="H55" s="48">
        <v>4.3</v>
      </c>
      <c r="I55" s="29">
        <v>2.6</v>
      </c>
      <c r="J55" s="29">
        <v>2.6989999999999998</v>
      </c>
      <c r="K55" s="48">
        <v>1.8</v>
      </c>
      <c r="L55" s="29">
        <v>2</v>
      </c>
      <c r="M55" s="29">
        <v>2.8260000000000001</v>
      </c>
      <c r="N55" s="29">
        <v>21.1</v>
      </c>
      <c r="O55" s="29">
        <v>1.2</v>
      </c>
      <c r="P55" s="29">
        <v>1.4059999999999999</v>
      </c>
      <c r="Q55" s="29">
        <v>0.2</v>
      </c>
      <c r="R55" s="31">
        <f t="shared" si="0"/>
        <v>70.63900000000001</v>
      </c>
    </row>
    <row r="56" spans="1:18" ht="16" thickBot="1">
      <c r="A56" s="105"/>
      <c r="B56" s="80"/>
      <c r="C56" s="32" t="s">
        <v>19</v>
      </c>
      <c r="D56" s="33">
        <f>D55*0.8</f>
        <v>2.3176000000000001</v>
      </c>
      <c r="E56" s="33">
        <f t="shared" ref="E56:Q56" si="19">E55*0.8</f>
        <v>0.60000000000000009</v>
      </c>
      <c r="F56" s="33">
        <f t="shared" si="19"/>
        <v>4.6887999999999996</v>
      </c>
      <c r="G56" s="33">
        <f t="shared" si="19"/>
        <v>16.8</v>
      </c>
      <c r="H56" s="33">
        <f t="shared" si="19"/>
        <v>3.44</v>
      </c>
      <c r="I56" s="33">
        <f t="shared" si="19"/>
        <v>2.08</v>
      </c>
      <c r="J56" s="33">
        <f t="shared" si="19"/>
        <v>2.1591999999999998</v>
      </c>
      <c r="K56" s="33">
        <f t="shared" si="19"/>
        <v>1.4400000000000002</v>
      </c>
      <c r="L56" s="33">
        <f t="shared" si="19"/>
        <v>1.6</v>
      </c>
      <c r="M56" s="33">
        <f t="shared" si="19"/>
        <v>2.2608000000000001</v>
      </c>
      <c r="N56" s="33">
        <f t="shared" si="19"/>
        <v>16.880000000000003</v>
      </c>
      <c r="O56" s="33">
        <f t="shared" si="19"/>
        <v>0.96</v>
      </c>
      <c r="P56" s="33">
        <f t="shared" si="19"/>
        <v>1.1248</v>
      </c>
      <c r="Q56" s="33">
        <f t="shared" si="19"/>
        <v>0.16000000000000003</v>
      </c>
      <c r="R56" s="21">
        <f t="shared" si="0"/>
        <v>56.511200000000002</v>
      </c>
    </row>
    <row r="57" spans="1:18" ht="16" thickBot="1">
      <c r="A57" s="105"/>
      <c r="B57" s="80"/>
      <c r="C57" s="81" t="s">
        <v>13</v>
      </c>
      <c r="D57" s="19">
        <f>D56</f>
        <v>2.3176000000000001</v>
      </c>
      <c r="E57" s="19">
        <f t="shared" ref="E57:Q57" si="20">E56</f>
        <v>0.60000000000000009</v>
      </c>
      <c r="F57" s="19">
        <f t="shared" si="20"/>
        <v>4.6887999999999996</v>
      </c>
      <c r="G57" s="19">
        <f t="shared" si="20"/>
        <v>16.8</v>
      </c>
      <c r="H57" s="19">
        <f t="shared" si="20"/>
        <v>3.44</v>
      </c>
      <c r="I57" s="19">
        <f t="shared" si="20"/>
        <v>2.08</v>
      </c>
      <c r="J57" s="19">
        <f t="shared" si="20"/>
        <v>2.1591999999999998</v>
      </c>
      <c r="K57" s="19">
        <f t="shared" si="20"/>
        <v>1.4400000000000002</v>
      </c>
      <c r="L57" s="19">
        <f t="shared" si="20"/>
        <v>1.6</v>
      </c>
      <c r="M57" s="19">
        <f t="shared" si="20"/>
        <v>2.2608000000000001</v>
      </c>
      <c r="N57" s="19">
        <f t="shared" si="20"/>
        <v>16.880000000000003</v>
      </c>
      <c r="O57" s="19">
        <f t="shared" si="20"/>
        <v>0.96</v>
      </c>
      <c r="P57" s="19">
        <f t="shared" si="20"/>
        <v>1.1248</v>
      </c>
      <c r="Q57" s="19">
        <f t="shared" si="20"/>
        <v>0.16000000000000003</v>
      </c>
      <c r="R57" s="21">
        <f t="shared" si="0"/>
        <v>56.511200000000002</v>
      </c>
    </row>
    <row r="58" spans="1:18" ht="45">
      <c r="A58" s="105"/>
      <c r="B58" s="60" t="s">
        <v>21</v>
      </c>
      <c r="C58" s="61" t="s">
        <v>41</v>
      </c>
      <c r="D58" s="62">
        <f>D57*0.25</f>
        <v>0.57940000000000003</v>
      </c>
      <c r="E58" s="62">
        <f t="shared" ref="E58:Q58" si="21">E57*0.25</f>
        <v>0.15000000000000002</v>
      </c>
      <c r="F58" s="62">
        <f t="shared" si="21"/>
        <v>1.1721999999999999</v>
      </c>
      <c r="G58" s="62">
        <f t="shared" si="21"/>
        <v>4.2</v>
      </c>
      <c r="H58" s="62">
        <f t="shared" si="21"/>
        <v>0.86</v>
      </c>
      <c r="I58" s="62">
        <f t="shared" si="21"/>
        <v>0.52</v>
      </c>
      <c r="J58" s="62">
        <f t="shared" si="21"/>
        <v>0.53979999999999995</v>
      </c>
      <c r="K58" s="62">
        <f t="shared" si="21"/>
        <v>0.36000000000000004</v>
      </c>
      <c r="L58" s="62">
        <f t="shared" si="21"/>
        <v>0.4</v>
      </c>
      <c r="M58" s="62">
        <f t="shared" si="21"/>
        <v>0.56520000000000004</v>
      </c>
      <c r="N58" s="62">
        <f t="shared" si="21"/>
        <v>4.2200000000000006</v>
      </c>
      <c r="O58" s="62">
        <f t="shared" si="21"/>
        <v>0.24</v>
      </c>
      <c r="P58" s="62">
        <f t="shared" si="21"/>
        <v>0.28120000000000001</v>
      </c>
      <c r="Q58" s="62">
        <f t="shared" si="21"/>
        <v>4.0000000000000008E-2</v>
      </c>
      <c r="R58" s="62">
        <f>SUM(D58:Q58)</f>
        <v>14.127800000000001</v>
      </c>
    </row>
    <row r="59" spans="1:18" ht="15">
      <c r="A59" s="105"/>
      <c r="B59" s="60"/>
      <c r="C59" s="61" t="s">
        <v>35</v>
      </c>
      <c r="D59" s="63">
        <f>0.35*1.5</f>
        <v>0.52499999999999991</v>
      </c>
      <c r="E59" s="63">
        <v>0.15</v>
      </c>
      <c r="F59" s="63">
        <f>0.35*1.5</f>
        <v>0.52499999999999991</v>
      </c>
      <c r="G59" s="63">
        <f>0.6*1.5</f>
        <v>0.89999999999999991</v>
      </c>
      <c r="H59" s="63">
        <f>0.3*1.5</f>
        <v>0.44999999999999996</v>
      </c>
      <c r="I59" s="63">
        <f>0.3*1.5</f>
        <v>0.44999999999999996</v>
      </c>
      <c r="J59" s="63">
        <f>0.32*1.5</f>
        <v>0.48</v>
      </c>
      <c r="K59" s="63">
        <f>0.2*1.5</f>
        <v>0.30000000000000004</v>
      </c>
      <c r="L59" s="63">
        <f>0.32*1.5</f>
        <v>0.48</v>
      </c>
      <c r="M59" s="63">
        <f>0.2*1.5</f>
        <v>0.30000000000000004</v>
      </c>
      <c r="N59" s="63">
        <f>0.4*1.5</f>
        <v>0.60000000000000009</v>
      </c>
      <c r="O59" s="64">
        <v>0</v>
      </c>
      <c r="P59" s="64">
        <v>0</v>
      </c>
      <c r="Q59" s="63">
        <v>0</v>
      </c>
      <c r="R59" s="62">
        <f t="shared" ref="R59:R63" si="22">SUM(D59:Q59)</f>
        <v>5.16</v>
      </c>
    </row>
    <row r="60" spans="1:18" ht="30">
      <c r="A60" s="105"/>
      <c r="B60" s="8"/>
      <c r="C60" s="61" t="s">
        <v>43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5">
        <v>1.5</v>
      </c>
      <c r="O60" s="65">
        <v>0</v>
      </c>
      <c r="P60" s="65">
        <v>0.08</v>
      </c>
      <c r="Q60" s="63"/>
      <c r="R60" s="62">
        <f t="shared" si="22"/>
        <v>1.58</v>
      </c>
    </row>
    <row r="61" spans="1:18" ht="15">
      <c r="A61" s="105"/>
      <c r="B61" s="60"/>
      <c r="C61" s="61" t="s">
        <v>33</v>
      </c>
      <c r="D61" s="63">
        <f>D58-D59-D60</f>
        <v>5.4400000000000115E-2</v>
      </c>
      <c r="E61" s="63">
        <f t="shared" ref="E61" si="23">E58-E59-E60</f>
        <v>2.7755575615628914E-17</v>
      </c>
      <c r="F61" s="63">
        <f t="shared" ref="F61" si="24">F58-F59-F60</f>
        <v>0.6472</v>
      </c>
      <c r="G61" s="63">
        <f t="shared" ref="G61" si="25">G58-G59-G60</f>
        <v>3.3000000000000003</v>
      </c>
      <c r="H61" s="63">
        <f t="shared" ref="H61" si="26">H58-H59-H60</f>
        <v>0.41000000000000003</v>
      </c>
      <c r="I61" s="63">
        <f t="shared" ref="I61" si="27">I58-I59-I60</f>
        <v>7.0000000000000062E-2</v>
      </c>
      <c r="J61" s="63">
        <f t="shared" ref="J61" si="28">J58-J59-J60</f>
        <v>5.9799999999999964E-2</v>
      </c>
      <c r="K61" s="63">
        <f t="shared" ref="K61" si="29">K58-K59-K60</f>
        <v>0.06</v>
      </c>
      <c r="L61" s="63">
        <f t="shared" ref="L61" si="30">L58-L59-L60</f>
        <v>-7.999999999999996E-2</v>
      </c>
      <c r="M61" s="63">
        <f t="shared" ref="M61" si="31">M58-M59-M60</f>
        <v>0.26519999999999999</v>
      </c>
      <c r="N61" s="63">
        <f t="shared" ref="N61" si="32">N58-N59-N60</f>
        <v>2.1200000000000006</v>
      </c>
      <c r="O61" s="63">
        <f t="shared" ref="O61" si="33">O58-O59-O60</f>
        <v>0.24</v>
      </c>
      <c r="P61" s="63">
        <f t="shared" ref="P61" si="34">P58-P59-P60</f>
        <v>0.20119999999999999</v>
      </c>
      <c r="Q61" s="63">
        <f t="shared" ref="Q61" si="35">Q58-Q59-Q60</f>
        <v>4.0000000000000008E-2</v>
      </c>
      <c r="R61" s="62">
        <f t="shared" si="22"/>
        <v>7.3878000000000013</v>
      </c>
    </row>
    <row r="62" spans="1:18" ht="30">
      <c r="A62" s="105"/>
      <c r="B62" s="60"/>
      <c r="C62" s="61" t="s">
        <v>36</v>
      </c>
      <c r="D62" s="63">
        <f>D58*0.2</f>
        <v>0.11588000000000001</v>
      </c>
      <c r="E62" s="63">
        <f t="shared" ref="E62:Q62" si="36">E58*0.2</f>
        <v>3.0000000000000006E-2</v>
      </c>
      <c r="F62" s="63">
        <f t="shared" si="36"/>
        <v>0.23443999999999998</v>
      </c>
      <c r="G62" s="63">
        <f t="shared" si="36"/>
        <v>0.84000000000000008</v>
      </c>
      <c r="H62" s="63">
        <f t="shared" si="36"/>
        <v>0.17200000000000001</v>
      </c>
      <c r="I62" s="63">
        <f t="shared" si="36"/>
        <v>0.10400000000000001</v>
      </c>
      <c r="J62" s="63">
        <f t="shared" si="36"/>
        <v>0.10796</v>
      </c>
      <c r="K62" s="63">
        <f t="shared" si="36"/>
        <v>7.2000000000000008E-2</v>
      </c>
      <c r="L62" s="63">
        <f t="shared" si="36"/>
        <v>8.0000000000000016E-2</v>
      </c>
      <c r="M62" s="63">
        <f t="shared" si="36"/>
        <v>0.11304000000000002</v>
      </c>
      <c r="N62" s="63">
        <f t="shared" si="36"/>
        <v>0.84400000000000019</v>
      </c>
      <c r="O62" s="63">
        <f t="shared" si="36"/>
        <v>4.8000000000000001E-2</v>
      </c>
      <c r="P62" s="63">
        <f t="shared" si="36"/>
        <v>5.6240000000000005E-2</v>
      </c>
      <c r="Q62" s="63">
        <f t="shared" si="36"/>
        <v>8.0000000000000019E-3</v>
      </c>
      <c r="R62" s="62">
        <f t="shared" si="22"/>
        <v>2.8255600000000003</v>
      </c>
    </row>
    <row r="63" spans="1:18" ht="16" thickBot="1">
      <c r="A63" s="105"/>
      <c r="B63" s="67"/>
      <c r="C63" s="68" t="s">
        <v>34</v>
      </c>
      <c r="D63" s="69">
        <f>D61+D62</f>
        <v>0.17028000000000013</v>
      </c>
      <c r="E63" s="69">
        <f t="shared" ref="E63:Q63" si="37">E61+E62</f>
        <v>3.0000000000000034E-2</v>
      </c>
      <c r="F63" s="69">
        <f t="shared" si="37"/>
        <v>0.88163999999999998</v>
      </c>
      <c r="G63" s="69">
        <f t="shared" si="37"/>
        <v>4.1400000000000006</v>
      </c>
      <c r="H63" s="69">
        <f t="shared" si="37"/>
        <v>0.58200000000000007</v>
      </c>
      <c r="I63" s="69">
        <f t="shared" si="37"/>
        <v>0.17400000000000007</v>
      </c>
      <c r="J63" s="69">
        <f t="shared" si="37"/>
        <v>0.16775999999999996</v>
      </c>
      <c r="K63" s="69">
        <f t="shared" si="37"/>
        <v>0.13200000000000001</v>
      </c>
      <c r="L63" s="69">
        <f t="shared" si="37"/>
        <v>0</v>
      </c>
      <c r="M63" s="69">
        <f t="shared" si="37"/>
        <v>0.37824000000000002</v>
      </c>
      <c r="N63" s="69">
        <f t="shared" si="37"/>
        <v>2.9640000000000009</v>
      </c>
      <c r="O63" s="69">
        <f t="shared" si="37"/>
        <v>0.28799999999999998</v>
      </c>
      <c r="P63" s="69">
        <f t="shared" si="37"/>
        <v>0.25744</v>
      </c>
      <c r="Q63" s="69">
        <f t="shared" si="37"/>
        <v>4.8000000000000008E-2</v>
      </c>
      <c r="R63" s="62">
        <f t="shared" si="22"/>
        <v>10.213360000000003</v>
      </c>
    </row>
    <row r="64" spans="1:18" ht="15">
      <c r="A64" s="10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82"/>
    </row>
    <row r="65" spans="1:18" ht="16" thickBot="1">
      <c r="A65" s="10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82"/>
    </row>
    <row r="66" spans="1:18" ht="31" thickBot="1">
      <c r="A66" s="105"/>
      <c r="B66" s="12" t="s">
        <v>0</v>
      </c>
      <c r="C66" s="71"/>
      <c r="D66" s="20" t="s">
        <v>31</v>
      </c>
      <c r="E66" s="16" t="s">
        <v>25</v>
      </c>
      <c r="F66" s="36" t="s">
        <v>26</v>
      </c>
      <c r="G66" s="37" t="s">
        <v>27</v>
      </c>
      <c r="H66" s="37" t="s">
        <v>30</v>
      </c>
      <c r="I66" s="12" t="s">
        <v>11</v>
      </c>
      <c r="J66" s="38" t="s">
        <v>32</v>
      </c>
      <c r="K66" s="39" t="s">
        <v>32</v>
      </c>
      <c r="L66" s="83"/>
      <c r="M66" s="83"/>
      <c r="N66" s="83"/>
      <c r="O66" s="83"/>
      <c r="P66" s="83"/>
      <c r="Q66" s="83"/>
      <c r="R66" s="84"/>
    </row>
    <row r="67" spans="1:18" ht="31" thickBot="1">
      <c r="A67" s="105"/>
      <c r="B67" s="45" t="s">
        <v>21</v>
      </c>
      <c r="C67" s="46" t="s">
        <v>17</v>
      </c>
      <c r="D67" s="48">
        <v>70.63900000000001</v>
      </c>
      <c r="E67" s="48">
        <v>0.6</v>
      </c>
      <c r="F67" s="85">
        <v>5.5</v>
      </c>
      <c r="G67" s="85">
        <v>2.5</v>
      </c>
      <c r="H67" s="85">
        <v>5</v>
      </c>
      <c r="I67" s="31">
        <f>SUM(D67:H67)</f>
        <v>84.239000000000004</v>
      </c>
      <c r="J67" s="49" t="s">
        <v>18</v>
      </c>
      <c r="K67" s="8"/>
      <c r="L67" s="8"/>
      <c r="M67" s="8"/>
      <c r="N67" s="8"/>
      <c r="O67" s="8"/>
      <c r="P67" s="8"/>
      <c r="Q67" s="8"/>
      <c r="R67" s="8"/>
    </row>
    <row r="68" spans="1:18" ht="16" thickBot="1">
      <c r="A68" s="105"/>
      <c r="B68" s="45"/>
      <c r="C68" s="50" t="s">
        <v>19</v>
      </c>
      <c r="D68" s="33">
        <v>56.511200000000002</v>
      </c>
      <c r="E68" s="33">
        <f>E67*0.8</f>
        <v>0.48</v>
      </c>
      <c r="F68" s="51">
        <f>F67*0.8</f>
        <v>4.4000000000000004</v>
      </c>
      <c r="G68" s="33">
        <f>G67*0.8</f>
        <v>2</v>
      </c>
      <c r="H68" s="33">
        <f t="shared" ref="H68" si="38">H67*0.8</f>
        <v>4</v>
      </c>
      <c r="I68" s="21">
        <f>SUM(D68:H68)</f>
        <v>67.391199999999998</v>
      </c>
      <c r="J68" s="52" t="s">
        <v>18</v>
      </c>
      <c r="K68" s="73">
        <f>I68</f>
        <v>67.391199999999998</v>
      </c>
      <c r="L68" s="8"/>
      <c r="M68" s="8"/>
      <c r="N68" s="8"/>
      <c r="O68" s="8"/>
      <c r="P68" s="8"/>
      <c r="Q68" s="8"/>
      <c r="R68" s="8"/>
    </row>
    <row r="69" spans="1:18" ht="16" thickBot="1">
      <c r="A69" s="105"/>
      <c r="B69" s="45"/>
      <c r="C69" s="53" t="s">
        <v>13</v>
      </c>
      <c r="D69" s="86">
        <f>D68</f>
        <v>56.511200000000002</v>
      </c>
      <c r="E69" s="19">
        <f>E68</f>
        <v>0.48</v>
      </c>
      <c r="F69" s="54">
        <f>F68</f>
        <v>4.4000000000000004</v>
      </c>
      <c r="G69" s="19">
        <f>G68</f>
        <v>2</v>
      </c>
      <c r="H69" s="19">
        <f t="shared" ref="H69" si="39">H68</f>
        <v>4</v>
      </c>
      <c r="I69" s="21">
        <f>SUM(D69:H69)</f>
        <v>67.391199999999998</v>
      </c>
      <c r="J69" s="21" t="s">
        <v>32</v>
      </c>
      <c r="K69" s="8"/>
      <c r="L69" s="8"/>
      <c r="M69" s="8"/>
      <c r="N69" s="8"/>
      <c r="O69" s="8"/>
      <c r="P69" s="8"/>
      <c r="Q69" s="8"/>
      <c r="R69" s="8"/>
    </row>
    <row r="70" spans="1:18" ht="45">
      <c r="A70" s="105"/>
      <c r="B70" s="45"/>
      <c r="C70" s="61" t="s">
        <v>41</v>
      </c>
      <c r="D70" s="62">
        <f t="shared" ref="D70:D75" si="40">R58</f>
        <v>14.127800000000001</v>
      </c>
      <c r="E70" s="62">
        <f>E69*0.25</f>
        <v>0.12</v>
      </c>
      <c r="F70" s="62">
        <f t="shared" ref="F70:I70" si="41">F69*0.25</f>
        <v>1.1000000000000001</v>
      </c>
      <c r="G70" s="62">
        <f t="shared" si="41"/>
        <v>0.5</v>
      </c>
      <c r="H70" s="62">
        <f>H69*0.4</f>
        <v>1.6</v>
      </c>
      <c r="I70" s="62">
        <f t="shared" si="41"/>
        <v>16.847799999999999</v>
      </c>
      <c r="J70" s="62" t="s">
        <v>32</v>
      </c>
      <c r="K70" s="62" t="s">
        <v>32</v>
      </c>
      <c r="L70" s="8"/>
      <c r="M70" s="8"/>
      <c r="N70" s="8"/>
      <c r="O70" s="8"/>
      <c r="P70" s="8"/>
      <c r="Q70" s="8"/>
      <c r="R70" s="8"/>
    </row>
    <row r="71" spans="1:18" ht="15">
      <c r="A71" s="105"/>
      <c r="B71" s="45"/>
      <c r="C71" s="75" t="s">
        <v>35</v>
      </c>
      <c r="D71" s="62">
        <f t="shared" si="40"/>
        <v>5.16</v>
      </c>
      <c r="E71" s="63">
        <v>0</v>
      </c>
      <c r="F71" s="63">
        <v>0</v>
      </c>
      <c r="G71" s="63">
        <v>0</v>
      </c>
      <c r="H71" s="63">
        <v>0</v>
      </c>
      <c r="I71" s="63">
        <f>SUM(D71:H71)</f>
        <v>5.16</v>
      </c>
      <c r="J71" s="63" t="s">
        <v>32</v>
      </c>
      <c r="K71" s="63" t="s">
        <v>32</v>
      </c>
      <c r="L71" s="8"/>
      <c r="M71" s="8"/>
      <c r="N71" s="8"/>
      <c r="O71" s="8"/>
      <c r="P71" s="8"/>
      <c r="Q71" s="8"/>
      <c r="R71" s="8"/>
    </row>
    <row r="72" spans="1:18" ht="30">
      <c r="A72" s="105"/>
      <c r="B72" s="45"/>
      <c r="C72" s="75" t="s">
        <v>43</v>
      </c>
      <c r="D72" s="62">
        <f t="shared" si="40"/>
        <v>1.58</v>
      </c>
      <c r="E72" s="65">
        <v>0.1</v>
      </c>
      <c r="F72" s="63">
        <v>0</v>
      </c>
      <c r="G72" s="65">
        <v>0.4</v>
      </c>
      <c r="H72" s="63">
        <v>0</v>
      </c>
      <c r="I72" s="65">
        <f>SUM(D72:H72)</f>
        <v>2.08</v>
      </c>
      <c r="J72" s="63"/>
      <c r="K72" s="63" t="s">
        <v>32</v>
      </c>
      <c r="L72" s="8"/>
      <c r="M72" s="8"/>
      <c r="N72" s="8"/>
      <c r="O72" s="8"/>
      <c r="P72" s="8"/>
      <c r="Q72" s="8"/>
      <c r="R72" s="8"/>
    </row>
    <row r="73" spans="1:18" ht="15">
      <c r="A73" s="105"/>
      <c r="B73" s="45"/>
      <c r="C73" s="75" t="s">
        <v>33</v>
      </c>
      <c r="D73" s="62">
        <f t="shared" si="40"/>
        <v>7.3878000000000013</v>
      </c>
      <c r="E73" s="63">
        <f t="shared" ref="E73" si="42">E70-E71-E72</f>
        <v>1.999999999999999E-2</v>
      </c>
      <c r="F73" s="63">
        <f t="shared" ref="F73" si="43">F70-F71-F72</f>
        <v>1.1000000000000001</v>
      </c>
      <c r="G73" s="63">
        <f t="shared" ref="G73" si="44">G70-G71-G72</f>
        <v>9.9999999999999978E-2</v>
      </c>
      <c r="H73" s="63">
        <f t="shared" ref="H73" si="45">H70-H71-H72</f>
        <v>1.6</v>
      </c>
      <c r="I73" s="63">
        <f>I70-I71-I72</f>
        <v>9.6077999999999992</v>
      </c>
      <c r="J73" s="63" t="s">
        <v>32</v>
      </c>
      <c r="K73" s="63" t="s">
        <v>32</v>
      </c>
      <c r="L73" s="8"/>
      <c r="M73" s="8"/>
      <c r="N73" s="8"/>
      <c r="O73" s="8"/>
      <c r="P73" s="8"/>
      <c r="Q73" s="8"/>
      <c r="R73" s="8"/>
    </row>
    <row r="74" spans="1:18" ht="30">
      <c r="A74" s="105"/>
      <c r="B74" s="45"/>
      <c r="C74" s="75" t="s">
        <v>36</v>
      </c>
      <c r="D74" s="62">
        <f t="shared" si="40"/>
        <v>2.8255600000000003</v>
      </c>
      <c r="E74" s="63">
        <f>E70*0.2</f>
        <v>2.4E-2</v>
      </c>
      <c r="F74" s="63">
        <f t="shared" ref="F74" si="46">F70*0.2</f>
        <v>0.22000000000000003</v>
      </c>
      <c r="G74" s="65">
        <v>0</v>
      </c>
      <c r="H74" s="65">
        <v>0.3</v>
      </c>
      <c r="I74" s="63">
        <f>SUM(D74:H74)</f>
        <v>3.3695600000000003</v>
      </c>
      <c r="J74" s="63" t="s">
        <v>32</v>
      </c>
      <c r="K74" s="63" t="s">
        <v>32</v>
      </c>
      <c r="L74" s="8"/>
      <c r="M74" s="8"/>
      <c r="N74" s="8"/>
      <c r="O74" s="8"/>
      <c r="P74" s="8"/>
      <c r="Q74" s="8"/>
      <c r="R74" s="8"/>
    </row>
    <row r="75" spans="1:18" ht="15">
      <c r="A75" s="105"/>
      <c r="B75" s="45"/>
      <c r="C75" s="75" t="s">
        <v>34</v>
      </c>
      <c r="D75" s="62">
        <f t="shared" si="40"/>
        <v>10.213360000000003</v>
      </c>
      <c r="E75" s="63">
        <f>E73+E74</f>
        <v>4.3999999999999991E-2</v>
      </c>
      <c r="F75" s="63">
        <f t="shared" ref="F75:H75" si="47">F73+F74</f>
        <v>1.32</v>
      </c>
      <c r="G75" s="63">
        <f t="shared" si="47"/>
        <v>9.9999999999999978E-2</v>
      </c>
      <c r="H75" s="63">
        <f t="shared" si="47"/>
        <v>1.9000000000000001</v>
      </c>
      <c r="I75" s="63">
        <f>SUM(D75:H75)</f>
        <v>13.577360000000004</v>
      </c>
      <c r="J75" s="63" t="s">
        <v>32</v>
      </c>
      <c r="K75" s="63" t="s">
        <v>32</v>
      </c>
      <c r="L75" s="8"/>
      <c r="M75" s="8"/>
      <c r="N75" s="8"/>
      <c r="O75" s="8"/>
      <c r="P75" s="8"/>
      <c r="Q75" s="8"/>
      <c r="R75" s="8"/>
    </row>
    <row r="76" spans="1:18" ht="15">
      <c r="A76" s="105"/>
      <c r="B76" s="3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5">
      <c r="A77" s="105"/>
      <c r="B77" s="3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6" thickBot="1">
      <c r="A78" s="105"/>
      <c r="B78" s="3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31" thickBot="1">
      <c r="A79" s="105"/>
      <c r="B79" s="12" t="s">
        <v>0</v>
      </c>
      <c r="C79" s="13"/>
      <c r="D79" s="14" t="s">
        <v>1</v>
      </c>
      <c r="E79" s="14" t="s">
        <v>2</v>
      </c>
      <c r="F79" s="14" t="s">
        <v>3</v>
      </c>
      <c r="G79" s="14" t="s">
        <v>4</v>
      </c>
      <c r="H79" s="14" t="s">
        <v>5</v>
      </c>
      <c r="I79" s="14" t="s">
        <v>6</v>
      </c>
      <c r="J79" s="14" t="s">
        <v>7</v>
      </c>
      <c r="K79" s="14" t="s">
        <v>8</v>
      </c>
      <c r="L79" s="14" t="s">
        <v>22</v>
      </c>
      <c r="M79" s="14" t="s">
        <v>9</v>
      </c>
      <c r="N79" s="14" t="s">
        <v>10</v>
      </c>
      <c r="O79" s="15" t="s">
        <v>23</v>
      </c>
      <c r="P79" s="16" t="s">
        <v>24</v>
      </c>
      <c r="Q79" s="16" t="s">
        <v>28</v>
      </c>
      <c r="R79" s="14" t="s">
        <v>38</v>
      </c>
    </row>
    <row r="80" spans="1:18" ht="16" thickBot="1">
      <c r="A80" s="105"/>
      <c r="B80" s="8"/>
      <c r="C80" s="28" t="s">
        <v>17</v>
      </c>
      <c r="D80" s="29">
        <v>2.8450000000000002</v>
      </c>
      <c r="E80" s="48">
        <v>0.75</v>
      </c>
      <c r="F80" s="29">
        <v>5.8609999999999998</v>
      </c>
      <c r="G80" s="48">
        <v>21</v>
      </c>
      <c r="H80" s="48">
        <v>3</v>
      </c>
      <c r="I80" s="48">
        <v>2.6</v>
      </c>
      <c r="J80" s="29">
        <v>1.982</v>
      </c>
      <c r="K80" s="48">
        <v>2.2000000000000002</v>
      </c>
      <c r="L80" s="29">
        <v>2</v>
      </c>
      <c r="M80" s="29">
        <v>3.87</v>
      </c>
      <c r="N80" s="29">
        <v>21.5</v>
      </c>
      <c r="O80" s="29">
        <v>1.2</v>
      </c>
      <c r="P80" s="29">
        <v>0.72399999999999998</v>
      </c>
      <c r="Q80" s="29">
        <v>0.2</v>
      </c>
      <c r="R80" s="31">
        <f t="shared" si="0"/>
        <v>69.732000000000014</v>
      </c>
    </row>
    <row r="81" spans="1:23" ht="16" thickBot="1">
      <c r="A81" s="105"/>
      <c r="B81" s="70"/>
      <c r="C81" s="32" t="s">
        <v>19</v>
      </c>
      <c r="D81" s="33">
        <f>D80*0.8</f>
        <v>2.2760000000000002</v>
      </c>
      <c r="E81" s="33">
        <f t="shared" ref="E81:Q81" si="48">E80*0.8</f>
        <v>0.60000000000000009</v>
      </c>
      <c r="F81" s="33">
        <f t="shared" si="48"/>
        <v>4.6887999999999996</v>
      </c>
      <c r="G81" s="33">
        <f t="shared" si="48"/>
        <v>16.8</v>
      </c>
      <c r="H81" s="33">
        <f t="shared" si="48"/>
        <v>2.4000000000000004</v>
      </c>
      <c r="I81" s="33">
        <f t="shared" si="48"/>
        <v>2.08</v>
      </c>
      <c r="J81" s="33">
        <f t="shared" si="48"/>
        <v>1.5856000000000001</v>
      </c>
      <c r="K81" s="33">
        <f t="shared" si="48"/>
        <v>1.7600000000000002</v>
      </c>
      <c r="L81" s="33">
        <f t="shared" si="48"/>
        <v>1.6</v>
      </c>
      <c r="M81" s="33">
        <f t="shared" si="48"/>
        <v>3.0960000000000001</v>
      </c>
      <c r="N81" s="33">
        <f t="shared" si="48"/>
        <v>17.2</v>
      </c>
      <c r="O81" s="33">
        <f t="shared" si="48"/>
        <v>0.96</v>
      </c>
      <c r="P81" s="33">
        <f t="shared" si="48"/>
        <v>0.57920000000000005</v>
      </c>
      <c r="Q81" s="33">
        <f t="shared" si="48"/>
        <v>0.16000000000000003</v>
      </c>
      <c r="R81" s="21">
        <f t="shared" si="0"/>
        <v>55.785599999999995</v>
      </c>
    </row>
    <row r="82" spans="1:23" ht="19" thickBot="1">
      <c r="A82" s="106"/>
      <c r="B82" s="6"/>
      <c r="C82" s="94" t="s">
        <v>13</v>
      </c>
      <c r="D82" s="87">
        <f>D81</f>
        <v>2.2760000000000002</v>
      </c>
      <c r="E82" s="87">
        <f t="shared" ref="E82:Q82" si="49">E81</f>
        <v>0.60000000000000009</v>
      </c>
      <c r="F82" s="87">
        <f t="shared" si="49"/>
        <v>4.6887999999999996</v>
      </c>
      <c r="G82" s="87">
        <f t="shared" si="49"/>
        <v>16.8</v>
      </c>
      <c r="H82" s="87">
        <f t="shared" si="49"/>
        <v>2.4000000000000004</v>
      </c>
      <c r="I82" s="87">
        <f t="shared" si="49"/>
        <v>2.08</v>
      </c>
      <c r="J82" s="87">
        <f t="shared" si="49"/>
        <v>1.5856000000000001</v>
      </c>
      <c r="K82" s="87">
        <f t="shared" si="49"/>
        <v>1.7600000000000002</v>
      </c>
      <c r="L82" s="87">
        <f t="shared" si="49"/>
        <v>1.6</v>
      </c>
      <c r="M82" s="87">
        <f t="shared" si="49"/>
        <v>3.0960000000000001</v>
      </c>
      <c r="N82" s="87">
        <f t="shared" si="49"/>
        <v>17.2</v>
      </c>
      <c r="O82" s="87">
        <f t="shared" si="49"/>
        <v>0.96</v>
      </c>
      <c r="P82" s="87">
        <f t="shared" si="49"/>
        <v>0.57920000000000005</v>
      </c>
      <c r="Q82" s="87">
        <f t="shared" si="49"/>
        <v>0.16000000000000003</v>
      </c>
      <c r="R82" s="21">
        <f t="shared" si="0"/>
        <v>55.785599999999995</v>
      </c>
      <c r="S82" s="4"/>
      <c r="T82" s="4"/>
    </row>
    <row r="83" spans="1:23" ht="45">
      <c r="A83" s="1"/>
      <c r="B83" s="99" t="s">
        <v>44</v>
      </c>
      <c r="C83" s="61" t="s">
        <v>41</v>
      </c>
      <c r="D83" s="62">
        <f>D81*0.25</f>
        <v>0.56900000000000006</v>
      </c>
      <c r="E83" s="62">
        <f t="shared" ref="E83:Q83" si="50">E81*0.25</f>
        <v>0.15000000000000002</v>
      </c>
      <c r="F83" s="62">
        <f t="shared" si="50"/>
        <v>1.1721999999999999</v>
      </c>
      <c r="G83" s="62">
        <f t="shared" si="50"/>
        <v>4.2</v>
      </c>
      <c r="H83" s="62">
        <f t="shared" si="50"/>
        <v>0.60000000000000009</v>
      </c>
      <c r="I83" s="62">
        <f t="shared" si="50"/>
        <v>0.52</v>
      </c>
      <c r="J83" s="62">
        <f t="shared" si="50"/>
        <v>0.39640000000000003</v>
      </c>
      <c r="K83" s="62">
        <f t="shared" si="50"/>
        <v>0.44000000000000006</v>
      </c>
      <c r="L83" s="62">
        <f t="shared" si="50"/>
        <v>0.4</v>
      </c>
      <c r="M83" s="62">
        <f t="shared" si="50"/>
        <v>0.77400000000000002</v>
      </c>
      <c r="N83" s="62">
        <f t="shared" si="50"/>
        <v>4.3</v>
      </c>
      <c r="O83" s="62">
        <f t="shared" si="50"/>
        <v>0.24</v>
      </c>
      <c r="P83" s="62">
        <f t="shared" si="50"/>
        <v>0.14480000000000001</v>
      </c>
      <c r="Q83" s="62">
        <f t="shared" si="50"/>
        <v>4.0000000000000008E-2</v>
      </c>
      <c r="R83" s="62">
        <f>SUM(D83:Q83)</f>
        <v>13.946399999999999</v>
      </c>
      <c r="S83" s="5"/>
      <c r="T83" s="5"/>
      <c r="U83" s="1"/>
      <c r="V83" s="1"/>
      <c r="W83" s="1"/>
    </row>
    <row r="84" spans="1:23" ht="17">
      <c r="A84" s="1"/>
      <c r="B84" s="98"/>
      <c r="C84" s="61" t="s">
        <v>35</v>
      </c>
      <c r="D84" s="63">
        <f>0.35*1.5</f>
        <v>0.52499999999999991</v>
      </c>
      <c r="E84" s="63">
        <f>0.12*1.5</f>
        <v>0.18</v>
      </c>
      <c r="F84" s="63">
        <f>0.35*1.5</f>
        <v>0.52499999999999991</v>
      </c>
      <c r="G84" s="63">
        <f>0.6*1.5</f>
        <v>0.89999999999999991</v>
      </c>
      <c r="H84" s="63">
        <f>0.3*1.5</f>
        <v>0.44999999999999996</v>
      </c>
      <c r="I84" s="63">
        <f>0.3*1.5</f>
        <v>0.44999999999999996</v>
      </c>
      <c r="J84" s="63">
        <f>0.32*1.5</f>
        <v>0.48</v>
      </c>
      <c r="K84" s="63">
        <f>0.2*1.5</f>
        <v>0.30000000000000004</v>
      </c>
      <c r="L84" s="63">
        <f>0.32*1.5</f>
        <v>0.48</v>
      </c>
      <c r="M84" s="63">
        <f>0.2*1.5</f>
        <v>0.30000000000000004</v>
      </c>
      <c r="N84" s="63">
        <f>0.4*1.5</f>
        <v>0.60000000000000009</v>
      </c>
      <c r="O84" s="64">
        <v>0</v>
      </c>
      <c r="P84" s="64">
        <v>0</v>
      </c>
      <c r="Q84" s="63">
        <v>0</v>
      </c>
      <c r="R84" s="62">
        <f>SUM(D84:Q84)</f>
        <v>5.1900000000000013</v>
      </c>
      <c r="S84" s="5"/>
      <c r="T84" s="5"/>
      <c r="U84" s="1"/>
      <c r="V84" s="2"/>
      <c r="W84" s="1"/>
    </row>
    <row r="85" spans="1:23" ht="30">
      <c r="B85" s="98"/>
      <c r="C85" s="61" t="s">
        <v>43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5">
        <v>1.5</v>
      </c>
      <c r="O85" s="65">
        <v>0</v>
      </c>
      <c r="P85" s="65">
        <v>0.08</v>
      </c>
      <c r="Q85" s="63"/>
      <c r="R85" s="62">
        <f t="shared" ref="R85:R88" si="51">SUM(D85:Q85)</f>
        <v>1.58</v>
      </c>
      <c r="S85" s="4"/>
      <c r="T85" s="4"/>
      <c r="V85" s="3"/>
    </row>
    <row r="86" spans="1:23" ht="29.25" customHeight="1">
      <c r="B86" s="101"/>
      <c r="C86" s="61" t="s">
        <v>33</v>
      </c>
      <c r="D86" s="63">
        <f>D83-D84-D85</f>
        <v>4.400000000000015E-2</v>
      </c>
      <c r="E86" s="63">
        <f t="shared" ref="E86" si="52">E83-E84-E85</f>
        <v>-2.9999999999999971E-2</v>
      </c>
      <c r="F86" s="63">
        <f t="shared" ref="F86" si="53">F83-F84-F85</f>
        <v>0.6472</v>
      </c>
      <c r="G86" s="63">
        <f t="shared" ref="G86" si="54">G83-G84-G85</f>
        <v>3.3000000000000003</v>
      </c>
      <c r="H86" s="63">
        <f t="shared" ref="H86" si="55">H83-H84-H85</f>
        <v>0.15000000000000013</v>
      </c>
      <c r="I86" s="63">
        <f t="shared" ref="I86" si="56">I83-I84-I85</f>
        <v>7.0000000000000062E-2</v>
      </c>
      <c r="J86" s="63">
        <f t="shared" ref="J86" si="57">J83-J84-J85</f>
        <v>-8.3599999999999952E-2</v>
      </c>
      <c r="K86" s="63">
        <f t="shared" ref="K86" si="58">K83-K84-K85</f>
        <v>0.14000000000000001</v>
      </c>
      <c r="L86" s="63">
        <f t="shared" ref="L86" si="59">L83-L84-L85</f>
        <v>-7.999999999999996E-2</v>
      </c>
      <c r="M86" s="63">
        <f t="shared" ref="M86" si="60">M83-M84-M85</f>
        <v>0.47399999999999998</v>
      </c>
      <c r="N86" s="63">
        <f t="shared" ref="N86" si="61">N83-N84-N85</f>
        <v>2.1999999999999997</v>
      </c>
      <c r="O86" s="63">
        <f t="shared" ref="O86" si="62">O83-O84-O85</f>
        <v>0.24</v>
      </c>
      <c r="P86" s="63">
        <f t="shared" ref="P86" si="63">P83-P84-P85</f>
        <v>6.480000000000001E-2</v>
      </c>
      <c r="Q86" s="63">
        <f t="shared" ref="Q86" si="64">Q83-Q84-Q85</f>
        <v>4.0000000000000008E-2</v>
      </c>
      <c r="R86" s="62">
        <f t="shared" si="51"/>
        <v>7.1764000000000019</v>
      </c>
      <c r="S86" s="4"/>
      <c r="T86" s="4"/>
    </row>
    <row r="87" spans="1:23" ht="43.5" customHeight="1">
      <c r="B87" s="101"/>
      <c r="C87" s="61" t="s">
        <v>36</v>
      </c>
      <c r="D87" s="63">
        <f>D83*0.2</f>
        <v>0.11380000000000001</v>
      </c>
      <c r="E87" s="63">
        <f t="shared" ref="E87:Q87" si="65">E83*0.2</f>
        <v>3.0000000000000006E-2</v>
      </c>
      <c r="F87" s="63">
        <f t="shared" si="65"/>
        <v>0.23443999999999998</v>
      </c>
      <c r="G87" s="63">
        <f t="shared" si="65"/>
        <v>0.84000000000000008</v>
      </c>
      <c r="H87" s="63">
        <f t="shared" si="65"/>
        <v>0.12000000000000002</v>
      </c>
      <c r="I87" s="63">
        <f t="shared" si="65"/>
        <v>0.10400000000000001</v>
      </c>
      <c r="J87" s="63">
        <f t="shared" si="65"/>
        <v>7.9280000000000017E-2</v>
      </c>
      <c r="K87" s="63">
        <f t="shared" si="65"/>
        <v>8.8000000000000023E-2</v>
      </c>
      <c r="L87" s="63">
        <f t="shared" si="65"/>
        <v>8.0000000000000016E-2</v>
      </c>
      <c r="M87" s="63">
        <f t="shared" si="65"/>
        <v>0.15480000000000002</v>
      </c>
      <c r="N87" s="63">
        <f t="shared" si="65"/>
        <v>0.86</v>
      </c>
      <c r="O87" s="63">
        <f t="shared" si="65"/>
        <v>4.8000000000000001E-2</v>
      </c>
      <c r="P87" s="63">
        <f t="shared" si="65"/>
        <v>2.8960000000000003E-2</v>
      </c>
      <c r="Q87" s="63">
        <f t="shared" si="65"/>
        <v>8.0000000000000019E-3</v>
      </c>
      <c r="R87" s="62">
        <f t="shared" si="51"/>
        <v>2.7892800000000006</v>
      </c>
      <c r="S87" s="4"/>
      <c r="T87" s="4"/>
    </row>
    <row r="88" spans="1:23" ht="18">
      <c r="B88" s="7"/>
      <c r="C88" s="61" t="s">
        <v>34</v>
      </c>
      <c r="D88" s="63">
        <f>D86+D87</f>
        <v>0.15780000000000016</v>
      </c>
      <c r="E88" s="63">
        <f t="shared" ref="E88:Q88" si="66">E86+E87</f>
        <v>3.4694469519536142E-17</v>
      </c>
      <c r="F88" s="63">
        <f t="shared" si="66"/>
        <v>0.88163999999999998</v>
      </c>
      <c r="G88" s="63">
        <f t="shared" si="66"/>
        <v>4.1400000000000006</v>
      </c>
      <c r="H88" s="63">
        <f t="shared" si="66"/>
        <v>0.27000000000000013</v>
      </c>
      <c r="I88" s="63">
        <f t="shared" si="66"/>
        <v>0.17400000000000007</v>
      </c>
      <c r="J88" s="63">
        <f t="shared" si="66"/>
        <v>-4.319999999999935E-3</v>
      </c>
      <c r="K88" s="63">
        <f t="shared" si="66"/>
        <v>0.22800000000000004</v>
      </c>
      <c r="L88" s="63">
        <f t="shared" si="66"/>
        <v>0</v>
      </c>
      <c r="M88" s="63">
        <f t="shared" si="66"/>
        <v>0.62880000000000003</v>
      </c>
      <c r="N88" s="63">
        <f t="shared" si="66"/>
        <v>3.0599999999999996</v>
      </c>
      <c r="O88" s="63">
        <f t="shared" si="66"/>
        <v>0.28799999999999998</v>
      </c>
      <c r="P88" s="63">
        <f t="shared" si="66"/>
        <v>9.376000000000001E-2</v>
      </c>
      <c r="Q88" s="63">
        <f t="shared" si="66"/>
        <v>4.8000000000000008E-2</v>
      </c>
      <c r="R88" s="62">
        <f t="shared" si="51"/>
        <v>9.9656800000000008</v>
      </c>
      <c r="S88" s="4"/>
      <c r="T88" s="4"/>
    </row>
    <row r="89" spans="1:23" ht="19" thickBot="1">
      <c r="B89" s="7"/>
      <c r="C89" s="95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4"/>
      <c r="T89" s="4"/>
    </row>
    <row r="90" spans="1:23" ht="19" thickBot="1">
      <c r="B90" s="7"/>
      <c r="C90" s="81" t="s">
        <v>29</v>
      </c>
      <c r="D90" s="88">
        <f t="shared" ref="D90:Q90" si="67">D5+D10+D26+D57+D82</f>
        <v>12.3392</v>
      </c>
      <c r="E90" s="88">
        <f t="shared" si="67"/>
        <v>3.0400000000000005</v>
      </c>
      <c r="F90" s="88">
        <f t="shared" si="67"/>
        <v>27.155200000000001</v>
      </c>
      <c r="G90" s="88">
        <f t="shared" si="67"/>
        <v>62.89</v>
      </c>
      <c r="H90" s="88">
        <f t="shared" si="67"/>
        <v>15.98</v>
      </c>
      <c r="I90" s="88">
        <f t="shared" si="67"/>
        <v>8.9700000000000006</v>
      </c>
      <c r="J90" s="88">
        <f t="shared" si="67"/>
        <v>10.3592</v>
      </c>
      <c r="K90" s="88">
        <f t="shared" si="67"/>
        <v>6.8800000000000008</v>
      </c>
      <c r="L90" s="88">
        <f t="shared" si="67"/>
        <v>11.7</v>
      </c>
      <c r="M90" s="88">
        <f t="shared" si="67"/>
        <v>13.036799999999999</v>
      </c>
      <c r="N90" s="88">
        <f t="shared" si="67"/>
        <v>59.120000000000005</v>
      </c>
      <c r="O90" s="88">
        <f t="shared" si="67"/>
        <v>5.16</v>
      </c>
      <c r="P90" s="88">
        <f t="shared" si="67"/>
        <v>3.7888000000000002</v>
      </c>
      <c r="Q90" s="88">
        <f t="shared" si="67"/>
        <v>0.70000000000000007</v>
      </c>
      <c r="R90" s="21">
        <f>SUM(D90:Q90)</f>
        <v>241.11919999999998</v>
      </c>
      <c r="S90" s="4"/>
      <c r="T90" s="4"/>
    </row>
    <row r="91" spans="1:23" ht="18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3" ht="19" thickBo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3" ht="31" thickBot="1">
      <c r="B93" s="12" t="s">
        <v>0</v>
      </c>
      <c r="C93" s="71"/>
      <c r="D93" s="20" t="s">
        <v>31</v>
      </c>
      <c r="E93" s="16" t="s">
        <v>25</v>
      </c>
      <c r="F93" s="36" t="s">
        <v>26</v>
      </c>
      <c r="G93" s="37" t="s">
        <v>27</v>
      </c>
      <c r="H93" s="37" t="s">
        <v>30</v>
      </c>
      <c r="I93" s="12" t="s">
        <v>11</v>
      </c>
      <c r="J93" s="38" t="s">
        <v>32</v>
      </c>
      <c r="K93" s="39" t="s">
        <v>32</v>
      </c>
      <c r="L93" s="8"/>
      <c r="M93" s="4"/>
      <c r="N93" s="4"/>
      <c r="O93" s="4"/>
      <c r="P93" s="4"/>
      <c r="Q93" s="4"/>
      <c r="R93" s="4"/>
      <c r="S93" s="4"/>
      <c r="T93" s="4"/>
    </row>
    <row r="94" spans="1:23" ht="19" thickBot="1">
      <c r="C94" s="46" t="s">
        <v>17</v>
      </c>
      <c r="D94" s="48">
        <v>69.732000000000014</v>
      </c>
      <c r="E94" s="48">
        <v>0.6</v>
      </c>
      <c r="F94" s="85">
        <v>5.5</v>
      </c>
      <c r="G94" s="85">
        <v>2.5</v>
      </c>
      <c r="H94" s="85">
        <v>5</v>
      </c>
      <c r="I94" s="21">
        <f t="shared" ref="I94:I96" si="68">SUM(D94:H94)</f>
        <v>83.332000000000008</v>
      </c>
      <c r="J94" s="49" t="s">
        <v>18</v>
      </c>
      <c r="K94" s="62"/>
      <c r="L94" s="8"/>
      <c r="M94" s="4"/>
      <c r="N94" s="4"/>
      <c r="O94" s="4"/>
      <c r="P94" s="4"/>
      <c r="Q94" s="4"/>
      <c r="R94" s="4"/>
      <c r="S94" s="4"/>
      <c r="T94" s="4"/>
    </row>
    <row r="95" spans="1:23" ht="19" thickBot="1">
      <c r="B95" s="45"/>
      <c r="C95" s="50" t="s">
        <v>19</v>
      </c>
      <c r="D95" s="33">
        <v>55.785599999999995</v>
      </c>
      <c r="E95" s="33">
        <f>E94*0.8</f>
        <v>0.48</v>
      </c>
      <c r="F95" s="89">
        <f>F94*0.8</f>
        <v>4.4000000000000004</v>
      </c>
      <c r="G95" s="33">
        <f>G94*0.8</f>
        <v>2</v>
      </c>
      <c r="H95" s="33">
        <f t="shared" ref="H95" si="69">H94*0.8</f>
        <v>4</v>
      </c>
      <c r="I95" s="21">
        <f t="shared" si="68"/>
        <v>66.665599999999984</v>
      </c>
      <c r="J95" s="52" t="s">
        <v>18</v>
      </c>
      <c r="K95" s="100" t="s">
        <v>32</v>
      </c>
      <c r="L95" s="8"/>
      <c r="M95" s="4"/>
      <c r="N95" s="4"/>
      <c r="O95" s="4"/>
      <c r="P95" s="4"/>
      <c r="Q95" s="4"/>
      <c r="R95" s="4"/>
      <c r="S95" s="4"/>
      <c r="T95" s="4"/>
    </row>
    <row r="96" spans="1:23" ht="31" thickBot="1">
      <c r="B96" s="72" t="s">
        <v>44</v>
      </c>
      <c r="C96" s="90" t="s">
        <v>13</v>
      </c>
      <c r="D96" s="87">
        <v>55.785599999999995</v>
      </c>
      <c r="E96" s="87">
        <f>E95</f>
        <v>0.48</v>
      </c>
      <c r="F96" s="91">
        <f>F95</f>
        <v>4.4000000000000004</v>
      </c>
      <c r="G96" s="87">
        <f>G95</f>
        <v>2</v>
      </c>
      <c r="H96" s="87">
        <f t="shared" ref="H96" si="70">H95</f>
        <v>4</v>
      </c>
      <c r="I96" s="21">
        <f t="shared" si="68"/>
        <v>66.665599999999984</v>
      </c>
      <c r="J96" s="92" t="s">
        <v>32</v>
      </c>
      <c r="K96" s="62" t="s">
        <v>32</v>
      </c>
      <c r="L96" s="8"/>
      <c r="M96" s="4"/>
      <c r="N96" s="4"/>
      <c r="O96" s="4"/>
      <c r="P96" s="4"/>
      <c r="Q96" s="4"/>
      <c r="R96" s="4"/>
      <c r="S96" s="4"/>
      <c r="T96" s="4"/>
    </row>
    <row r="97" spans="2:20" ht="45">
      <c r="B97" s="8"/>
      <c r="C97" s="61" t="s">
        <v>41</v>
      </c>
      <c r="D97" s="62">
        <f>R83</f>
        <v>13.946399999999999</v>
      </c>
      <c r="E97" s="62">
        <f>E96*0.25</f>
        <v>0.12</v>
      </c>
      <c r="F97" s="62">
        <f t="shared" ref="F97:G97" si="71">F96*0.25</f>
        <v>1.1000000000000001</v>
      </c>
      <c r="G97" s="62">
        <f t="shared" si="71"/>
        <v>0.5</v>
      </c>
      <c r="H97" s="62">
        <f>H96*0.4</f>
        <v>1.6</v>
      </c>
      <c r="I97" s="62">
        <f>SUM(D97:H97)</f>
        <v>17.266399999999997</v>
      </c>
      <c r="J97" s="62" t="s">
        <v>32</v>
      </c>
      <c r="K97" s="62" t="s">
        <v>32</v>
      </c>
      <c r="L97" s="8"/>
      <c r="M97" s="4"/>
      <c r="N97" s="4"/>
      <c r="O97" s="4"/>
      <c r="P97" s="4"/>
      <c r="Q97" s="4"/>
      <c r="R97" s="4"/>
      <c r="S97" s="4"/>
      <c r="T97" s="4"/>
    </row>
    <row r="98" spans="2:20" ht="18">
      <c r="B98" s="8"/>
      <c r="C98" s="75" t="s">
        <v>35</v>
      </c>
      <c r="D98" s="63">
        <f>R84</f>
        <v>5.1900000000000013</v>
      </c>
      <c r="E98" s="63">
        <v>0</v>
      </c>
      <c r="F98" s="63">
        <v>0</v>
      </c>
      <c r="G98" s="63">
        <v>0</v>
      </c>
      <c r="H98" s="63">
        <v>0</v>
      </c>
      <c r="I98" s="63">
        <f>SUM(D98:H98)</f>
        <v>5.1900000000000013</v>
      </c>
      <c r="J98" s="63" t="s">
        <v>32</v>
      </c>
      <c r="K98" s="62" t="s">
        <v>32</v>
      </c>
      <c r="L98" s="8"/>
      <c r="M98" s="4"/>
      <c r="N98" s="4"/>
      <c r="O98" s="4"/>
      <c r="P98" s="4"/>
      <c r="Q98" s="4"/>
      <c r="R98" s="4"/>
      <c r="S98" s="4"/>
      <c r="T98" s="4"/>
    </row>
    <row r="99" spans="2:20" ht="30">
      <c r="B99" s="8"/>
      <c r="C99" s="75" t="s">
        <v>43</v>
      </c>
      <c r="D99" s="63">
        <f>R85</f>
        <v>1.58</v>
      </c>
      <c r="E99" s="65">
        <v>0.1</v>
      </c>
      <c r="F99" s="63">
        <v>0</v>
      </c>
      <c r="G99" s="65">
        <v>0.4</v>
      </c>
      <c r="H99" s="63">
        <v>0</v>
      </c>
      <c r="I99" s="65">
        <f>SUM(D99:H99)</f>
        <v>2.08</v>
      </c>
      <c r="J99" s="63"/>
      <c r="K99" s="62" t="s">
        <v>32</v>
      </c>
      <c r="L99" s="8"/>
      <c r="M99" s="4"/>
      <c r="N99" s="4"/>
      <c r="O99" s="4"/>
      <c r="P99" s="4"/>
      <c r="Q99" s="4"/>
      <c r="R99" s="4"/>
      <c r="S99" s="4"/>
      <c r="T99" s="4"/>
    </row>
    <row r="100" spans="2:20" ht="18">
      <c r="B100" s="8"/>
      <c r="C100" s="75" t="s">
        <v>33</v>
      </c>
      <c r="D100" s="63">
        <f>D97-D98-D99</f>
        <v>7.1763999999999974</v>
      </c>
      <c r="E100" s="63">
        <f t="shared" ref="E100" si="72">E97-E98-E99</f>
        <v>1.999999999999999E-2</v>
      </c>
      <c r="F100" s="63">
        <f t="shared" ref="F100" si="73">F97-F98-F99</f>
        <v>1.1000000000000001</v>
      </c>
      <c r="G100" s="63">
        <f t="shared" ref="G100" si="74">G97-G98-G99</f>
        <v>9.9999999999999978E-2</v>
      </c>
      <c r="H100" s="63">
        <f t="shared" ref="H100" si="75">H97-H98-H99</f>
        <v>1.6</v>
      </c>
      <c r="I100" s="63">
        <f>I97-I98-I99</f>
        <v>9.996399999999996</v>
      </c>
      <c r="J100" s="63" t="s">
        <v>32</v>
      </c>
      <c r="K100" s="62" t="s">
        <v>32</v>
      </c>
      <c r="L100" s="8"/>
      <c r="M100" s="4"/>
      <c r="N100" s="4"/>
      <c r="O100" s="4"/>
      <c r="P100" s="4"/>
      <c r="Q100" s="4"/>
      <c r="R100" s="4"/>
      <c r="S100" s="4"/>
      <c r="T100" s="4"/>
    </row>
    <row r="101" spans="2:20" ht="30">
      <c r="B101" s="8"/>
      <c r="C101" s="75" t="s">
        <v>36</v>
      </c>
      <c r="D101" s="63">
        <f>D97*0.2</f>
        <v>2.7892799999999998</v>
      </c>
      <c r="E101" s="63">
        <f>E97*0.2</f>
        <v>2.4E-2</v>
      </c>
      <c r="F101" s="63">
        <f t="shared" ref="F101" si="76">F97*0.2</f>
        <v>0.22000000000000003</v>
      </c>
      <c r="G101" s="65">
        <v>0</v>
      </c>
      <c r="H101" s="65">
        <v>0.3</v>
      </c>
      <c r="I101" s="63">
        <f>SUM(D101:H101)</f>
        <v>3.3332799999999998</v>
      </c>
      <c r="J101" s="63" t="s">
        <v>32</v>
      </c>
      <c r="K101" s="62" t="s">
        <v>32</v>
      </c>
      <c r="L101" s="8"/>
      <c r="M101" s="4"/>
      <c r="N101" s="4"/>
      <c r="O101" s="4"/>
      <c r="P101" s="4"/>
      <c r="Q101" s="4"/>
      <c r="R101" s="4"/>
      <c r="S101" s="4"/>
      <c r="T101" s="4"/>
    </row>
    <row r="102" spans="2:20" ht="18">
      <c r="B102" s="8"/>
      <c r="C102" s="75" t="s">
        <v>34</v>
      </c>
      <c r="D102" s="63">
        <f>D100+D101</f>
        <v>9.9656799999999972</v>
      </c>
      <c r="E102" s="63">
        <f>E100+E101</f>
        <v>4.3999999999999991E-2</v>
      </c>
      <c r="F102" s="63">
        <f t="shared" ref="F102:H102" si="77">F100+F101</f>
        <v>1.32</v>
      </c>
      <c r="G102" s="63">
        <f t="shared" si="77"/>
        <v>9.9999999999999978E-2</v>
      </c>
      <c r="H102" s="63">
        <f t="shared" si="77"/>
        <v>1.9000000000000001</v>
      </c>
      <c r="I102" s="63">
        <f>SUM(D102:H102)</f>
        <v>13.329679999999998</v>
      </c>
      <c r="J102" s="63" t="s">
        <v>32</v>
      </c>
      <c r="K102" s="62" t="s">
        <v>32</v>
      </c>
      <c r="L102" s="8"/>
      <c r="M102" s="4"/>
      <c r="N102" s="4"/>
      <c r="O102" s="4"/>
      <c r="P102" s="4"/>
      <c r="Q102" s="4"/>
      <c r="R102" s="4"/>
      <c r="S102" s="4"/>
      <c r="T102" s="4"/>
    </row>
    <row r="103" spans="2:20" ht="19" thickBot="1">
      <c r="B103" s="8"/>
      <c r="C103" s="8"/>
      <c r="D103" s="8"/>
      <c r="E103" s="8"/>
      <c r="F103" s="8"/>
      <c r="G103" s="8"/>
      <c r="H103" s="8"/>
      <c r="I103" s="8"/>
      <c r="J103" s="8"/>
      <c r="K103" s="8" t="s">
        <v>32</v>
      </c>
      <c r="L103" s="8"/>
      <c r="M103" s="4"/>
      <c r="N103" s="4"/>
      <c r="O103" s="4"/>
      <c r="P103" s="4"/>
      <c r="Q103" s="4"/>
      <c r="R103" s="4"/>
      <c r="S103" s="4"/>
      <c r="T103" s="4"/>
    </row>
    <row r="104" spans="2:20" ht="19" thickBot="1">
      <c r="B104" s="8"/>
      <c r="C104" s="34" t="s">
        <v>29</v>
      </c>
      <c r="D104" s="88">
        <v>241.23839999999996</v>
      </c>
      <c r="E104" s="88">
        <f>E14+E19+E38+E69+E96</f>
        <v>3.496</v>
      </c>
      <c r="F104" s="88">
        <f>F14+F19+F38+F69+F96</f>
        <v>18.748000000000001</v>
      </c>
      <c r="G104" s="88">
        <f>G14+G19+G38+G69+G96</f>
        <v>32.9</v>
      </c>
      <c r="H104" s="88">
        <f>H14+H19+H38+H69+H96</f>
        <v>12.4</v>
      </c>
      <c r="I104" s="21">
        <f>SUM(D104:H104)</f>
        <v>308.78239999999994</v>
      </c>
      <c r="J104" s="93"/>
      <c r="K104" s="93" t="s">
        <v>32</v>
      </c>
      <c r="L104" s="8"/>
      <c r="M104" s="4"/>
      <c r="N104" s="4"/>
      <c r="O104" s="4"/>
      <c r="P104" s="4"/>
      <c r="Q104" s="4"/>
      <c r="R104" s="4"/>
      <c r="S104" s="4"/>
      <c r="T104" s="4"/>
    </row>
    <row r="105" spans="2:20" ht="18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8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</sheetData>
  <mergeCells count="2">
    <mergeCell ref="A5:A82"/>
    <mergeCell ref="B8:B10"/>
  </mergeCells>
  <pageMargins left="0.7" right="0.7" top="0.75" bottom="0.75" header="0.3" footer="0.3"/>
  <pageSetup paperSize="9" scale="54" fitToHeight="0" orientation="landscape"/>
  <rowBreaks count="3" manualBreakCount="3">
    <brk id="20" max="16383" man="1"/>
    <brk id="49" max="16383" man="1"/>
    <brk id="76" max="16383" man="1"/>
  </rowBreaks>
  <colBreaks count="4" manualBreakCount="4">
    <brk id="2" max="1048575" man="1"/>
    <brk id="3" max="1048575" man="1"/>
    <brk id="9" max="1048575" man="1"/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 targets SCH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2015-10-02T15:24:33Z</cp:lastPrinted>
  <dcterms:created xsi:type="dcterms:W3CDTF">2015-02-11T17:40:31Z</dcterms:created>
  <dcterms:modified xsi:type="dcterms:W3CDTF">2015-11-13T21:30:24Z</dcterms:modified>
</cp:coreProperties>
</file>