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mc:AlternateContent xmlns:mc="http://schemas.openxmlformats.org/markup-compatibility/2006">
    <mc:Choice Requires="x15">
      <x15ac:absPath xmlns:x15ac="http://schemas.microsoft.com/office/spreadsheetml/2010/11/ac" url="/Users/robindey/Library/Mobile Documents/com~apple~CloudDocs/Documents/04WORK/03GIVEWELL_WORK/Work Files/CNW 2017on/File Uploads/"/>
    </mc:Choice>
  </mc:AlternateContent>
  <xr:revisionPtr revIDLastSave="0" documentId="13_ncr:1_{53AF0E8B-C140-1740-8AC6-BCE0D33205E9}" xr6:coauthVersionLast="47" xr6:coauthVersionMax="47" xr10:uidLastSave="{00000000-0000-0000-0000-000000000000}"/>
  <bookViews>
    <workbookView xWindow="0" yWindow="500" windowWidth="35840" windowHeight="19700" activeTab="9" xr2:uid="{00000000-000D-0000-FFFF-FFFF00000000}"/>
  </bookViews>
  <sheets>
    <sheet name="Consolidated SOFA" sheetId="41" state="hidden" r:id="rId1"/>
    <sheet name="Balance Sheet" sheetId="42" state="hidden" r:id="rId2"/>
    <sheet name="Cash Flow" sheetId="43" state="hidden" r:id="rId3"/>
    <sheet name="Note 2, 3, 4, 5" sheetId="44" state="hidden" r:id="rId4"/>
    <sheet name="Note 6 (1)" sheetId="45" state="hidden" r:id="rId5"/>
    <sheet name="Note 6 (2)" sheetId="46" state="hidden" r:id="rId6"/>
    <sheet name="Note 7, 8, 9, 10, 11" sheetId="47" state="hidden" r:id="rId7"/>
    <sheet name="Note 12, 13, 14, 15" sheetId="48" state="hidden" r:id="rId8"/>
    <sheet name="Notes 16, 17, 18, 19, 20, 21" sheetId="49" state="hidden" r:id="rId9"/>
    <sheet name="Summary" sheetId="21" r:id="rId10"/>
    <sheet name="MANACS" sheetId="39" state="hidden" r:id="rId11"/>
    <sheet name=" Program Costs" sheetId="22" r:id="rId12"/>
    <sheet name="Management Costs " sheetId="23" r:id="rId13"/>
    <sheet name="Parameters" sheetId="1" state="hidden" r:id="rId14"/>
    <sheet name="TB" sheetId="14" state="hidden" r:id="rId15"/>
    <sheet name="P&amp;L by Award" sheetId="20" state="hidden" r:id="rId16"/>
    <sheet name="Prog costs" sheetId="15" state="hidden" r:id="rId17"/>
    <sheet name="Cost Centres" sheetId="16" state="hidden" r:id="rId18"/>
  </sheets>
  <externalReferences>
    <externalReference r:id="rId19"/>
  </externalReferences>
  <definedNames>
    <definedName name="_22_0__123Grap" localSheetId="11" hidden="1">#REF!</definedName>
    <definedName name="_22_0__123Grap" localSheetId="10" hidden="1">#REF!</definedName>
    <definedName name="_22_0__123Grap" hidden="1">#REF!</definedName>
    <definedName name="_xlnm._FilterDatabase" localSheetId="11" hidden="1">' Program Costs'!$E$7:$E$38</definedName>
    <definedName name="_xlnm._FilterDatabase" localSheetId="17" hidden="1">'Cost Centres'!$A$4:$O$97</definedName>
    <definedName name="_xlnm._FilterDatabase" localSheetId="16" hidden="1">'Prog costs'!$A$2:$AB$46</definedName>
    <definedName name="_Key1" localSheetId="11" hidden="1">#REF!</definedName>
    <definedName name="_Key1" hidden="1">#REF!</definedName>
    <definedName name="_Order1" hidden="1">255</definedName>
    <definedName name="_Order2" hidden="1">255</definedName>
    <definedName name="_Sort" localSheetId="11" hidden="1">#REF!</definedName>
    <definedName name="_Sort" hidden="1">#REF!</definedName>
    <definedName name="BC">Parameters!$A$10</definedName>
    <definedName name="BSPF" localSheetId="10">[1]Parameters!$B$8:$B$8</definedName>
    <definedName name="BSPF">Parameters!$B$8:$B$8</definedName>
    <definedName name="CN" localSheetId="10">[1]Parameters!$B$3</definedName>
    <definedName name="CN">Parameters!$B$3</definedName>
    <definedName name="ew" hidden="1">#REF!</definedName>
    <definedName name="hours_m">166.67</definedName>
    <definedName name="hours_y">1833</definedName>
    <definedName name="PF" localSheetId="10">[1]Parameters!$B$5</definedName>
    <definedName name="PF">Parameters!$B$5</definedName>
    <definedName name="_xlnm.Print_Area" localSheetId="11">' Program Costs'!$C$3:$T$38</definedName>
    <definedName name="_xlnm.Print_Area" localSheetId="1">'Balance Sheet'!$B$1:$I$54</definedName>
    <definedName name="_xlnm.Print_Area" localSheetId="2">'Cash Flow'!$A$1:$F$26</definedName>
    <definedName name="_xlnm.Print_Area" localSheetId="12">'Management Costs '!$D$4:$K$5</definedName>
    <definedName name="_xlnm.Print_Area" localSheetId="7">'Note 12, 13, 14, 15'!$B$1:$N$83</definedName>
    <definedName name="_xlnm.Print_Area" localSheetId="3">'Note 2, 3, 4, 5'!$B$1:$I$48</definedName>
    <definedName name="_xlnm.Print_Area" localSheetId="4">'Note 6 (1)'!$B$1:$L$51</definedName>
    <definedName name="_xlnm.Print_Area" localSheetId="5">'Note 6 (2)'!$B$1:$O$43</definedName>
    <definedName name="_xlnm.Print_Area" localSheetId="6">'Note 7, 8, 9, 10, 11'!$B$1:$G$53</definedName>
    <definedName name="_xlnm.Print_Area" localSheetId="8">'Notes 16, 17, 18, 19, 20, 21'!$A$1:$I$43</definedName>
    <definedName name="_xlnm.Print_Area" localSheetId="9">Summary!$D$3:$P$48</definedName>
    <definedName name="PT" localSheetId="10">[1]Parameters!$B$6</definedName>
    <definedName name="PT">Parameters!$B$6</definedName>
    <definedName name="REP7CR" localSheetId="17" hidden="1">'Cost Centres'!$O$4:$O$97</definedName>
    <definedName name="REP7CR" localSheetId="15" hidden="1">'P&amp;L by Award'!$D$5:$AJ$99</definedName>
    <definedName name="REP7P01" localSheetId="15" hidden="1">#REF!</definedName>
    <definedName name="REP7P01" hidden="1">#REF!</definedName>
    <definedName name="sorts" localSheetId="11" hidden="1">#REF!</definedName>
    <definedName name="sorts" hidden="1">#REF!</definedName>
    <definedName name="SuppressionOnTriggers" localSheetId="17" hidden="1">FALSE</definedName>
    <definedName name="SuppressionOnTriggers" localSheetId="15" hidden="1">FALSE</definedName>
    <definedName name="SuppressionRefresh" localSheetId="17" hidden="1">TRUE</definedName>
    <definedName name="SuppressionRefresh" localSheetId="15" hidden="1">TRUE</definedName>
    <definedName name="SuppressPressed" localSheetId="17" hidden="1">TRUE</definedName>
    <definedName name="SuppressPressed" localSheetId="15" hidden="1">FALSE</definedName>
    <definedName name="SuppressRows" localSheetId="17" hidden="1">TRUE</definedName>
    <definedName name="SuppressRows" localSheetId="15" hidden="1">TRUE</definedName>
    <definedName name="VersionNumber" hidden="1">"4.7.6648"</definedName>
    <definedName name="wrn.All._.Grant._.Forms." localSheetId="11" hidden="1">{"Form DD",#N/A,FALSE,"DD";"EE",#N/A,FALSE,"EE";"Indirects",#N/A,FALSE,"DD"}</definedName>
    <definedName name="wrn.All._.Grant._.Forms." localSheetId="10" hidden="1">{"Form DD",#N/A,FALSE,"DD";"EE",#N/A,FALSE,"EE";"Indirects",#N/A,FALSE,"DD"}</definedName>
    <definedName name="wrn.All._.Grant._.Forms." hidden="1">{"Form DD",#N/A,FALSE,"DD";"EE",#N/A,FALSE,"EE";"Indirects",#N/A,FALSE,"DD"}</definedName>
    <definedName name="wrn.All._.Grant._.Forms._1" localSheetId="10" hidden="1">{"Form DD",#N/A,FALSE,"DD";"EE",#N/A,FALSE,"EE";"Indirects",#N/A,FALSE,"DD"}</definedName>
    <definedName name="wrn.All._.Grant._.Forms._1" hidden="1">{"Form DD",#N/A,FALSE,"DD";"EE",#N/A,FALSE,"EE";"Indirects",#N/A,FALSE,"DD"}</definedName>
    <definedName name="wrn.All._.Grant._.Forms._1_1" localSheetId="10" hidden="1">{"Form DD",#N/A,FALSE,"DD";"EE",#N/A,FALSE,"EE";"Indirects",#N/A,FALSE,"DD"}</definedName>
    <definedName name="wrn.All._.Grant._.Forms._1_1" hidden="1">{"Form DD",#N/A,FALSE,"DD";"EE",#N/A,FALSE,"EE";"Indirects",#N/A,FALSE,"DD"}</definedName>
    <definedName name="wrn.All._.Grant._.Forms._1_1_1" localSheetId="10" hidden="1">{"Form DD",#N/A,FALSE,"DD";"EE",#N/A,FALSE,"EE";"Indirects",#N/A,FALSE,"DD"}</definedName>
    <definedName name="wrn.All._.Grant._.Forms._1_1_1" hidden="1">{"Form DD",#N/A,FALSE,"DD";"EE",#N/A,FALSE,"EE";"Indirects",#N/A,FALSE,"DD"}</definedName>
    <definedName name="wrn.All._.Grant._.Forms._1_1_1_1" localSheetId="10" hidden="1">{"Form DD",#N/A,FALSE,"DD";"EE",#N/A,FALSE,"EE";"Indirects",#N/A,FALSE,"DD"}</definedName>
    <definedName name="wrn.All._.Grant._.Forms._1_1_1_1" hidden="1">{"Form DD",#N/A,FALSE,"DD";"EE",#N/A,FALSE,"EE";"Indirects",#N/A,FALSE,"DD"}</definedName>
    <definedName name="wrn.All._.Grant._.Forms._1_1_1_1_1" localSheetId="10" hidden="1">{"Form DD",#N/A,FALSE,"DD";"EE",#N/A,FALSE,"EE";"Indirects",#N/A,FALSE,"DD"}</definedName>
    <definedName name="wrn.All._.Grant._.Forms._1_1_1_1_1" hidden="1">{"Form DD",#N/A,FALSE,"DD";"EE",#N/A,FALSE,"EE";"Indirects",#N/A,FALSE,"DD"}</definedName>
    <definedName name="wrn.All._.Grant._.Forms._1_1_1_1_2" localSheetId="10" hidden="1">{"Form DD",#N/A,FALSE,"DD";"EE",#N/A,FALSE,"EE";"Indirects",#N/A,FALSE,"DD"}</definedName>
    <definedName name="wrn.All._.Grant._.Forms._1_1_1_1_2" hidden="1">{"Form DD",#N/A,FALSE,"DD";"EE",#N/A,FALSE,"EE";"Indirects",#N/A,FALSE,"DD"}</definedName>
    <definedName name="wrn.All._.Grant._.Forms._1_1_1_1_3" localSheetId="10" hidden="1">{"Form DD",#N/A,FALSE,"DD";"EE",#N/A,FALSE,"EE";"Indirects",#N/A,FALSE,"DD"}</definedName>
    <definedName name="wrn.All._.Grant._.Forms._1_1_1_1_3" hidden="1">{"Form DD",#N/A,FALSE,"DD";"EE",#N/A,FALSE,"EE";"Indirects",#N/A,FALSE,"DD"}</definedName>
    <definedName name="wrn.All._.Grant._.Forms._1_1_1_2" localSheetId="10" hidden="1">{"Form DD",#N/A,FALSE,"DD";"EE",#N/A,FALSE,"EE";"Indirects",#N/A,FALSE,"DD"}</definedName>
    <definedName name="wrn.All._.Grant._.Forms._1_1_1_2" hidden="1">{"Form DD",#N/A,FALSE,"DD";"EE",#N/A,FALSE,"EE";"Indirects",#N/A,FALSE,"DD"}</definedName>
    <definedName name="wrn.All._.Grant._.Forms._1_1_1_2_1" localSheetId="10" hidden="1">{"Form DD",#N/A,FALSE,"DD";"EE",#N/A,FALSE,"EE";"Indirects",#N/A,FALSE,"DD"}</definedName>
    <definedName name="wrn.All._.Grant._.Forms._1_1_1_2_1" hidden="1">{"Form DD",#N/A,FALSE,"DD";"EE",#N/A,FALSE,"EE";"Indirects",#N/A,FALSE,"DD"}</definedName>
    <definedName name="wrn.All._.Grant._.Forms._1_1_1_2_2" localSheetId="10" hidden="1">{"Form DD",#N/A,FALSE,"DD";"EE",#N/A,FALSE,"EE";"Indirects",#N/A,FALSE,"DD"}</definedName>
    <definedName name="wrn.All._.Grant._.Forms._1_1_1_2_2" hidden="1">{"Form DD",#N/A,FALSE,"DD";"EE",#N/A,FALSE,"EE";"Indirects",#N/A,FALSE,"DD"}</definedName>
    <definedName name="wrn.All._.Grant._.Forms._1_1_1_2_3" localSheetId="10" hidden="1">{"Form DD",#N/A,FALSE,"DD";"EE",#N/A,FALSE,"EE";"Indirects",#N/A,FALSE,"DD"}</definedName>
    <definedName name="wrn.All._.Grant._.Forms._1_1_1_2_3" hidden="1">{"Form DD",#N/A,FALSE,"DD";"EE",#N/A,FALSE,"EE";"Indirects",#N/A,FALSE,"DD"}</definedName>
    <definedName name="wrn.All._.Grant._.Forms._1_1_1_3" localSheetId="10" hidden="1">{"Form DD",#N/A,FALSE,"DD";"EE",#N/A,FALSE,"EE";"Indirects",#N/A,FALSE,"DD"}</definedName>
    <definedName name="wrn.All._.Grant._.Forms._1_1_1_3" hidden="1">{"Form DD",#N/A,FALSE,"DD";"EE",#N/A,FALSE,"EE";"Indirects",#N/A,FALSE,"DD"}</definedName>
    <definedName name="wrn.All._.Grant._.Forms._1_1_1_3_1" localSheetId="10" hidden="1">{"Form DD",#N/A,FALSE,"DD";"EE",#N/A,FALSE,"EE";"Indirects",#N/A,FALSE,"DD"}</definedName>
    <definedName name="wrn.All._.Grant._.Forms._1_1_1_3_1" hidden="1">{"Form DD",#N/A,FALSE,"DD";"EE",#N/A,FALSE,"EE";"Indirects",#N/A,FALSE,"DD"}</definedName>
    <definedName name="wrn.All._.Grant._.Forms._1_1_1_3_2" localSheetId="10" hidden="1">{"Form DD",#N/A,FALSE,"DD";"EE",#N/A,FALSE,"EE";"Indirects",#N/A,FALSE,"DD"}</definedName>
    <definedName name="wrn.All._.Grant._.Forms._1_1_1_3_2" hidden="1">{"Form DD",#N/A,FALSE,"DD";"EE",#N/A,FALSE,"EE";"Indirects",#N/A,FALSE,"DD"}</definedName>
    <definedName name="wrn.All._.Grant._.Forms._1_1_1_3_3" localSheetId="10" hidden="1">{"Form DD",#N/A,FALSE,"DD";"EE",#N/A,FALSE,"EE";"Indirects",#N/A,FALSE,"DD"}</definedName>
    <definedName name="wrn.All._.Grant._.Forms._1_1_1_3_3" hidden="1">{"Form DD",#N/A,FALSE,"DD";"EE",#N/A,FALSE,"EE";"Indirects",#N/A,FALSE,"DD"}</definedName>
    <definedName name="wrn.All._.Grant._.Forms._1_1_1_4" localSheetId="10" hidden="1">{"Form DD",#N/A,FALSE,"DD";"EE",#N/A,FALSE,"EE";"Indirects",#N/A,FALSE,"DD"}</definedName>
    <definedName name="wrn.All._.Grant._.Forms._1_1_1_4" hidden="1">{"Form DD",#N/A,FALSE,"DD";"EE",#N/A,FALSE,"EE";"Indirects",#N/A,FALSE,"DD"}</definedName>
    <definedName name="wrn.All._.Grant._.Forms._1_1_1_5" localSheetId="10" hidden="1">{"Form DD",#N/A,FALSE,"DD";"EE",#N/A,FALSE,"EE";"Indirects",#N/A,FALSE,"DD"}</definedName>
    <definedName name="wrn.All._.Grant._.Forms._1_1_1_5" hidden="1">{"Form DD",#N/A,FALSE,"DD";"EE",#N/A,FALSE,"EE";"Indirects",#N/A,FALSE,"DD"}</definedName>
    <definedName name="wrn.All._.Grant._.Forms._1_1_2" localSheetId="10" hidden="1">{"Form DD",#N/A,FALSE,"DD";"EE",#N/A,FALSE,"EE";"Indirects",#N/A,FALSE,"DD"}</definedName>
    <definedName name="wrn.All._.Grant._.Forms._1_1_2" hidden="1">{"Form DD",#N/A,FALSE,"DD";"EE",#N/A,FALSE,"EE";"Indirects",#N/A,FALSE,"DD"}</definedName>
    <definedName name="wrn.All._.Grant._.Forms._1_1_2_1" localSheetId="10" hidden="1">{"Form DD",#N/A,FALSE,"DD";"EE",#N/A,FALSE,"EE";"Indirects",#N/A,FALSE,"DD"}</definedName>
    <definedName name="wrn.All._.Grant._.Forms._1_1_2_1" hidden="1">{"Form DD",#N/A,FALSE,"DD";"EE",#N/A,FALSE,"EE";"Indirects",#N/A,FALSE,"DD"}</definedName>
    <definedName name="wrn.All._.Grant._.Forms._1_1_2_2" localSheetId="10" hidden="1">{"Form DD",#N/A,FALSE,"DD";"EE",#N/A,FALSE,"EE";"Indirects",#N/A,FALSE,"DD"}</definedName>
    <definedName name="wrn.All._.Grant._.Forms._1_1_2_2" hidden="1">{"Form DD",#N/A,FALSE,"DD";"EE",#N/A,FALSE,"EE";"Indirects",#N/A,FALSE,"DD"}</definedName>
    <definedName name="wrn.All._.Grant._.Forms._1_1_2_3" localSheetId="10" hidden="1">{"Form DD",#N/A,FALSE,"DD";"EE",#N/A,FALSE,"EE";"Indirects",#N/A,FALSE,"DD"}</definedName>
    <definedName name="wrn.All._.Grant._.Forms._1_1_2_3" hidden="1">{"Form DD",#N/A,FALSE,"DD";"EE",#N/A,FALSE,"EE";"Indirects",#N/A,FALSE,"DD"}</definedName>
    <definedName name="wrn.All._.Grant._.Forms._1_1_3" localSheetId="10" hidden="1">{"Form DD",#N/A,FALSE,"DD";"EE",#N/A,FALSE,"EE";"Indirects",#N/A,FALSE,"DD"}</definedName>
    <definedName name="wrn.All._.Grant._.Forms._1_1_3" hidden="1">{"Form DD",#N/A,FALSE,"DD";"EE",#N/A,FALSE,"EE";"Indirects",#N/A,FALSE,"DD"}</definedName>
    <definedName name="wrn.All._.Grant._.Forms._1_1_3_1" localSheetId="10" hidden="1">{"Form DD",#N/A,FALSE,"DD";"EE",#N/A,FALSE,"EE";"Indirects",#N/A,FALSE,"DD"}</definedName>
    <definedName name="wrn.All._.Grant._.Forms._1_1_3_1" hidden="1">{"Form DD",#N/A,FALSE,"DD";"EE",#N/A,FALSE,"EE";"Indirects",#N/A,FALSE,"DD"}</definedName>
    <definedName name="wrn.All._.Grant._.Forms._1_1_3_2" localSheetId="10" hidden="1">{"Form DD",#N/A,FALSE,"DD";"EE",#N/A,FALSE,"EE";"Indirects",#N/A,FALSE,"DD"}</definedName>
    <definedName name="wrn.All._.Grant._.Forms._1_1_3_2" hidden="1">{"Form DD",#N/A,FALSE,"DD";"EE",#N/A,FALSE,"EE";"Indirects",#N/A,FALSE,"DD"}</definedName>
    <definedName name="wrn.All._.Grant._.Forms._1_1_3_3" localSheetId="10" hidden="1">{"Form DD",#N/A,FALSE,"DD";"EE",#N/A,FALSE,"EE";"Indirects",#N/A,FALSE,"DD"}</definedName>
    <definedName name="wrn.All._.Grant._.Forms._1_1_3_3" hidden="1">{"Form DD",#N/A,FALSE,"DD";"EE",#N/A,FALSE,"EE";"Indirects",#N/A,FALSE,"DD"}</definedName>
    <definedName name="wrn.All._.Grant._.Forms._1_1_4" localSheetId="10" hidden="1">{"Form DD",#N/A,FALSE,"DD";"EE",#N/A,FALSE,"EE";"Indirects",#N/A,FALSE,"DD"}</definedName>
    <definedName name="wrn.All._.Grant._.Forms._1_1_4" hidden="1">{"Form DD",#N/A,FALSE,"DD";"EE",#N/A,FALSE,"EE";"Indirects",#N/A,FALSE,"DD"}</definedName>
    <definedName name="wrn.All._.Grant._.Forms._1_1_5" localSheetId="10" hidden="1">{"Form DD",#N/A,FALSE,"DD";"EE",#N/A,FALSE,"EE";"Indirects",#N/A,FALSE,"DD"}</definedName>
    <definedName name="wrn.All._.Grant._.Forms._1_1_5" hidden="1">{"Form DD",#N/A,FALSE,"DD";"EE",#N/A,FALSE,"EE";"Indirects",#N/A,FALSE,"DD"}</definedName>
    <definedName name="wrn.All._.Grant._.Forms._1_2" localSheetId="10" hidden="1">{"Form DD",#N/A,FALSE,"DD";"EE",#N/A,FALSE,"EE";"Indirects",#N/A,FALSE,"DD"}</definedName>
    <definedName name="wrn.All._.Grant._.Forms._1_2" hidden="1">{"Form DD",#N/A,FALSE,"DD";"EE",#N/A,FALSE,"EE";"Indirects",#N/A,FALSE,"DD"}</definedName>
    <definedName name="wrn.All._.Grant._.Forms._1_2_1" localSheetId="10" hidden="1">{"Form DD",#N/A,FALSE,"DD";"EE",#N/A,FALSE,"EE";"Indirects",#N/A,FALSE,"DD"}</definedName>
    <definedName name="wrn.All._.Grant._.Forms._1_2_1" hidden="1">{"Form DD",#N/A,FALSE,"DD";"EE",#N/A,FALSE,"EE";"Indirects",#N/A,FALSE,"DD"}</definedName>
    <definedName name="wrn.All._.Grant._.Forms._1_2_1_1" localSheetId="10" hidden="1">{"Form DD",#N/A,FALSE,"DD";"EE",#N/A,FALSE,"EE";"Indirects",#N/A,FALSE,"DD"}</definedName>
    <definedName name="wrn.All._.Grant._.Forms._1_2_1_1" hidden="1">{"Form DD",#N/A,FALSE,"DD";"EE",#N/A,FALSE,"EE";"Indirects",#N/A,FALSE,"DD"}</definedName>
    <definedName name="wrn.All._.Grant._.Forms._1_2_1_2" localSheetId="10" hidden="1">{"Form DD",#N/A,FALSE,"DD";"EE",#N/A,FALSE,"EE";"Indirects",#N/A,FALSE,"DD"}</definedName>
    <definedName name="wrn.All._.Grant._.Forms._1_2_1_2" hidden="1">{"Form DD",#N/A,FALSE,"DD";"EE",#N/A,FALSE,"EE";"Indirects",#N/A,FALSE,"DD"}</definedName>
    <definedName name="wrn.All._.Grant._.Forms._1_2_1_3" localSheetId="10" hidden="1">{"Form DD",#N/A,FALSE,"DD";"EE",#N/A,FALSE,"EE";"Indirects",#N/A,FALSE,"DD"}</definedName>
    <definedName name="wrn.All._.Grant._.Forms._1_2_1_3" hidden="1">{"Form DD",#N/A,FALSE,"DD";"EE",#N/A,FALSE,"EE";"Indirects",#N/A,FALSE,"DD"}</definedName>
    <definedName name="wrn.All._.Grant._.Forms._1_2_2" localSheetId="10" hidden="1">{"Form DD",#N/A,FALSE,"DD";"EE",#N/A,FALSE,"EE";"Indirects",#N/A,FALSE,"DD"}</definedName>
    <definedName name="wrn.All._.Grant._.Forms._1_2_2" hidden="1">{"Form DD",#N/A,FALSE,"DD";"EE",#N/A,FALSE,"EE";"Indirects",#N/A,FALSE,"DD"}</definedName>
    <definedName name="wrn.All._.Grant._.Forms._1_2_2_1" localSheetId="10" hidden="1">{"Form DD",#N/A,FALSE,"DD";"EE",#N/A,FALSE,"EE";"Indirects",#N/A,FALSE,"DD"}</definedName>
    <definedName name="wrn.All._.Grant._.Forms._1_2_2_1" hidden="1">{"Form DD",#N/A,FALSE,"DD";"EE",#N/A,FALSE,"EE";"Indirects",#N/A,FALSE,"DD"}</definedName>
    <definedName name="wrn.All._.Grant._.Forms._1_2_2_2" localSheetId="10" hidden="1">{"Form DD",#N/A,FALSE,"DD";"EE",#N/A,FALSE,"EE";"Indirects",#N/A,FALSE,"DD"}</definedName>
    <definedName name="wrn.All._.Grant._.Forms._1_2_2_2" hidden="1">{"Form DD",#N/A,FALSE,"DD";"EE",#N/A,FALSE,"EE";"Indirects",#N/A,FALSE,"DD"}</definedName>
    <definedName name="wrn.All._.Grant._.Forms._1_2_2_3" localSheetId="10" hidden="1">{"Form DD",#N/A,FALSE,"DD";"EE",#N/A,FALSE,"EE";"Indirects",#N/A,FALSE,"DD"}</definedName>
    <definedName name="wrn.All._.Grant._.Forms._1_2_2_3" hidden="1">{"Form DD",#N/A,FALSE,"DD";"EE",#N/A,FALSE,"EE";"Indirects",#N/A,FALSE,"DD"}</definedName>
    <definedName name="wrn.All._.Grant._.Forms._1_2_3" localSheetId="10" hidden="1">{"Form DD",#N/A,FALSE,"DD";"EE",#N/A,FALSE,"EE";"Indirects",#N/A,FALSE,"DD"}</definedName>
    <definedName name="wrn.All._.Grant._.Forms._1_2_3" hidden="1">{"Form DD",#N/A,FALSE,"DD";"EE",#N/A,FALSE,"EE";"Indirects",#N/A,FALSE,"DD"}</definedName>
    <definedName name="wrn.All._.Grant._.Forms._1_2_4" localSheetId="10" hidden="1">{"Form DD",#N/A,FALSE,"DD";"EE",#N/A,FALSE,"EE";"Indirects",#N/A,FALSE,"DD"}</definedName>
    <definedName name="wrn.All._.Grant._.Forms._1_2_4" hidden="1">{"Form DD",#N/A,FALSE,"DD";"EE",#N/A,FALSE,"EE";"Indirects",#N/A,FALSE,"DD"}</definedName>
    <definedName name="wrn.All._.Grant._.Forms._1_2_5" localSheetId="10" hidden="1">{"Form DD",#N/A,FALSE,"DD";"EE",#N/A,FALSE,"EE";"Indirects",#N/A,FALSE,"DD"}</definedName>
    <definedName name="wrn.All._.Grant._.Forms._1_2_5" hidden="1">{"Form DD",#N/A,FALSE,"DD";"EE",#N/A,FALSE,"EE";"Indirects",#N/A,FALSE,"DD"}</definedName>
    <definedName name="wrn.All._.Grant._.Forms._1_3" localSheetId="10" hidden="1">{"Form DD",#N/A,FALSE,"DD";"EE",#N/A,FALSE,"EE";"Indirects",#N/A,FALSE,"DD"}</definedName>
    <definedName name="wrn.All._.Grant._.Forms._1_3" hidden="1">{"Form DD",#N/A,FALSE,"DD";"EE",#N/A,FALSE,"EE";"Indirects",#N/A,FALSE,"DD"}</definedName>
    <definedName name="wrn.All._.Grant._.Forms._1_3_1" localSheetId="10" hidden="1">{"Form DD",#N/A,FALSE,"DD";"EE",#N/A,FALSE,"EE";"Indirects",#N/A,FALSE,"DD"}</definedName>
    <definedName name="wrn.All._.Grant._.Forms._1_3_1" hidden="1">{"Form DD",#N/A,FALSE,"DD";"EE",#N/A,FALSE,"EE";"Indirects",#N/A,FALSE,"DD"}</definedName>
    <definedName name="wrn.All._.Grant._.Forms._1_3_1_1" localSheetId="10" hidden="1">{"Form DD",#N/A,FALSE,"DD";"EE",#N/A,FALSE,"EE";"Indirects",#N/A,FALSE,"DD"}</definedName>
    <definedName name="wrn.All._.Grant._.Forms._1_3_1_1" hidden="1">{"Form DD",#N/A,FALSE,"DD";"EE",#N/A,FALSE,"EE";"Indirects",#N/A,FALSE,"DD"}</definedName>
    <definedName name="wrn.All._.Grant._.Forms._1_3_1_2" localSheetId="10" hidden="1">{"Form DD",#N/A,FALSE,"DD";"EE",#N/A,FALSE,"EE";"Indirects",#N/A,FALSE,"DD"}</definedName>
    <definedName name="wrn.All._.Grant._.Forms._1_3_1_2" hidden="1">{"Form DD",#N/A,FALSE,"DD";"EE",#N/A,FALSE,"EE";"Indirects",#N/A,FALSE,"DD"}</definedName>
    <definedName name="wrn.All._.Grant._.Forms._1_3_1_3" localSheetId="10" hidden="1">{"Form DD",#N/A,FALSE,"DD";"EE",#N/A,FALSE,"EE";"Indirects",#N/A,FALSE,"DD"}</definedName>
    <definedName name="wrn.All._.Grant._.Forms._1_3_1_3" hidden="1">{"Form DD",#N/A,FALSE,"DD";"EE",#N/A,FALSE,"EE";"Indirects",#N/A,FALSE,"DD"}</definedName>
    <definedName name="wrn.All._.Grant._.Forms._1_3_2" localSheetId="10" hidden="1">{"Form DD",#N/A,FALSE,"DD";"EE",#N/A,FALSE,"EE";"Indirects",#N/A,FALSE,"DD"}</definedName>
    <definedName name="wrn.All._.Grant._.Forms._1_3_2" hidden="1">{"Form DD",#N/A,FALSE,"DD";"EE",#N/A,FALSE,"EE";"Indirects",#N/A,FALSE,"DD"}</definedName>
    <definedName name="wrn.All._.Grant._.Forms._1_3_2_1" localSheetId="10" hidden="1">{"Form DD",#N/A,FALSE,"DD";"EE",#N/A,FALSE,"EE";"Indirects",#N/A,FALSE,"DD"}</definedName>
    <definedName name="wrn.All._.Grant._.Forms._1_3_2_1" hidden="1">{"Form DD",#N/A,FALSE,"DD";"EE",#N/A,FALSE,"EE";"Indirects",#N/A,FALSE,"DD"}</definedName>
    <definedName name="wrn.All._.Grant._.Forms._1_3_2_2" localSheetId="10" hidden="1">{"Form DD",#N/A,FALSE,"DD";"EE",#N/A,FALSE,"EE";"Indirects",#N/A,FALSE,"DD"}</definedName>
    <definedName name="wrn.All._.Grant._.Forms._1_3_2_2" hidden="1">{"Form DD",#N/A,FALSE,"DD";"EE",#N/A,FALSE,"EE";"Indirects",#N/A,FALSE,"DD"}</definedName>
    <definedName name="wrn.All._.Grant._.Forms._1_3_2_3" localSheetId="10" hidden="1">{"Form DD",#N/A,FALSE,"DD";"EE",#N/A,FALSE,"EE";"Indirects",#N/A,FALSE,"DD"}</definedName>
    <definedName name="wrn.All._.Grant._.Forms._1_3_2_3" hidden="1">{"Form DD",#N/A,FALSE,"DD";"EE",#N/A,FALSE,"EE";"Indirects",#N/A,FALSE,"DD"}</definedName>
    <definedName name="wrn.All._.Grant._.Forms._1_3_3" localSheetId="10" hidden="1">{"Form DD",#N/A,FALSE,"DD";"EE",#N/A,FALSE,"EE";"Indirects",#N/A,FALSE,"DD"}</definedName>
    <definedName name="wrn.All._.Grant._.Forms._1_3_3" hidden="1">{"Form DD",#N/A,FALSE,"DD";"EE",#N/A,FALSE,"EE";"Indirects",#N/A,FALSE,"DD"}</definedName>
    <definedName name="wrn.All._.Grant._.Forms._1_3_4" localSheetId="10" hidden="1">{"Form DD",#N/A,FALSE,"DD";"EE",#N/A,FALSE,"EE";"Indirects",#N/A,FALSE,"DD"}</definedName>
    <definedName name="wrn.All._.Grant._.Forms._1_3_4" hidden="1">{"Form DD",#N/A,FALSE,"DD";"EE",#N/A,FALSE,"EE";"Indirects",#N/A,FALSE,"DD"}</definedName>
    <definedName name="wrn.All._.Grant._.Forms._1_3_5" localSheetId="10" hidden="1">{"Form DD",#N/A,FALSE,"DD";"EE",#N/A,FALSE,"EE";"Indirects",#N/A,FALSE,"DD"}</definedName>
    <definedName name="wrn.All._.Grant._.Forms._1_3_5" hidden="1">{"Form DD",#N/A,FALSE,"DD";"EE",#N/A,FALSE,"EE";"Indirects",#N/A,FALSE,"DD"}</definedName>
    <definedName name="wrn.All._.Grant._.Forms._1_4" localSheetId="10" hidden="1">{"Form DD",#N/A,FALSE,"DD";"EE",#N/A,FALSE,"EE";"Indirects",#N/A,FALSE,"DD"}</definedName>
    <definedName name="wrn.All._.Grant._.Forms._1_4" hidden="1">{"Form DD",#N/A,FALSE,"DD";"EE",#N/A,FALSE,"EE";"Indirects",#N/A,FALSE,"DD"}</definedName>
    <definedName name="wrn.All._.Grant._.Forms._1_4_1" localSheetId="10" hidden="1">{"Form DD",#N/A,FALSE,"DD";"EE",#N/A,FALSE,"EE";"Indirects",#N/A,FALSE,"DD"}</definedName>
    <definedName name="wrn.All._.Grant._.Forms._1_4_1" hidden="1">{"Form DD",#N/A,FALSE,"DD";"EE",#N/A,FALSE,"EE";"Indirects",#N/A,FALSE,"DD"}</definedName>
    <definedName name="wrn.All._.Grant._.Forms._1_4_2" localSheetId="10" hidden="1">{"Form DD",#N/A,FALSE,"DD";"EE",#N/A,FALSE,"EE";"Indirects",#N/A,FALSE,"DD"}</definedName>
    <definedName name="wrn.All._.Grant._.Forms._1_4_2" hidden="1">{"Form DD",#N/A,FALSE,"DD";"EE",#N/A,FALSE,"EE";"Indirects",#N/A,FALSE,"DD"}</definedName>
    <definedName name="wrn.All._.Grant._.Forms._1_4_3" localSheetId="10" hidden="1">{"Form DD",#N/A,FALSE,"DD";"EE",#N/A,FALSE,"EE";"Indirects",#N/A,FALSE,"DD"}</definedName>
    <definedName name="wrn.All._.Grant._.Forms._1_4_3" hidden="1">{"Form DD",#N/A,FALSE,"DD";"EE",#N/A,FALSE,"EE";"Indirects",#N/A,FALSE,"DD"}</definedName>
    <definedName name="wrn.All._.Grant._.Forms._1_5" localSheetId="10" hidden="1">{"Form DD",#N/A,FALSE,"DD";"EE",#N/A,FALSE,"EE";"Indirects",#N/A,FALSE,"DD"}</definedName>
    <definedName name="wrn.All._.Grant._.Forms._1_5" hidden="1">{"Form DD",#N/A,FALSE,"DD";"EE",#N/A,FALSE,"EE";"Indirects",#N/A,FALSE,"DD"}</definedName>
    <definedName name="wrn.All._.Grant._.Forms._1_5_1" localSheetId="10" hidden="1">{"Form DD",#N/A,FALSE,"DD";"EE",#N/A,FALSE,"EE";"Indirects",#N/A,FALSE,"DD"}</definedName>
    <definedName name="wrn.All._.Grant._.Forms._1_5_1" hidden="1">{"Form DD",#N/A,FALSE,"DD";"EE",#N/A,FALSE,"EE";"Indirects",#N/A,FALSE,"DD"}</definedName>
    <definedName name="wrn.All._.Grant._.Forms._1_5_2" localSheetId="10" hidden="1">{"Form DD",#N/A,FALSE,"DD";"EE",#N/A,FALSE,"EE";"Indirects",#N/A,FALSE,"DD"}</definedName>
    <definedName name="wrn.All._.Grant._.Forms._1_5_2" hidden="1">{"Form DD",#N/A,FALSE,"DD";"EE",#N/A,FALSE,"EE";"Indirects",#N/A,FALSE,"DD"}</definedName>
    <definedName name="wrn.All._.Grant._.Forms._1_5_3" localSheetId="10" hidden="1">{"Form DD",#N/A,FALSE,"DD";"EE",#N/A,FALSE,"EE";"Indirects",#N/A,FALSE,"DD"}</definedName>
    <definedName name="wrn.All._.Grant._.Forms._1_5_3" hidden="1">{"Form DD",#N/A,FALSE,"DD";"EE",#N/A,FALSE,"EE";"Indirects",#N/A,FALSE,"DD"}</definedName>
    <definedName name="wrn.All._.Grant._.Forms._2" localSheetId="10" hidden="1">{"Form DD",#N/A,FALSE,"DD";"EE",#N/A,FALSE,"EE";"Indirects",#N/A,FALSE,"DD"}</definedName>
    <definedName name="wrn.All._.Grant._.Forms._2" hidden="1">{"Form DD",#N/A,FALSE,"DD";"EE",#N/A,FALSE,"EE";"Indirects",#N/A,FALSE,"DD"}</definedName>
    <definedName name="wrn.All._.Grant._.Forms._2_1" localSheetId="10" hidden="1">{"Form DD",#N/A,FALSE,"DD";"EE",#N/A,FALSE,"EE";"Indirects",#N/A,FALSE,"DD"}</definedName>
    <definedName name="wrn.All._.Grant._.Forms._2_1" hidden="1">{"Form DD",#N/A,FALSE,"DD";"EE",#N/A,FALSE,"EE";"Indirects",#N/A,FALSE,"DD"}</definedName>
    <definedName name="wrn.All._.Grant._.Forms._2_1_1" localSheetId="10" hidden="1">{"Form DD",#N/A,FALSE,"DD";"EE",#N/A,FALSE,"EE";"Indirects",#N/A,FALSE,"DD"}</definedName>
    <definedName name="wrn.All._.Grant._.Forms._2_1_1" hidden="1">{"Form DD",#N/A,FALSE,"DD";"EE",#N/A,FALSE,"EE";"Indirects",#N/A,FALSE,"DD"}</definedName>
    <definedName name="wrn.All._.Grant._.Forms._2_1_1_1" localSheetId="10" hidden="1">{"Form DD",#N/A,FALSE,"DD";"EE",#N/A,FALSE,"EE";"Indirects",#N/A,FALSE,"DD"}</definedName>
    <definedName name="wrn.All._.Grant._.Forms._2_1_1_1" hidden="1">{"Form DD",#N/A,FALSE,"DD";"EE",#N/A,FALSE,"EE";"Indirects",#N/A,FALSE,"DD"}</definedName>
    <definedName name="wrn.All._.Grant._.Forms._2_1_1_2" localSheetId="10" hidden="1">{"Form DD",#N/A,FALSE,"DD";"EE",#N/A,FALSE,"EE";"Indirects",#N/A,FALSE,"DD"}</definedName>
    <definedName name="wrn.All._.Grant._.Forms._2_1_1_2" hidden="1">{"Form DD",#N/A,FALSE,"DD";"EE",#N/A,FALSE,"EE";"Indirects",#N/A,FALSE,"DD"}</definedName>
    <definedName name="wrn.All._.Grant._.Forms._2_1_1_3" localSheetId="10" hidden="1">{"Form DD",#N/A,FALSE,"DD";"EE",#N/A,FALSE,"EE";"Indirects",#N/A,FALSE,"DD"}</definedName>
    <definedName name="wrn.All._.Grant._.Forms._2_1_1_3" hidden="1">{"Form DD",#N/A,FALSE,"DD";"EE",#N/A,FALSE,"EE";"Indirects",#N/A,FALSE,"DD"}</definedName>
    <definedName name="wrn.All._.Grant._.Forms._2_1_2" localSheetId="10" hidden="1">{"Form DD",#N/A,FALSE,"DD";"EE",#N/A,FALSE,"EE";"Indirects",#N/A,FALSE,"DD"}</definedName>
    <definedName name="wrn.All._.Grant._.Forms._2_1_2" hidden="1">{"Form DD",#N/A,FALSE,"DD";"EE",#N/A,FALSE,"EE";"Indirects",#N/A,FALSE,"DD"}</definedName>
    <definedName name="wrn.All._.Grant._.Forms._2_1_2_1" localSheetId="10" hidden="1">{"Form DD",#N/A,FALSE,"DD";"EE",#N/A,FALSE,"EE";"Indirects",#N/A,FALSE,"DD"}</definedName>
    <definedName name="wrn.All._.Grant._.Forms._2_1_2_1" hidden="1">{"Form DD",#N/A,FALSE,"DD";"EE",#N/A,FALSE,"EE";"Indirects",#N/A,FALSE,"DD"}</definedName>
    <definedName name="wrn.All._.Grant._.Forms._2_1_2_2" localSheetId="10" hidden="1">{"Form DD",#N/A,FALSE,"DD";"EE",#N/A,FALSE,"EE";"Indirects",#N/A,FALSE,"DD"}</definedName>
    <definedName name="wrn.All._.Grant._.Forms._2_1_2_2" hidden="1">{"Form DD",#N/A,FALSE,"DD";"EE",#N/A,FALSE,"EE";"Indirects",#N/A,FALSE,"DD"}</definedName>
    <definedName name="wrn.All._.Grant._.Forms._2_1_2_3" localSheetId="10" hidden="1">{"Form DD",#N/A,FALSE,"DD";"EE",#N/A,FALSE,"EE";"Indirects",#N/A,FALSE,"DD"}</definedName>
    <definedName name="wrn.All._.Grant._.Forms._2_1_2_3" hidden="1">{"Form DD",#N/A,FALSE,"DD";"EE",#N/A,FALSE,"EE";"Indirects",#N/A,FALSE,"DD"}</definedName>
    <definedName name="wrn.All._.Grant._.Forms._2_1_3" localSheetId="10" hidden="1">{"Form DD",#N/A,FALSE,"DD";"EE",#N/A,FALSE,"EE";"Indirects",#N/A,FALSE,"DD"}</definedName>
    <definedName name="wrn.All._.Grant._.Forms._2_1_3" hidden="1">{"Form DD",#N/A,FALSE,"DD";"EE",#N/A,FALSE,"EE";"Indirects",#N/A,FALSE,"DD"}</definedName>
    <definedName name="wrn.All._.Grant._.Forms._2_1_3_1" localSheetId="10" hidden="1">{"Form DD",#N/A,FALSE,"DD";"EE",#N/A,FALSE,"EE";"Indirects",#N/A,FALSE,"DD"}</definedName>
    <definedName name="wrn.All._.Grant._.Forms._2_1_3_1" hidden="1">{"Form DD",#N/A,FALSE,"DD";"EE",#N/A,FALSE,"EE";"Indirects",#N/A,FALSE,"DD"}</definedName>
    <definedName name="wrn.All._.Grant._.Forms._2_1_3_2" localSheetId="10" hidden="1">{"Form DD",#N/A,FALSE,"DD";"EE",#N/A,FALSE,"EE";"Indirects",#N/A,FALSE,"DD"}</definedName>
    <definedName name="wrn.All._.Grant._.Forms._2_1_3_2" hidden="1">{"Form DD",#N/A,FALSE,"DD";"EE",#N/A,FALSE,"EE";"Indirects",#N/A,FALSE,"DD"}</definedName>
    <definedName name="wrn.All._.Grant._.Forms._2_1_3_3" localSheetId="10" hidden="1">{"Form DD",#N/A,FALSE,"DD";"EE",#N/A,FALSE,"EE";"Indirects",#N/A,FALSE,"DD"}</definedName>
    <definedName name="wrn.All._.Grant._.Forms._2_1_3_3" hidden="1">{"Form DD",#N/A,FALSE,"DD";"EE",#N/A,FALSE,"EE";"Indirects",#N/A,FALSE,"DD"}</definedName>
    <definedName name="wrn.All._.Grant._.Forms._2_1_4" localSheetId="10" hidden="1">{"Form DD",#N/A,FALSE,"DD";"EE",#N/A,FALSE,"EE";"Indirects",#N/A,FALSE,"DD"}</definedName>
    <definedName name="wrn.All._.Grant._.Forms._2_1_4" hidden="1">{"Form DD",#N/A,FALSE,"DD";"EE",#N/A,FALSE,"EE";"Indirects",#N/A,FALSE,"DD"}</definedName>
    <definedName name="wrn.All._.Grant._.Forms._2_1_5" localSheetId="10" hidden="1">{"Form DD",#N/A,FALSE,"DD";"EE",#N/A,FALSE,"EE";"Indirects",#N/A,FALSE,"DD"}</definedName>
    <definedName name="wrn.All._.Grant._.Forms._2_1_5" hidden="1">{"Form DD",#N/A,FALSE,"DD";"EE",#N/A,FALSE,"EE";"Indirects",#N/A,FALSE,"DD"}</definedName>
    <definedName name="wrn.All._.Grant._.Forms._2_2" localSheetId="10" hidden="1">{"Form DD",#N/A,FALSE,"DD";"EE",#N/A,FALSE,"EE";"Indirects",#N/A,FALSE,"DD"}</definedName>
    <definedName name="wrn.All._.Grant._.Forms._2_2" hidden="1">{"Form DD",#N/A,FALSE,"DD";"EE",#N/A,FALSE,"EE";"Indirects",#N/A,FALSE,"DD"}</definedName>
    <definedName name="wrn.All._.Grant._.Forms._2_2_1" localSheetId="10" hidden="1">{"Form DD",#N/A,FALSE,"DD";"EE",#N/A,FALSE,"EE";"Indirects",#N/A,FALSE,"DD"}</definedName>
    <definedName name="wrn.All._.Grant._.Forms._2_2_1" hidden="1">{"Form DD",#N/A,FALSE,"DD";"EE",#N/A,FALSE,"EE";"Indirects",#N/A,FALSE,"DD"}</definedName>
    <definedName name="wrn.All._.Grant._.Forms._2_2_1_1" localSheetId="10" hidden="1">{"Form DD",#N/A,FALSE,"DD";"EE",#N/A,FALSE,"EE";"Indirects",#N/A,FALSE,"DD"}</definedName>
    <definedName name="wrn.All._.Grant._.Forms._2_2_1_1" hidden="1">{"Form DD",#N/A,FALSE,"DD";"EE",#N/A,FALSE,"EE";"Indirects",#N/A,FALSE,"DD"}</definedName>
    <definedName name="wrn.All._.Grant._.Forms._2_2_1_2" localSheetId="10" hidden="1">{"Form DD",#N/A,FALSE,"DD";"EE",#N/A,FALSE,"EE";"Indirects",#N/A,FALSE,"DD"}</definedName>
    <definedName name="wrn.All._.Grant._.Forms._2_2_1_2" hidden="1">{"Form DD",#N/A,FALSE,"DD";"EE",#N/A,FALSE,"EE";"Indirects",#N/A,FALSE,"DD"}</definedName>
    <definedName name="wrn.All._.Grant._.Forms._2_2_1_3" localSheetId="10" hidden="1">{"Form DD",#N/A,FALSE,"DD";"EE",#N/A,FALSE,"EE";"Indirects",#N/A,FALSE,"DD"}</definedName>
    <definedName name="wrn.All._.Grant._.Forms._2_2_1_3" hidden="1">{"Form DD",#N/A,FALSE,"DD";"EE",#N/A,FALSE,"EE";"Indirects",#N/A,FALSE,"DD"}</definedName>
    <definedName name="wrn.All._.Grant._.Forms._2_2_2" localSheetId="10" hidden="1">{"Form DD",#N/A,FALSE,"DD";"EE",#N/A,FALSE,"EE";"Indirects",#N/A,FALSE,"DD"}</definedName>
    <definedName name="wrn.All._.Grant._.Forms._2_2_2" hidden="1">{"Form DD",#N/A,FALSE,"DD";"EE",#N/A,FALSE,"EE";"Indirects",#N/A,FALSE,"DD"}</definedName>
    <definedName name="wrn.All._.Grant._.Forms._2_2_2_1" localSheetId="10" hidden="1">{"Form DD",#N/A,FALSE,"DD";"EE",#N/A,FALSE,"EE";"Indirects",#N/A,FALSE,"DD"}</definedName>
    <definedName name="wrn.All._.Grant._.Forms._2_2_2_1" hidden="1">{"Form DD",#N/A,FALSE,"DD";"EE",#N/A,FALSE,"EE";"Indirects",#N/A,FALSE,"DD"}</definedName>
    <definedName name="wrn.All._.Grant._.Forms._2_2_2_2" localSheetId="10" hidden="1">{"Form DD",#N/A,FALSE,"DD";"EE",#N/A,FALSE,"EE";"Indirects",#N/A,FALSE,"DD"}</definedName>
    <definedName name="wrn.All._.Grant._.Forms._2_2_2_2" hidden="1">{"Form DD",#N/A,FALSE,"DD";"EE",#N/A,FALSE,"EE";"Indirects",#N/A,FALSE,"DD"}</definedName>
    <definedName name="wrn.All._.Grant._.Forms._2_2_2_3" localSheetId="10" hidden="1">{"Form DD",#N/A,FALSE,"DD";"EE",#N/A,FALSE,"EE";"Indirects",#N/A,FALSE,"DD"}</definedName>
    <definedName name="wrn.All._.Grant._.Forms._2_2_2_3" hidden="1">{"Form DD",#N/A,FALSE,"DD";"EE",#N/A,FALSE,"EE";"Indirects",#N/A,FALSE,"DD"}</definedName>
    <definedName name="wrn.All._.Grant._.Forms._2_2_3" localSheetId="10" hidden="1">{"Form DD",#N/A,FALSE,"DD";"EE",#N/A,FALSE,"EE";"Indirects",#N/A,FALSE,"DD"}</definedName>
    <definedName name="wrn.All._.Grant._.Forms._2_2_3" hidden="1">{"Form DD",#N/A,FALSE,"DD";"EE",#N/A,FALSE,"EE";"Indirects",#N/A,FALSE,"DD"}</definedName>
    <definedName name="wrn.All._.Grant._.Forms._2_2_4" localSheetId="10" hidden="1">{"Form DD",#N/A,FALSE,"DD";"EE",#N/A,FALSE,"EE";"Indirects",#N/A,FALSE,"DD"}</definedName>
    <definedName name="wrn.All._.Grant._.Forms._2_2_4" hidden="1">{"Form DD",#N/A,FALSE,"DD";"EE",#N/A,FALSE,"EE";"Indirects",#N/A,FALSE,"DD"}</definedName>
    <definedName name="wrn.All._.Grant._.Forms._2_2_5" localSheetId="10" hidden="1">{"Form DD",#N/A,FALSE,"DD";"EE",#N/A,FALSE,"EE";"Indirects",#N/A,FALSE,"DD"}</definedName>
    <definedName name="wrn.All._.Grant._.Forms._2_2_5" hidden="1">{"Form DD",#N/A,FALSE,"DD";"EE",#N/A,FALSE,"EE";"Indirects",#N/A,FALSE,"DD"}</definedName>
    <definedName name="wrn.All._.Grant._.Forms._2_3" localSheetId="10" hidden="1">{"Form DD",#N/A,FALSE,"DD";"EE",#N/A,FALSE,"EE";"Indirects",#N/A,FALSE,"DD"}</definedName>
    <definedName name="wrn.All._.Grant._.Forms._2_3" hidden="1">{"Form DD",#N/A,FALSE,"DD";"EE",#N/A,FALSE,"EE";"Indirects",#N/A,FALSE,"DD"}</definedName>
    <definedName name="wrn.All._.Grant._.Forms._2_3_1" localSheetId="10" hidden="1">{"Form DD",#N/A,FALSE,"DD";"EE",#N/A,FALSE,"EE";"Indirects",#N/A,FALSE,"DD"}</definedName>
    <definedName name="wrn.All._.Grant._.Forms._2_3_1" hidden="1">{"Form DD",#N/A,FALSE,"DD";"EE",#N/A,FALSE,"EE";"Indirects",#N/A,FALSE,"DD"}</definedName>
    <definedName name="wrn.All._.Grant._.Forms._2_3_2" localSheetId="10" hidden="1">{"Form DD",#N/A,FALSE,"DD";"EE",#N/A,FALSE,"EE";"Indirects",#N/A,FALSE,"DD"}</definedName>
    <definedName name="wrn.All._.Grant._.Forms._2_3_2" hidden="1">{"Form DD",#N/A,FALSE,"DD";"EE",#N/A,FALSE,"EE";"Indirects",#N/A,FALSE,"DD"}</definedName>
    <definedName name="wrn.All._.Grant._.Forms._2_3_3" localSheetId="10" hidden="1">{"Form DD",#N/A,FALSE,"DD";"EE",#N/A,FALSE,"EE";"Indirects",#N/A,FALSE,"DD"}</definedName>
    <definedName name="wrn.All._.Grant._.Forms._2_3_3" hidden="1">{"Form DD",#N/A,FALSE,"DD";"EE",#N/A,FALSE,"EE";"Indirects",#N/A,FALSE,"DD"}</definedName>
    <definedName name="wrn.All._.Grant._.Forms._2_4" localSheetId="10" hidden="1">{"Form DD",#N/A,FALSE,"DD";"EE",#N/A,FALSE,"EE";"Indirects",#N/A,FALSE,"DD"}</definedName>
    <definedName name="wrn.All._.Grant._.Forms._2_4" hidden="1">{"Form DD",#N/A,FALSE,"DD";"EE",#N/A,FALSE,"EE";"Indirects",#N/A,FALSE,"DD"}</definedName>
    <definedName name="wrn.All._.Grant._.Forms._2_4_1" localSheetId="10" hidden="1">{"Form DD",#N/A,FALSE,"DD";"EE",#N/A,FALSE,"EE";"Indirects",#N/A,FALSE,"DD"}</definedName>
    <definedName name="wrn.All._.Grant._.Forms._2_4_1" hidden="1">{"Form DD",#N/A,FALSE,"DD";"EE",#N/A,FALSE,"EE";"Indirects",#N/A,FALSE,"DD"}</definedName>
    <definedName name="wrn.All._.Grant._.Forms._2_4_2" localSheetId="10" hidden="1">{"Form DD",#N/A,FALSE,"DD";"EE",#N/A,FALSE,"EE";"Indirects",#N/A,FALSE,"DD"}</definedName>
    <definedName name="wrn.All._.Grant._.Forms._2_4_2" hidden="1">{"Form DD",#N/A,FALSE,"DD";"EE",#N/A,FALSE,"EE";"Indirects",#N/A,FALSE,"DD"}</definedName>
    <definedName name="wrn.All._.Grant._.Forms._2_4_3" localSheetId="10" hidden="1">{"Form DD",#N/A,FALSE,"DD";"EE",#N/A,FALSE,"EE";"Indirects",#N/A,FALSE,"DD"}</definedName>
    <definedName name="wrn.All._.Grant._.Forms._2_4_3" hidden="1">{"Form DD",#N/A,FALSE,"DD";"EE",#N/A,FALSE,"EE";"Indirects",#N/A,FALSE,"DD"}</definedName>
    <definedName name="wrn.All._.Grant._.Forms._2_5" localSheetId="10" hidden="1">{"Form DD",#N/A,FALSE,"DD";"EE",#N/A,FALSE,"EE";"Indirects",#N/A,FALSE,"DD"}</definedName>
    <definedName name="wrn.All._.Grant._.Forms._2_5" hidden="1">{"Form DD",#N/A,FALSE,"DD";"EE",#N/A,FALSE,"EE";"Indirects",#N/A,FALSE,"DD"}</definedName>
    <definedName name="wrn.All._.Grant._.Forms._3" localSheetId="10" hidden="1">{"Form DD",#N/A,FALSE,"DD";"EE",#N/A,FALSE,"EE";"Indirects",#N/A,FALSE,"DD"}</definedName>
    <definedName name="wrn.All._.Grant._.Forms._3" hidden="1">{"Form DD",#N/A,FALSE,"DD";"EE",#N/A,FALSE,"EE";"Indirects",#N/A,FALSE,"DD"}</definedName>
    <definedName name="wrn.All._.Grant._.Forms._3_1" localSheetId="10" hidden="1">{"Form DD",#N/A,FALSE,"DD";"EE",#N/A,FALSE,"EE";"Indirects",#N/A,FALSE,"DD"}</definedName>
    <definedName name="wrn.All._.Grant._.Forms._3_1" hidden="1">{"Form DD",#N/A,FALSE,"DD";"EE",#N/A,FALSE,"EE";"Indirects",#N/A,FALSE,"DD"}</definedName>
    <definedName name="wrn.All._.Grant._.Forms._3_1_1" localSheetId="10" hidden="1">{"Form DD",#N/A,FALSE,"DD";"EE",#N/A,FALSE,"EE";"Indirects",#N/A,FALSE,"DD"}</definedName>
    <definedName name="wrn.All._.Grant._.Forms._3_1_1" hidden="1">{"Form DD",#N/A,FALSE,"DD";"EE",#N/A,FALSE,"EE";"Indirects",#N/A,FALSE,"DD"}</definedName>
    <definedName name="wrn.All._.Grant._.Forms._3_1_1_1" localSheetId="10" hidden="1">{"Form DD",#N/A,FALSE,"DD";"EE",#N/A,FALSE,"EE";"Indirects",#N/A,FALSE,"DD"}</definedName>
    <definedName name="wrn.All._.Grant._.Forms._3_1_1_1" hidden="1">{"Form DD",#N/A,FALSE,"DD";"EE",#N/A,FALSE,"EE";"Indirects",#N/A,FALSE,"DD"}</definedName>
    <definedName name="wrn.All._.Grant._.Forms._3_1_1_2" localSheetId="10" hidden="1">{"Form DD",#N/A,FALSE,"DD";"EE",#N/A,FALSE,"EE";"Indirects",#N/A,FALSE,"DD"}</definedName>
    <definedName name="wrn.All._.Grant._.Forms._3_1_1_2" hidden="1">{"Form DD",#N/A,FALSE,"DD";"EE",#N/A,FALSE,"EE";"Indirects",#N/A,FALSE,"DD"}</definedName>
    <definedName name="wrn.All._.Grant._.Forms._3_1_1_3" localSheetId="10" hidden="1">{"Form DD",#N/A,FALSE,"DD";"EE",#N/A,FALSE,"EE";"Indirects",#N/A,FALSE,"DD"}</definedName>
    <definedName name="wrn.All._.Grant._.Forms._3_1_1_3" hidden="1">{"Form DD",#N/A,FALSE,"DD";"EE",#N/A,FALSE,"EE";"Indirects",#N/A,FALSE,"DD"}</definedName>
    <definedName name="wrn.All._.Grant._.Forms._3_1_2" localSheetId="10" hidden="1">{"Form DD",#N/A,FALSE,"DD";"EE",#N/A,FALSE,"EE";"Indirects",#N/A,FALSE,"DD"}</definedName>
    <definedName name="wrn.All._.Grant._.Forms._3_1_2" hidden="1">{"Form DD",#N/A,FALSE,"DD";"EE",#N/A,FALSE,"EE";"Indirects",#N/A,FALSE,"DD"}</definedName>
    <definedName name="wrn.All._.Grant._.Forms._3_1_2_1" localSheetId="10" hidden="1">{"Form DD",#N/A,FALSE,"DD";"EE",#N/A,FALSE,"EE";"Indirects",#N/A,FALSE,"DD"}</definedName>
    <definedName name="wrn.All._.Grant._.Forms._3_1_2_1" hidden="1">{"Form DD",#N/A,FALSE,"DD";"EE",#N/A,FALSE,"EE";"Indirects",#N/A,FALSE,"DD"}</definedName>
    <definedName name="wrn.All._.Grant._.Forms._3_1_2_2" localSheetId="10" hidden="1">{"Form DD",#N/A,FALSE,"DD";"EE",#N/A,FALSE,"EE";"Indirects",#N/A,FALSE,"DD"}</definedName>
    <definedName name="wrn.All._.Grant._.Forms._3_1_2_2" hidden="1">{"Form DD",#N/A,FALSE,"DD";"EE",#N/A,FALSE,"EE";"Indirects",#N/A,FALSE,"DD"}</definedName>
    <definedName name="wrn.All._.Grant._.Forms._3_1_2_3" localSheetId="10" hidden="1">{"Form DD",#N/A,FALSE,"DD";"EE",#N/A,FALSE,"EE";"Indirects",#N/A,FALSE,"DD"}</definedName>
    <definedName name="wrn.All._.Grant._.Forms._3_1_2_3" hidden="1">{"Form DD",#N/A,FALSE,"DD";"EE",#N/A,FALSE,"EE";"Indirects",#N/A,FALSE,"DD"}</definedName>
    <definedName name="wrn.All._.Grant._.Forms._3_1_3" localSheetId="10" hidden="1">{"Form DD",#N/A,FALSE,"DD";"EE",#N/A,FALSE,"EE";"Indirects",#N/A,FALSE,"DD"}</definedName>
    <definedName name="wrn.All._.Grant._.Forms._3_1_3" hidden="1">{"Form DD",#N/A,FALSE,"DD";"EE",#N/A,FALSE,"EE";"Indirects",#N/A,FALSE,"DD"}</definedName>
    <definedName name="wrn.All._.Grant._.Forms._3_1_3_1" localSheetId="10" hidden="1">{"Form DD",#N/A,FALSE,"DD";"EE",#N/A,FALSE,"EE";"Indirects",#N/A,FALSE,"DD"}</definedName>
    <definedName name="wrn.All._.Grant._.Forms._3_1_3_1" hidden="1">{"Form DD",#N/A,FALSE,"DD";"EE",#N/A,FALSE,"EE";"Indirects",#N/A,FALSE,"DD"}</definedName>
    <definedName name="wrn.All._.Grant._.Forms._3_1_3_2" localSheetId="10" hidden="1">{"Form DD",#N/A,FALSE,"DD";"EE",#N/A,FALSE,"EE";"Indirects",#N/A,FALSE,"DD"}</definedName>
    <definedName name="wrn.All._.Grant._.Forms._3_1_3_2" hidden="1">{"Form DD",#N/A,FALSE,"DD";"EE",#N/A,FALSE,"EE";"Indirects",#N/A,FALSE,"DD"}</definedName>
    <definedName name="wrn.All._.Grant._.Forms._3_1_3_3" localSheetId="10" hidden="1">{"Form DD",#N/A,FALSE,"DD";"EE",#N/A,FALSE,"EE";"Indirects",#N/A,FALSE,"DD"}</definedName>
    <definedName name="wrn.All._.Grant._.Forms._3_1_3_3" hidden="1">{"Form DD",#N/A,FALSE,"DD";"EE",#N/A,FALSE,"EE";"Indirects",#N/A,FALSE,"DD"}</definedName>
    <definedName name="wrn.All._.Grant._.Forms._3_1_4" localSheetId="10" hidden="1">{"Form DD",#N/A,FALSE,"DD";"EE",#N/A,FALSE,"EE";"Indirects",#N/A,FALSE,"DD"}</definedName>
    <definedName name="wrn.All._.Grant._.Forms._3_1_4" hidden="1">{"Form DD",#N/A,FALSE,"DD";"EE",#N/A,FALSE,"EE";"Indirects",#N/A,FALSE,"DD"}</definedName>
    <definedName name="wrn.All._.Grant._.Forms._3_1_5" localSheetId="10" hidden="1">{"Form DD",#N/A,FALSE,"DD";"EE",#N/A,FALSE,"EE";"Indirects",#N/A,FALSE,"DD"}</definedName>
    <definedName name="wrn.All._.Grant._.Forms._3_1_5" hidden="1">{"Form DD",#N/A,FALSE,"DD";"EE",#N/A,FALSE,"EE";"Indirects",#N/A,FALSE,"DD"}</definedName>
    <definedName name="wrn.All._.Grant._.Forms._3_2" localSheetId="10" hidden="1">{"Form DD",#N/A,FALSE,"DD";"EE",#N/A,FALSE,"EE";"Indirects",#N/A,FALSE,"DD"}</definedName>
    <definedName name="wrn.All._.Grant._.Forms._3_2" hidden="1">{"Form DD",#N/A,FALSE,"DD";"EE",#N/A,FALSE,"EE";"Indirects",#N/A,FALSE,"DD"}</definedName>
    <definedName name="wrn.All._.Grant._.Forms._3_2_1" localSheetId="10" hidden="1">{"Form DD",#N/A,FALSE,"DD";"EE",#N/A,FALSE,"EE";"Indirects",#N/A,FALSE,"DD"}</definedName>
    <definedName name="wrn.All._.Grant._.Forms._3_2_1" hidden="1">{"Form DD",#N/A,FALSE,"DD";"EE",#N/A,FALSE,"EE";"Indirects",#N/A,FALSE,"DD"}</definedName>
    <definedName name="wrn.All._.Grant._.Forms._3_2_1_1" localSheetId="10" hidden="1">{"Form DD",#N/A,FALSE,"DD";"EE",#N/A,FALSE,"EE";"Indirects",#N/A,FALSE,"DD"}</definedName>
    <definedName name="wrn.All._.Grant._.Forms._3_2_1_1" hidden="1">{"Form DD",#N/A,FALSE,"DD";"EE",#N/A,FALSE,"EE";"Indirects",#N/A,FALSE,"DD"}</definedName>
    <definedName name="wrn.All._.Grant._.Forms._3_2_1_2" localSheetId="10" hidden="1">{"Form DD",#N/A,FALSE,"DD";"EE",#N/A,FALSE,"EE";"Indirects",#N/A,FALSE,"DD"}</definedName>
    <definedName name="wrn.All._.Grant._.Forms._3_2_1_2" hidden="1">{"Form DD",#N/A,FALSE,"DD";"EE",#N/A,FALSE,"EE";"Indirects",#N/A,FALSE,"DD"}</definedName>
    <definedName name="wrn.All._.Grant._.Forms._3_2_1_3" localSheetId="10" hidden="1">{"Form DD",#N/A,FALSE,"DD";"EE",#N/A,FALSE,"EE";"Indirects",#N/A,FALSE,"DD"}</definedName>
    <definedName name="wrn.All._.Grant._.Forms._3_2_1_3" hidden="1">{"Form DD",#N/A,FALSE,"DD";"EE",#N/A,FALSE,"EE";"Indirects",#N/A,FALSE,"DD"}</definedName>
    <definedName name="wrn.All._.Grant._.Forms._3_2_2" localSheetId="10" hidden="1">{"Form DD",#N/A,FALSE,"DD";"EE",#N/A,FALSE,"EE";"Indirects",#N/A,FALSE,"DD"}</definedName>
    <definedName name="wrn.All._.Grant._.Forms._3_2_2" hidden="1">{"Form DD",#N/A,FALSE,"DD";"EE",#N/A,FALSE,"EE";"Indirects",#N/A,FALSE,"DD"}</definedName>
    <definedName name="wrn.All._.Grant._.Forms._3_2_2_1" localSheetId="10" hidden="1">{"Form DD",#N/A,FALSE,"DD";"EE",#N/A,FALSE,"EE";"Indirects",#N/A,FALSE,"DD"}</definedName>
    <definedName name="wrn.All._.Grant._.Forms._3_2_2_1" hidden="1">{"Form DD",#N/A,FALSE,"DD";"EE",#N/A,FALSE,"EE";"Indirects",#N/A,FALSE,"DD"}</definedName>
    <definedName name="wrn.All._.Grant._.Forms._3_2_2_2" localSheetId="10" hidden="1">{"Form DD",#N/A,FALSE,"DD";"EE",#N/A,FALSE,"EE";"Indirects",#N/A,FALSE,"DD"}</definedName>
    <definedName name="wrn.All._.Grant._.Forms._3_2_2_2" hidden="1">{"Form DD",#N/A,FALSE,"DD";"EE",#N/A,FALSE,"EE";"Indirects",#N/A,FALSE,"DD"}</definedName>
    <definedName name="wrn.All._.Grant._.Forms._3_2_2_3" localSheetId="10" hidden="1">{"Form DD",#N/A,FALSE,"DD";"EE",#N/A,FALSE,"EE";"Indirects",#N/A,FALSE,"DD"}</definedName>
    <definedName name="wrn.All._.Grant._.Forms._3_2_2_3" hidden="1">{"Form DD",#N/A,FALSE,"DD";"EE",#N/A,FALSE,"EE";"Indirects",#N/A,FALSE,"DD"}</definedName>
    <definedName name="wrn.All._.Grant._.Forms._3_2_3" localSheetId="10" hidden="1">{"Form DD",#N/A,FALSE,"DD";"EE",#N/A,FALSE,"EE";"Indirects",#N/A,FALSE,"DD"}</definedName>
    <definedName name="wrn.All._.Grant._.Forms._3_2_3" hidden="1">{"Form DD",#N/A,FALSE,"DD";"EE",#N/A,FALSE,"EE";"Indirects",#N/A,FALSE,"DD"}</definedName>
    <definedName name="wrn.All._.Grant._.Forms._3_2_4" localSheetId="10" hidden="1">{"Form DD",#N/A,FALSE,"DD";"EE",#N/A,FALSE,"EE";"Indirects",#N/A,FALSE,"DD"}</definedName>
    <definedName name="wrn.All._.Grant._.Forms._3_2_4" hidden="1">{"Form DD",#N/A,FALSE,"DD";"EE",#N/A,FALSE,"EE";"Indirects",#N/A,FALSE,"DD"}</definedName>
    <definedName name="wrn.All._.Grant._.Forms._3_2_5" localSheetId="10" hidden="1">{"Form DD",#N/A,FALSE,"DD";"EE",#N/A,FALSE,"EE";"Indirects",#N/A,FALSE,"DD"}</definedName>
    <definedName name="wrn.All._.Grant._.Forms._3_2_5" hidden="1">{"Form DD",#N/A,FALSE,"DD";"EE",#N/A,FALSE,"EE";"Indirects",#N/A,FALSE,"DD"}</definedName>
    <definedName name="wrn.All._.Grant._.Forms._3_3" localSheetId="10" hidden="1">{"Form DD",#N/A,FALSE,"DD";"EE",#N/A,FALSE,"EE";"Indirects",#N/A,FALSE,"DD"}</definedName>
    <definedName name="wrn.All._.Grant._.Forms._3_3" hidden="1">{"Form DD",#N/A,FALSE,"DD";"EE",#N/A,FALSE,"EE";"Indirects",#N/A,FALSE,"DD"}</definedName>
    <definedName name="wrn.All._.Grant._.Forms._3_3_1" localSheetId="10" hidden="1">{"Form DD",#N/A,FALSE,"DD";"EE",#N/A,FALSE,"EE";"Indirects",#N/A,FALSE,"DD"}</definedName>
    <definedName name="wrn.All._.Grant._.Forms._3_3_1" hidden="1">{"Form DD",#N/A,FALSE,"DD";"EE",#N/A,FALSE,"EE";"Indirects",#N/A,FALSE,"DD"}</definedName>
    <definedName name="wrn.All._.Grant._.Forms._3_3_2" localSheetId="10" hidden="1">{"Form DD",#N/A,FALSE,"DD";"EE",#N/A,FALSE,"EE";"Indirects",#N/A,FALSE,"DD"}</definedName>
    <definedName name="wrn.All._.Grant._.Forms._3_3_2" hidden="1">{"Form DD",#N/A,FALSE,"DD";"EE",#N/A,FALSE,"EE";"Indirects",#N/A,FALSE,"DD"}</definedName>
    <definedName name="wrn.All._.Grant._.Forms._3_3_3" localSheetId="10" hidden="1">{"Form DD",#N/A,FALSE,"DD";"EE",#N/A,FALSE,"EE";"Indirects",#N/A,FALSE,"DD"}</definedName>
    <definedName name="wrn.All._.Grant._.Forms._3_3_3" hidden="1">{"Form DD",#N/A,FALSE,"DD";"EE",#N/A,FALSE,"EE";"Indirects",#N/A,FALSE,"DD"}</definedName>
    <definedName name="wrn.All._.Grant._.Forms._3_4" localSheetId="10" hidden="1">{"Form DD",#N/A,FALSE,"DD";"EE",#N/A,FALSE,"EE";"Indirects",#N/A,FALSE,"DD"}</definedName>
    <definedName name="wrn.All._.Grant._.Forms._3_4" hidden="1">{"Form DD",#N/A,FALSE,"DD";"EE",#N/A,FALSE,"EE";"Indirects",#N/A,FALSE,"DD"}</definedName>
    <definedName name="wrn.All._.Grant._.Forms._3_4_1" localSheetId="10" hidden="1">{"Form DD",#N/A,FALSE,"DD";"EE",#N/A,FALSE,"EE";"Indirects",#N/A,FALSE,"DD"}</definedName>
    <definedName name="wrn.All._.Grant._.Forms._3_4_1" hidden="1">{"Form DD",#N/A,FALSE,"DD";"EE",#N/A,FALSE,"EE";"Indirects",#N/A,FALSE,"DD"}</definedName>
    <definedName name="wrn.All._.Grant._.Forms._3_4_2" localSheetId="10" hidden="1">{"Form DD",#N/A,FALSE,"DD";"EE",#N/A,FALSE,"EE";"Indirects",#N/A,FALSE,"DD"}</definedName>
    <definedName name="wrn.All._.Grant._.Forms._3_4_2" hidden="1">{"Form DD",#N/A,FALSE,"DD";"EE",#N/A,FALSE,"EE";"Indirects",#N/A,FALSE,"DD"}</definedName>
    <definedName name="wrn.All._.Grant._.Forms._3_4_3" localSheetId="10" hidden="1">{"Form DD",#N/A,FALSE,"DD";"EE",#N/A,FALSE,"EE";"Indirects",#N/A,FALSE,"DD"}</definedName>
    <definedName name="wrn.All._.Grant._.Forms._3_4_3" hidden="1">{"Form DD",#N/A,FALSE,"DD";"EE",#N/A,FALSE,"EE";"Indirects",#N/A,FALSE,"DD"}</definedName>
    <definedName name="wrn.All._.Grant._.Forms._3_5" localSheetId="10" hidden="1">{"Form DD",#N/A,FALSE,"DD";"EE",#N/A,FALSE,"EE";"Indirects",#N/A,FALSE,"DD"}</definedName>
    <definedName name="wrn.All._.Grant._.Forms._3_5" hidden="1">{"Form DD",#N/A,FALSE,"DD";"EE",#N/A,FALSE,"EE";"Indirects",#N/A,FALSE,"DD"}</definedName>
    <definedName name="wrn.All._.Grant._.Forms._4" localSheetId="10" hidden="1">{"Form DD",#N/A,FALSE,"DD";"EE",#N/A,FALSE,"EE";"Indirects",#N/A,FALSE,"DD"}</definedName>
    <definedName name="wrn.All._.Grant._.Forms._4" hidden="1">{"Form DD",#N/A,FALSE,"DD";"EE",#N/A,FALSE,"EE";"Indirects",#N/A,FALSE,"DD"}</definedName>
    <definedName name="wrn.All._.Grant._.Forms._4_1" localSheetId="10" hidden="1">{"Form DD",#N/A,FALSE,"DD";"EE",#N/A,FALSE,"EE";"Indirects",#N/A,FALSE,"DD"}</definedName>
    <definedName name="wrn.All._.Grant._.Forms._4_1" hidden="1">{"Form DD",#N/A,FALSE,"DD";"EE",#N/A,FALSE,"EE";"Indirects",#N/A,FALSE,"DD"}</definedName>
    <definedName name="wrn.All._.Grant._.Forms._4_1_1" localSheetId="10" hidden="1">{"Form DD",#N/A,FALSE,"DD";"EE",#N/A,FALSE,"EE";"Indirects",#N/A,FALSE,"DD"}</definedName>
    <definedName name="wrn.All._.Grant._.Forms._4_1_1" hidden="1">{"Form DD",#N/A,FALSE,"DD";"EE",#N/A,FALSE,"EE";"Indirects",#N/A,FALSE,"DD"}</definedName>
    <definedName name="wrn.All._.Grant._.Forms._4_1_1_1" localSheetId="10" hidden="1">{"Form DD",#N/A,FALSE,"DD";"EE",#N/A,FALSE,"EE";"Indirects",#N/A,FALSE,"DD"}</definedName>
    <definedName name="wrn.All._.Grant._.Forms._4_1_1_1" hidden="1">{"Form DD",#N/A,FALSE,"DD";"EE",#N/A,FALSE,"EE";"Indirects",#N/A,FALSE,"DD"}</definedName>
    <definedName name="wrn.All._.Grant._.Forms._4_1_1_2" localSheetId="10" hidden="1">{"Form DD",#N/A,FALSE,"DD";"EE",#N/A,FALSE,"EE";"Indirects",#N/A,FALSE,"DD"}</definedName>
    <definedName name="wrn.All._.Grant._.Forms._4_1_1_2" hidden="1">{"Form DD",#N/A,FALSE,"DD";"EE",#N/A,FALSE,"EE";"Indirects",#N/A,FALSE,"DD"}</definedName>
    <definedName name="wrn.All._.Grant._.Forms._4_1_1_3" localSheetId="10" hidden="1">{"Form DD",#N/A,FALSE,"DD";"EE",#N/A,FALSE,"EE";"Indirects",#N/A,FALSE,"DD"}</definedName>
    <definedName name="wrn.All._.Grant._.Forms._4_1_1_3" hidden="1">{"Form DD",#N/A,FALSE,"DD";"EE",#N/A,FALSE,"EE";"Indirects",#N/A,FALSE,"DD"}</definedName>
    <definedName name="wrn.All._.Grant._.Forms._4_1_2" localSheetId="10" hidden="1">{"Form DD",#N/A,FALSE,"DD";"EE",#N/A,FALSE,"EE";"Indirects",#N/A,FALSE,"DD"}</definedName>
    <definedName name="wrn.All._.Grant._.Forms._4_1_2" hidden="1">{"Form DD",#N/A,FALSE,"DD";"EE",#N/A,FALSE,"EE";"Indirects",#N/A,FALSE,"DD"}</definedName>
    <definedName name="wrn.All._.Grant._.Forms._4_1_2_1" localSheetId="10" hidden="1">{"Form DD",#N/A,FALSE,"DD";"EE",#N/A,FALSE,"EE";"Indirects",#N/A,FALSE,"DD"}</definedName>
    <definedName name="wrn.All._.Grant._.Forms._4_1_2_1" hidden="1">{"Form DD",#N/A,FALSE,"DD";"EE",#N/A,FALSE,"EE";"Indirects",#N/A,FALSE,"DD"}</definedName>
    <definedName name="wrn.All._.Grant._.Forms._4_1_2_2" localSheetId="10" hidden="1">{"Form DD",#N/A,FALSE,"DD";"EE",#N/A,FALSE,"EE";"Indirects",#N/A,FALSE,"DD"}</definedName>
    <definedName name="wrn.All._.Grant._.Forms._4_1_2_2" hidden="1">{"Form DD",#N/A,FALSE,"DD";"EE",#N/A,FALSE,"EE";"Indirects",#N/A,FALSE,"DD"}</definedName>
    <definedName name="wrn.All._.Grant._.Forms._4_1_2_3" localSheetId="10" hidden="1">{"Form DD",#N/A,FALSE,"DD";"EE",#N/A,FALSE,"EE";"Indirects",#N/A,FALSE,"DD"}</definedName>
    <definedName name="wrn.All._.Grant._.Forms._4_1_2_3" hidden="1">{"Form DD",#N/A,FALSE,"DD";"EE",#N/A,FALSE,"EE";"Indirects",#N/A,FALSE,"DD"}</definedName>
    <definedName name="wrn.All._.Grant._.Forms._4_1_3" localSheetId="10" hidden="1">{"Form DD",#N/A,FALSE,"DD";"EE",#N/A,FALSE,"EE";"Indirects",#N/A,FALSE,"DD"}</definedName>
    <definedName name="wrn.All._.Grant._.Forms._4_1_3" hidden="1">{"Form DD",#N/A,FALSE,"DD";"EE",#N/A,FALSE,"EE";"Indirects",#N/A,FALSE,"DD"}</definedName>
    <definedName name="wrn.All._.Grant._.Forms._4_1_3_1" localSheetId="10" hidden="1">{"Form DD",#N/A,FALSE,"DD";"EE",#N/A,FALSE,"EE";"Indirects",#N/A,FALSE,"DD"}</definedName>
    <definedName name="wrn.All._.Grant._.Forms._4_1_3_1" hidden="1">{"Form DD",#N/A,FALSE,"DD";"EE",#N/A,FALSE,"EE";"Indirects",#N/A,FALSE,"DD"}</definedName>
    <definedName name="wrn.All._.Grant._.Forms._4_1_3_2" localSheetId="10" hidden="1">{"Form DD",#N/A,FALSE,"DD";"EE",#N/A,FALSE,"EE";"Indirects",#N/A,FALSE,"DD"}</definedName>
    <definedName name="wrn.All._.Grant._.Forms._4_1_3_2" hidden="1">{"Form DD",#N/A,FALSE,"DD";"EE",#N/A,FALSE,"EE";"Indirects",#N/A,FALSE,"DD"}</definedName>
    <definedName name="wrn.All._.Grant._.Forms._4_1_3_3" localSheetId="10" hidden="1">{"Form DD",#N/A,FALSE,"DD";"EE",#N/A,FALSE,"EE";"Indirects",#N/A,FALSE,"DD"}</definedName>
    <definedName name="wrn.All._.Grant._.Forms._4_1_3_3" hidden="1">{"Form DD",#N/A,FALSE,"DD";"EE",#N/A,FALSE,"EE";"Indirects",#N/A,FALSE,"DD"}</definedName>
    <definedName name="wrn.All._.Grant._.Forms._4_1_4" localSheetId="10" hidden="1">{"Form DD",#N/A,FALSE,"DD";"EE",#N/A,FALSE,"EE";"Indirects",#N/A,FALSE,"DD"}</definedName>
    <definedName name="wrn.All._.Grant._.Forms._4_1_4" hidden="1">{"Form DD",#N/A,FALSE,"DD";"EE",#N/A,FALSE,"EE";"Indirects",#N/A,FALSE,"DD"}</definedName>
    <definedName name="wrn.All._.Grant._.Forms._4_1_5" localSheetId="10" hidden="1">{"Form DD",#N/A,FALSE,"DD";"EE",#N/A,FALSE,"EE";"Indirects",#N/A,FALSE,"DD"}</definedName>
    <definedName name="wrn.All._.Grant._.Forms._4_1_5" hidden="1">{"Form DD",#N/A,FALSE,"DD";"EE",#N/A,FALSE,"EE";"Indirects",#N/A,FALSE,"DD"}</definedName>
    <definedName name="wrn.All._.Grant._.Forms._4_2" localSheetId="10" hidden="1">{"Form DD",#N/A,FALSE,"DD";"EE",#N/A,FALSE,"EE";"Indirects",#N/A,FALSE,"DD"}</definedName>
    <definedName name="wrn.All._.Grant._.Forms._4_2" hidden="1">{"Form DD",#N/A,FALSE,"DD";"EE",#N/A,FALSE,"EE";"Indirects",#N/A,FALSE,"DD"}</definedName>
    <definedName name="wrn.All._.Grant._.Forms._4_2_1" localSheetId="10" hidden="1">{"Form DD",#N/A,FALSE,"DD";"EE",#N/A,FALSE,"EE";"Indirects",#N/A,FALSE,"DD"}</definedName>
    <definedName name="wrn.All._.Grant._.Forms._4_2_1" hidden="1">{"Form DD",#N/A,FALSE,"DD";"EE",#N/A,FALSE,"EE";"Indirects",#N/A,FALSE,"DD"}</definedName>
    <definedName name="wrn.All._.Grant._.Forms._4_2_1_1" localSheetId="10" hidden="1">{"Form DD",#N/A,FALSE,"DD";"EE",#N/A,FALSE,"EE";"Indirects",#N/A,FALSE,"DD"}</definedName>
    <definedName name="wrn.All._.Grant._.Forms._4_2_1_1" hidden="1">{"Form DD",#N/A,FALSE,"DD";"EE",#N/A,FALSE,"EE";"Indirects",#N/A,FALSE,"DD"}</definedName>
    <definedName name="wrn.All._.Grant._.Forms._4_2_1_2" localSheetId="10" hidden="1">{"Form DD",#N/A,FALSE,"DD";"EE",#N/A,FALSE,"EE";"Indirects",#N/A,FALSE,"DD"}</definedName>
    <definedName name="wrn.All._.Grant._.Forms._4_2_1_2" hidden="1">{"Form DD",#N/A,FALSE,"DD";"EE",#N/A,FALSE,"EE";"Indirects",#N/A,FALSE,"DD"}</definedName>
    <definedName name="wrn.All._.Grant._.Forms._4_2_1_3" localSheetId="10" hidden="1">{"Form DD",#N/A,FALSE,"DD";"EE",#N/A,FALSE,"EE";"Indirects",#N/A,FALSE,"DD"}</definedName>
    <definedName name="wrn.All._.Grant._.Forms._4_2_1_3" hidden="1">{"Form DD",#N/A,FALSE,"DD";"EE",#N/A,FALSE,"EE";"Indirects",#N/A,FALSE,"DD"}</definedName>
    <definedName name="wrn.All._.Grant._.Forms._4_2_2" localSheetId="10" hidden="1">{"Form DD",#N/A,FALSE,"DD";"EE",#N/A,FALSE,"EE";"Indirects",#N/A,FALSE,"DD"}</definedName>
    <definedName name="wrn.All._.Grant._.Forms._4_2_2" hidden="1">{"Form DD",#N/A,FALSE,"DD";"EE",#N/A,FALSE,"EE";"Indirects",#N/A,FALSE,"DD"}</definedName>
    <definedName name="wrn.All._.Grant._.Forms._4_2_2_1" localSheetId="10" hidden="1">{"Form DD",#N/A,FALSE,"DD";"EE",#N/A,FALSE,"EE";"Indirects",#N/A,FALSE,"DD"}</definedName>
    <definedName name="wrn.All._.Grant._.Forms._4_2_2_1" hidden="1">{"Form DD",#N/A,FALSE,"DD";"EE",#N/A,FALSE,"EE";"Indirects",#N/A,FALSE,"DD"}</definedName>
    <definedName name="wrn.All._.Grant._.Forms._4_2_2_2" localSheetId="10" hidden="1">{"Form DD",#N/A,FALSE,"DD";"EE",#N/A,FALSE,"EE";"Indirects",#N/A,FALSE,"DD"}</definedName>
    <definedName name="wrn.All._.Grant._.Forms._4_2_2_2" hidden="1">{"Form DD",#N/A,FALSE,"DD";"EE",#N/A,FALSE,"EE";"Indirects",#N/A,FALSE,"DD"}</definedName>
    <definedName name="wrn.All._.Grant._.Forms._4_2_2_3" localSheetId="10" hidden="1">{"Form DD",#N/A,FALSE,"DD";"EE",#N/A,FALSE,"EE";"Indirects",#N/A,FALSE,"DD"}</definedName>
    <definedName name="wrn.All._.Grant._.Forms._4_2_2_3" hidden="1">{"Form DD",#N/A,FALSE,"DD";"EE",#N/A,FALSE,"EE";"Indirects",#N/A,FALSE,"DD"}</definedName>
    <definedName name="wrn.All._.Grant._.Forms._4_2_3" localSheetId="10" hidden="1">{"Form DD",#N/A,FALSE,"DD";"EE",#N/A,FALSE,"EE";"Indirects",#N/A,FALSE,"DD"}</definedName>
    <definedName name="wrn.All._.Grant._.Forms._4_2_3" hidden="1">{"Form DD",#N/A,FALSE,"DD";"EE",#N/A,FALSE,"EE";"Indirects",#N/A,FALSE,"DD"}</definedName>
    <definedName name="wrn.All._.Grant._.Forms._4_2_4" localSheetId="10" hidden="1">{"Form DD",#N/A,FALSE,"DD";"EE",#N/A,FALSE,"EE";"Indirects",#N/A,FALSE,"DD"}</definedName>
    <definedName name="wrn.All._.Grant._.Forms._4_2_4" hidden="1">{"Form DD",#N/A,FALSE,"DD";"EE",#N/A,FALSE,"EE";"Indirects",#N/A,FALSE,"DD"}</definedName>
    <definedName name="wrn.All._.Grant._.Forms._4_2_5" localSheetId="10" hidden="1">{"Form DD",#N/A,FALSE,"DD";"EE",#N/A,FALSE,"EE";"Indirects",#N/A,FALSE,"DD"}</definedName>
    <definedName name="wrn.All._.Grant._.Forms._4_2_5" hidden="1">{"Form DD",#N/A,FALSE,"DD";"EE",#N/A,FALSE,"EE";"Indirects",#N/A,FALSE,"DD"}</definedName>
    <definedName name="wrn.All._.Grant._.Forms._4_3" localSheetId="10" hidden="1">{"Form DD",#N/A,FALSE,"DD";"EE",#N/A,FALSE,"EE";"Indirects",#N/A,FALSE,"DD"}</definedName>
    <definedName name="wrn.All._.Grant._.Forms._4_3" hidden="1">{"Form DD",#N/A,FALSE,"DD";"EE",#N/A,FALSE,"EE";"Indirects",#N/A,FALSE,"DD"}</definedName>
    <definedName name="wrn.All._.Grant._.Forms._4_3_1" localSheetId="10" hidden="1">{"Form DD",#N/A,FALSE,"DD";"EE",#N/A,FALSE,"EE";"Indirects",#N/A,FALSE,"DD"}</definedName>
    <definedName name="wrn.All._.Grant._.Forms._4_3_1" hidden="1">{"Form DD",#N/A,FALSE,"DD";"EE",#N/A,FALSE,"EE";"Indirects",#N/A,FALSE,"DD"}</definedName>
    <definedName name="wrn.All._.Grant._.Forms._4_3_2" localSheetId="10" hidden="1">{"Form DD",#N/A,FALSE,"DD";"EE",#N/A,FALSE,"EE";"Indirects",#N/A,FALSE,"DD"}</definedName>
    <definedName name="wrn.All._.Grant._.Forms._4_3_2" hidden="1">{"Form DD",#N/A,FALSE,"DD";"EE",#N/A,FALSE,"EE";"Indirects",#N/A,FALSE,"DD"}</definedName>
    <definedName name="wrn.All._.Grant._.Forms._4_3_3" localSheetId="10" hidden="1">{"Form DD",#N/A,FALSE,"DD";"EE",#N/A,FALSE,"EE";"Indirects",#N/A,FALSE,"DD"}</definedName>
    <definedName name="wrn.All._.Grant._.Forms._4_3_3" hidden="1">{"Form DD",#N/A,FALSE,"DD";"EE",#N/A,FALSE,"EE";"Indirects",#N/A,FALSE,"DD"}</definedName>
    <definedName name="wrn.All._.Grant._.Forms._4_4" localSheetId="10" hidden="1">{"Form DD",#N/A,FALSE,"DD";"EE",#N/A,FALSE,"EE";"Indirects",#N/A,FALSE,"DD"}</definedName>
    <definedName name="wrn.All._.Grant._.Forms._4_4" hidden="1">{"Form DD",#N/A,FALSE,"DD";"EE",#N/A,FALSE,"EE";"Indirects",#N/A,FALSE,"DD"}</definedName>
    <definedName name="wrn.All._.Grant._.Forms._4_4_1" localSheetId="10" hidden="1">{"Form DD",#N/A,FALSE,"DD";"EE",#N/A,FALSE,"EE";"Indirects",#N/A,FALSE,"DD"}</definedName>
    <definedName name="wrn.All._.Grant._.Forms._4_4_1" hidden="1">{"Form DD",#N/A,FALSE,"DD";"EE",#N/A,FALSE,"EE";"Indirects",#N/A,FALSE,"DD"}</definedName>
    <definedName name="wrn.All._.Grant._.Forms._4_4_2" localSheetId="10" hidden="1">{"Form DD",#N/A,FALSE,"DD";"EE",#N/A,FALSE,"EE";"Indirects",#N/A,FALSE,"DD"}</definedName>
    <definedName name="wrn.All._.Grant._.Forms._4_4_2" hidden="1">{"Form DD",#N/A,FALSE,"DD";"EE",#N/A,FALSE,"EE";"Indirects",#N/A,FALSE,"DD"}</definedName>
    <definedName name="wrn.All._.Grant._.Forms._4_4_3" localSheetId="10" hidden="1">{"Form DD",#N/A,FALSE,"DD";"EE",#N/A,FALSE,"EE";"Indirects",#N/A,FALSE,"DD"}</definedName>
    <definedName name="wrn.All._.Grant._.Forms._4_4_3" hidden="1">{"Form DD",#N/A,FALSE,"DD";"EE",#N/A,FALSE,"EE";"Indirects",#N/A,FALSE,"DD"}</definedName>
    <definedName name="wrn.All._.Grant._.Forms._4_5" localSheetId="10" hidden="1">{"Form DD",#N/A,FALSE,"DD";"EE",#N/A,FALSE,"EE";"Indirects",#N/A,FALSE,"DD"}</definedName>
    <definedName name="wrn.All._.Grant._.Forms._4_5" hidden="1">{"Form DD",#N/A,FALSE,"DD";"EE",#N/A,FALSE,"EE";"Indirects",#N/A,FALSE,"DD"}</definedName>
    <definedName name="wrn.All._.Grant._.Forms._5" localSheetId="10" hidden="1">{"Form DD",#N/A,FALSE,"DD";"EE",#N/A,FALSE,"EE";"Indirects",#N/A,FALSE,"DD"}</definedName>
    <definedName name="wrn.All._.Grant._.Forms._5" hidden="1">{"Form DD",#N/A,FALSE,"DD";"EE",#N/A,FALSE,"EE";"Indirects",#N/A,FALSE,"DD"}</definedName>
    <definedName name="wrn.All._.Grant._.Forms._5_1" localSheetId="10" hidden="1">{"Form DD",#N/A,FALSE,"DD";"EE",#N/A,FALSE,"EE";"Indirects",#N/A,FALSE,"DD"}</definedName>
    <definedName name="wrn.All._.Grant._.Forms._5_1" hidden="1">{"Form DD",#N/A,FALSE,"DD";"EE",#N/A,FALSE,"EE";"Indirects",#N/A,FALSE,"DD"}</definedName>
    <definedName name="wrn.All._.Grant._.Forms._5_1_1" localSheetId="10" hidden="1">{"Form DD",#N/A,FALSE,"DD";"EE",#N/A,FALSE,"EE";"Indirects",#N/A,FALSE,"DD"}</definedName>
    <definedName name="wrn.All._.Grant._.Forms._5_1_1" hidden="1">{"Form DD",#N/A,FALSE,"DD";"EE",#N/A,FALSE,"EE";"Indirects",#N/A,FALSE,"DD"}</definedName>
    <definedName name="wrn.All._.Grant._.Forms._5_1_1_1" localSheetId="10" hidden="1">{"Form DD",#N/A,FALSE,"DD";"EE",#N/A,FALSE,"EE";"Indirects",#N/A,FALSE,"DD"}</definedName>
    <definedName name="wrn.All._.Grant._.Forms._5_1_1_1" hidden="1">{"Form DD",#N/A,FALSE,"DD";"EE",#N/A,FALSE,"EE";"Indirects",#N/A,FALSE,"DD"}</definedName>
    <definedName name="wrn.All._.Grant._.Forms._5_1_1_2" localSheetId="10" hidden="1">{"Form DD",#N/A,FALSE,"DD";"EE",#N/A,FALSE,"EE";"Indirects",#N/A,FALSE,"DD"}</definedName>
    <definedName name="wrn.All._.Grant._.Forms._5_1_1_2" hidden="1">{"Form DD",#N/A,FALSE,"DD";"EE",#N/A,FALSE,"EE";"Indirects",#N/A,FALSE,"DD"}</definedName>
    <definedName name="wrn.All._.Grant._.Forms._5_1_1_3" localSheetId="10" hidden="1">{"Form DD",#N/A,FALSE,"DD";"EE",#N/A,FALSE,"EE";"Indirects",#N/A,FALSE,"DD"}</definedName>
    <definedName name="wrn.All._.Grant._.Forms._5_1_1_3" hidden="1">{"Form DD",#N/A,FALSE,"DD";"EE",#N/A,FALSE,"EE";"Indirects",#N/A,FALSE,"DD"}</definedName>
    <definedName name="wrn.All._.Grant._.Forms._5_1_2" localSheetId="10" hidden="1">{"Form DD",#N/A,FALSE,"DD";"EE",#N/A,FALSE,"EE";"Indirects",#N/A,FALSE,"DD"}</definedName>
    <definedName name="wrn.All._.Grant._.Forms._5_1_2" hidden="1">{"Form DD",#N/A,FALSE,"DD";"EE",#N/A,FALSE,"EE";"Indirects",#N/A,FALSE,"DD"}</definedName>
    <definedName name="wrn.All._.Grant._.Forms._5_1_2_1" localSheetId="10" hidden="1">{"Form DD",#N/A,FALSE,"DD";"EE",#N/A,FALSE,"EE";"Indirects",#N/A,FALSE,"DD"}</definedName>
    <definedName name="wrn.All._.Grant._.Forms._5_1_2_1" hidden="1">{"Form DD",#N/A,FALSE,"DD";"EE",#N/A,FALSE,"EE";"Indirects",#N/A,FALSE,"DD"}</definedName>
    <definedName name="wrn.All._.Grant._.Forms._5_1_2_2" localSheetId="10" hidden="1">{"Form DD",#N/A,FALSE,"DD";"EE",#N/A,FALSE,"EE";"Indirects",#N/A,FALSE,"DD"}</definedName>
    <definedName name="wrn.All._.Grant._.Forms._5_1_2_2" hidden="1">{"Form DD",#N/A,FALSE,"DD";"EE",#N/A,FALSE,"EE";"Indirects",#N/A,FALSE,"DD"}</definedName>
    <definedName name="wrn.All._.Grant._.Forms._5_1_2_3" localSheetId="10" hidden="1">{"Form DD",#N/A,FALSE,"DD";"EE",#N/A,FALSE,"EE";"Indirects",#N/A,FALSE,"DD"}</definedName>
    <definedName name="wrn.All._.Grant._.Forms._5_1_2_3" hidden="1">{"Form DD",#N/A,FALSE,"DD";"EE",#N/A,FALSE,"EE";"Indirects",#N/A,FALSE,"DD"}</definedName>
    <definedName name="wrn.All._.Grant._.Forms._5_1_3" localSheetId="10" hidden="1">{"Form DD",#N/A,FALSE,"DD";"EE",#N/A,FALSE,"EE";"Indirects",#N/A,FALSE,"DD"}</definedName>
    <definedName name="wrn.All._.Grant._.Forms._5_1_3" hidden="1">{"Form DD",#N/A,FALSE,"DD";"EE",#N/A,FALSE,"EE";"Indirects",#N/A,FALSE,"DD"}</definedName>
    <definedName name="wrn.All._.Grant._.Forms._5_1_3_1" localSheetId="10" hidden="1">{"Form DD",#N/A,FALSE,"DD";"EE",#N/A,FALSE,"EE";"Indirects",#N/A,FALSE,"DD"}</definedName>
    <definedName name="wrn.All._.Grant._.Forms._5_1_3_1" hidden="1">{"Form DD",#N/A,FALSE,"DD";"EE",#N/A,FALSE,"EE";"Indirects",#N/A,FALSE,"DD"}</definedName>
    <definedName name="wrn.All._.Grant._.Forms._5_1_3_2" localSheetId="10" hidden="1">{"Form DD",#N/A,FALSE,"DD";"EE",#N/A,FALSE,"EE";"Indirects",#N/A,FALSE,"DD"}</definedName>
    <definedName name="wrn.All._.Grant._.Forms._5_1_3_2" hidden="1">{"Form DD",#N/A,FALSE,"DD";"EE",#N/A,FALSE,"EE";"Indirects",#N/A,FALSE,"DD"}</definedName>
    <definedName name="wrn.All._.Grant._.Forms._5_1_3_3" localSheetId="10" hidden="1">{"Form DD",#N/A,FALSE,"DD";"EE",#N/A,FALSE,"EE";"Indirects",#N/A,FALSE,"DD"}</definedName>
    <definedName name="wrn.All._.Grant._.Forms._5_1_3_3" hidden="1">{"Form DD",#N/A,FALSE,"DD";"EE",#N/A,FALSE,"EE";"Indirects",#N/A,FALSE,"DD"}</definedName>
    <definedName name="wrn.All._.Grant._.Forms._5_1_4" localSheetId="10" hidden="1">{"Form DD",#N/A,FALSE,"DD";"EE",#N/A,FALSE,"EE";"Indirects",#N/A,FALSE,"DD"}</definedName>
    <definedName name="wrn.All._.Grant._.Forms._5_1_4" hidden="1">{"Form DD",#N/A,FALSE,"DD";"EE",#N/A,FALSE,"EE";"Indirects",#N/A,FALSE,"DD"}</definedName>
    <definedName name="wrn.All._.Grant._.Forms._5_1_5" localSheetId="10" hidden="1">{"Form DD",#N/A,FALSE,"DD";"EE",#N/A,FALSE,"EE";"Indirects",#N/A,FALSE,"DD"}</definedName>
    <definedName name="wrn.All._.Grant._.Forms._5_1_5" hidden="1">{"Form DD",#N/A,FALSE,"DD";"EE",#N/A,FALSE,"EE";"Indirects",#N/A,FALSE,"DD"}</definedName>
    <definedName name="wrn.All._.Grant._.Forms._5_2" localSheetId="10" hidden="1">{"Form DD",#N/A,FALSE,"DD";"EE",#N/A,FALSE,"EE";"Indirects",#N/A,FALSE,"DD"}</definedName>
    <definedName name="wrn.All._.Grant._.Forms._5_2" hidden="1">{"Form DD",#N/A,FALSE,"DD";"EE",#N/A,FALSE,"EE";"Indirects",#N/A,FALSE,"DD"}</definedName>
    <definedName name="wrn.All._.Grant._.Forms._5_2_1" localSheetId="10" hidden="1">{"Form DD",#N/A,FALSE,"DD";"EE",#N/A,FALSE,"EE";"Indirects",#N/A,FALSE,"DD"}</definedName>
    <definedName name="wrn.All._.Grant._.Forms._5_2_1" hidden="1">{"Form DD",#N/A,FALSE,"DD";"EE",#N/A,FALSE,"EE";"Indirects",#N/A,FALSE,"DD"}</definedName>
    <definedName name="wrn.All._.Grant._.Forms._5_2_1_1" localSheetId="10" hidden="1">{"Form DD",#N/A,FALSE,"DD";"EE",#N/A,FALSE,"EE";"Indirects",#N/A,FALSE,"DD"}</definedName>
    <definedName name="wrn.All._.Grant._.Forms._5_2_1_1" hidden="1">{"Form DD",#N/A,FALSE,"DD";"EE",#N/A,FALSE,"EE";"Indirects",#N/A,FALSE,"DD"}</definedName>
    <definedName name="wrn.All._.Grant._.Forms._5_2_1_2" localSheetId="10" hidden="1">{"Form DD",#N/A,FALSE,"DD";"EE",#N/A,FALSE,"EE";"Indirects",#N/A,FALSE,"DD"}</definedName>
    <definedName name="wrn.All._.Grant._.Forms._5_2_1_2" hidden="1">{"Form DD",#N/A,FALSE,"DD";"EE",#N/A,FALSE,"EE";"Indirects",#N/A,FALSE,"DD"}</definedName>
    <definedName name="wrn.All._.Grant._.Forms._5_2_1_3" localSheetId="10" hidden="1">{"Form DD",#N/A,FALSE,"DD";"EE",#N/A,FALSE,"EE";"Indirects",#N/A,FALSE,"DD"}</definedName>
    <definedName name="wrn.All._.Grant._.Forms._5_2_1_3" hidden="1">{"Form DD",#N/A,FALSE,"DD";"EE",#N/A,FALSE,"EE";"Indirects",#N/A,FALSE,"DD"}</definedName>
    <definedName name="wrn.All._.Grant._.Forms._5_2_2" localSheetId="10" hidden="1">{"Form DD",#N/A,FALSE,"DD";"EE",#N/A,FALSE,"EE";"Indirects",#N/A,FALSE,"DD"}</definedName>
    <definedName name="wrn.All._.Grant._.Forms._5_2_2" hidden="1">{"Form DD",#N/A,FALSE,"DD";"EE",#N/A,FALSE,"EE";"Indirects",#N/A,FALSE,"DD"}</definedName>
    <definedName name="wrn.All._.Grant._.Forms._5_2_2_1" localSheetId="10" hidden="1">{"Form DD",#N/A,FALSE,"DD";"EE",#N/A,FALSE,"EE";"Indirects",#N/A,FALSE,"DD"}</definedName>
    <definedName name="wrn.All._.Grant._.Forms._5_2_2_1" hidden="1">{"Form DD",#N/A,FALSE,"DD";"EE",#N/A,FALSE,"EE";"Indirects",#N/A,FALSE,"DD"}</definedName>
    <definedName name="wrn.All._.Grant._.Forms._5_2_2_2" localSheetId="10" hidden="1">{"Form DD",#N/A,FALSE,"DD";"EE",#N/A,FALSE,"EE";"Indirects",#N/A,FALSE,"DD"}</definedName>
    <definedName name="wrn.All._.Grant._.Forms._5_2_2_2" hidden="1">{"Form DD",#N/A,FALSE,"DD";"EE",#N/A,FALSE,"EE";"Indirects",#N/A,FALSE,"DD"}</definedName>
    <definedName name="wrn.All._.Grant._.Forms._5_2_2_3" localSheetId="10" hidden="1">{"Form DD",#N/A,FALSE,"DD";"EE",#N/A,FALSE,"EE";"Indirects",#N/A,FALSE,"DD"}</definedName>
    <definedName name="wrn.All._.Grant._.Forms._5_2_2_3" hidden="1">{"Form DD",#N/A,FALSE,"DD";"EE",#N/A,FALSE,"EE";"Indirects",#N/A,FALSE,"DD"}</definedName>
    <definedName name="wrn.All._.Grant._.Forms._5_2_3" localSheetId="10" hidden="1">{"Form DD",#N/A,FALSE,"DD";"EE",#N/A,FALSE,"EE";"Indirects",#N/A,FALSE,"DD"}</definedName>
    <definedName name="wrn.All._.Grant._.Forms._5_2_3" hidden="1">{"Form DD",#N/A,FALSE,"DD";"EE",#N/A,FALSE,"EE";"Indirects",#N/A,FALSE,"DD"}</definedName>
    <definedName name="wrn.All._.Grant._.Forms._5_2_4" localSheetId="10" hidden="1">{"Form DD",#N/A,FALSE,"DD";"EE",#N/A,FALSE,"EE";"Indirects",#N/A,FALSE,"DD"}</definedName>
    <definedName name="wrn.All._.Grant._.Forms._5_2_4" hidden="1">{"Form DD",#N/A,FALSE,"DD";"EE",#N/A,FALSE,"EE";"Indirects",#N/A,FALSE,"DD"}</definedName>
    <definedName name="wrn.All._.Grant._.Forms._5_2_5" localSheetId="10" hidden="1">{"Form DD",#N/A,FALSE,"DD";"EE",#N/A,FALSE,"EE";"Indirects",#N/A,FALSE,"DD"}</definedName>
    <definedName name="wrn.All._.Grant._.Forms._5_2_5" hidden="1">{"Form DD",#N/A,FALSE,"DD";"EE",#N/A,FALSE,"EE";"Indirects",#N/A,FALSE,"DD"}</definedName>
    <definedName name="wrn.All._.Grant._.Forms._5_3" localSheetId="10" hidden="1">{"Form DD",#N/A,FALSE,"DD";"EE",#N/A,FALSE,"EE";"Indirects",#N/A,FALSE,"DD"}</definedName>
    <definedName name="wrn.All._.Grant._.Forms._5_3" hidden="1">{"Form DD",#N/A,FALSE,"DD";"EE",#N/A,FALSE,"EE";"Indirects",#N/A,FALSE,"DD"}</definedName>
    <definedName name="wrn.All._.Grant._.Forms._5_3_1" localSheetId="10" hidden="1">{"Form DD",#N/A,FALSE,"DD";"EE",#N/A,FALSE,"EE";"Indirects",#N/A,FALSE,"DD"}</definedName>
    <definedName name="wrn.All._.Grant._.Forms._5_3_1" hidden="1">{"Form DD",#N/A,FALSE,"DD";"EE",#N/A,FALSE,"EE";"Indirects",#N/A,FALSE,"DD"}</definedName>
    <definedName name="wrn.All._.Grant._.Forms._5_3_2" localSheetId="10" hidden="1">{"Form DD",#N/A,FALSE,"DD";"EE",#N/A,FALSE,"EE";"Indirects",#N/A,FALSE,"DD"}</definedName>
    <definedName name="wrn.All._.Grant._.Forms._5_3_2" hidden="1">{"Form DD",#N/A,FALSE,"DD";"EE",#N/A,FALSE,"EE";"Indirects",#N/A,FALSE,"DD"}</definedName>
    <definedName name="wrn.All._.Grant._.Forms._5_3_3" localSheetId="10" hidden="1">{"Form DD",#N/A,FALSE,"DD";"EE",#N/A,FALSE,"EE";"Indirects",#N/A,FALSE,"DD"}</definedName>
    <definedName name="wrn.All._.Grant._.Forms._5_3_3" hidden="1">{"Form DD",#N/A,FALSE,"DD";"EE",#N/A,FALSE,"EE";"Indirects",#N/A,FALSE,"DD"}</definedName>
    <definedName name="wrn.All._.Grant._.Forms._5_4" localSheetId="10" hidden="1">{"Form DD",#N/A,FALSE,"DD";"EE",#N/A,FALSE,"EE";"Indirects",#N/A,FALSE,"DD"}</definedName>
    <definedName name="wrn.All._.Grant._.Forms._5_4" hidden="1">{"Form DD",#N/A,FALSE,"DD";"EE",#N/A,FALSE,"EE";"Indirects",#N/A,FALSE,"DD"}</definedName>
    <definedName name="wrn.All._.Grant._.Forms._5_4_1" localSheetId="10" hidden="1">{"Form DD",#N/A,FALSE,"DD";"EE",#N/A,FALSE,"EE";"Indirects",#N/A,FALSE,"DD"}</definedName>
    <definedName name="wrn.All._.Grant._.Forms._5_4_1" hidden="1">{"Form DD",#N/A,FALSE,"DD";"EE",#N/A,FALSE,"EE";"Indirects",#N/A,FALSE,"DD"}</definedName>
    <definedName name="wrn.All._.Grant._.Forms._5_4_2" localSheetId="10" hidden="1">{"Form DD",#N/A,FALSE,"DD";"EE",#N/A,FALSE,"EE";"Indirects",#N/A,FALSE,"DD"}</definedName>
    <definedName name="wrn.All._.Grant._.Forms._5_4_2" hidden="1">{"Form DD",#N/A,FALSE,"DD";"EE",#N/A,FALSE,"EE";"Indirects",#N/A,FALSE,"DD"}</definedName>
    <definedName name="wrn.All._.Grant._.Forms._5_4_3" localSheetId="10" hidden="1">{"Form DD",#N/A,FALSE,"DD";"EE",#N/A,FALSE,"EE";"Indirects",#N/A,FALSE,"DD"}</definedName>
    <definedName name="wrn.All._.Grant._.Forms._5_4_3" hidden="1">{"Form DD",#N/A,FALSE,"DD";"EE",#N/A,FALSE,"EE";"Indirects",#N/A,FALSE,"DD"}</definedName>
    <definedName name="wrn.All._.Grant._.Forms._5_5" localSheetId="10" hidden="1">{"Form DD",#N/A,FALSE,"DD";"EE",#N/A,FALSE,"EE";"Indirects",#N/A,FALSE,"DD"}</definedName>
    <definedName name="wrn.All._.Grant._.Forms._5_5" hidden="1">{"Form DD",#N/A,FALSE,"DD";"EE",#N/A,FALSE,"EE";"Indirects",#N/A,FALSE,"DD"}</definedName>
    <definedName name="wrn.Summary._.1._.Year." localSheetId="11" hidden="1">{"One Year",#N/A,FALSE,"Summary"}</definedName>
    <definedName name="wrn.Summary._.1._.Year." localSheetId="10" hidden="1">{"One Year",#N/A,FALSE,"Summary"}</definedName>
    <definedName name="wrn.Summary._.1._.Year." hidden="1">{"One Year",#N/A,FALSE,"Summary"}</definedName>
    <definedName name="wrn.Summary._.1._.Year._1" localSheetId="10" hidden="1">{"One Year",#N/A,FALSE,"Summary"}</definedName>
    <definedName name="wrn.Summary._.1._.Year._1" hidden="1">{"One Year",#N/A,FALSE,"Summary"}</definedName>
    <definedName name="wrn.Summary._.1._.Year._1_1" localSheetId="10" hidden="1">{"One Year",#N/A,FALSE,"Summary"}</definedName>
    <definedName name="wrn.Summary._.1._.Year._1_1" hidden="1">{"One Year",#N/A,FALSE,"Summary"}</definedName>
    <definedName name="wrn.Summary._.1._.Year._1_1_1" localSheetId="10" hidden="1">{"One Year",#N/A,FALSE,"Summary"}</definedName>
    <definedName name="wrn.Summary._.1._.Year._1_1_1" hidden="1">{"One Year",#N/A,FALSE,"Summary"}</definedName>
    <definedName name="wrn.Summary._.1._.Year._1_1_1_1" localSheetId="10" hidden="1">{"One Year",#N/A,FALSE,"Summary"}</definedName>
    <definedName name="wrn.Summary._.1._.Year._1_1_1_1" hidden="1">{"One Year",#N/A,FALSE,"Summary"}</definedName>
    <definedName name="wrn.Summary._.1._.Year._1_1_1_1_1" localSheetId="10" hidden="1">{"One Year",#N/A,FALSE,"Summary"}</definedName>
    <definedName name="wrn.Summary._.1._.Year._1_1_1_1_1" hidden="1">{"One Year",#N/A,FALSE,"Summary"}</definedName>
    <definedName name="wrn.Summary._.1._.Year._1_1_1_1_2" localSheetId="10" hidden="1">{"One Year",#N/A,FALSE,"Summary"}</definedName>
    <definedName name="wrn.Summary._.1._.Year._1_1_1_1_2" hidden="1">{"One Year",#N/A,FALSE,"Summary"}</definedName>
    <definedName name="wrn.Summary._.1._.Year._1_1_1_1_3" localSheetId="10" hidden="1">{"One Year",#N/A,FALSE,"Summary"}</definedName>
    <definedName name="wrn.Summary._.1._.Year._1_1_1_1_3" hidden="1">{"One Year",#N/A,FALSE,"Summary"}</definedName>
    <definedName name="wrn.Summary._.1._.Year._1_1_1_2" localSheetId="10" hidden="1">{"One Year",#N/A,FALSE,"Summary"}</definedName>
    <definedName name="wrn.Summary._.1._.Year._1_1_1_2" hidden="1">{"One Year",#N/A,FALSE,"Summary"}</definedName>
    <definedName name="wrn.Summary._.1._.Year._1_1_1_2_1" localSheetId="10" hidden="1">{"One Year",#N/A,FALSE,"Summary"}</definedName>
    <definedName name="wrn.Summary._.1._.Year._1_1_1_2_1" hidden="1">{"One Year",#N/A,FALSE,"Summary"}</definedName>
    <definedName name="wrn.Summary._.1._.Year._1_1_1_2_2" localSheetId="10" hidden="1">{"One Year",#N/A,FALSE,"Summary"}</definedName>
    <definedName name="wrn.Summary._.1._.Year._1_1_1_2_2" hidden="1">{"One Year",#N/A,FALSE,"Summary"}</definedName>
    <definedName name="wrn.Summary._.1._.Year._1_1_1_2_3" localSheetId="10" hidden="1">{"One Year",#N/A,FALSE,"Summary"}</definedName>
    <definedName name="wrn.Summary._.1._.Year._1_1_1_2_3" hidden="1">{"One Year",#N/A,FALSE,"Summary"}</definedName>
    <definedName name="wrn.Summary._.1._.Year._1_1_1_3" localSheetId="10" hidden="1">{"One Year",#N/A,FALSE,"Summary"}</definedName>
    <definedName name="wrn.Summary._.1._.Year._1_1_1_3" hidden="1">{"One Year",#N/A,FALSE,"Summary"}</definedName>
    <definedName name="wrn.Summary._.1._.Year._1_1_1_3_1" localSheetId="10" hidden="1">{"One Year",#N/A,FALSE,"Summary"}</definedName>
    <definedName name="wrn.Summary._.1._.Year._1_1_1_3_1" hidden="1">{"One Year",#N/A,FALSE,"Summary"}</definedName>
    <definedName name="wrn.Summary._.1._.Year._1_1_1_3_2" localSheetId="10" hidden="1">{"One Year",#N/A,FALSE,"Summary"}</definedName>
    <definedName name="wrn.Summary._.1._.Year._1_1_1_3_2" hidden="1">{"One Year",#N/A,FALSE,"Summary"}</definedName>
    <definedName name="wrn.Summary._.1._.Year._1_1_1_3_3" localSheetId="10" hidden="1">{"One Year",#N/A,FALSE,"Summary"}</definedName>
    <definedName name="wrn.Summary._.1._.Year._1_1_1_3_3" hidden="1">{"One Year",#N/A,FALSE,"Summary"}</definedName>
    <definedName name="wrn.Summary._.1._.Year._1_1_1_4" localSheetId="10" hidden="1">{"One Year",#N/A,FALSE,"Summary"}</definedName>
    <definedName name="wrn.Summary._.1._.Year._1_1_1_4" hidden="1">{"One Year",#N/A,FALSE,"Summary"}</definedName>
    <definedName name="wrn.Summary._.1._.Year._1_1_1_5" localSheetId="10" hidden="1">{"One Year",#N/A,FALSE,"Summary"}</definedName>
    <definedName name="wrn.Summary._.1._.Year._1_1_1_5" hidden="1">{"One Year",#N/A,FALSE,"Summary"}</definedName>
    <definedName name="wrn.Summary._.1._.Year._1_1_2" localSheetId="10" hidden="1">{"One Year",#N/A,FALSE,"Summary"}</definedName>
    <definedName name="wrn.Summary._.1._.Year._1_1_2" hidden="1">{"One Year",#N/A,FALSE,"Summary"}</definedName>
    <definedName name="wrn.Summary._.1._.Year._1_1_2_1" localSheetId="10" hidden="1">{"One Year",#N/A,FALSE,"Summary"}</definedName>
    <definedName name="wrn.Summary._.1._.Year._1_1_2_1" hidden="1">{"One Year",#N/A,FALSE,"Summary"}</definedName>
    <definedName name="wrn.Summary._.1._.Year._1_1_2_2" localSheetId="10" hidden="1">{"One Year",#N/A,FALSE,"Summary"}</definedName>
    <definedName name="wrn.Summary._.1._.Year._1_1_2_2" hidden="1">{"One Year",#N/A,FALSE,"Summary"}</definedName>
    <definedName name="wrn.Summary._.1._.Year._1_1_2_3" localSheetId="10" hidden="1">{"One Year",#N/A,FALSE,"Summary"}</definedName>
    <definedName name="wrn.Summary._.1._.Year._1_1_2_3" hidden="1">{"One Year",#N/A,FALSE,"Summary"}</definedName>
    <definedName name="wrn.Summary._.1._.Year._1_1_3" localSheetId="10" hidden="1">{"One Year",#N/A,FALSE,"Summary"}</definedName>
    <definedName name="wrn.Summary._.1._.Year._1_1_3" hidden="1">{"One Year",#N/A,FALSE,"Summary"}</definedName>
    <definedName name="wrn.Summary._.1._.Year._1_1_3_1" localSheetId="10" hidden="1">{"One Year",#N/A,FALSE,"Summary"}</definedName>
    <definedName name="wrn.Summary._.1._.Year._1_1_3_1" hidden="1">{"One Year",#N/A,FALSE,"Summary"}</definedName>
    <definedName name="wrn.Summary._.1._.Year._1_1_3_2" localSheetId="10" hidden="1">{"One Year",#N/A,FALSE,"Summary"}</definedName>
    <definedName name="wrn.Summary._.1._.Year._1_1_3_2" hidden="1">{"One Year",#N/A,FALSE,"Summary"}</definedName>
    <definedName name="wrn.Summary._.1._.Year._1_1_3_3" localSheetId="10" hidden="1">{"One Year",#N/A,FALSE,"Summary"}</definedName>
    <definedName name="wrn.Summary._.1._.Year._1_1_3_3" hidden="1">{"One Year",#N/A,FALSE,"Summary"}</definedName>
    <definedName name="wrn.Summary._.1._.Year._1_1_4" localSheetId="10" hidden="1">{"One Year",#N/A,FALSE,"Summary"}</definedName>
    <definedName name="wrn.Summary._.1._.Year._1_1_4" hidden="1">{"One Year",#N/A,FALSE,"Summary"}</definedName>
    <definedName name="wrn.Summary._.1._.Year._1_1_5" localSheetId="10" hidden="1">{"One Year",#N/A,FALSE,"Summary"}</definedName>
    <definedName name="wrn.Summary._.1._.Year._1_1_5" hidden="1">{"One Year",#N/A,FALSE,"Summary"}</definedName>
    <definedName name="wrn.Summary._.1._.Year._1_2" localSheetId="10" hidden="1">{"One Year",#N/A,FALSE,"Summary"}</definedName>
    <definedName name="wrn.Summary._.1._.Year._1_2" hidden="1">{"One Year",#N/A,FALSE,"Summary"}</definedName>
    <definedName name="wrn.Summary._.1._.Year._1_2_1" localSheetId="10" hidden="1">{"One Year",#N/A,FALSE,"Summary"}</definedName>
    <definedName name="wrn.Summary._.1._.Year._1_2_1" hidden="1">{"One Year",#N/A,FALSE,"Summary"}</definedName>
    <definedName name="wrn.Summary._.1._.Year._1_2_1_1" localSheetId="10" hidden="1">{"One Year",#N/A,FALSE,"Summary"}</definedName>
    <definedName name="wrn.Summary._.1._.Year._1_2_1_1" hidden="1">{"One Year",#N/A,FALSE,"Summary"}</definedName>
    <definedName name="wrn.Summary._.1._.Year._1_2_1_2" localSheetId="10" hidden="1">{"One Year",#N/A,FALSE,"Summary"}</definedName>
    <definedName name="wrn.Summary._.1._.Year._1_2_1_2" hidden="1">{"One Year",#N/A,FALSE,"Summary"}</definedName>
    <definedName name="wrn.Summary._.1._.Year._1_2_1_3" localSheetId="10" hidden="1">{"One Year",#N/A,FALSE,"Summary"}</definedName>
    <definedName name="wrn.Summary._.1._.Year._1_2_1_3" hidden="1">{"One Year",#N/A,FALSE,"Summary"}</definedName>
    <definedName name="wrn.Summary._.1._.Year._1_2_2" localSheetId="10" hidden="1">{"One Year",#N/A,FALSE,"Summary"}</definedName>
    <definedName name="wrn.Summary._.1._.Year._1_2_2" hidden="1">{"One Year",#N/A,FALSE,"Summary"}</definedName>
    <definedName name="wrn.Summary._.1._.Year._1_2_2_1" localSheetId="10" hidden="1">{"One Year",#N/A,FALSE,"Summary"}</definedName>
    <definedName name="wrn.Summary._.1._.Year._1_2_2_1" hidden="1">{"One Year",#N/A,FALSE,"Summary"}</definedName>
    <definedName name="wrn.Summary._.1._.Year._1_2_2_2" localSheetId="10" hidden="1">{"One Year",#N/A,FALSE,"Summary"}</definedName>
    <definedName name="wrn.Summary._.1._.Year._1_2_2_2" hidden="1">{"One Year",#N/A,FALSE,"Summary"}</definedName>
    <definedName name="wrn.Summary._.1._.Year._1_2_2_3" localSheetId="10" hidden="1">{"One Year",#N/A,FALSE,"Summary"}</definedName>
    <definedName name="wrn.Summary._.1._.Year._1_2_2_3" hidden="1">{"One Year",#N/A,FALSE,"Summary"}</definedName>
    <definedName name="wrn.Summary._.1._.Year._1_2_3" localSheetId="10" hidden="1">{"One Year",#N/A,FALSE,"Summary"}</definedName>
    <definedName name="wrn.Summary._.1._.Year._1_2_3" hidden="1">{"One Year",#N/A,FALSE,"Summary"}</definedName>
    <definedName name="wrn.Summary._.1._.Year._1_2_4" localSheetId="10" hidden="1">{"One Year",#N/A,FALSE,"Summary"}</definedName>
    <definedName name="wrn.Summary._.1._.Year._1_2_4" hidden="1">{"One Year",#N/A,FALSE,"Summary"}</definedName>
    <definedName name="wrn.Summary._.1._.Year._1_2_5" localSheetId="10" hidden="1">{"One Year",#N/A,FALSE,"Summary"}</definedName>
    <definedName name="wrn.Summary._.1._.Year._1_2_5" hidden="1">{"One Year",#N/A,FALSE,"Summary"}</definedName>
    <definedName name="wrn.Summary._.1._.Year._1_3" localSheetId="10" hidden="1">{"One Year",#N/A,FALSE,"Summary"}</definedName>
    <definedName name="wrn.Summary._.1._.Year._1_3" hidden="1">{"One Year",#N/A,FALSE,"Summary"}</definedName>
    <definedName name="wrn.Summary._.1._.Year._1_3_1" localSheetId="10" hidden="1">{"One Year",#N/A,FALSE,"Summary"}</definedName>
    <definedName name="wrn.Summary._.1._.Year._1_3_1" hidden="1">{"One Year",#N/A,FALSE,"Summary"}</definedName>
    <definedName name="wrn.Summary._.1._.Year._1_3_1_1" localSheetId="10" hidden="1">{"One Year",#N/A,FALSE,"Summary"}</definedName>
    <definedName name="wrn.Summary._.1._.Year._1_3_1_1" hidden="1">{"One Year",#N/A,FALSE,"Summary"}</definedName>
    <definedName name="wrn.Summary._.1._.Year._1_3_1_2" localSheetId="10" hidden="1">{"One Year",#N/A,FALSE,"Summary"}</definedName>
    <definedName name="wrn.Summary._.1._.Year._1_3_1_2" hidden="1">{"One Year",#N/A,FALSE,"Summary"}</definedName>
    <definedName name="wrn.Summary._.1._.Year._1_3_1_3" localSheetId="10" hidden="1">{"One Year",#N/A,FALSE,"Summary"}</definedName>
    <definedName name="wrn.Summary._.1._.Year._1_3_1_3" hidden="1">{"One Year",#N/A,FALSE,"Summary"}</definedName>
    <definedName name="wrn.Summary._.1._.Year._1_3_2" localSheetId="10" hidden="1">{"One Year",#N/A,FALSE,"Summary"}</definedName>
    <definedName name="wrn.Summary._.1._.Year._1_3_2" hidden="1">{"One Year",#N/A,FALSE,"Summary"}</definedName>
    <definedName name="wrn.Summary._.1._.Year._1_3_2_1" localSheetId="10" hidden="1">{"One Year",#N/A,FALSE,"Summary"}</definedName>
    <definedName name="wrn.Summary._.1._.Year._1_3_2_1" hidden="1">{"One Year",#N/A,FALSE,"Summary"}</definedName>
    <definedName name="wrn.Summary._.1._.Year._1_3_2_2" localSheetId="10" hidden="1">{"One Year",#N/A,FALSE,"Summary"}</definedName>
    <definedName name="wrn.Summary._.1._.Year._1_3_2_2" hidden="1">{"One Year",#N/A,FALSE,"Summary"}</definedName>
    <definedName name="wrn.Summary._.1._.Year._1_3_2_3" localSheetId="10" hidden="1">{"One Year",#N/A,FALSE,"Summary"}</definedName>
    <definedName name="wrn.Summary._.1._.Year._1_3_2_3" hidden="1">{"One Year",#N/A,FALSE,"Summary"}</definedName>
    <definedName name="wrn.Summary._.1._.Year._1_3_3" localSheetId="10" hidden="1">{"One Year",#N/A,FALSE,"Summary"}</definedName>
    <definedName name="wrn.Summary._.1._.Year._1_3_3" hidden="1">{"One Year",#N/A,FALSE,"Summary"}</definedName>
    <definedName name="wrn.Summary._.1._.Year._1_3_4" localSheetId="10" hidden="1">{"One Year",#N/A,FALSE,"Summary"}</definedName>
    <definedName name="wrn.Summary._.1._.Year._1_3_4" hidden="1">{"One Year",#N/A,FALSE,"Summary"}</definedName>
    <definedName name="wrn.Summary._.1._.Year._1_3_5" localSheetId="10" hidden="1">{"One Year",#N/A,FALSE,"Summary"}</definedName>
    <definedName name="wrn.Summary._.1._.Year._1_3_5" hidden="1">{"One Year",#N/A,FALSE,"Summary"}</definedName>
    <definedName name="wrn.Summary._.1._.Year._1_4" localSheetId="10" hidden="1">{"One Year",#N/A,FALSE,"Summary"}</definedName>
    <definedName name="wrn.Summary._.1._.Year._1_4" hidden="1">{"One Year",#N/A,FALSE,"Summary"}</definedName>
    <definedName name="wrn.Summary._.1._.Year._1_4_1" localSheetId="10" hidden="1">{"One Year",#N/A,FALSE,"Summary"}</definedName>
    <definedName name="wrn.Summary._.1._.Year._1_4_1" hidden="1">{"One Year",#N/A,FALSE,"Summary"}</definedName>
    <definedName name="wrn.Summary._.1._.Year._1_4_2" localSheetId="10" hidden="1">{"One Year",#N/A,FALSE,"Summary"}</definedName>
    <definedName name="wrn.Summary._.1._.Year._1_4_2" hidden="1">{"One Year",#N/A,FALSE,"Summary"}</definedName>
    <definedName name="wrn.Summary._.1._.Year._1_4_3" localSheetId="10" hidden="1">{"One Year",#N/A,FALSE,"Summary"}</definedName>
    <definedName name="wrn.Summary._.1._.Year._1_4_3" hidden="1">{"One Year",#N/A,FALSE,"Summary"}</definedName>
    <definedName name="wrn.Summary._.1._.Year._1_5" localSheetId="10" hidden="1">{"One Year",#N/A,FALSE,"Summary"}</definedName>
    <definedName name="wrn.Summary._.1._.Year._1_5" hidden="1">{"One Year",#N/A,FALSE,"Summary"}</definedName>
    <definedName name="wrn.Summary._.1._.Year._1_5_1" localSheetId="10" hidden="1">{"One Year",#N/A,FALSE,"Summary"}</definedName>
    <definedName name="wrn.Summary._.1._.Year._1_5_1" hidden="1">{"One Year",#N/A,FALSE,"Summary"}</definedName>
    <definedName name="wrn.Summary._.1._.Year._1_5_2" localSheetId="10" hidden="1">{"One Year",#N/A,FALSE,"Summary"}</definedName>
    <definedName name="wrn.Summary._.1._.Year._1_5_2" hidden="1">{"One Year",#N/A,FALSE,"Summary"}</definedName>
    <definedName name="wrn.Summary._.1._.Year._1_5_3" localSheetId="10" hidden="1">{"One Year",#N/A,FALSE,"Summary"}</definedName>
    <definedName name="wrn.Summary._.1._.Year._1_5_3" hidden="1">{"One Year",#N/A,FALSE,"Summary"}</definedName>
    <definedName name="wrn.Summary._.1._.Year._2" localSheetId="10" hidden="1">{"One Year",#N/A,FALSE,"Summary"}</definedName>
    <definedName name="wrn.Summary._.1._.Year._2" hidden="1">{"One Year",#N/A,FALSE,"Summary"}</definedName>
    <definedName name="wrn.Summary._.1._.Year._2_1" localSheetId="10" hidden="1">{"One Year",#N/A,FALSE,"Summary"}</definedName>
    <definedName name="wrn.Summary._.1._.Year._2_1" hidden="1">{"One Year",#N/A,FALSE,"Summary"}</definedName>
    <definedName name="wrn.Summary._.1._.Year._2_1_1" localSheetId="10" hidden="1">{"One Year",#N/A,FALSE,"Summary"}</definedName>
    <definedName name="wrn.Summary._.1._.Year._2_1_1" hidden="1">{"One Year",#N/A,FALSE,"Summary"}</definedName>
    <definedName name="wrn.Summary._.1._.Year._2_1_1_1" localSheetId="10" hidden="1">{"One Year",#N/A,FALSE,"Summary"}</definedName>
    <definedName name="wrn.Summary._.1._.Year._2_1_1_1" hidden="1">{"One Year",#N/A,FALSE,"Summary"}</definedName>
    <definedName name="wrn.Summary._.1._.Year._2_1_1_2" localSheetId="10" hidden="1">{"One Year",#N/A,FALSE,"Summary"}</definedName>
    <definedName name="wrn.Summary._.1._.Year._2_1_1_2" hidden="1">{"One Year",#N/A,FALSE,"Summary"}</definedName>
    <definedName name="wrn.Summary._.1._.Year._2_1_1_3" localSheetId="10" hidden="1">{"One Year",#N/A,FALSE,"Summary"}</definedName>
    <definedName name="wrn.Summary._.1._.Year._2_1_1_3" hidden="1">{"One Year",#N/A,FALSE,"Summary"}</definedName>
    <definedName name="wrn.Summary._.1._.Year._2_1_2" localSheetId="10" hidden="1">{"One Year",#N/A,FALSE,"Summary"}</definedName>
    <definedName name="wrn.Summary._.1._.Year._2_1_2" hidden="1">{"One Year",#N/A,FALSE,"Summary"}</definedName>
    <definedName name="wrn.Summary._.1._.Year._2_1_2_1" localSheetId="10" hidden="1">{"One Year",#N/A,FALSE,"Summary"}</definedName>
    <definedName name="wrn.Summary._.1._.Year._2_1_2_1" hidden="1">{"One Year",#N/A,FALSE,"Summary"}</definedName>
    <definedName name="wrn.Summary._.1._.Year._2_1_2_2" localSheetId="10" hidden="1">{"One Year",#N/A,FALSE,"Summary"}</definedName>
    <definedName name="wrn.Summary._.1._.Year._2_1_2_2" hidden="1">{"One Year",#N/A,FALSE,"Summary"}</definedName>
    <definedName name="wrn.Summary._.1._.Year._2_1_2_3" localSheetId="10" hidden="1">{"One Year",#N/A,FALSE,"Summary"}</definedName>
    <definedName name="wrn.Summary._.1._.Year._2_1_2_3" hidden="1">{"One Year",#N/A,FALSE,"Summary"}</definedName>
    <definedName name="wrn.Summary._.1._.Year._2_1_3" localSheetId="10" hidden="1">{"One Year",#N/A,FALSE,"Summary"}</definedName>
    <definedName name="wrn.Summary._.1._.Year._2_1_3" hidden="1">{"One Year",#N/A,FALSE,"Summary"}</definedName>
    <definedName name="wrn.Summary._.1._.Year._2_1_3_1" localSheetId="10" hidden="1">{"One Year",#N/A,FALSE,"Summary"}</definedName>
    <definedName name="wrn.Summary._.1._.Year._2_1_3_1" hidden="1">{"One Year",#N/A,FALSE,"Summary"}</definedName>
    <definedName name="wrn.Summary._.1._.Year._2_1_3_2" localSheetId="10" hidden="1">{"One Year",#N/A,FALSE,"Summary"}</definedName>
    <definedName name="wrn.Summary._.1._.Year._2_1_3_2" hidden="1">{"One Year",#N/A,FALSE,"Summary"}</definedName>
    <definedName name="wrn.Summary._.1._.Year._2_1_3_3" localSheetId="10" hidden="1">{"One Year",#N/A,FALSE,"Summary"}</definedName>
    <definedName name="wrn.Summary._.1._.Year._2_1_3_3" hidden="1">{"One Year",#N/A,FALSE,"Summary"}</definedName>
    <definedName name="wrn.Summary._.1._.Year._2_1_4" localSheetId="10" hidden="1">{"One Year",#N/A,FALSE,"Summary"}</definedName>
    <definedName name="wrn.Summary._.1._.Year._2_1_4" hidden="1">{"One Year",#N/A,FALSE,"Summary"}</definedName>
    <definedName name="wrn.Summary._.1._.Year._2_1_5" localSheetId="10" hidden="1">{"One Year",#N/A,FALSE,"Summary"}</definedName>
    <definedName name="wrn.Summary._.1._.Year._2_1_5" hidden="1">{"One Year",#N/A,FALSE,"Summary"}</definedName>
    <definedName name="wrn.Summary._.1._.Year._2_2" localSheetId="10" hidden="1">{"One Year",#N/A,FALSE,"Summary"}</definedName>
    <definedName name="wrn.Summary._.1._.Year._2_2" hidden="1">{"One Year",#N/A,FALSE,"Summary"}</definedName>
    <definedName name="wrn.Summary._.1._.Year._2_2_1" localSheetId="10" hidden="1">{"One Year",#N/A,FALSE,"Summary"}</definedName>
    <definedName name="wrn.Summary._.1._.Year._2_2_1" hidden="1">{"One Year",#N/A,FALSE,"Summary"}</definedName>
    <definedName name="wrn.Summary._.1._.Year._2_2_1_1" localSheetId="10" hidden="1">{"One Year",#N/A,FALSE,"Summary"}</definedName>
    <definedName name="wrn.Summary._.1._.Year._2_2_1_1" hidden="1">{"One Year",#N/A,FALSE,"Summary"}</definedName>
    <definedName name="wrn.Summary._.1._.Year._2_2_1_2" localSheetId="10" hidden="1">{"One Year",#N/A,FALSE,"Summary"}</definedName>
    <definedName name="wrn.Summary._.1._.Year._2_2_1_2" hidden="1">{"One Year",#N/A,FALSE,"Summary"}</definedName>
    <definedName name="wrn.Summary._.1._.Year._2_2_1_3" localSheetId="10" hidden="1">{"One Year",#N/A,FALSE,"Summary"}</definedName>
    <definedName name="wrn.Summary._.1._.Year._2_2_1_3" hidden="1">{"One Year",#N/A,FALSE,"Summary"}</definedName>
    <definedName name="wrn.Summary._.1._.Year._2_2_2" localSheetId="10" hidden="1">{"One Year",#N/A,FALSE,"Summary"}</definedName>
    <definedName name="wrn.Summary._.1._.Year._2_2_2" hidden="1">{"One Year",#N/A,FALSE,"Summary"}</definedName>
    <definedName name="wrn.Summary._.1._.Year._2_2_2_1" localSheetId="10" hidden="1">{"One Year",#N/A,FALSE,"Summary"}</definedName>
    <definedName name="wrn.Summary._.1._.Year._2_2_2_1" hidden="1">{"One Year",#N/A,FALSE,"Summary"}</definedName>
    <definedName name="wrn.Summary._.1._.Year._2_2_2_2" localSheetId="10" hidden="1">{"One Year",#N/A,FALSE,"Summary"}</definedName>
    <definedName name="wrn.Summary._.1._.Year._2_2_2_2" hidden="1">{"One Year",#N/A,FALSE,"Summary"}</definedName>
    <definedName name="wrn.Summary._.1._.Year._2_2_2_3" localSheetId="10" hidden="1">{"One Year",#N/A,FALSE,"Summary"}</definedName>
    <definedName name="wrn.Summary._.1._.Year._2_2_2_3" hidden="1">{"One Year",#N/A,FALSE,"Summary"}</definedName>
    <definedName name="wrn.Summary._.1._.Year._2_2_3" localSheetId="10" hidden="1">{"One Year",#N/A,FALSE,"Summary"}</definedName>
    <definedName name="wrn.Summary._.1._.Year._2_2_3" hidden="1">{"One Year",#N/A,FALSE,"Summary"}</definedName>
    <definedName name="wrn.Summary._.1._.Year._2_2_4" localSheetId="10" hidden="1">{"One Year",#N/A,FALSE,"Summary"}</definedName>
    <definedName name="wrn.Summary._.1._.Year._2_2_4" hidden="1">{"One Year",#N/A,FALSE,"Summary"}</definedName>
    <definedName name="wrn.Summary._.1._.Year._2_2_5" localSheetId="10" hidden="1">{"One Year",#N/A,FALSE,"Summary"}</definedName>
    <definedName name="wrn.Summary._.1._.Year._2_2_5" hidden="1">{"One Year",#N/A,FALSE,"Summary"}</definedName>
    <definedName name="wrn.Summary._.1._.Year._2_3" localSheetId="10" hidden="1">{"One Year",#N/A,FALSE,"Summary"}</definedName>
    <definedName name="wrn.Summary._.1._.Year._2_3" hidden="1">{"One Year",#N/A,FALSE,"Summary"}</definedName>
    <definedName name="wrn.Summary._.1._.Year._2_3_1" localSheetId="10" hidden="1">{"One Year",#N/A,FALSE,"Summary"}</definedName>
    <definedName name="wrn.Summary._.1._.Year._2_3_1" hidden="1">{"One Year",#N/A,FALSE,"Summary"}</definedName>
    <definedName name="wrn.Summary._.1._.Year._2_3_2" localSheetId="10" hidden="1">{"One Year",#N/A,FALSE,"Summary"}</definedName>
    <definedName name="wrn.Summary._.1._.Year._2_3_2" hidden="1">{"One Year",#N/A,FALSE,"Summary"}</definedName>
    <definedName name="wrn.Summary._.1._.Year._2_3_3" localSheetId="10" hidden="1">{"One Year",#N/A,FALSE,"Summary"}</definedName>
    <definedName name="wrn.Summary._.1._.Year._2_3_3" hidden="1">{"One Year",#N/A,FALSE,"Summary"}</definedName>
    <definedName name="wrn.Summary._.1._.Year._2_4" localSheetId="10" hidden="1">{"One Year",#N/A,FALSE,"Summary"}</definedName>
    <definedName name="wrn.Summary._.1._.Year._2_4" hidden="1">{"One Year",#N/A,FALSE,"Summary"}</definedName>
    <definedName name="wrn.Summary._.1._.Year._2_4_1" localSheetId="10" hidden="1">{"One Year",#N/A,FALSE,"Summary"}</definedName>
    <definedName name="wrn.Summary._.1._.Year._2_4_1" hidden="1">{"One Year",#N/A,FALSE,"Summary"}</definedName>
    <definedName name="wrn.Summary._.1._.Year._2_4_2" localSheetId="10" hidden="1">{"One Year",#N/A,FALSE,"Summary"}</definedName>
    <definedName name="wrn.Summary._.1._.Year._2_4_2" hidden="1">{"One Year",#N/A,FALSE,"Summary"}</definedName>
    <definedName name="wrn.Summary._.1._.Year._2_4_3" localSheetId="10" hidden="1">{"One Year",#N/A,FALSE,"Summary"}</definedName>
    <definedName name="wrn.Summary._.1._.Year._2_4_3" hidden="1">{"One Year",#N/A,FALSE,"Summary"}</definedName>
    <definedName name="wrn.Summary._.1._.Year._2_5" localSheetId="10" hidden="1">{"One Year",#N/A,FALSE,"Summary"}</definedName>
    <definedName name="wrn.Summary._.1._.Year._2_5" hidden="1">{"One Year",#N/A,FALSE,"Summary"}</definedName>
    <definedName name="wrn.Summary._.1._.Year._3" localSheetId="10" hidden="1">{"One Year",#N/A,FALSE,"Summary"}</definedName>
    <definedName name="wrn.Summary._.1._.Year._3" hidden="1">{"One Year",#N/A,FALSE,"Summary"}</definedName>
    <definedName name="wrn.Summary._.1._.Year._3_1" localSheetId="10" hidden="1">{"One Year",#N/A,FALSE,"Summary"}</definedName>
    <definedName name="wrn.Summary._.1._.Year._3_1" hidden="1">{"One Year",#N/A,FALSE,"Summary"}</definedName>
    <definedName name="wrn.Summary._.1._.Year._3_1_1" localSheetId="10" hidden="1">{"One Year",#N/A,FALSE,"Summary"}</definedName>
    <definedName name="wrn.Summary._.1._.Year._3_1_1" hidden="1">{"One Year",#N/A,FALSE,"Summary"}</definedName>
    <definedName name="wrn.Summary._.1._.Year._3_1_1_1" localSheetId="10" hidden="1">{"One Year",#N/A,FALSE,"Summary"}</definedName>
    <definedName name="wrn.Summary._.1._.Year._3_1_1_1" hidden="1">{"One Year",#N/A,FALSE,"Summary"}</definedName>
    <definedName name="wrn.Summary._.1._.Year._3_1_1_2" localSheetId="10" hidden="1">{"One Year",#N/A,FALSE,"Summary"}</definedName>
    <definedName name="wrn.Summary._.1._.Year._3_1_1_2" hidden="1">{"One Year",#N/A,FALSE,"Summary"}</definedName>
    <definedName name="wrn.Summary._.1._.Year._3_1_1_3" localSheetId="10" hidden="1">{"One Year",#N/A,FALSE,"Summary"}</definedName>
    <definedName name="wrn.Summary._.1._.Year._3_1_1_3" hidden="1">{"One Year",#N/A,FALSE,"Summary"}</definedName>
    <definedName name="wrn.Summary._.1._.Year._3_1_2" localSheetId="10" hidden="1">{"One Year",#N/A,FALSE,"Summary"}</definedName>
    <definedName name="wrn.Summary._.1._.Year._3_1_2" hidden="1">{"One Year",#N/A,FALSE,"Summary"}</definedName>
    <definedName name="wrn.Summary._.1._.Year._3_1_2_1" localSheetId="10" hidden="1">{"One Year",#N/A,FALSE,"Summary"}</definedName>
    <definedName name="wrn.Summary._.1._.Year._3_1_2_1" hidden="1">{"One Year",#N/A,FALSE,"Summary"}</definedName>
    <definedName name="wrn.Summary._.1._.Year._3_1_2_2" localSheetId="10" hidden="1">{"One Year",#N/A,FALSE,"Summary"}</definedName>
    <definedName name="wrn.Summary._.1._.Year._3_1_2_2" hidden="1">{"One Year",#N/A,FALSE,"Summary"}</definedName>
    <definedName name="wrn.Summary._.1._.Year._3_1_2_3" localSheetId="10" hidden="1">{"One Year",#N/A,FALSE,"Summary"}</definedName>
    <definedName name="wrn.Summary._.1._.Year._3_1_2_3" hidden="1">{"One Year",#N/A,FALSE,"Summary"}</definedName>
    <definedName name="wrn.Summary._.1._.Year._3_1_3" localSheetId="10" hidden="1">{"One Year",#N/A,FALSE,"Summary"}</definedName>
    <definedName name="wrn.Summary._.1._.Year._3_1_3" hidden="1">{"One Year",#N/A,FALSE,"Summary"}</definedName>
    <definedName name="wrn.Summary._.1._.Year._3_1_3_1" localSheetId="10" hidden="1">{"One Year",#N/A,FALSE,"Summary"}</definedName>
    <definedName name="wrn.Summary._.1._.Year._3_1_3_1" hidden="1">{"One Year",#N/A,FALSE,"Summary"}</definedName>
    <definedName name="wrn.Summary._.1._.Year._3_1_3_2" localSheetId="10" hidden="1">{"One Year",#N/A,FALSE,"Summary"}</definedName>
    <definedName name="wrn.Summary._.1._.Year._3_1_3_2" hidden="1">{"One Year",#N/A,FALSE,"Summary"}</definedName>
    <definedName name="wrn.Summary._.1._.Year._3_1_3_3" localSheetId="10" hidden="1">{"One Year",#N/A,FALSE,"Summary"}</definedName>
    <definedName name="wrn.Summary._.1._.Year._3_1_3_3" hidden="1">{"One Year",#N/A,FALSE,"Summary"}</definedName>
    <definedName name="wrn.Summary._.1._.Year._3_1_4" localSheetId="10" hidden="1">{"One Year",#N/A,FALSE,"Summary"}</definedName>
    <definedName name="wrn.Summary._.1._.Year._3_1_4" hidden="1">{"One Year",#N/A,FALSE,"Summary"}</definedName>
    <definedName name="wrn.Summary._.1._.Year._3_1_5" localSheetId="10" hidden="1">{"One Year",#N/A,FALSE,"Summary"}</definedName>
    <definedName name="wrn.Summary._.1._.Year._3_1_5" hidden="1">{"One Year",#N/A,FALSE,"Summary"}</definedName>
    <definedName name="wrn.Summary._.1._.Year._3_2" localSheetId="10" hidden="1">{"One Year",#N/A,FALSE,"Summary"}</definedName>
    <definedName name="wrn.Summary._.1._.Year._3_2" hidden="1">{"One Year",#N/A,FALSE,"Summary"}</definedName>
    <definedName name="wrn.Summary._.1._.Year._3_2_1" localSheetId="10" hidden="1">{"One Year",#N/A,FALSE,"Summary"}</definedName>
    <definedName name="wrn.Summary._.1._.Year._3_2_1" hidden="1">{"One Year",#N/A,FALSE,"Summary"}</definedName>
    <definedName name="wrn.Summary._.1._.Year._3_2_1_1" localSheetId="10" hidden="1">{"One Year",#N/A,FALSE,"Summary"}</definedName>
    <definedName name="wrn.Summary._.1._.Year._3_2_1_1" hidden="1">{"One Year",#N/A,FALSE,"Summary"}</definedName>
    <definedName name="wrn.Summary._.1._.Year._3_2_1_2" localSheetId="10" hidden="1">{"One Year",#N/A,FALSE,"Summary"}</definedName>
    <definedName name="wrn.Summary._.1._.Year._3_2_1_2" hidden="1">{"One Year",#N/A,FALSE,"Summary"}</definedName>
    <definedName name="wrn.Summary._.1._.Year._3_2_1_3" localSheetId="10" hidden="1">{"One Year",#N/A,FALSE,"Summary"}</definedName>
    <definedName name="wrn.Summary._.1._.Year._3_2_1_3" hidden="1">{"One Year",#N/A,FALSE,"Summary"}</definedName>
    <definedName name="wrn.Summary._.1._.Year._3_2_2" localSheetId="10" hidden="1">{"One Year",#N/A,FALSE,"Summary"}</definedName>
    <definedName name="wrn.Summary._.1._.Year._3_2_2" hidden="1">{"One Year",#N/A,FALSE,"Summary"}</definedName>
    <definedName name="wrn.Summary._.1._.Year._3_2_2_1" localSheetId="10" hidden="1">{"One Year",#N/A,FALSE,"Summary"}</definedName>
    <definedName name="wrn.Summary._.1._.Year._3_2_2_1" hidden="1">{"One Year",#N/A,FALSE,"Summary"}</definedName>
    <definedName name="wrn.Summary._.1._.Year._3_2_2_2" localSheetId="10" hidden="1">{"One Year",#N/A,FALSE,"Summary"}</definedName>
    <definedName name="wrn.Summary._.1._.Year._3_2_2_2" hidden="1">{"One Year",#N/A,FALSE,"Summary"}</definedName>
    <definedName name="wrn.Summary._.1._.Year._3_2_2_3" localSheetId="10" hidden="1">{"One Year",#N/A,FALSE,"Summary"}</definedName>
    <definedName name="wrn.Summary._.1._.Year._3_2_2_3" hidden="1">{"One Year",#N/A,FALSE,"Summary"}</definedName>
    <definedName name="wrn.Summary._.1._.Year._3_2_3" localSheetId="10" hidden="1">{"One Year",#N/A,FALSE,"Summary"}</definedName>
    <definedName name="wrn.Summary._.1._.Year._3_2_3" hidden="1">{"One Year",#N/A,FALSE,"Summary"}</definedName>
    <definedName name="wrn.Summary._.1._.Year._3_2_4" localSheetId="10" hidden="1">{"One Year",#N/A,FALSE,"Summary"}</definedName>
    <definedName name="wrn.Summary._.1._.Year._3_2_4" hidden="1">{"One Year",#N/A,FALSE,"Summary"}</definedName>
    <definedName name="wrn.Summary._.1._.Year._3_2_5" localSheetId="10" hidden="1">{"One Year",#N/A,FALSE,"Summary"}</definedName>
    <definedName name="wrn.Summary._.1._.Year._3_2_5" hidden="1">{"One Year",#N/A,FALSE,"Summary"}</definedName>
    <definedName name="wrn.Summary._.1._.Year._3_3" localSheetId="10" hidden="1">{"One Year",#N/A,FALSE,"Summary"}</definedName>
    <definedName name="wrn.Summary._.1._.Year._3_3" hidden="1">{"One Year",#N/A,FALSE,"Summary"}</definedName>
    <definedName name="wrn.Summary._.1._.Year._3_3_1" localSheetId="10" hidden="1">{"One Year",#N/A,FALSE,"Summary"}</definedName>
    <definedName name="wrn.Summary._.1._.Year._3_3_1" hidden="1">{"One Year",#N/A,FALSE,"Summary"}</definedName>
    <definedName name="wrn.Summary._.1._.Year._3_3_2" localSheetId="10" hidden="1">{"One Year",#N/A,FALSE,"Summary"}</definedName>
    <definedName name="wrn.Summary._.1._.Year._3_3_2" hidden="1">{"One Year",#N/A,FALSE,"Summary"}</definedName>
    <definedName name="wrn.Summary._.1._.Year._3_3_3" localSheetId="10" hidden="1">{"One Year",#N/A,FALSE,"Summary"}</definedName>
    <definedName name="wrn.Summary._.1._.Year._3_3_3" hidden="1">{"One Year",#N/A,FALSE,"Summary"}</definedName>
    <definedName name="wrn.Summary._.1._.Year._3_4" localSheetId="10" hidden="1">{"One Year",#N/A,FALSE,"Summary"}</definedName>
    <definedName name="wrn.Summary._.1._.Year._3_4" hidden="1">{"One Year",#N/A,FALSE,"Summary"}</definedName>
    <definedName name="wrn.Summary._.1._.Year._3_4_1" localSheetId="10" hidden="1">{"One Year",#N/A,FALSE,"Summary"}</definedName>
    <definedName name="wrn.Summary._.1._.Year._3_4_1" hidden="1">{"One Year",#N/A,FALSE,"Summary"}</definedName>
    <definedName name="wrn.Summary._.1._.Year._3_4_2" localSheetId="10" hidden="1">{"One Year",#N/A,FALSE,"Summary"}</definedName>
    <definedName name="wrn.Summary._.1._.Year._3_4_2" hidden="1">{"One Year",#N/A,FALSE,"Summary"}</definedName>
    <definedName name="wrn.Summary._.1._.Year._3_4_3" localSheetId="10" hidden="1">{"One Year",#N/A,FALSE,"Summary"}</definedName>
    <definedName name="wrn.Summary._.1._.Year._3_4_3" hidden="1">{"One Year",#N/A,FALSE,"Summary"}</definedName>
    <definedName name="wrn.Summary._.1._.Year._3_5" localSheetId="10" hidden="1">{"One Year",#N/A,FALSE,"Summary"}</definedName>
    <definedName name="wrn.Summary._.1._.Year._3_5" hidden="1">{"One Year",#N/A,FALSE,"Summary"}</definedName>
    <definedName name="wrn.Summary._.1._.Year._4" localSheetId="10" hidden="1">{"One Year",#N/A,FALSE,"Summary"}</definedName>
    <definedName name="wrn.Summary._.1._.Year._4" hidden="1">{"One Year",#N/A,FALSE,"Summary"}</definedName>
    <definedName name="wrn.Summary._.1._.Year._4_1" localSheetId="10" hidden="1">{"One Year",#N/A,FALSE,"Summary"}</definedName>
    <definedName name="wrn.Summary._.1._.Year._4_1" hidden="1">{"One Year",#N/A,FALSE,"Summary"}</definedName>
    <definedName name="wrn.Summary._.1._.Year._4_1_1" localSheetId="10" hidden="1">{"One Year",#N/A,FALSE,"Summary"}</definedName>
    <definedName name="wrn.Summary._.1._.Year._4_1_1" hidden="1">{"One Year",#N/A,FALSE,"Summary"}</definedName>
    <definedName name="wrn.Summary._.1._.Year._4_1_1_1" localSheetId="10" hidden="1">{"One Year",#N/A,FALSE,"Summary"}</definedName>
    <definedName name="wrn.Summary._.1._.Year._4_1_1_1" hidden="1">{"One Year",#N/A,FALSE,"Summary"}</definedName>
    <definedName name="wrn.Summary._.1._.Year._4_1_1_2" localSheetId="10" hidden="1">{"One Year",#N/A,FALSE,"Summary"}</definedName>
    <definedName name="wrn.Summary._.1._.Year._4_1_1_2" hidden="1">{"One Year",#N/A,FALSE,"Summary"}</definedName>
    <definedName name="wrn.Summary._.1._.Year._4_1_1_3" localSheetId="10" hidden="1">{"One Year",#N/A,FALSE,"Summary"}</definedName>
    <definedName name="wrn.Summary._.1._.Year._4_1_1_3" hidden="1">{"One Year",#N/A,FALSE,"Summary"}</definedName>
    <definedName name="wrn.Summary._.1._.Year._4_1_2" localSheetId="10" hidden="1">{"One Year",#N/A,FALSE,"Summary"}</definedName>
    <definedName name="wrn.Summary._.1._.Year._4_1_2" hidden="1">{"One Year",#N/A,FALSE,"Summary"}</definedName>
    <definedName name="wrn.Summary._.1._.Year._4_1_2_1" localSheetId="10" hidden="1">{"One Year",#N/A,FALSE,"Summary"}</definedName>
    <definedName name="wrn.Summary._.1._.Year._4_1_2_1" hidden="1">{"One Year",#N/A,FALSE,"Summary"}</definedName>
    <definedName name="wrn.Summary._.1._.Year._4_1_2_2" localSheetId="10" hidden="1">{"One Year",#N/A,FALSE,"Summary"}</definedName>
    <definedName name="wrn.Summary._.1._.Year._4_1_2_2" hidden="1">{"One Year",#N/A,FALSE,"Summary"}</definedName>
    <definedName name="wrn.Summary._.1._.Year._4_1_2_3" localSheetId="10" hidden="1">{"One Year",#N/A,FALSE,"Summary"}</definedName>
    <definedName name="wrn.Summary._.1._.Year._4_1_2_3" hidden="1">{"One Year",#N/A,FALSE,"Summary"}</definedName>
    <definedName name="wrn.Summary._.1._.Year._4_1_3" localSheetId="10" hidden="1">{"One Year",#N/A,FALSE,"Summary"}</definedName>
    <definedName name="wrn.Summary._.1._.Year._4_1_3" hidden="1">{"One Year",#N/A,FALSE,"Summary"}</definedName>
    <definedName name="wrn.Summary._.1._.Year._4_1_3_1" localSheetId="10" hidden="1">{"One Year",#N/A,FALSE,"Summary"}</definedName>
    <definedName name="wrn.Summary._.1._.Year._4_1_3_1" hidden="1">{"One Year",#N/A,FALSE,"Summary"}</definedName>
    <definedName name="wrn.Summary._.1._.Year._4_1_3_2" localSheetId="10" hidden="1">{"One Year",#N/A,FALSE,"Summary"}</definedName>
    <definedName name="wrn.Summary._.1._.Year._4_1_3_2" hidden="1">{"One Year",#N/A,FALSE,"Summary"}</definedName>
    <definedName name="wrn.Summary._.1._.Year._4_1_3_3" localSheetId="10" hidden="1">{"One Year",#N/A,FALSE,"Summary"}</definedName>
    <definedName name="wrn.Summary._.1._.Year._4_1_3_3" hidden="1">{"One Year",#N/A,FALSE,"Summary"}</definedName>
    <definedName name="wrn.Summary._.1._.Year._4_1_4" localSheetId="10" hidden="1">{"One Year",#N/A,FALSE,"Summary"}</definedName>
    <definedName name="wrn.Summary._.1._.Year._4_1_4" hidden="1">{"One Year",#N/A,FALSE,"Summary"}</definedName>
    <definedName name="wrn.Summary._.1._.Year._4_1_5" localSheetId="10" hidden="1">{"One Year",#N/A,FALSE,"Summary"}</definedName>
    <definedName name="wrn.Summary._.1._.Year._4_1_5" hidden="1">{"One Year",#N/A,FALSE,"Summary"}</definedName>
    <definedName name="wrn.Summary._.1._.Year._4_2" localSheetId="10" hidden="1">{"One Year",#N/A,FALSE,"Summary"}</definedName>
    <definedName name="wrn.Summary._.1._.Year._4_2" hidden="1">{"One Year",#N/A,FALSE,"Summary"}</definedName>
    <definedName name="wrn.Summary._.1._.Year._4_2_1" localSheetId="10" hidden="1">{"One Year",#N/A,FALSE,"Summary"}</definedName>
    <definedName name="wrn.Summary._.1._.Year._4_2_1" hidden="1">{"One Year",#N/A,FALSE,"Summary"}</definedName>
    <definedName name="wrn.Summary._.1._.Year._4_2_1_1" localSheetId="10" hidden="1">{"One Year",#N/A,FALSE,"Summary"}</definedName>
    <definedName name="wrn.Summary._.1._.Year._4_2_1_1" hidden="1">{"One Year",#N/A,FALSE,"Summary"}</definedName>
    <definedName name="wrn.Summary._.1._.Year._4_2_1_2" localSheetId="10" hidden="1">{"One Year",#N/A,FALSE,"Summary"}</definedName>
    <definedName name="wrn.Summary._.1._.Year._4_2_1_2" hidden="1">{"One Year",#N/A,FALSE,"Summary"}</definedName>
    <definedName name="wrn.Summary._.1._.Year._4_2_1_3" localSheetId="10" hidden="1">{"One Year",#N/A,FALSE,"Summary"}</definedName>
    <definedName name="wrn.Summary._.1._.Year._4_2_1_3" hidden="1">{"One Year",#N/A,FALSE,"Summary"}</definedName>
    <definedName name="wrn.Summary._.1._.Year._4_2_2" localSheetId="10" hidden="1">{"One Year",#N/A,FALSE,"Summary"}</definedName>
    <definedName name="wrn.Summary._.1._.Year._4_2_2" hidden="1">{"One Year",#N/A,FALSE,"Summary"}</definedName>
    <definedName name="wrn.Summary._.1._.Year._4_2_2_1" localSheetId="10" hidden="1">{"One Year",#N/A,FALSE,"Summary"}</definedName>
    <definedName name="wrn.Summary._.1._.Year._4_2_2_1" hidden="1">{"One Year",#N/A,FALSE,"Summary"}</definedName>
    <definedName name="wrn.Summary._.1._.Year._4_2_2_2" localSheetId="10" hidden="1">{"One Year",#N/A,FALSE,"Summary"}</definedName>
    <definedName name="wrn.Summary._.1._.Year._4_2_2_2" hidden="1">{"One Year",#N/A,FALSE,"Summary"}</definedName>
    <definedName name="wrn.Summary._.1._.Year._4_2_2_3" localSheetId="10" hidden="1">{"One Year",#N/A,FALSE,"Summary"}</definedName>
    <definedName name="wrn.Summary._.1._.Year._4_2_2_3" hidden="1">{"One Year",#N/A,FALSE,"Summary"}</definedName>
    <definedName name="wrn.Summary._.1._.Year._4_2_3" localSheetId="10" hidden="1">{"One Year",#N/A,FALSE,"Summary"}</definedName>
    <definedName name="wrn.Summary._.1._.Year._4_2_3" hidden="1">{"One Year",#N/A,FALSE,"Summary"}</definedName>
    <definedName name="wrn.Summary._.1._.Year._4_2_4" localSheetId="10" hidden="1">{"One Year",#N/A,FALSE,"Summary"}</definedName>
    <definedName name="wrn.Summary._.1._.Year._4_2_4" hidden="1">{"One Year",#N/A,FALSE,"Summary"}</definedName>
    <definedName name="wrn.Summary._.1._.Year._4_2_5" localSheetId="10" hidden="1">{"One Year",#N/A,FALSE,"Summary"}</definedName>
    <definedName name="wrn.Summary._.1._.Year._4_2_5" hidden="1">{"One Year",#N/A,FALSE,"Summary"}</definedName>
    <definedName name="wrn.Summary._.1._.Year._4_3" localSheetId="10" hidden="1">{"One Year",#N/A,FALSE,"Summary"}</definedName>
    <definedName name="wrn.Summary._.1._.Year._4_3" hidden="1">{"One Year",#N/A,FALSE,"Summary"}</definedName>
    <definedName name="wrn.Summary._.1._.Year._4_3_1" localSheetId="10" hidden="1">{"One Year",#N/A,FALSE,"Summary"}</definedName>
    <definedName name="wrn.Summary._.1._.Year._4_3_1" hidden="1">{"One Year",#N/A,FALSE,"Summary"}</definedName>
    <definedName name="wrn.Summary._.1._.Year._4_3_2" localSheetId="10" hidden="1">{"One Year",#N/A,FALSE,"Summary"}</definedName>
    <definedName name="wrn.Summary._.1._.Year._4_3_2" hidden="1">{"One Year",#N/A,FALSE,"Summary"}</definedName>
    <definedName name="wrn.Summary._.1._.Year._4_3_3" localSheetId="10" hidden="1">{"One Year",#N/A,FALSE,"Summary"}</definedName>
    <definedName name="wrn.Summary._.1._.Year._4_3_3" hidden="1">{"One Year",#N/A,FALSE,"Summary"}</definedName>
    <definedName name="wrn.Summary._.1._.Year._4_4" localSheetId="10" hidden="1">{"One Year",#N/A,FALSE,"Summary"}</definedName>
    <definedName name="wrn.Summary._.1._.Year._4_4" hidden="1">{"One Year",#N/A,FALSE,"Summary"}</definedName>
    <definedName name="wrn.Summary._.1._.Year._4_4_1" localSheetId="10" hidden="1">{"One Year",#N/A,FALSE,"Summary"}</definedName>
    <definedName name="wrn.Summary._.1._.Year._4_4_1" hidden="1">{"One Year",#N/A,FALSE,"Summary"}</definedName>
    <definedName name="wrn.Summary._.1._.Year._4_4_2" localSheetId="10" hidden="1">{"One Year",#N/A,FALSE,"Summary"}</definedName>
    <definedName name="wrn.Summary._.1._.Year._4_4_2" hidden="1">{"One Year",#N/A,FALSE,"Summary"}</definedName>
    <definedName name="wrn.Summary._.1._.Year._4_4_3" localSheetId="10" hidden="1">{"One Year",#N/A,FALSE,"Summary"}</definedName>
    <definedName name="wrn.Summary._.1._.Year._4_4_3" hidden="1">{"One Year",#N/A,FALSE,"Summary"}</definedName>
    <definedName name="wrn.Summary._.1._.Year._4_5" localSheetId="10" hidden="1">{"One Year",#N/A,FALSE,"Summary"}</definedName>
    <definedName name="wrn.Summary._.1._.Year._4_5" hidden="1">{"One Year",#N/A,FALSE,"Summary"}</definedName>
    <definedName name="wrn.Summary._.1._.Year._5" localSheetId="10" hidden="1">{"One Year",#N/A,FALSE,"Summary"}</definedName>
    <definedName name="wrn.Summary._.1._.Year._5" hidden="1">{"One Year",#N/A,FALSE,"Summary"}</definedName>
    <definedName name="wrn.Summary._.1._.Year._5_1" localSheetId="10" hidden="1">{"One Year",#N/A,FALSE,"Summary"}</definedName>
    <definedName name="wrn.Summary._.1._.Year._5_1" hidden="1">{"One Year",#N/A,FALSE,"Summary"}</definedName>
    <definedName name="wrn.Summary._.1._.Year._5_1_1" localSheetId="10" hidden="1">{"One Year",#N/A,FALSE,"Summary"}</definedName>
    <definedName name="wrn.Summary._.1._.Year._5_1_1" hidden="1">{"One Year",#N/A,FALSE,"Summary"}</definedName>
    <definedName name="wrn.Summary._.1._.Year._5_1_1_1" localSheetId="10" hidden="1">{"One Year",#N/A,FALSE,"Summary"}</definedName>
    <definedName name="wrn.Summary._.1._.Year._5_1_1_1" hidden="1">{"One Year",#N/A,FALSE,"Summary"}</definedName>
    <definedName name="wrn.Summary._.1._.Year._5_1_1_2" localSheetId="10" hidden="1">{"One Year",#N/A,FALSE,"Summary"}</definedName>
    <definedName name="wrn.Summary._.1._.Year._5_1_1_2" hidden="1">{"One Year",#N/A,FALSE,"Summary"}</definedName>
    <definedName name="wrn.Summary._.1._.Year._5_1_1_3" localSheetId="10" hidden="1">{"One Year",#N/A,FALSE,"Summary"}</definedName>
    <definedName name="wrn.Summary._.1._.Year._5_1_1_3" hidden="1">{"One Year",#N/A,FALSE,"Summary"}</definedName>
    <definedName name="wrn.Summary._.1._.Year._5_1_2" localSheetId="10" hidden="1">{"One Year",#N/A,FALSE,"Summary"}</definedName>
    <definedName name="wrn.Summary._.1._.Year._5_1_2" hidden="1">{"One Year",#N/A,FALSE,"Summary"}</definedName>
    <definedName name="wrn.Summary._.1._.Year._5_1_2_1" localSheetId="10" hidden="1">{"One Year",#N/A,FALSE,"Summary"}</definedName>
    <definedName name="wrn.Summary._.1._.Year._5_1_2_1" hidden="1">{"One Year",#N/A,FALSE,"Summary"}</definedName>
    <definedName name="wrn.Summary._.1._.Year._5_1_2_2" localSheetId="10" hidden="1">{"One Year",#N/A,FALSE,"Summary"}</definedName>
    <definedName name="wrn.Summary._.1._.Year._5_1_2_2" hidden="1">{"One Year",#N/A,FALSE,"Summary"}</definedName>
    <definedName name="wrn.Summary._.1._.Year._5_1_2_3" localSheetId="10" hidden="1">{"One Year",#N/A,FALSE,"Summary"}</definedName>
    <definedName name="wrn.Summary._.1._.Year._5_1_2_3" hidden="1">{"One Year",#N/A,FALSE,"Summary"}</definedName>
    <definedName name="wrn.Summary._.1._.Year._5_1_3" localSheetId="10" hidden="1">{"One Year",#N/A,FALSE,"Summary"}</definedName>
    <definedName name="wrn.Summary._.1._.Year._5_1_3" hidden="1">{"One Year",#N/A,FALSE,"Summary"}</definedName>
    <definedName name="wrn.Summary._.1._.Year._5_1_3_1" localSheetId="10" hidden="1">{"One Year",#N/A,FALSE,"Summary"}</definedName>
    <definedName name="wrn.Summary._.1._.Year._5_1_3_1" hidden="1">{"One Year",#N/A,FALSE,"Summary"}</definedName>
    <definedName name="wrn.Summary._.1._.Year._5_1_3_2" localSheetId="10" hidden="1">{"One Year",#N/A,FALSE,"Summary"}</definedName>
    <definedName name="wrn.Summary._.1._.Year._5_1_3_2" hidden="1">{"One Year",#N/A,FALSE,"Summary"}</definedName>
    <definedName name="wrn.Summary._.1._.Year._5_1_3_3" localSheetId="10" hidden="1">{"One Year",#N/A,FALSE,"Summary"}</definedName>
    <definedName name="wrn.Summary._.1._.Year._5_1_3_3" hidden="1">{"One Year",#N/A,FALSE,"Summary"}</definedName>
    <definedName name="wrn.Summary._.1._.Year._5_1_4" localSheetId="10" hidden="1">{"One Year",#N/A,FALSE,"Summary"}</definedName>
    <definedName name="wrn.Summary._.1._.Year._5_1_4" hidden="1">{"One Year",#N/A,FALSE,"Summary"}</definedName>
    <definedName name="wrn.Summary._.1._.Year._5_1_5" localSheetId="10" hidden="1">{"One Year",#N/A,FALSE,"Summary"}</definedName>
    <definedName name="wrn.Summary._.1._.Year._5_1_5" hidden="1">{"One Year",#N/A,FALSE,"Summary"}</definedName>
    <definedName name="wrn.Summary._.1._.Year._5_2" localSheetId="10" hidden="1">{"One Year",#N/A,FALSE,"Summary"}</definedName>
    <definedName name="wrn.Summary._.1._.Year._5_2" hidden="1">{"One Year",#N/A,FALSE,"Summary"}</definedName>
    <definedName name="wrn.Summary._.1._.Year._5_2_1" localSheetId="10" hidden="1">{"One Year",#N/A,FALSE,"Summary"}</definedName>
    <definedName name="wrn.Summary._.1._.Year._5_2_1" hidden="1">{"One Year",#N/A,FALSE,"Summary"}</definedName>
    <definedName name="wrn.Summary._.1._.Year._5_2_1_1" localSheetId="10" hidden="1">{"One Year",#N/A,FALSE,"Summary"}</definedName>
    <definedName name="wrn.Summary._.1._.Year._5_2_1_1" hidden="1">{"One Year",#N/A,FALSE,"Summary"}</definedName>
    <definedName name="wrn.Summary._.1._.Year._5_2_1_2" localSheetId="10" hidden="1">{"One Year",#N/A,FALSE,"Summary"}</definedName>
    <definedName name="wrn.Summary._.1._.Year._5_2_1_2" hidden="1">{"One Year",#N/A,FALSE,"Summary"}</definedName>
    <definedName name="wrn.Summary._.1._.Year._5_2_1_3" localSheetId="10" hidden="1">{"One Year",#N/A,FALSE,"Summary"}</definedName>
    <definedName name="wrn.Summary._.1._.Year._5_2_1_3" hidden="1">{"One Year",#N/A,FALSE,"Summary"}</definedName>
    <definedName name="wrn.Summary._.1._.Year._5_2_2" localSheetId="10" hidden="1">{"One Year",#N/A,FALSE,"Summary"}</definedName>
    <definedName name="wrn.Summary._.1._.Year._5_2_2" hidden="1">{"One Year",#N/A,FALSE,"Summary"}</definedName>
    <definedName name="wrn.Summary._.1._.Year._5_2_2_1" localSheetId="10" hidden="1">{"One Year",#N/A,FALSE,"Summary"}</definedName>
    <definedName name="wrn.Summary._.1._.Year._5_2_2_1" hidden="1">{"One Year",#N/A,FALSE,"Summary"}</definedName>
    <definedName name="wrn.Summary._.1._.Year._5_2_2_2" localSheetId="10" hidden="1">{"One Year",#N/A,FALSE,"Summary"}</definedName>
    <definedName name="wrn.Summary._.1._.Year._5_2_2_2" hidden="1">{"One Year",#N/A,FALSE,"Summary"}</definedName>
    <definedName name="wrn.Summary._.1._.Year._5_2_2_3" localSheetId="10" hidden="1">{"One Year",#N/A,FALSE,"Summary"}</definedName>
    <definedName name="wrn.Summary._.1._.Year._5_2_2_3" hidden="1">{"One Year",#N/A,FALSE,"Summary"}</definedName>
    <definedName name="wrn.Summary._.1._.Year._5_2_3" localSheetId="10" hidden="1">{"One Year",#N/A,FALSE,"Summary"}</definedName>
    <definedName name="wrn.Summary._.1._.Year._5_2_3" hidden="1">{"One Year",#N/A,FALSE,"Summary"}</definedName>
    <definedName name="wrn.Summary._.1._.Year._5_2_4" localSheetId="10" hidden="1">{"One Year",#N/A,FALSE,"Summary"}</definedName>
    <definedName name="wrn.Summary._.1._.Year._5_2_4" hidden="1">{"One Year",#N/A,FALSE,"Summary"}</definedName>
    <definedName name="wrn.Summary._.1._.Year._5_2_5" localSheetId="10" hidden="1">{"One Year",#N/A,FALSE,"Summary"}</definedName>
    <definedName name="wrn.Summary._.1._.Year._5_2_5" hidden="1">{"One Year",#N/A,FALSE,"Summary"}</definedName>
    <definedName name="wrn.Summary._.1._.Year._5_3" localSheetId="10" hidden="1">{"One Year",#N/A,FALSE,"Summary"}</definedName>
    <definedName name="wrn.Summary._.1._.Year._5_3" hidden="1">{"One Year",#N/A,FALSE,"Summary"}</definedName>
    <definedName name="wrn.Summary._.1._.Year._5_3_1" localSheetId="10" hidden="1">{"One Year",#N/A,FALSE,"Summary"}</definedName>
    <definedName name="wrn.Summary._.1._.Year._5_3_1" hidden="1">{"One Year",#N/A,FALSE,"Summary"}</definedName>
    <definedName name="wrn.Summary._.1._.Year._5_3_2" localSheetId="10" hidden="1">{"One Year",#N/A,FALSE,"Summary"}</definedName>
    <definedName name="wrn.Summary._.1._.Year._5_3_2" hidden="1">{"One Year",#N/A,FALSE,"Summary"}</definedName>
    <definedName name="wrn.Summary._.1._.Year._5_3_3" localSheetId="10" hidden="1">{"One Year",#N/A,FALSE,"Summary"}</definedName>
    <definedName name="wrn.Summary._.1._.Year._5_3_3" hidden="1">{"One Year",#N/A,FALSE,"Summary"}</definedName>
    <definedName name="wrn.Summary._.1._.Year._5_4" localSheetId="10" hidden="1">{"One Year",#N/A,FALSE,"Summary"}</definedName>
    <definedName name="wrn.Summary._.1._.Year._5_4" hidden="1">{"One Year",#N/A,FALSE,"Summary"}</definedName>
    <definedName name="wrn.Summary._.1._.Year._5_4_1" localSheetId="10" hidden="1">{"One Year",#N/A,FALSE,"Summary"}</definedName>
    <definedName name="wrn.Summary._.1._.Year._5_4_1" hidden="1">{"One Year",#N/A,FALSE,"Summary"}</definedName>
    <definedName name="wrn.Summary._.1._.Year._5_4_2" localSheetId="10" hidden="1">{"One Year",#N/A,FALSE,"Summary"}</definedName>
    <definedName name="wrn.Summary._.1._.Year._5_4_2" hidden="1">{"One Year",#N/A,FALSE,"Summary"}</definedName>
    <definedName name="wrn.Summary._.1._.Year._5_4_3" localSheetId="10" hidden="1">{"One Year",#N/A,FALSE,"Summary"}</definedName>
    <definedName name="wrn.Summary._.1._.Year._5_4_3" hidden="1">{"One Year",#N/A,FALSE,"Summary"}</definedName>
    <definedName name="wrn.Summary._.1._.Year._5_5" localSheetId="10" hidden="1">{"One Year",#N/A,FALSE,"Summary"}</definedName>
    <definedName name="wrn.Summary._.1._.Year._5_5" hidden="1">{"One Year",#N/A,FALSE,"Summary"}</definedName>
    <definedName name="xdif_AutomationClearCache" hidden="1">TRUE</definedName>
    <definedName name="xdif_AutomationCreateFolderStructure" hidden="1">FALSE</definedName>
    <definedName name="xdif_AutomationDropFormulas" hidden="1">"DropIncludingOtherWorkbookFormulas"</definedName>
    <definedName name="xdif_AutomationIgnoreHiddenRows" hidden="1">TRUE</definedName>
    <definedName name="xdif_AutomationMode" hidden="1">"AutomationSheet"</definedName>
    <definedName name="xdif_AutomationProtection" hidden="1">FALSE</definedName>
    <definedName name="xdif_AutomationRange" localSheetId="15" hidden="1">#REF!</definedName>
    <definedName name="xdif_AutomationRange" hidden="1">#REF!</definedName>
    <definedName name="xdif_AutomationSuppressZeros" hidden="1">FALSE</definedName>
    <definedName name="xdif_AutomationType01" hidden="1">"MultipleSheets"</definedName>
    <definedName name="xdif_AutomationUpdateLists" hidden="1">FALSE</definedName>
    <definedName name="xdif_RefreshIncludeLists" hidden="1">TRUE</definedName>
    <definedName name="xdif_SheetToAutomate01" localSheetId="15" hidden="1">#REF!</definedName>
    <definedName name="xdif_SheetToAutomate01" hidden="1">#REF!</definedName>
    <definedName name="xdif637338572579862290__dataRowCount" localSheetId="13" hidden="1">80</definedName>
    <definedName name="xdif637338572579862290__userDefinedName" localSheetId="13" hidden="1">"Periods 1"</definedName>
    <definedName name="xdif637338572579862290_AboveLeft" localSheetId="13" hidden="1">TRUE</definedName>
    <definedName name="xdif637338572579862290_AboveLeftCells" localSheetId="13" hidden="1">1</definedName>
    <definedName name="xdif637338572579862290_AutoFilter" localSheetId="13" hidden="1">FALSE</definedName>
    <definedName name="xdif637338572579862290_Autofit" localSheetId="13" hidden="1">TRUE</definedName>
    <definedName name="xdif637338572579862290_BelowRight" localSheetId="13" hidden="1">TRUE</definedName>
    <definedName name="xdif637338572579862290_BelowRightCells" localSheetId="13" hidden="1">1</definedName>
    <definedName name="xdif637338572579862290_DestinationRange" localSheetId="13" hidden="1">Parameters!$B$5:$C$5</definedName>
    <definedName name="xdif637338572579862290_DistinctValues" localSheetId="13" hidden="1">FALSE</definedName>
    <definedName name="xdif637338572579862290_ObjectType" localSheetId="13" hidden="1">"Validation"</definedName>
    <definedName name="xdif637338572579862290_ParameterName00" localSheetId="13" hidden="1">"PSFConnectionNo"</definedName>
    <definedName name="xdif637338572579862290_ParameterName01" localSheetId="13" hidden="1">"FromPeriod"</definedName>
    <definedName name="xdif637338572579862290_ParameterName02" localSheetId="13" hidden="1">"ToPeriod"</definedName>
    <definedName name="xdif637338572579862290_ParameterName03" localSheetId="13" hidden="1">"PeriodOrYear"</definedName>
    <definedName name="xdif637338572579862290_RefreshMode" localSheetId="13" hidden="1">"Automatic"</definedName>
    <definedName name="xdif637338572579862290_SelectAliasItem01" localSheetId="13" hidden="1">"Period"</definedName>
    <definedName name="xdif637338572579862290_SelectAliasItem02" localSheetId="13" hidden="1">"Title"</definedName>
    <definedName name="xdif637338572579862290_SelectColumnFormulaItem01" localSheetId="13" hidden="1">"="</definedName>
    <definedName name="xdif637338572579862290_SelectColumnFormulaItem02" localSheetId="13" hidden="1">"="</definedName>
    <definedName name="xdif637338572579862290_SelectColumnNameItem01" localSheetId="13" hidden="1">"YEARANDPERIOD"</definedName>
    <definedName name="xdif637338572579862290_SelectColumnNameItem02" localSheetId="13" hidden="1">"TITLE"</definedName>
    <definedName name="xdif637338572579862290_SelectGroupItem01" localSheetId="13" hidden="1">"="</definedName>
    <definedName name="xdif637338572579862290_SelectGroupItem02" localSheetId="13" hidden="1">"="</definedName>
    <definedName name="xdif637338572579862290_SelectItemRange01" localSheetId="13" hidden="1">Parameters!$B$5</definedName>
    <definedName name="xdif637338572579862290_SelectItemRange02" localSheetId="13" hidden="1">Parameters!$C$5</definedName>
    <definedName name="xdif637338572579862290_SelectItemType01" localSheetId="13" hidden="1">"Value"</definedName>
    <definedName name="xdif637338572579862290_SelectItemType02" localSheetId="13" hidden="1">"Value"</definedName>
    <definedName name="xdif637338572579862290_SelectPathItem01" localSheetId="13" hidden="1">"dbo.M_PERIOD,Period"</definedName>
    <definedName name="xdif637338572579862290_SelectPathItem02" localSheetId="13" hidden="1">"dbo.M_PERIOD,Period"</definedName>
    <definedName name="xdif637338572579862290_SelectVisibleItem01" localSheetId="13" hidden="1">TRUE</definedName>
    <definedName name="xdif637338572579862290_SelectVisibleItem02" localSheetId="13" hidden="1">TRUE</definedName>
    <definedName name="xdif637338572579862290_ShowColumnHeaders" localSheetId="13" hidden="1">FALSE</definedName>
    <definedName name="xdif637338572579862290_SortAliasItem01" localSheetId="13" hidden="1">"YEARCODE"</definedName>
    <definedName name="xdif637338572579862290_SortAliasItem02" localSheetId="13" hidden="1">"PERIOD"</definedName>
    <definedName name="xdif637338572579862290_SortColumnNameItem01" localSheetId="13" hidden="1">"YEARCODE"</definedName>
    <definedName name="xdif637338572579862290_SortColumnNameItem02" localSheetId="13" hidden="1">"PERIOD"</definedName>
    <definedName name="xdif637338572579862290_SortOrderByItem01" localSheetId="13" hidden="1">"Asc"</definedName>
    <definedName name="xdif637338572579862290_SortOrderByItem02" localSheetId="13" hidden="1">"Asc"</definedName>
    <definedName name="xdif637338572579862290_SortPathItem01" localSheetId="13" hidden="1">"dbo.M_PERIOD,Period"</definedName>
    <definedName name="xdif637338572579862290_SortPathItem02" localSheetId="13" hidden="1">"dbo.M_PERIOD,Period"</definedName>
    <definedName name="xdif637338572579862290_SourceObject" localSheetId="13" hidden="1">"PSFPLIST"</definedName>
    <definedName name="xdif637338572579862290_UserValue00" localSheetId="13" hidden="1">Parameters!$B$3</definedName>
    <definedName name="xdif637338572579862290_UserValue01" localSheetId="13" hidden="1">"2020.01"</definedName>
    <definedName name="xdif637338572579862290_UserValue02" localSheetId="13" hidden="1">"="</definedName>
    <definedName name="xdif637338572579862290_UserValue03" localSheetId="13" hidden="1">"="</definedName>
    <definedName name="xdif637338572586424745__dataRowCount" localSheetId="13" hidden="1">80</definedName>
    <definedName name="xdif637338572586424745__userDefinedName" localSheetId="13" hidden="1">"Periods 2"</definedName>
    <definedName name="xdif637338572586424745_AboveLeft" localSheetId="13" hidden="1">TRUE</definedName>
    <definedName name="xdif637338572586424745_AboveLeftCells" localSheetId="13" hidden="1">1</definedName>
    <definedName name="xdif637338572586424745_AutoFilter" localSheetId="13" hidden="1">FALSE</definedName>
    <definedName name="xdif637338572586424745_Autofit" localSheetId="13" hidden="1">TRUE</definedName>
    <definedName name="xdif637338572586424745_BelowRight" localSheetId="13" hidden="1">TRUE</definedName>
    <definedName name="xdif637338572586424745_BelowRightCells" localSheetId="13" hidden="1">1</definedName>
    <definedName name="xdif637338572586424745_DestinationRange" localSheetId="13" hidden="1">Parameters!$B$6:$C$6</definedName>
    <definedName name="xdif637338572586424745_DistinctValues" localSheetId="13" hidden="1">FALSE</definedName>
    <definedName name="xdif637338572586424745_ObjectType" localSheetId="13" hidden="1">"Validation"</definedName>
    <definedName name="xdif637338572586424745_ParameterName00" localSheetId="13" hidden="1">"PSFConnectionNo"</definedName>
    <definedName name="xdif637338572586424745_ParameterName01" localSheetId="13" hidden="1">"FromPeriod"</definedName>
    <definedName name="xdif637338572586424745_ParameterName02" localSheetId="13" hidden="1">"ToPeriod"</definedName>
    <definedName name="xdif637338572586424745_ParameterName03" localSheetId="13" hidden="1">"PeriodOrYear"</definedName>
    <definedName name="xdif637338572586424745_RefreshMode" localSheetId="13" hidden="1">"Automatic"</definedName>
    <definedName name="xdif637338572586424745_SelectAliasItem01" localSheetId="13" hidden="1">"Period"</definedName>
    <definedName name="xdif637338572586424745_SelectAliasItem02" localSheetId="13" hidden="1">"Title"</definedName>
    <definedName name="xdif637338572586424745_SelectColumnFormulaItem01" localSheetId="13" hidden="1">"="</definedName>
    <definedName name="xdif637338572586424745_SelectColumnFormulaItem02" localSheetId="13" hidden="1">"="</definedName>
    <definedName name="xdif637338572586424745_SelectColumnNameItem01" localSheetId="13" hidden="1">"YEARANDPERIOD"</definedName>
    <definedName name="xdif637338572586424745_SelectColumnNameItem02" localSheetId="13" hidden="1">"TITLE"</definedName>
    <definedName name="xdif637338572586424745_SelectGroupItem01" localSheetId="13" hidden="1">"="</definedName>
    <definedName name="xdif637338572586424745_SelectGroupItem02" localSheetId="13" hidden="1">"="</definedName>
    <definedName name="xdif637338572586424745_SelectItemRange01" localSheetId="13" hidden="1">Parameters!$B$6</definedName>
    <definedName name="xdif637338572586424745_SelectItemRange02" localSheetId="13" hidden="1">Parameters!$C$6</definedName>
    <definedName name="xdif637338572586424745_SelectItemType01" localSheetId="13" hidden="1">"Value"</definedName>
    <definedName name="xdif637338572586424745_SelectItemType02" localSheetId="13" hidden="1">"Value"</definedName>
    <definedName name="xdif637338572586424745_SelectPathItem01" localSheetId="13" hidden="1">"dbo.M_PERIOD,Period"</definedName>
    <definedName name="xdif637338572586424745_SelectPathItem02" localSheetId="13" hidden="1">"dbo.M_PERIOD,Period"</definedName>
    <definedName name="xdif637338572586424745_SelectVisibleItem01" localSheetId="13" hidden="1">TRUE</definedName>
    <definedName name="xdif637338572586424745_SelectVisibleItem02" localSheetId="13" hidden="1">TRUE</definedName>
    <definedName name="xdif637338572586424745_ShowColumnHeaders" localSheetId="13" hidden="1">FALSE</definedName>
    <definedName name="xdif637338572586424745_SortAliasItem01" localSheetId="13" hidden="1">"YEARCODE"</definedName>
    <definedName name="xdif637338572586424745_SortAliasItem02" localSheetId="13" hidden="1">"PERIOD"</definedName>
    <definedName name="xdif637338572586424745_SortColumnNameItem01" localSheetId="13" hidden="1">"YEARCODE"</definedName>
    <definedName name="xdif637338572586424745_SortColumnNameItem02" localSheetId="13" hidden="1">"PERIOD"</definedName>
    <definedName name="xdif637338572586424745_SortOrderByItem01" localSheetId="13" hidden="1">"Asc"</definedName>
    <definedName name="xdif637338572586424745_SortOrderByItem02" localSheetId="13" hidden="1">"Asc"</definedName>
    <definedName name="xdif637338572586424745_SortPathItem01" localSheetId="13" hidden="1">"dbo.M_PERIOD,Period"</definedName>
    <definedName name="xdif637338572586424745_SortPathItem02" localSheetId="13" hidden="1">"dbo.M_PERIOD,Period"</definedName>
    <definedName name="xdif637338572586424745_SourceObject" localSheetId="13" hidden="1">"PSFPLIST"</definedName>
    <definedName name="xdif637338572586424745_UserValue00" localSheetId="13" hidden="1">Parameters!$B$3</definedName>
    <definedName name="xdif637338572586424745_UserValue01" localSheetId="13" hidden="1">"2020.01"</definedName>
    <definedName name="xdif637338572586424745_UserValue02" localSheetId="13" hidden="1">"="</definedName>
    <definedName name="xdif637338572586424745_UserValue03" localSheetId="13" hidden="1">"="</definedName>
    <definedName name="xdif637338572592362284__dataRowCount" localSheetId="13" hidden="1">7</definedName>
    <definedName name="xdif637338572592362284__userDefinedName" localSheetId="13" hidden="1">"Budget Codes 1"</definedName>
    <definedName name="xdif637338572592362284_AboveLeft" localSheetId="13" hidden="1">TRUE</definedName>
    <definedName name="xdif637338572592362284_AboveLeftCells" localSheetId="13" hidden="1">1</definedName>
    <definedName name="xdif637338572592362284_AutoFilter" localSheetId="13" hidden="1">FALSE</definedName>
    <definedName name="xdif637338572592362284_Autofit" localSheetId="13" hidden="1">TRUE</definedName>
    <definedName name="xdif637338572592362284_BelowRight" localSheetId="13" hidden="1">TRUE</definedName>
    <definedName name="xdif637338572592362284_BelowRightCells" localSheetId="13" hidden="1">1</definedName>
    <definedName name="xdif637338572592362284_DestinationRange" localSheetId="13" hidden="1">Parameters!$A$10:$B$10</definedName>
    <definedName name="xdif637338572592362284_DistinctValues" localSheetId="13" hidden="1">FALSE</definedName>
    <definedName name="xdif637338572592362284_ObjectType" localSheetId="13" hidden="1">"Validation"</definedName>
    <definedName name="xdif637338572592362284_ParameterName00" localSheetId="13" hidden="1">"PSFConnectionNo"</definedName>
    <definedName name="xdif637338572592362284_RefreshMode" localSheetId="13" hidden="1">"Automatic"</definedName>
    <definedName name="xdif637338572592362284_SelectAliasItem01" localSheetId="13" hidden="1">"Budget Code"</definedName>
    <definedName name="xdif637338572592362284_SelectAliasItem02" localSheetId="13" hidden="1">"Title"</definedName>
    <definedName name="xdif637338572592362284_SelectColumnFormulaItem01" localSheetId="13" hidden="1">"="</definedName>
    <definedName name="xdif637338572592362284_SelectColumnFormulaItem02" localSheetId="13" hidden="1">"="</definedName>
    <definedName name="xdif637338572592362284_SelectColumnNameItem01" localSheetId="13" hidden="1">"BUDGETCODE"</definedName>
    <definedName name="xdif637338572592362284_SelectColumnNameItem02" localSheetId="13" hidden="1">"TITLE"</definedName>
    <definedName name="xdif637338572592362284_SelectGroupItem01" localSheetId="13" hidden="1">"="</definedName>
    <definedName name="xdif637338572592362284_SelectGroupItem02" localSheetId="13" hidden="1">"="</definedName>
    <definedName name="xdif637338572592362284_SelectItemRange01" localSheetId="13" hidden="1">Parameters!$A$10</definedName>
    <definedName name="xdif637338572592362284_SelectItemRange02" localSheetId="13" hidden="1">Parameters!$B$10</definedName>
    <definedName name="xdif637338572592362284_SelectItemType01" localSheetId="13" hidden="1">"Value"</definedName>
    <definedName name="xdif637338572592362284_SelectItemType02" localSheetId="13" hidden="1">"Value"</definedName>
    <definedName name="xdif637338572592362284_SelectPathItem01" localSheetId="13" hidden="1">"dbo.M_BUDGET,Budget"</definedName>
    <definedName name="xdif637338572592362284_SelectPathItem02" localSheetId="13" hidden="1">"dbo.M_BUDGET,Budget"</definedName>
    <definedName name="xdif637338572592362284_SelectVisibleItem01" localSheetId="13" hidden="1">TRUE</definedName>
    <definedName name="xdif637338572592362284_SelectVisibleItem02" localSheetId="13" hidden="1">TRUE</definedName>
    <definedName name="xdif637338572592362284_ShowColumnHeaders" localSheetId="13" hidden="1">FALSE</definedName>
    <definedName name="xdif637338572592362284_SortAliasItem01" localSheetId="13" hidden="1">"Budget Code"</definedName>
    <definedName name="xdif637338572592362284_SortColumnNameItem01" localSheetId="13" hidden="1">"BUDGETCODE"</definedName>
    <definedName name="xdif637338572592362284_SortOrderByItem01" localSheetId="13" hidden="1">"Asc"</definedName>
    <definedName name="xdif637338572592362284_SortPathItem01" localSheetId="13" hidden="1">"dbo.M_BUDGET,Budget"</definedName>
    <definedName name="xdif637338572592362284_SourceObject" localSheetId="13" hidden="1">"PSFBUDCODELIST"</definedName>
    <definedName name="xdif637338572592362284_UserValue00" localSheetId="13" hidden="1">Parameters!$B$3</definedName>
    <definedName name="xdif637338572597205796__dataRowCount" localSheetId="13" hidden="1">18</definedName>
    <definedName name="xdif637338572597205796__userDefinedName" localSheetId="13" hidden="1">"Accounts 1"</definedName>
    <definedName name="xdif637338572597205796_AboveLeft" localSheetId="13" hidden="1">TRUE</definedName>
    <definedName name="xdif637338572597205796_AboveLeftCells" localSheetId="13" hidden="1">1</definedName>
    <definedName name="xdif637338572597205796_AutoFilter" localSheetId="13" hidden="1">FALSE</definedName>
    <definedName name="xdif637338572597205796_Autofit" localSheetId="13" hidden="1">TRUE</definedName>
    <definedName name="xdif637338572597205796_BelowRight" localSheetId="13" hidden="1">TRUE</definedName>
    <definedName name="xdif637338572597205796_BelowRightCells" localSheetId="13" hidden="1">1</definedName>
    <definedName name="xdif637338572597205796_DestinationRange" localSheetId="13" hidden="1">Parameters!$U$5:$V$22</definedName>
    <definedName name="xdif637338572597205796_DistinctValues" localSheetId="13" hidden="1">FALSE</definedName>
    <definedName name="xdif637338572597205796_ObjectType" localSheetId="13" hidden="1">"ListVertical"</definedName>
    <definedName name="xdif637338572597205796_ParameterName00" localSheetId="13" hidden="1">"PSFConnectionNo"</definedName>
    <definedName name="xdif637338572597205796_ParameterName01" localSheetId="13" hidden="1">"Ledger"</definedName>
    <definedName name="xdif637338572597205796_ParameterName02" localSheetId="13" hidden="1">"Account"</definedName>
    <definedName name="xdif637338572597205796_ParameterName03" localSheetId="13" hidden="1">"ExcludeAccount"</definedName>
    <definedName name="xdif637338572597205796_RefreshMode" localSheetId="13" hidden="1">"Automatic"</definedName>
    <definedName name="xdif637338572597205796_SelectAliasItem01" localSheetId="13" hidden="1">"Account"</definedName>
    <definedName name="xdif637338572597205796_SelectAliasItem02" localSheetId="13" hidden="1">"Account Title"</definedName>
    <definedName name="xdif637338572597205796_SelectColumnFormulaItem01" localSheetId="13" hidden="1">"="</definedName>
    <definedName name="xdif637338572597205796_SelectColumnFormulaItem02" localSheetId="13" hidden="1">"="</definedName>
    <definedName name="xdif637338572597205796_SelectColumnNameItem01" localSheetId="13" hidden="1">"ACCOUNT"</definedName>
    <definedName name="xdif637338572597205796_SelectColumnNameItem02" localSheetId="13" hidden="1">"TITLE"</definedName>
    <definedName name="xdif637338572597205796_SelectGroupItem01" localSheetId="13" hidden="1">"="</definedName>
    <definedName name="xdif637338572597205796_SelectGroupItem02" localSheetId="13" hidden="1">"="</definedName>
    <definedName name="xdif637338572597205796_SelectItemRange01" localSheetId="13" hidden="1">Parameters!$U$5:$U$22</definedName>
    <definedName name="xdif637338572597205796_SelectItemRange02" localSheetId="13" hidden="1">Parameters!$V$5:$V$22</definedName>
    <definedName name="xdif637338572597205796_SelectItemType01" localSheetId="13" hidden="1">"Value"</definedName>
    <definedName name="xdif637338572597205796_SelectItemType02" localSheetId="13" hidden="1">"Value"</definedName>
    <definedName name="xdif637338572597205796_SelectPathItem01" localSheetId="13" hidden="1">"dbo.M_ACCOUNT,Account"</definedName>
    <definedName name="xdif637338572597205796_SelectPathItem02" localSheetId="13" hidden="1">"dbo.M_ACCOUNT,Account"</definedName>
    <definedName name="xdif637338572597205796_SelectVisibleItem01" localSheetId="13" hidden="1">TRUE</definedName>
    <definedName name="xdif637338572597205796_SelectVisibleItem02" localSheetId="13" hidden="1">TRUE</definedName>
    <definedName name="xdif637338572597205796_ShowColumnHeaders" localSheetId="13" hidden="1">FALSE</definedName>
    <definedName name="xdif637338572597205796_SortAliasItem01" localSheetId="13" hidden="1">"Account"</definedName>
    <definedName name="xdif637338572597205796_SortColumnNameItem01" localSheetId="13" hidden="1">"ACCOUNT"</definedName>
    <definedName name="xdif637338572597205796_SortOrderByItem01" localSheetId="13" hidden="1">"Asc"</definedName>
    <definedName name="xdif637338572597205796_SortPathItem01" localSheetId="13" hidden="1">"dbo.M_ACCOUNT,Account"</definedName>
    <definedName name="xdif637338572597205796_SourceObject" localSheetId="13" hidden="1">"PSFALIST"</definedName>
    <definedName name="xdif637338572597205796_UserValue00" localSheetId="13" hidden="1">Parameters!$B$3</definedName>
    <definedName name="xdif637338572597205796_UserValue01" localSheetId="13" hidden="1">"PARTNER"</definedName>
    <definedName name="xdif637338572597205796_UserValue02" localSheetId="13" hidden="1">"*"</definedName>
    <definedName name="xdif637338572597205796_UserValue03" localSheetId="13" hidden="1">"="</definedName>
    <definedName name="xdif637338572602830753__dataRowCount" localSheetId="13" hidden="1">4</definedName>
    <definedName name="xdif637338572602830753__userDefinedName" localSheetId="13" hidden="1">"Accounts 2"</definedName>
    <definedName name="xdif637338572602830753_AboveLeft" localSheetId="13" hidden="1">TRUE</definedName>
    <definedName name="xdif637338572602830753_AboveLeftCells" localSheetId="13" hidden="1">1</definedName>
    <definedName name="xdif637338572602830753_AutoFilter" localSheetId="13" hidden="1">FALSE</definedName>
    <definedName name="xdif637338572602830753_Autofit" localSheetId="13" hidden="1">TRUE</definedName>
    <definedName name="xdif637338572602830753_BelowRight" localSheetId="13" hidden="1">TRUE</definedName>
    <definedName name="xdif637338572602830753_BelowRightCells" localSheetId="13" hidden="1">1</definedName>
    <definedName name="xdif637338572602830753_DestinationRange" localSheetId="13" hidden="1">Parameters!$X$5:$Y$8</definedName>
    <definedName name="xdif637338572602830753_DistinctValues" localSheetId="13" hidden="1">FALSE</definedName>
    <definedName name="xdif637338572602830753_ObjectType" localSheetId="13" hidden="1">"ListVertical"</definedName>
    <definedName name="xdif637338572602830753_ParameterName00" localSheetId="13" hidden="1">"PSFConnectionNo"</definedName>
    <definedName name="xdif637338572602830753_ParameterName01" localSheetId="13" hidden="1">"Ledger"</definedName>
    <definedName name="xdif637338572602830753_ParameterName02" localSheetId="13" hidden="1">"Account"</definedName>
    <definedName name="xdif637338572602830753_ParameterName03" localSheetId="13" hidden="1">"ExcludeAccount"</definedName>
    <definedName name="xdif637338572602830753_RefreshMode" localSheetId="13" hidden="1">"Automatic"</definedName>
    <definedName name="xdif637338572602830753_SelectAliasItem01" localSheetId="13" hidden="1">"Account"</definedName>
    <definedName name="xdif637338572602830753_SelectAliasItem02" localSheetId="13" hidden="1">"Account Title"</definedName>
    <definedName name="xdif637338572602830753_SelectColumnFormulaItem01" localSheetId="13" hidden="1">"="</definedName>
    <definedName name="xdif637338572602830753_SelectColumnFormulaItem02" localSheetId="13" hidden="1">"="</definedName>
    <definedName name="xdif637338572602830753_SelectColumnNameItem01" localSheetId="13" hidden="1">"ACCOUNT"</definedName>
    <definedName name="xdif637338572602830753_SelectColumnNameItem02" localSheetId="13" hidden="1">"TITLE"</definedName>
    <definedName name="xdif637338572602830753_SelectGroupItem01" localSheetId="13" hidden="1">"="</definedName>
    <definedName name="xdif637338572602830753_SelectGroupItem02" localSheetId="13" hidden="1">"="</definedName>
    <definedName name="xdif637338572602830753_SelectItemRange01" localSheetId="13" hidden="1">Parameters!$X$5:$X$8</definedName>
    <definedName name="xdif637338572602830753_SelectItemRange02" localSheetId="13" hidden="1">Parameters!$Y$5:$Y$8</definedName>
    <definedName name="xdif637338572602830753_SelectItemType01" localSheetId="13" hidden="1">"Value"</definedName>
    <definedName name="xdif637338572602830753_SelectItemType02" localSheetId="13" hidden="1">"Value"</definedName>
    <definedName name="xdif637338572602830753_SelectPathItem01" localSheetId="13" hidden="1">"dbo.M_ACCOUNT,Account"</definedName>
    <definedName name="xdif637338572602830753_SelectPathItem02" localSheetId="13" hidden="1">"dbo.M_ACCOUNT,Account"</definedName>
    <definedName name="xdif637338572602830753_SelectVisibleItem01" localSheetId="13" hidden="1">TRUE</definedName>
    <definedName name="xdif637338572602830753_SelectVisibleItem02" localSheetId="13" hidden="1">TRUE</definedName>
    <definedName name="xdif637338572602830753_ShowColumnHeaders" localSheetId="13" hidden="1">FALSE</definedName>
    <definedName name="xdif637338572602830753_SortAliasItem01" localSheetId="13" hidden="1">"Account"</definedName>
    <definedName name="xdif637338572602830753_SortColumnNameItem01" localSheetId="13" hidden="1">"ACCOUNT"</definedName>
    <definedName name="xdif637338572602830753_SortOrderByItem01" localSheetId="13" hidden="1">"Asc"</definedName>
    <definedName name="xdif637338572602830753_SortPathItem01" localSheetId="13" hidden="1">"dbo.M_ACCOUNT,Account"</definedName>
    <definedName name="xdif637338572602830753_SourceObject" localSheetId="13" hidden="1">"PSFALIST"</definedName>
    <definedName name="xdif637338572602830753_UserValue00" localSheetId="13" hidden="1">Parameters!$B$3</definedName>
    <definedName name="xdif637338572602830753_UserValue01" localSheetId="13" hidden="1">"SALARIES"</definedName>
    <definedName name="xdif637338572602830753_UserValue02" localSheetId="13" hidden="1">"*"</definedName>
    <definedName name="xdif637338572602830753_UserValue03" localSheetId="13" hidden="1">"="</definedName>
    <definedName name="xdif637338572608299430__dataRowCount" localSheetId="13" hidden="1">80</definedName>
    <definedName name="xdif637338572608299430__userDefinedName" localSheetId="13" hidden="1">"Periods 3"</definedName>
    <definedName name="xdif637338572608299430_AboveLeft" localSheetId="13" hidden="1">TRUE</definedName>
    <definedName name="xdif637338572608299430_AboveLeftCells" localSheetId="13" hidden="1">1</definedName>
    <definedName name="xdif637338572608299430_AutoFilter" localSheetId="13" hidden="1">FALSE</definedName>
    <definedName name="xdif637338572608299430_Autofit" localSheetId="13" hidden="1">TRUE</definedName>
    <definedName name="xdif637338572608299430_BelowRight" localSheetId="13" hidden="1">TRUE</definedName>
    <definedName name="xdif637338572608299430_BelowRightCells" localSheetId="13" hidden="1">1</definedName>
    <definedName name="xdif637338572608299430_DestinationRange" localSheetId="13" hidden="1">Parameters!$B$8:$C$8</definedName>
    <definedName name="xdif637338572608299430_DistinctValues" localSheetId="13" hidden="1">FALSE</definedName>
    <definedName name="xdif637338572608299430_ObjectType" localSheetId="13" hidden="1">"Validation"</definedName>
    <definedName name="xdif637338572608299430_ParameterName00" localSheetId="13" hidden="1">"PSFConnectionNo"</definedName>
    <definedName name="xdif637338572608299430_ParameterName01" localSheetId="13" hidden="1">"FromPeriod"</definedName>
    <definedName name="xdif637338572608299430_ParameterName02" localSheetId="13" hidden="1">"ToPeriod"</definedName>
    <definedName name="xdif637338572608299430_ParameterName03" localSheetId="13" hidden="1">"PeriodOrYear"</definedName>
    <definedName name="xdif637338572608299430_RefreshMode" localSheetId="13" hidden="1">"Automatic"</definedName>
    <definedName name="xdif637338572608299430_SelectAliasItem01" localSheetId="13" hidden="1">"Period"</definedName>
    <definedName name="xdif637338572608299430_SelectAliasItem02" localSheetId="13" hidden="1">"Title"</definedName>
    <definedName name="xdif637338572608299430_SelectColumnFormulaItem01" localSheetId="13" hidden="1">"="</definedName>
    <definedName name="xdif637338572608299430_SelectColumnFormulaItem02" localSheetId="13" hidden="1">"="</definedName>
    <definedName name="xdif637338572608299430_SelectColumnNameItem01" localSheetId="13" hidden="1">"YEARANDPERIOD"</definedName>
    <definedName name="xdif637338572608299430_SelectColumnNameItem02" localSheetId="13" hidden="1">"TITLE"</definedName>
    <definedName name="xdif637338572608299430_SelectGroupItem01" localSheetId="13" hidden="1">"="</definedName>
    <definedName name="xdif637338572608299430_SelectGroupItem02" localSheetId="13" hidden="1">"="</definedName>
    <definedName name="xdif637338572608299430_SelectItemRange01" localSheetId="13" hidden="1">Parameters!$B$8</definedName>
    <definedName name="xdif637338572608299430_SelectItemRange02" localSheetId="13" hidden="1">Parameters!$C$8</definedName>
    <definedName name="xdif637338572608299430_SelectItemType01" localSheetId="13" hidden="1">"Value"</definedName>
    <definedName name="xdif637338572608299430_SelectItemType02" localSheetId="13" hidden="1">"Value"</definedName>
    <definedName name="xdif637338572608299430_SelectPathItem01" localSheetId="13" hidden="1">"dbo.M_PERIOD,Period"</definedName>
    <definedName name="xdif637338572608299430_SelectPathItem02" localSheetId="13" hidden="1">"dbo.M_PERIOD,Period"</definedName>
    <definedName name="xdif637338572608299430_SelectVisibleItem01" localSheetId="13" hidden="1">TRUE</definedName>
    <definedName name="xdif637338572608299430_SelectVisibleItem02" localSheetId="13" hidden="1">TRUE</definedName>
    <definedName name="xdif637338572608299430_ShowColumnHeaders" localSheetId="13" hidden="1">FALSE</definedName>
    <definedName name="xdif637338572608299430_SortAliasItem01" localSheetId="13" hidden="1">"YEARCODE"</definedName>
    <definedName name="xdif637338572608299430_SortAliasItem02" localSheetId="13" hidden="1">"PERIOD"</definedName>
    <definedName name="xdif637338572608299430_SortColumnNameItem01" localSheetId="13" hidden="1">"YEARCODE"</definedName>
    <definedName name="xdif637338572608299430_SortColumnNameItem02" localSheetId="13" hidden="1">"PERIOD"</definedName>
    <definedName name="xdif637338572608299430_SortOrderByItem01" localSheetId="13" hidden="1">"Asc"</definedName>
    <definedName name="xdif637338572608299430_SortOrderByItem02" localSheetId="13" hidden="1">"Asc"</definedName>
    <definedName name="xdif637338572608299430_SortPathItem01" localSheetId="13" hidden="1">"dbo.M_PERIOD,Period"</definedName>
    <definedName name="xdif637338572608299430_SortPathItem02" localSheetId="13" hidden="1">"dbo.M_PERIOD,Period"</definedName>
    <definedName name="xdif637338572608299430_SourceObject" localSheetId="13" hidden="1">"PSFPLIST"</definedName>
    <definedName name="xdif637338572608299430_UserValue00" localSheetId="13" hidden="1">Parameters!$B$3</definedName>
    <definedName name="xdif637338572608299430_UserValue01" localSheetId="13" hidden="1">"*"</definedName>
    <definedName name="xdif637338572608299430_UserValue02" localSheetId="13" hidden="1">"="</definedName>
    <definedName name="xdif637338572608299430_UserValue03" localSheetId="13" hidden="1">"="</definedName>
    <definedName name="xdif637338572614550478__dataRowCount" localSheetId="13" hidden="1">34</definedName>
    <definedName name="xdif637338572614550478__userDefinedName" localSheetId="13" hidden="1">"Accounts 3"</definedName>
    <definedName name="xdif637338572614550478_AboveLeft" localSheetId="13" hidden="1">TRUE</definedName>
    <definedName name="xdif637338572614550478_AboveLeftCells" localSheetId="13" hidden="1">1</definedName>
    <definedName name="xdif637338572614550478_AutoFilter" localSheetId="13" hidden="1">FALSE</definedName>
    <definedName name="xdif637338572614550478_Autofit" localSheetId="13" hidden="1">TRUE</definedName>
    <definedName name="xdif637338572614550478_BelowRight" localSheetId="13" hidden="1">TRUE</definedName>
    <definedName name="xdif637338572614550478_BelowRightCells" localSheetId="13" hidden="1">1</definedName>
    <definedName name="xdif637338572614550478_DestinationRange" localSheetId="13" hidden="1">Parameters!$N$5:$O$38</definedName>
    <definedName name="xdif637338572614550478_DistinctValues" localSheetId="13" hidden="1">FALSE</definedName>
    <definedName name="xdif637338572614550478_ObjectType" localSheetId="13" hidden="1">"ListVertical"</definedName>
    <definedName name="xdif637338572614550478_ParameterName00" localSheetId="13" hidden="1">"PSFConnectionNo"</definedName>
    <definedName name="xdif637338572614550478_ParameterName01" localSheetId="13" hidden="1">"Ledger"</definedName>
    <definedName name="xdif637338572614550478_ParameterName02" localSheetId="13" hidden="1">"Account"</definedName>
    <definedName name="xdif637338572614550478_ParameterName03" localSheetId="13" hidden="1">"ExcludeAccount"</definedName>
    <definedName name="xdif637338572614550478_RefreshMode" localSheetId="13" hidden="1">"Automatic"</definedName>
    <definedName name="xdif637338572614550478_SelectAliasItem01" localSheetId="13" hidden="1">"Account"</definedName>
    <definedName name="xdif637338572614550478_SelectAliasItem02" localSheetId="13" hidden="1">"Account Title"</definedName>
    <definedName name="xdif637338572614550478_SelectColumnFormulaItem01" localSheetId="13" hidden="1">"="</definedName>
    <definedName name="xdif637338572614550478_SelectColumnFormulaItem02" localSheetId="13" hidden="1">"="</definedName>
    <definedName name="xdif637338572614550478_SelectColumnNameItem01" localSheetId="13" hidden="1">"ACCOUNT"</definedName>
    <definedName name="xdif637338572614550478_SelectColumnNameItem02" localSheetId="13" hidden="1">"TITLE"</definedName>
    <definedName name="xdif637338572614550478_SelectGroupItem01" localSheetId="13" hidden="1">"="</definedName>
    <definedName name="xdif637338572614550478_SelectGroupItem02" localSheetId="13" hidden="1">"="</definedName>
    <definedName name="xdif637338572614550478_SelectItemRange01" localSheetId="13" hidden="1">Parameters!$N$5:$N$38</definedName>
    <definedName name="xdif637338572614550478_SelectItemRange02" localSheetId="13" hidden="1">Parameters!$O$5:$O$38</definedName>
    <definedName name="xdif637338572614550478_SelectItemType01" localSheetId="13" hidden="1">"Value"</definedName>
    <definedName name="xdif637338572614550478_SelectItemType02" localSheetId="13" hidden="1">"Value"</definedName>
    <definedName name="xdif637338572614550478_SelectPathItem01" localSheetId="13" hidden="1">"dbo.M_ACCOUNT,Account"</definedName>
    <definedName name="xdif637338572614550478_SelectPathItem02" localSheetId="13" hidden="1">"dbo.M_ACCOUNT,Account"</definedName>
    <definedName name="xdif637338572614550478_SelectVisibleItem01" localSheetId="13" hidden="1">TRUE</definedName>
    <definedName name="xdif637338572614550478_SelectVisibleItem02" localSheetId="13" hidden="1">TRUE</definedName>
    <definedName name="xdif637338572614550478_ShowColumnHeaders" localSheetId="13" hidden="1">FALSE</definedName>
    <definedName name="xdif637338572614550478_SortAliasItem01" localSheetId="13" hidden="1">"Account"</definedName>
    <definedName name="xdif637338572614550478_SortColumnNameItem01" localSheetId="13" hidden="1">"ACCOUNT"</definedName>
    <definedName name="xdif637338572614550478_SortOrderByItem01" localSheetId="13" hidden="1">"Asc"</definedName>
    <definedName name="xdif637338572614550478_SortPathItem01" localSheetId="13" hidden="1">"dbo.M_ACCOUNT,Account"</definedName>
    <definedName name="xdif637338572614550478_SourceObject" localSheetId="13" hidden="1">"PSFALIST"</definedName>
    <definedName name="xdif637338572614550478_UserValue00" localSheetId="13" hidden="1">Parameters!$B$3</definedName>
    <definedName name="xdif637338572614550478_UserValue01" localSheetId="13" hidden="1">"AWARD"</definedName>
    <definedName name="xdif637338572614550478_UserValue02" localSheetId="13" hidden="1">"*"</definedName>
    <definedName name="xdif637338572614550478_UserValue03" localSheetId="13" hidden="1">"="</definedName>
    <definedName name="xdif637338572620020896__dataRowCount" localSheetId="14" hidden="1">135</definedName>
    <definedName name="xdif637338572620020896__userDefinedName" localSheetId="14" hidden="1">"Analysis Keys 1"</definedName>
    <definedName name="xdif637338572620020896_AboveLeft" localSheetId="14" hidden="1">TRUE</definedName>
    <definedName name="xdif637338572620020896_AboveLeftCells" localSheetId="14" hidden="1">1</definedName>
    <definedName name="xdif637338572620020896_AutoFilter" localSheetId="14" hidden="1">FALSE</definedName>
    <definedName name="xdif637338572620020896_Autofit" localSheetId="14" hidden="1">TRUE</definedName>
    <definedName name="xdif637338572620020896_BelowRight" localSheetId="14" hidden="1">TRUE</definedName>
    <definedName name="xdif637338572620020896_BelowRightCells" localSheetId="14" hidden="1">1</definedName>
    <definedName name="xdif637338572620020896_DestinationRange" localSheetId="14" hidden="1">TB!$B$5:$C$139</definedName>
    <definedName name="xdif637338572620020896_DistinctValues" localSheetId="14" hidden="1">FALSE</definedName>
    <definedName name="xdif637338572620020896_ObjectType" localSheetId="14" hidden="1">"ListVertical"</definedName>
    <definedName name="xdif637338572620020896_ParameterName00" localSheetId="14" hidden="1">"PSFConnectionNo"</definedName>
    <definedName name="xdif637338572620020896_ParameterName01" localSheetId="14" hidden="1">"AnalysisCode"</definedName>
    <definedName name="xdif637338572620020896_ParameterName02" localSheetId="14" hidden="1">"AnalysisKey"</definedName>
    <definedName name="xdif637338572620020896_ParameterName03" localSheetId="14" hidden="1">"ExcludeAnalysisKey"</definedName>
    <definedName name="xdif637338572620020896_RefreshMode" localSheetId="14" hidden="1">"Automatic"</definedName>
    <definedName name="xdif637338572620020896_SelectAliasItem01" localSheetId="14" hidden="1">"Key"</definedName>
    <definedName name="xdif637338572620020896_SelectAliasItem02" localSheetId="14" hidden="1">"Title"</definedName>
    <definedName name="xdif637338572620020896_SelectColumnFormulaItem01" localSheetId="14" hidden="1">"="</definedName>
    <definedName name="xdif637338572620020896_SelectColumnFormulaItem02" localSheetId="14" hidden="1">"="</definedName>
    <definedName name="xdif637338572620020896_SelectColumnNameItem01" localSheetId="14" hidden="1">"KEYLISTKEY"</definedName>
    <definedName name="xdif637338572620020896_SelectColumnNameItem02" localSheetId="14" hidden="1">"TITLE"</definedName>
    <definedName name="xdif637338572620020896_SelectGroupItem01" localSheetId="14" hidden="1">"="</definedName>
    <definedName name="xdif637338572620020896_SelectGroupItem02" localSheetId="14" hidden="1">"="</definedName>
    <definedName name="xdif637338572620020896_SelectItemRange01" localSheetId="14" hidden="1">TB!$B$5:$B$139</definedName>
    <definedName name="xdif637338572620020896_SelectItemRange02" localSheetId="14" hidden="1">TB!$C$5:$C$139</definedName>
    <definedName name="xdif637338572620020896_SelectItemType01" localSheetId="14" hidden="1">"Value"</definedName>
    <definedName name="xdif637338572620020896_SelectItemType02" localSheetId="14" hidden="1">"Value"</definedName>
    <definedName name="xdif637338572620020896_SelectPathItem01" localSheetId="14" hidden="1">"dbo.D_KEYLISTKEY,Key List Key"</definedName>
    <definedName name="xdif637338572620020896_SelectPathItem02" localSheetId="14" hidden="1">"dbo.D_KEYLISTKEY,Key List Key"</definedName>
    <definedName name="xdif637338572620020896_SelectVisibleItem01" localSheetId="14" hidden="1">TRUE</definedName>
    <definedName name="xdif637338572620020896_SelectVisibleItem02" localSheetId="14" hidden="1">TRUE</definedName>
    <definedName name="xdif637338572620020896_ShowColumnHeaders" localSheetId="14" hidden="1">FALSE</definedName>
    <definedName name="xdif637338572620020896_SortAliasItem01" localSheetId="14" hidden="1">"Key"</definedName>
    <definedName name="xdif637338572620020896_SortColumnNameItem01" localSheetId="14" hidden="1">"KEYLISTKEY"</definedName>
    <definedName name="xdif637338572620020896_SortOrderByItem01" localSheetId="14" hidden="1">"Asc"</definedName>
    <definedName name="xdif637338572620020896_SortPathItem01" localSheetId="14" hidden="1">"dbo.D_KEYLISTKEY,Key List Key"</definedName>
    <definedName name="xdif637338572620020896_SourceObject" localSheetId="14" hidden="1">"PSFNANKEYLIST"</definedName>
    <definedName name="xdif637338572620020896_UserValue00" localSheetId="14" hidden="1">Parameters!$B$3</definedName>
    <definedName name="xdif637338572620020896_UserValue01" localSheetId="14" hidden="1">"GLCode"</definedName>
    <definedName name="xdif637338572620020896_UserValue02" localSheetId="14" hidden="1">"*"</definedName>
    <definedName name="xdif637338572620020896_UserValue03" localSheetId="14" hidden="1">"="</definedName>
    <definedName name="xdif637338572623611736__dataRowCount" localSheetId="16" hidden="1">85</definedName>
    <definedName name="xdif637338572623611736__userDefinedName" localSheetId="16" hidden="1">"Nominals 1"</definedName>
    <definedName name="xdif637338572623611736_AboveLeft" localSheetId="16" hidden="1">TRUE</definedName>
    <definedName name="xdif637338572623611736_AboveLeftCells" localSheetId="16" hidden="1">1</definedName>
    <definedName name="xdif637338572623611736_AutoFilter" localSheetId="16" hidden="1">FALSE</definedName>
    <definedName name="xdif637338572623611736_Autofit" localSheetId="16" hidden="1">TRUE</definedName>
    <definedName name="xdif637338572623611736_BelowRight" localSheetId="16" hidden="1">TRUE</definedName>
    <definedName name="xdif637338572623611736_BelowRightCells" localSheetId="16" hidden="1">1</definedName>
    <definedName name="xdif637338572623611736_DestinationRange" localSheetId="16" hidden="1">'Prog costs'!$A$2:$B$2</definedName>
    <definedName name="xdif637338572623611736_DistinctValues" localSheetId="16" hidden="1">FALSE</definedName>
    <definedName name="xdif637338572623611736_ObjectType" localSheetId="16" hidden="1">"Validation"</definedName>
    <definedName name="xdif637338572623611736_ParameterName00" localSheetId="16" hidden="1">"PSFConnectionNo"</definedName>
    <definedName name="xdif637338572623611736_ParameterName01" localSheetId="16" hidden="1">"Ledger"</definedName>
    <definedName name="xdif637338572623611736_ParameterName02" localSheetId="16" hidden="1">"Nominal"</definedName>
    <definedName name="xdif637338572623611736_ParameterName03" localSheetId="16" hidden="1">"ExcludeNominal"</definedName>
    <definedName name="xdif637338572623611736_RefreshMode" localSheetId="16" hidden="1">"Automatic"</definedName>
    <definedName name="xdif637338572623611736_SelectAliasItem01" localSheetId="16" hidden="1">"Nominal"</definedName>
    <definedName name="xdif637338572623611736_SelectAliasItem02" localSheetId="16" hidden="1">"Nominal Title"</definedName>
    <definedName name="xdif637338572623611736_SelectColumnFormulaItem01" localSheetId="16" hidden="1">"="</definedName>
    <definedName name="xdif637338572623611736_SelectColumnFormulaItem02" localSheetId="16" hidden="1">"="</definedName>
    <definedName name="xdif637338572623611736_SelectColumnNameItem01" localSheetId="16" hidden="1">"NOMINAL"</definedName>
    <definedName name="xdif637338572623611736_SelectColumnNameItem02" localSheetId="16" hidden="1">"TITLE"</definedName>
    <definedName name="xdif637338572623611736_SelectGroupItem01" localSheetId="16" hidden="1">"="</definedName>
    <definedName name="xdif637338572623611736_SelectGroupItem02" localSheetId="16" hidden="1">"="</definedName>
    <definedName name="xdif637338572623611736_SelectItemRange01" localSheetId="16" hidden="1">'Prog costs'!$A$2</definedName>
    <definedName name="xdif637338572623611736_SelectItemRange02" localSheetId="16" hidden="1">'Prog costs'!$B$2</definedName>
    <definedName name="xdif637338572623611736_SelectItemType01" localSheetId="16" hidden="1">"Value"</definedName>
    <definedName name="xdif637338572623611736_SelectItemType02" localSheetId="16" hidden="1">"Value"</definedName>
    <definedName name="xdif637338572623611736_SelectPathItem01" localSheetId="16" hidden="1">"dbo.M_NOMINAL,Nominals"</definedName>
    <definedName name="xdif637338572623611736_SelectPathItem02" localSheetId="16" hidden="1">"dbo.M_NOMINAL,Nominals"</definedName>
    <definedName name="xdif637338572623611736_SelectVisibleItem01" localSheetId="16" hidden="1">TRUE</definedName>
    <definedName name="xdif637338572623611736_SelectVisibleItem02" localSheetId="16" hidden="1">TRUE</definedName>
    <definedName name="xdif637338572623611736_ShowColumnHeaders" localSheetId="16" hidden="1">FALSE</definedName>
    <definedName name="xdif637338572623611736_SortAliasItem01" localSheetId="16" hidden="1">"Nominal"</definedName>
    <definedName name="xdif637338572623611736_SortColumnNameItem01" localSheetId="16" hidden="1">"NOMINAL"</definedName>
    <definedName name="xdif637338572623611736_SortOrderByItem01" localSheetId="16" hidden="1">"Asc"</definedName>
    <definedName name="xdif637338572623611736_SortPathItem01" localSheetId="16" hidden="1">"dbo.M_NOMINAL,Nominals"</definedName>
    <definedName name="xdif637338572623611736_SourceObject" localSheetId="16" hidden="1">"PSFNLIST"</definedName>
    <definedName name="xdif637338572623611736_UserValue00" localSheetId="16" hidden="1">Parameters!$B$3</definedName>
    <definedName name="xdif637338572623611736_UserValue01" localSheetId="16" hidden="1">"COSTCENTRE"</definedName>
    <definedName name="xdif637338572623611736_UserValue02" localSheetId="16" hidden="1">"*"</definedName>
    <definedName name="xdif637338572623611736_UserValue03" localSheetId="16" hidden="1">"="</definedName>
    <definedName name="xdif637338572626736741__dataRowCount" localSheetId="16" hidden="1">85</definedName>
    <definedName name="xdif637338572626736741__userDefinedName" localSheetId="16" hidden="1">"Nominals 2"</definedName>
    <definedName name="xdif637338572626736741_AboveLeft" localSheetId="16" hidden="1">TRUE</definedName>
    <definedName name="xdif637338572626736741_AboveLeftCells" localSheetId="16" hidden="1">1</definedName>
    <definedName name="xdif637338572626736741_AutoFilter" localSheetId="16" hidden="1">FALSE</definedName>
    <definedName name="xdif637338572626736741_Autofit" localSheetId="16" hidden="1">TRUE</definedName>
    <definedName name="xdif637338572626736741_BelowRight" localSheetId="16" hidden="1">TRUE</definedName>
    <definedName name="xdif637338572626736741_BelowRightCells" localSheetId="16" hidden="1">1</definedName>
    <definedName name="xdif637338572626736741_DestinationRange" localSheetId="16" hidden="1">'Prog costs'!$A$49:$B$49</definedName>
    <definedName name="xdif637338572626736741_DistinctValues" localSheetId="16" hidden="1">FALSE</definedName>
    <definedName name="xdif637338572626736741_ObjectType" localSheetId="16" hidden="1">"Validation"</definedName>
    <definedName name="xdif637338572626736741_ParameterName00" localSheetId="16" hidden="1">"PSFConnectionNo"</definedName>
    <definedName name="xdif637338572626736741_ParameterName01" localSheetId="16" hidden="1">"Ledger"</definedName>
    <definedName name="xdif637338572626736741_ParameterName02" localSheetId="16" hidden="1">"Nominal"</definedName>
    <definedName name="xdif637338572626736741_ParameterName03" localSheetId="16" hidden="1">"ExcludeNominal"</definedName>
    <definedName name="xdif637338572626736741_RefreshMode" localSheetId="16" hidden="1">"Automatic"</definedName>
    <definedName name="xdif637338572626736741_SelectAliasItem01" localSheetId="16" hidden="1">"Nominal"</definedName>
    <definedName name="xdif637338572626736741_SelectAliasItem02" localSheetId="16" hidden="1">"Nominal Title"</definedName>
    <definedName name="xdif637338572626736741_SelectColumnFormulaItem01" localSheetId="16" hidden="1">"="</definedName>
    <definedName name="xdif637338572626736741_SelectColumnFormulaItem02" localSheetId="16" hidden="1">"="</definedName>
    <definedName name="xdif637338572626736741_SelectColumnNameItem01" localSheetId="16" hidden="1">"NOMINAL"</definedName>
    <definedName name="xdif637338572626736741_SelectColumnNameItem02" localSheetId="16" hidden="1">"TITLE"</definedName>
    <definedName name="xdif637338572626736741_SelectGroupItem01" localSheetId="16" hidden="1">"="</definedName>
    <definedName name="xdif637338572626736741_SelectGroupItem02" localSheetId="16" hidden="1">"="</definedName>
    <definedName name="xdif637338572626736741_SelectItemRange01" localSheetId="16" hidden="1">'Prog costs'!$A$49</definedName>
    <definedName name="xdif637338572626736741_SelectItemRange02" localSheetId="16" hidden="1">'Prog costs'!$B$49</definedName>
    <definedName name="xdif637338572626736741_SelectItemType01" localSheetId="16" hidden="1">"Value"</definedName>
    <definedName name="xdif637338572626736741_SelectItemType02" localSheetId="16" hidden="1">"Value"</definedName>
    <definedName name="xdif637338572626736741_SelectPathItem01" localSheetId="16" hidden="1">"dbo.M_NOMINAL,Nominals"</definedName>
    <definedName name="xdif637338572626736741_SelectPathItem02" localSheetId="16" hidden="1">"dbo.M_NOMINAL,Nominals"</definedName>
    <definedName name="xdif637338572626736741_SelectVisibleItem01" localSheetId="16" hidden="1">TRUE</definedName>
    <definedName name="xdif637338572626736741_SelectVisibleItem02" localSheetId="16" hidden="1">TRUE</definedName>
    <definedName name="xdif637338572626736741_ShowColumnHeaders" localSheetId="16" hidden="1">FALSE</definedName>
    <definedName name="xdif637338572626736741_SortAliasItem01" localSheetId="16" hidden="1">"Nominal"</definedName>
    <definedName name="xdif637338572626736741_SortColumnNameItem01" localSheetId="16" hidden="1">"NOMINAL"</definedName>
    <definedName name="xdif637338572626736741_SortOrderByItem01" localSheetId="16" hidden="1">"Asc"</definedName>
    <definedName name="xdif637338572626736741_SortPathItem01" localSheetId="16" hidden="1">"dbo.M_NOMINAL,Nominals"</definedName>
    <definedName name="xdif637338572626736741_SourceObject" localSheetId="16" hidden="1">"PSFNLIST"</definedName>
    <definedName name="xdif637338572626736741_UserValue00" localSheetId="16" hidden="1">Parameters!$B$3</definedName>
    <definedName name="xdif637338572626736741_UserValue01" localSheetId="16" hidden="1">"COSTCENTRE"</definedName>
    <definedName name="xdif637338572626736741_UserValue02" localSheetId="16" hidden="1">"*"</definedName>
    <definedName name="xdif637338572626736741_UserValue03" localSheetId="16" hidden="1">"="</definedName>
    <definedName name="xdif637338572630017975__dataRowCount" localSheetId="16" hidden="1">85</definedName>
    <definedName name="xdif637338572630017975__userDefinedName" localSheetId="16" hidden="1">"Nominals 3"</definedName>
    <definedName name="xdif637338572630017975_AboveLeft" localSheetId="16" hidden="1">TRUE</definedName>
    <definedName name="xdif637338572630017975_AboveLeftCells" localSheetId="16" hidden="1">1</definedName>
    <definedName name="xdif637338572630017975_AutoFilter" localSheetId="16" hidden="1">FALSE</definedName>
    <definedName name="xdif637338572630017975_Autofit" localSheetId="16" hidden="1">TRUE</definedName>
    <definedName name="xdif637338572630017975_BelowRight" localSheetId="16" hidden="1">TRUE</definedName>
    <definedName name="xdif637338572630017975_BelowRightCells" localSheetId="16" hidden="1">1</definedName>
    <definedName name="xdif637338572630017975_DestinationRange" localSheetId="16" hidden="1">'Prog costs'!$A$55:$B$55</definedName>
    <definedName name="xdif637338572630017975_DistinctValues" localSheetId="16" hidden="1">FALSE</definedName>
    <definedName name="xdif637338572630017975_ObjectType" localSheetId="16" hidden="1">"Validation"</definedName>
    <definedName name="xdif637338572630017975_ParameterName00" localSheetId="16" hidden="1">"PSFConnectionNo"</definedName>
    <definedName name="xdif637338572630017975_ParameterName01" localSheetId="16" hidden="1">"Ledger"</definedName>
    <definedName name="xdif637338572630017975_ParameterName02" localSheetId="16" hidden="1">"Nominal"</definedName>
    <definedName name="xdif637338572630017975_ParameterName03" localSheetId="16" hidden="1">"ExcludeNominal"</definedName>
    <definedName name="xdif637338572630017975_RefreshMode" localSheetId="16" hidden="1">"Automatic"</definedName>
    <definedName name="xdif637338572630017975_SelectAliasItem01" localSheetId="16" hidden="1">"Nominal"</definedName>
    <definedName name="xdif637338572630017975_SelectAliasItem02" localSheetId="16" hidden="1">"Nominal Title"</definedName>
    <definedName name="xdif637338572630017975_SelectColumnFormulaItem01" localSheetId="16" hidden="1">"="</definedName>
    <definedName name="xdif637338572630017975_SelectColumnFormulaItem02" localSheetId="16" hidden="1">"="</definedName>
    <definedName name="xdif637338572630017975_SelectColumnNameItem01" localSheetId="16" hidden="1">"NOMINAL"</definedName>
    <definedName name="xdif637338572630017975_SelectColumnNameItem02" localSheetId="16" hidden="1">"TITLE"</definedName>
    <definedName name="xdif637338572630017975_SelectGroupItem01" localSheetId="16" hidden="1">"="</definedName>
    <definedName name="xdif637338572630017975_SelectGroupItem02" localSheetId="16" hidden="1">"="</definedName>
    <definedName name="xdif637338572630017975_SelectItemRange01" localSheetId="16" hidden="1">'Prog costs'!$A$55</definedName>
    <definedName name="xdif637338572630017975_SelectItemRange02" localSheetId="16" hidden="1">'Prog costs'!$B$55</definedName>
    <definedName name="xdif637338572630017975_SelectItemType01" localSheetId="16" hidden="1">"Value"</definedName>
    <definedName name="xdif637338572630017975_SelectItemType02" localSheetId="16" hidden="1">"Value"</definedName>
    <definedName name="xdif637338572630017975_SelectPathItem01" localSheetId="16" hidden="1">"dbo.M_NOMINAL,Nominals"</definedName>
    <definedName name="xdif637338572630017975_SelectPathItem02" localSheetId="16" hidden="1">"dbo.M_NOMINAL,Nominals"</definedName>
    <definedName name="xdif637338572630017975_SelectVisibleItem01" localSheetId="16" hidden="1">TRUE</definedName>
    <definedName name="xdif637338572630017975_SelectVisibleItem02" localSheetId="16" hidden="1">TRUE</definedName>
    <definedName name="xdif637338572630017975_ShowColumnHeaders" localSheetId="16" hidden="1">FALSE</definedName>
    <definedName name="xdif637338572630017975_SortAliasItem01" localSheetId="16" hidden="1">"Nominal"</definedName>
    <definedName name="xdif637338572630017975_SortColumnNameItem01" localSheetId="16" hidden="1">"NOMINAL"</definedName>
    <definedName name="xdif637338572630017975_SortOrderByItem01" localSheetId="16" hidden="1">"Asc"</definedName>
    <definedName name="xdif637338572630017975_SortPathItem01" localSheetId="16" hidden="1">"dbo.M_NOMINAL,Nominals"</definedName>
    <definedName name="xdif637338572630017975_SourceObject" localSheetId="16" hidden="1">"PSFNLIST"</definedName>
    <definedName name="xdif637338572630017975_UserValue00" localSheetId="16" hidden="1">Parameters!$B$3</definedName>
    <definedName name="xdif637338572630017975_UserValue01" localSheetId="16" hidden="1">"COSTCENTRE"</definedName>
    <definedName name="xdif637338572630017975_UserValue02" localSheetId="16" hidden="1">"*"</definedName>
    <definedName name="xdif637338572630017975_UserValue03" localSheetId="16" hidden="1">"="</definedName>
    <definedName name="xdif637338572633299274__dataRowCount" localSheetId="16" hidden="1">126</definedName>
    <definedName name="xdif637338572633299274__userDefinedName" localSheetId="16" hidden="1">"Analysis Keys 1"</definedName>
    <definedName name="xdif637338572633299274_AboveLeft" localSheetId="16" hidden="1">TRUE</definedName>
    <definedName name="xdif637338572633299274_AboveLeftCells" localSheetId="16" hidden="1">1</definedName>
    <definedName name="xdif637338572633299274_AutoFilter" localSheetId="16" hidden="1">FALSE</definedName>
    <definedName name="xdif637338572633299274_Autofit" localSheetId="16" hidden="1">TRUE</definedName>
    <definedName name="xdif637338572633299274_BelowRight" localSheetId="16" hidden="1">TRUE</definedName>
    <definedName name="xdif637338572633299274_BelowRightCells" localSheetId="16" hidden="1">1</definedName>
    <definedName name="xdif637338572633299274_DestinationRange" localSheetId="16" hidden="1">'Prog costs'!$A$68:$B$68</definedName>
    <definedName name="xdif637338572633299274_DistinctValues" localSheetId="16" hidden="1">FALSE</definedName>
    <definedName name="xdif637338572633299274_ObjectType" localSheetId="16" hidden="1">"Validation"</definedName>
    <definedName name="xdif637338572633299274_ParameterName00" localSheetId="16" hidden="1">"PSFConnectionNo"</definedName>
    <definedName name="xdif637338572633299274_ParameterName01" localSheetId="16" hidden="1">"AnalysisCode"</definedName>
    <definedName name="xdif637338572633299274_ParameterName02" localSheetId="16" hidden="1">"AnalysisKey"</definedName>
    <definedName name="xdif637338572633299274_ParameterName03" localSheetId="16" hidden="1">"ExcludeAnalysisKey"</definedName>
    <definedName name="xdif637338572633299274_RefreshMode" localSheetId="16" hidden="1">"Automatic"</definedName>
    <definedName name="xdif637338572633299274_SelectAliasItem01" localSheetId="16" hidden="1">"Key"</definedName>
    <definedName name="xdif637338572633299274_SelectAliasItem02" localSheetId="16" hidden="1">"Title"</definedName>
    <definedName name="xdif637338572633299274_SelectColumnFormulaItem01" localSheetId="16" hidden="1">"="</definedName>
    <definedName name="xdif637338572633299274_SelectColumnFormulaItem02" localSheetId="16" hidden="1">"="</definedName>
    <definedName name="xdif637338572633299274_SelectColumnNameItem01" localSheetId="16" hidden="1">"KEYLISTKEY"</definedName>
    <definedName name="xdif637338572633299274_SelectColumnNameItem02" localSheetId="16" hidden="1">"TITLE"</definedName>
    <definedName name="xdif637338572633299274_SelectGroupItem01" localSheetId="16" hidden="1">"="</definedName>
    <definedName name="xdif637338572633299274_SelectGroupItem02" localSheetId="16" hidden="1">"="</definedName>
    <definedName name="xdif637338572633299274_SelectItemRange01" localSheetId="16" hidden="1">'Prog costs'!$A$68</definedName>
    <definedName name="xdif637338572633299274_SelectItemRange02" localSheetId="16" hidden="1">'Prog costs'!$B$68</definedName>
    <definedName name="xdif637338572633299274_SelectItemType01" localSheetId="16" hidden="1">"Value"</definedName>
    <definedName name="xdif637338572633299274_SelectItemType02" localSheetId="16" hidden="1">"Value"</definedName>
    <definedName name="xdif637338572633299274_SelectPathItem01" localSheetId="16" hidden="1">"dbo.D_KEYLISTKEY,Key List Key"</definedName>
    <definedName name="xdif637338572633299274_SelectPathItem02" localSheetId="16" hidden="1">"dbo.D_KEYLISTKEY,Key List Key"</definedName>
    <definedName name="xdif637338572633299274_SelectVisibleItem01" localSheetId="16" hidden="1">TRUE</definedName>
    <definedName name="xdif637338572633299274_SelectVisibleItem02" localSheetId="16" hidden="1">TRUE</definedName>
    <definedName name="xdif637338572633299274_ShowColumnHeaders" localSheetId="16" hidden="1">FALSE</definedName>
    <definedName name="xdif637338572633299274_SortAliasItem01" localSheetId="16" hidden="1">"Key"</definedName>
    <definedName name="xdif637338572633299274_SortColumnNameItem01" localSheetId="16" hidden="1">"KEYLISTKEY"</definedName>
    <definedName name="xdif637338572633299274_SortOrderByItem01" localSheetId="16" hidden="1">"Asc"</definedName>
    <definedName name="xdif637338572633299274_SortPathItem01" localSheetId="16" hidden="1">"dbo.D_KEYLISTKEY,Key List Key"</definedName>
    <definedName name="xdif637338572633299274_SourceObject" localSheetId="16" hidden="1">"PSFNANKEYLIST"</definedName>
    <definedName name="xdif637338572633299274_UserValue00" localSheetId="16" hidden="1">Parameters!$B$3</definedName>
    <definedName name="xdif637338572633299274_UserValue01" localSheetId="16" hidden="1">"GLCode"</definedName>
    <definedName name="xdif637338572633299274_UserValue02" localSheetId="16" hidden="1">"*"</definedName>
    <definedName name="xdif637338572633299274_UserValue03" localSheetId="16" hidden="1">"="</definedName>
    <definedName name="xdif637489815617248095__dataRowCount" localSheetId="13" hidden="1">39</definedName>
    <definedName name="xdif637489815617248095__userDefinedName" localSheetId="13" hidden="1">"Accounts 4"</definedName>
    <definedName name="xdif637489815617248095_AboveLeft" localSheetId="13" hidden="1">TRUE</definedName>
    <definedName name="xdif637489815617248095_AboveLeftCells" localSheetId="13" hidden="1">1</definedName>
    <definedName name="xdif637489815617248095_AutoFilter" localSheetId="13" hidden="1">FALSE</definedName>
    <definedName name="xdif637489815617248095_Autofit" localSheetId="13" hidden="1">TRUE</definedName>
    <definedName name="xdif637489815617248095_BelowRight" localSheetId="13" hidden="1">TRUE</definedName>
    <definedName name="xdif637489815617248095_BelowRightCells" localSheetId="13" hidden="1">1</definedName>
    <definedName name="xdif637489815617248095_DestinationRange" localSheetId="13" hidden="1">Parameters!$R$5:$S$43</definedName>
    <definedName name="xdif637489815617248095_DistinctValues" localSheetId="13" hidden="1">FALSE</definedName>
    <definedName name="xdif637489815617248095_ObjectType" localSheetId="13" hidden="1">"ListVertical"</definedName>
    <definedName name="xdif637489815617248095_ParameterName00" localSheetId="13" hidden="1">"PSFConnectionNo"</definedName>
    <definedName name="xdif637489815617248095_ParameterName01" localSheetId="13" hidden="1">"Ledger"</definedName>
    <definedName name="xdif637489815617248095_ParameterName02" localSheetId="13" hidden="1">"Account"</definedName>
    <definedName name="xdif637489815617248095_ParameterName03" localSheetId="13" hidden="1">"ExcludeAccount"</definedName>
    <definedName name="xdif637489815617248095_RefreshMode" localSheetId="13" hidden="1">"Automatic"</definedName>
    <definedName name="xdif637489815617248095_SelectAliasItem01" localSheetId="13" hidden="1">"Account"</definedName>
    <definedName name="xdif637489815617248095_SelectAliasItem02" localSheetId="13" hidden="1">"Account Title"</definedName>
    <definedName name="xdif637489815617248095_SelectColumnFormulaItem01" localSheetId="13" hidden="1">"="</definedName>
    <definedName name="xdif637489815617248095_SelectColumnFormulaItem02" localSheetId="13" hidden="1">"="</definedName>
    <definedName name="xdif637489815617248095_SelectColumnNameItem01" localSheetId="13" hidden="1">"ACCOUNT"</definedName>
    <definedName name="xdif637489815617248095_SelectColumnNameItem02" localSheetId="13" hidden="1">"TITLE"</definedName>
    <definedName name="xdif637489815617248095_SelectGroupItem01" localSheetId="13" hidden="1">"="</definedName>
    <definedName name="xdif637489815617248095_SelectGroupItem02" localSheetId="13" hidden="1">"="</definedName>
    <definedName name="xdif637489815617248095_SelectItemRange01" localSheetId="13" hidden="1">Parameters!$R$5:$R$43</definedName>
    <definedName name="xdif637489815617248095_SelectItemRange02" localSheetId="13" hidden="1">Parameters!$S$5:$S$43</definedName>
    <definedName name="xdif637489815617248095_SelectItemType01" localSheetId="13" hidden="1">"Value"</definedName>
    <definedName name="xdif637489815617248095_SelectItemType02" localSheetId="13" hidden="1">"Value"</definedName>
    <definedName name="xdif637489815617248095_SelectPathItem01" localSheetId="13" hidden="1">"dbo.M_ACCOUNT,Account"</definedName>
    <definedName name="xdif637489815617248095_SelectPathItem02" localSheetId="13" hidden="1">"dbo.M_ACCOUNT,Account"</definedName>
    <definedName name="xdif637489815617248095_SelectVisibleItem01" localSheetId="13" hidden="1">TRUE</definedName>
    <definedName name="xdif637489815617248095_SelectVisibleItem02" localSheetId="13" hidden="1">TRUE</definedName>
    <definedName name="xdif637489815617248095_ShowColumnHeaders" localSheetId="13" hidden="1">FALSE</definedName>
    <definedName name="xdif637489815617248095_SortAliasItem01" localSheetId="13" hidden="1">"Account"</definedName>
    <definedName name="xdif637489815617248095_SortColumnNameItem01" localSheetId="13" hidden="1">"ACCOUNT"</definedName>
    <definedName name="xdif637489815617248095_SortOrderByItem01" localSheetId="13" hidden="1">"Asc"</definedName>
    <definedName name="xdif637489815617248095_SortPathItem01" localSheetId="13" hidden="1">"dbo.M_ACCOUNT,Account"</definedName>
    <definedName name="xdif637489815617248095_SourceObject" localSheetId="13" hidden="1">"PSFALIST"</definedName>
    <definedName name="xdif637489815617248095_UserValue00" localSheetId="13" hidden="1">Parameters!$B$3</definedName>
    <definedName name="xdif637489815617248095_UserValue01" localSheetId="13" hidden="1">"COUNTRY"</definedName>
    <definedName name="xdif637489815617248095_UserValue02" localSheetId="13" hidden="1">"*"</definedName>
    <definedName name="xdif637489815617248095_UserValue03" localSheetId="13" hidden="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1" i="21" l="1"/>
  <c r="O41" i="21"/>
  <c r="P41" i="21"/>
  <c r="M41" i="21"/>
  <c r="P40" i="21"/>
  <c r="P39" i="21"/>
  <c r="O39" i="21"/>
  <c r="N33" i="21"/>
  <c r="O33" i="21"/>
  <c r="M33" i="21"/>
  <c r="P28" i="21"/>
  <c r="P29" i="21"/>
  <c r="P30" i="21"/>
  <c r="P31" i="21"/>
  <c r="P32" i="21"/>
  <c r="O28" i="21"/>
  <c r="M28" i="21"/>
  <c r="P27" i="21"/>
  <c r="M27" i="21"/>
  <c r="O27" i="21"/>
  <c r="P17" i="21"/>
  <c r="R19" i="23"/>
  <c r="R38" i="23"/>
  <c r="P33" i="21" l="1"/>
  <c r="R9" i="23"/>
  <c r="D104" i="16" l="1"/>
  <c r="D105" i="16"/>
  <c r="D106" i="16"/>
  <c r="D107" i="16"/>
  <c r="N99" i="16"/>
  <c r="M99" i="16"/>
  <c r="L99" i="16"/>
  <c r="K99" i="16"/>
  <c r="J99" i="16"/>
  <c r="I99" i="16"/>
  <c r="H99" i="16"/>
  <c r="G99" i="16"/>
  <c r="F99" i="16"/>
  <c r="E99" i="16"/>
  <c r="D99" i="16"/>
  <c r="N5" i="16"/>
  <c r="N6" i="16"/>
  <c r="N7" i="16"/>
  <c r="N8" i="16"/>
  <c r="N9" i="16"/>
  <c r="N10" i="16"/>
  <c r="N11" i="16"/>
  <c r="N12" i="16"/>
  <c r="N13" i="16"/>
  <c r="N14" i="16"/>
  <c r="N15" i="16"/>
  <c r="N16" i="16"/>
  <c r="N17"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46" i="16"/>
  <c r="N47" i="16"/>
  <c r="N48" i="16"/>
  <c r="N49" i="16"/>
  <c r="N50" i="16"/>
  <c r="N51" i="16"/>
  <c r="N52" i="16"/>
  <c r="N53" i="16"/>
  <c r="N54" i="16"/>
  <c r="N55" i="16"/>
  <c r="N56" i="16"/>
  <c r="N57" i="16"/>
  <c r="N58" i="16"/>
  <c r="N59" i="16"/>
  <c r="N60" i="16"/>
  <c r="N61" i="16"/>
  <c r="N62" i="16"/>
  <c r="N63" i="16"/>
  <c r="N64" i="16"/>
  <c r="N65" i="16"/>
  <c r="N66" i="16"/>
  <c r="N67" i="16"/>
  <c r="N68" i="16"/>
  <c r="N69" i="16"/>
  <c r="N70" i="16"/>
  <c r="N71" i="16"/>
  <c r="N72" i="16"/>
  <c r="N73" i="16"/>
  <c r="N74" i="16"/>
  <c r="N75" i="16"/>
  <c r="N76" i="16"/>
  <c r="N77" i="16"/>
  <c r="N78" i="16"/>
  <c r="N79" i="16"/>
  <c r="N80" i="16"/>
  <c r="N81" i="16"/>
  <c r="N82" i="16"/>
  <c r="N83" i="16"/>
  <c r="N84" i="16"/>
  <c r="N85" i="16"/>
  <c r="N86" i="16"/>
  <c r="N87" i="16"/>
  <c r="N88" i="16"/>
  <c r="N89" i="16"/>
  <c r="N90" i="16"/>
  <c r="N91" i="16"/>
  <c r="N92" i="16"/>
  <c r="N93" i="16"/>
  <c r="N94" i="16"/>
  <c r="N95" i="16"/>
  <c r="N96" i="16"/>
  <c r="M5" i="16"/>
  <c r="M6" i="16"/>
  <c r="M7" i="16"/>
  <c r="M8" i="16"/>
  <c r="M9" i="16"/>
  <c r="M10" i="16"/>
  <c r="M11" i="16"/>
  <c r="M12" i="16"/>
  <c r="M13" i="16"/>
  <c r="M14" i="16"/>
  <c r="M15" i="16"/>
  <c r="M16" i="16"/>
  <c r="M17" i="16"/>
  <c r="M18" i="16"/>
  <c r="M19" i="16"/>
  <c r="M20" i="16"/>
  <c r="M21" i="16"/>
  <c r="M22" i="16"/>
  <c r="M23" i="16"/>
  <c r="M24" i="16"/>
  <c r="M25" i="16"/>
  <c r="M26" i="16"/>
  <c r="M27" i="16"/>
  <c r="M28" i="16"/>
  <c r="M29" i="16"/>
  <c r="M30" i="16"/>
  <c r="M31" i="16"/>
  <c r="M32" i="16"/>
  <c r="M33" i="16"/>
  <c r="M34" i="16"/>
  <c r="M35" i="16"/>
  <c r="M36" i="16"/>
  <c r="M37" i="16"/>
  <c r="M38" i="16"/>
  <c r="M39" i="16"/>
  <c r="M40" i="16"/>
  <c r="M41" i="16"/>
  <c r="M42" i="16"/>
  <c r="M43" i="16"/>
  <c r="M44" i="16"/>
  <c r="M45" i="16"/>
  <c r="M46" i="16"/>
  <c r="M47" i="16"/>
  <c r="M48" i="16"/>
  <c r="M49" i="16"/>
  <c r="M50" i="16"/>
  <c r="M51" i="16"/>
  <c r="M52" i="16"/>
  <c r="M53" i="16"/>
  <c r="M54" i="16"/>
  <c r="M55" i="16"/>
  <c r="M56" i="16"/>
  <c r="M57" i="16"/>
  <c r="M58" i="16"/>
  <c r="M59" i="16"/>
  <c r="M60" i="16"/>
  <c r="M61" i="16"/>
  <c r="M62" i="16"/>
  <c r="M63" i="16"/>
  <c r="M64" i="16"/>
  <c r="M65" i="16"/>
  <c r="M66" i="16"/>
  <c r="M67" i="16"/>
  <c r="M68" i="16"/>
  <c r="M69" i="16"/>
  <c r="M70" i="16"/>
  <c r="M71" i="16"/>
  <c r="M72" i="16"/>
  <c r="M73" i="16"/>
  <c r="M74" i="16"/>
  <c r="M75" i="16"/>
  <c r="M76" i="16"/>
  <c r="M77" i="16"/>
  <c r="M78" i="16"/>
  <c r="M79" i="16"/>
  <c r="M80" i="16"/>
  <c r="M81" i="16"/>
  <c r="M82" i="16"/>
  <c r="M83" i="16"/>
  <c r="M84" i="16"/>
  <c r="M85" i="16"/>
  <c r="M86" i="16"/>
  <c r="M87" i="16"/>
  <c r="M88" i="16"/>
  <c r="M89" i="16"/>
  <c r="M90" i="16"/>
  <c r="M91" i="16"/>
  <c r="M92" i="16"/>
  <c r="M93" i="16"/>
  <c r="M94" i="16"/>
  <c r="M95" i="16"/>
  <c r="M96" i="16"/>
  <c r="L5" i="16"/>
  <c r="L6" i="16"/>
  <c r="L7" i="16"/>
  <c r="L8" i="16"/>
  <c r="L9" i="16"/>
  <c r="L10" i="16"/>
  <c r="L11" i="16"/>
  <c r="L12" i="16"/>
  <c r="L13" i="16"/>
  <c r="L14" i="16"/>
  <c r="L15" i="16"/>
  <c r="L16" i="16"/>
  <c r="L17" i="16"/>
  <c r="L18" i="16"/>
  <c r="L19" i="16"/>
  <c r="L20" i="16"/>
  <c r="L21" i="16"/>
  <c r="L22" i="16"/>
  <c r="L23" i="16"/>
  <c r="L24" i="16"/>
  <c r="L25" i="16"/>
  <c r="L26" i="16"/>
  <c r="L27" i="16"/>
  <c r="L28" i="16"/>
  <c r="L29" i="16"/>
  <c r="L30" i="16"/>
  <c r="L31" i="16"/>
  <c r="L32" i="16"/>
  <c r="L33" i="16"/>
  <c r="L34" i="16"/>
  <c r="L35" i="16"/>
  <c r="L36" i="16"/>
  <c r="L37" i="16"/>
  <c r="L38" i="16"/>
  <c r="L39" i="16"/>
  <c r="L40" i="16"/>
  <c r="L41" i="16"/>
  <c r="L42" i="16"/>
  <c r="L43" i="16"/>
  <c r="L44" i="16"/>
  <c r="L45" i="16"/>
  <c r="L46" i="16"/>
  <c r="L47" i="16"/>
  <c r="L48" i="16"/>
  <c r="L49" i="16"/>
  <c r="L50" i="16"/>
  <c r="L51" i="16"/>
  <c r="L52" i="16"/>
  <c r="L53" i="16"/>
  <c r="L54" i="16"/>
  <c r="L55" i="16"/>
  <c r="L56" i="16"/>
  <c r="L57" i="16"/>
  <c r="L58" i="16"/>
  <c r="L59" i="16"/>
  <c r="L60" i="16"/>
  <c r="L61" i="16"/>
  <c r="L62" i="16"/>
  <c r="L63" i="16"/>
  <c r="L64" i="16"/>
  <c r="L65" i="16"/>
  <c r="L66" i="16"/>
  <c r="L67" i="16"/>
  <c r="L68" i="16"/>
  <c r="L69" i="16"/>
  <c r="L70" i="16"/>
  <c r="L71" i="16"/>
  <c r="L72" i="16"/>
  <c r="L73" i="16"/>
  <c r="L74" i="16"/>
  <c r="L75" i="16"/>
  <c r="L76" i="16"/>
  <c r="L77" i="16"/>
  <c r="L78" i="16"/>
  <c r="L79" i="16"/>
  <c r="L80" i="16"/>
  <c r="L81" i="16"/>
  <c r="L82" i="16"/>
  <c r="L83" i="16"/>
  <c r="L84" i="16"/>
  <c r="L85" i="16"/>
  <c r="L86" i="16"/>
  <c r="L87" i="16"/>
  <c r="L88" i="16"/>
  <c r="L89" i="16"/>
  <c r="L90" i="16"/>
  <c r="L91" i="16"/>
  <c r="L92" i="16"/>
  <c r="L93" i="16"/>
  <c r="L94" i="16"/>
  <c r="L95" i="16"/>
  <c r="L96" i="16"/>
  <c r="K5" i="16"/>
  <c r="K6" i="16"/>
  <c r="K7" i="16"/>
  <c r="K8" i="16"/>
  <c r="K9" i="16"/>
  <c r="K10" i="16"/>
  <c r="K11" i="16"/>
  <c r="K12" i="16"/>
  <c r="K13" i="16"/>
  <c r="K14"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J5" i="16"/>
  <c r="J6" i="16"/>
  <c r="J7"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59" i="16"/>
  <c r="J60" i="16"/>
  <c r="J61" i="16"/>
  <c r="J62" i="16"/>
  <c r="J63" i="16"/>
  <c r="J64" i="16"/>
  <c r="J65" i="16"/>
  <c r="J66" i="16"/>
  <c r="J67" i="16"/>
  <c r="J68" i="16"/>
  <c r="J69" i="16"/>
  <c r="J70" i="16"/>
  <c r="J71" i="16"/>
  <c r="J72" i="16"/>
  <c r="J73" i="16"/>
  <c r="J74" i="16"/>
  <c r="J75" i="16"/>
  <c r="J76" i="16"/>
  <c r="J77" i="16"/>
  <c r="J78" i="16"/>
  <c r="J79" i="16"/>
  <c r="J80" i="16"/>
  <c r="J81" i="16"/>
  <c r="J82" i="16"/>
  <c r="J83" i="16"/>
  <c r="J84" i="16"/>
  <c r="J85" i="16"/>
  <c r="J86" i="16"/>
  <c r="J87" i="16"/>
  <c r="J88" i="16"/>
  <c r="J89" i="16"/>
  <c r="J90" i="16"/>
  <c r="J91" i="16"/>
  <c r="J92" i="16"/>
  <c r="J93" i="16"/>
  <c r="J94" i="16"/>
  <c r="J95" i="16"/>
  <c r="J96" i="16"/>
  <c r="I5" i="16"/>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H5" i="16"/>
  <c r="H6" i="16"/>
  <c r="H7" i="16"/>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H64" i="16"/>
  <c r="H65" i="16"/>
  <c r="H66" i="16"/>
  <c r="H67" i="16"/>
  <c r="H68" i="16"/>
  <c r="H69" i="16"/>
  <c r="H70" i="16"/>
  <c r="H71" i="16"/>
  <c r="H72" i="16"/>
  <c r="H73" i="16"/>
  <c r="H74" i="16"/>
  <c r="H75" i="16"/>
  <c r="H76" i="16"/>
  <c r="H77" i="16"/>
  <c r="H78" i="16"/>
  <c r="H79" i="16"/>
  <c r="H80" i="16"/>
  <c r="H81" i="16"/>
  <c r="H82" i="16"/>
  <c r="H83" i="16"/>
  <c r="H84" i="16"/>
  <c r="H85" i="16"/>
  <c r="H86" i="16"/>
  <c r="H87" i="16"/>
  <c r="H88" i="16"/>
  <c r="H89" i="16"/>
  <c r="H90" i="16"/>
  <c r="H91" i="16"/>
  <c r="H92" i="16"/>
  <c r="H93" i="16"/>
  <c r="H94" i="16"/>
  <c r="H95" i="16"/>
  <c r="H96" i="16"/>
  <c r="G5" i="16"/>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F5" i="16"/>
  <c r="F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81" i="16"/>
  <c r="F82" i="16"/>
  <c r="F83" i="16"/>
  <c r="F84" i="16"/>
  <c r="F85" i="16"/>
  <c r="F86" i="16"/>
  <c r="F87" i="16"/>
  <c r="F88" i="16"/>
  <c r="F89" i="16"/>
  <c r="F90" i="16"/>
  <c r="F91" i="16"/>
  <c r="F92" i="16"/>
  <c r="F93" i="16"/>
  <c r="F94" i="16"/>
  <c r="F95" i="16"/>
  <c r="F96" i="16"/>
  <c r="E5" i="16"/>
  <c r="E6" i="16"/>
  <c r="E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D5" i="16"/>
  <c r="D6" i="16"/>
  <c r="D7" i="16"/>
  <c r="D8" i="16"/>
  <c r="O8" i="16" s="1"/>
  <c r="D9" i="16"/>
  <c r="D10" i="16"/>
  <c r="D11" i="16"/>
  <c r="D12" i="16"/>
  <c r="O12" i="16" s="1"/>
  <c r="D13" i="16"/>
  <c r="D14" i="16"/>
  <c r="D15" i="16"/>
  <c r="D16" i="16"/>
  <c r="O16" i="16" s="1"/>
  <c r="D17" i="16"/>
  <c r="D18" i="16"/>
  <c r="D19" i="16"/>
  <c r="D20" i="16"/>
  <c r="O20" i="16" s="1"/>
  <c r="D21" i="16"/>
  <c r="D22" i="16"/>
  <c r="D23" i="16"/>
  <c r="D24" i="16"/>
  <c r="O24" i="16" s="1"/>
  <c r="D25" i="16"/>
  <c r="D26" i="16"/>
  <c r="D27" i="16"/>
  <c r="D28" i="16"/>
  <c r="O28" i="16" s="1"/>
  <c r="D29" i="16"/>
  <c r="D30" i="16"/>
  <c r="D31" i="16"/>
  <c r="D32" i="16"/>
  <c r="O32" i="16" s="1"/>
  <c r="T32" i="16" s="1"/>
  <c r="D33" i="16"/>
  <c r="D34" i="16"/>
  <c r="D35" i="16"/>
  <c r="D36" i="16"/>
  <c r="O36" i="16" s="1"/>
  <c r="D37" i="16"/>
  <c r="D38" i="16"/>
  <c r="D39" i="16"/>
  <c r="D40" i="16"/>
  <c r="O40" i="16" s="1"/>
  <c r="S40" i="16" s="1"/>
  <c r="D41" i="16"/>
  <c r="D42" i="16"/>
  <c r="D43" i="16"/>
  <c r="D44" i="16"/>
  <c r="O44" i="16" s="1"/>
  <c r="D45" i="16"/>
  <c r="D46" i="16"/>
  <c r="D47" i="16"/>
  <c r="D48" i="16"/>
  <c r="O48" i="16" s="1"/>
  <c r="D49" i="16"/>
  <c r="D50" i="16"/>
  <c r="D51" i="16"/>
  <c r="D52" i="16"/>
  <c r="O52" i="16" s="1"/>
  <c r="D53" i="16"/>
  <c r="D54" i="16"/>
  <c r="D55" i="16"/>
  <c r="D56" i="16"/>
  <c r="O56" i="16" s="1"/>
  <c r="S56" i="16" s="1"/>
  <c r="D57" i="16"/>
  <c r="D58" i="16"/>
  <c r="D59" i="16"/>
  <c r="D60" i="16"/>
  <c r="O60" i="16" s="1"/>
  <c r="X60" i="16" s="1"/>
  <c r="D61" i="16"/>
  <c r="D62" i="16"/>
  <c r="D63" i="16"/>
  <c r="D64" i="16"/>
  <c r="O64" i="16" s="1"/>
  <c r="X64" i="16" s="1"/>
  <c r="D65" i="16"/>
  <c r="D66" i="16"/>
  <c r="D67" i="16"/>
  <c r="D68" i="16"/>
  <c r="O68" i="16" s="1"/>
  <c r="X68" i="16" s="1"/>
  <c r="D69" i="16"/>
  <c r="D70" i="16"/>
  <c r="D71" i="16"/>
  <c r="D72" i="16"/>
  <c r="O72" i="16" s="1"/>
  <c r="W72" i="16" s="1"/>
  <c r="D73" i="16"/>
  <c r="D74" i="16"/>
  <c r="D75" i="16"/>
  <c r="D76" i="16"/>
  <c r="O76" i="16" s="1"/>
  <c r="D77" i="16"/>
  <c r="D78" i="16"/>
  <c r="D79" i="16"/>
  <c r="D80" i="16"/>
  <c r="O80" i="16" s="1"/>
  <c r="D81" i="16"/>
  <c r="D82" i="16"/>
  <c r="D83" i="16"/>
  <c r="D84" i="16"/>
  <c r="O84" i="16" s="1"/>
  <c r="D85" i="16"/>
  <c r="D86" i="16"/>
  <c r="D87" i="16"/>
  <c r="D88" i="16"/>
  <c r="O88" i="16" s="1"/>
  <c r="D89" i="16"/>
  <c r="D90" i="16"/>
  <c r="D91" i="16"/>
  <c r="D92" i="16"/>
  <c r="D93" i="16"/>
  <c r="D94" i="16"/>
  <c r="D95" i="16"/>
  <c r="D96" i="16"/>
  <c r="Z70" i="15"/>
  <c r="Z71" i="15"/>
  <c r="Z72" i="15"/>
  <c r="Z73" i="15"/>
  <c r="Z74" i="15"/>
  <c r="Z75" i="15"/>
  <c r="Z76" i="15"/>
  <c r="Z77" i="15"/>
  <c r="Z78" i="15"/>
  <c r="Z79" i="15"/>
  <c r="Z80" i="15"/>
  <c r="Z81" i="15"/>
  <c r="Z82" i="15"/>
  <c r="Z83" i="15"/>
  <c r="Z84" i="15"/>
  <c r="Z85" i="15"/>
  <c r="Z86" i="15"/>
  <c r="Z87" i="15"/>
  <c r="Y70" i="15"/>
  <c r="Y71" i="15"/>
  <c r="Y72" i="15"/>
  <c r="Y73" i="15"/>
  <c r="Y74" i="15"/>
  <c r="Y75" i="15"/>
  <c r="Y76" i="15"/>
  <c r="Y77" i="15"/>
  <c r="Y78" i="15"/>
  <c r="Y79" i="15"/>
  <c r="Y80" i="15"/>
  <c r="Y81" i="15"/>
  <c r="Y82" i="15"/>
  <c r="Y83" i="15"/>
  <c r="Y84" i="15"/>
  <c r="Y85" i="15"/>
  <c r="Y86" i="15"/>
  <c r="Y87" i="15"/>
  <c r="X70" i="15"/>
  <c r="X71" i="15"/>
  <c r="X72" i="15"/>
  <c r="X73" i="15"/>
  <c r="X74" i="15"/>
  <c r="X75" i="15"/>
  <c r="X76" i="15"/>
  <c r="X77" i="15"/>
  <c r="X78" i="15"/>
  <c r="X79" i="15"/>
  <c r="X80" i="15"/>
  <c r="X81" i="15"/>
  <c r="X82" i="15"/>
  <c r="X83" i="15"/>
  <c r="X84" i="15"/>
  <c r="X85" i="15"/>
  <c r="X86" i="15"/>
  <c r="X87" i="15"/>
  <c r="W70" i="15"/>
  <c r="W71" i="15"/>
  <c r="W72" i="15"/>
  <c r="W73" i="15"/>
  <c r="W74" i="15"/>
  <c r="W75" i="15"/>
  <c r="W76" i="15"/>
  <c r="W77" i="15"/>
  <c r="W78" i="15"/>
  <c r="W79" i="15"/>
  <c r="W80" i="15"/>
  <c r="W81" i="15"/>
  <c r="W82" i="15"/>
  <c r="W83" i="15"/>
  <c r="W84" i="15"/>
  <c r="W85" i="15"/>
  <c r="W86" i="15"/>
  <c r="W87" i="15"/>
  <c r="V70" i="15"/>
  <c r="V71" i="15"/>
  <c r="V72" i="15"/>
  <c r="V73" i="15"/>
  <c r="V74" i="15"/>
  <c r="V75" i="15"/>
  <c r="V76" i="15"/>
  <c r="V77" i="15"/>
  <c r="V78" i="15"/>
  <c r="V79" i="15"/>
  <c r="V80" i="15"/>
  <c r="V81" i="15"/>
  <c r="V82" i="15"/>
  <c r="V83" i="15"/>
  <c r="V84" i="15"/>
  <c r="V85" i="15"/>
  <c r="V86" i="15"/>
  <c r="V87" i="15"/>
  <c r="U70" i="15"/>
  <c r="U71" i="15"/>
  <c r="U72" i="15"/>
  <c r="U73" i="15"/>
  <c r="U74" i="15"/>
  <c r="U75" i="15"/>
  <c r="U76" i="15"/>
  <c r="U77" i="15"/>
  <c r="U78" i="15"/>
  <c r="U79" i="15"/>
  <c r="U80" i="15"/>
  <c r="U81" i="15"/>
  <c r="U82" i="15"/>
  <c r="U83" i="15"/>
  <c r="U84" i="15"/>
  <c r="U85" i="15"/>
  <c r="U86" i="15"/>
  <c r="U87" i="15"/>
  <c r="T70" i="15"/>
  <c r="T71" i="15"/>
  <c r="T72" i="15"/>
  <c r="T73" i="15"/>
  <c r="T74" i="15"/>
  <c r="T75" i="15"/>
  <c r="T76" i="15"/>
  <c r="T77" i="15"/>
  <c r="T78" i="15"/>
  <c r="T79" i="15"/>
  <c r="T80" i="15"/>
  <c r="T81" i="15"/>
  <c r="T82" i="15"/>
  <c r="T83" i="15"/>
  <c r="T84" i="15"/>
  <c r="T85" i="15"/>
  <c r="T86" i="15"/>
  <c r="T87" i="15"/>
  <c r="S70" i="15"/>
  <c r="S71" i="15"/>
  <c r="S72" i="15"/>
  <c r="S73" i="15"/>
  <c r="S74" i="15"/>
  <c r="S75" i="15"/>
  <c r="S76" i="15"/>
  <c r="S77" i="15"/>
  <c r="S78" i="15"/>
  <c r="S79" i="15"/>
  <c r="S80" i="15"/>
  <c r="S81" i="15"/>
  <c r="S82" i="15"/>
  <c r="S83" i="15"/>
  <c r="S84" i="15"/>
  <c r="S85" i="15"/>
  <c r="S86" i="15"/>
  <c r="S87" i="15"/>
  <c r="R70" i="15"/>
  <c r="R71" i="15"/>
  <c r="R72" i="15"/>
  <c r="R73" i="15"/>
  <c r="R74" i="15"/>
  <c r="R75" i="15"/>
  <c r="R76" i="15"/>
  <c r="R77" i="15"/>
  <c r="R78" i="15"/>
  <c r="R79" i="15"/>
  <c r="R80" i="15"/>
  <c r="R81" i="15"/>
  <c r="R82" i="15"/>
  <c r="R83" i="15"/>
  <c r="R84" i="15"/>
  <c r="R85" i="15"/>
  <c r="R86" i="15"/>
  <c r="R87" i="15"/>
  <c r="Q70" i="15"/>
  <c r="Q71" i="15"/>
  <c r="Q72" i="15"/>
  <c r="Q73" i="15"/>
  <c r="Q74" i="15"/>
  <c r="Q75" i="15"/>
  <c r="Q76" i="15"/>
  <c r="Q77" i="15"/>
  <c r="Q78" i="15"/>
  <c r="Q79" i="15"/>
  <c r="Q80" i="15"/>
  <c r="Q81" i="15"/>
  <c r="Q82" i="15"/>
  <c r="Q83" i="15"/>
  <c r="Q84" i="15"/>
  <c r="Q85" i="15"/>
  <c r="Q86" i="15"/>
  <c r="Q87" i="15"/>
  <c r="P70" i="15"/>
  <c r="P71" i="15"/>
  <c r="P72" i="15"/>
  <c r="P73" i="15"/>
  <c r="P74" i="15"/>
  <c r="P75" i="15"/>
  <c r="P76" i="15"/>
  <c r="P77" i="15"/>
  <c r="P78" i="15"/>
  <c r="P79" i="15"/>
  <c r="P80" i="15"/>
  <c r="P81" i="15"/>
  <c r="P82" i="15"/>
  <c r="P83" i="15"/>
  <c r="P84" i="15"/>
  <c r="P85" i="15"/>
  <c r="P86" i="15"/>
  <c r="P87" i="15"/>
  <c r="O70" i="15"/>
  <c r="O71" i="15"/>
  <c r="O72" i="15"/>
  <c r="O73" i="15"/>
  <c r="O74" i="15"/>
  <c r="O75" i="15"/>
  <c r="O76" i="15"/>
  <c r="O77" i="15"/>
  <c r="O78" i="15"/>
  <c r="O79" i="15"/>
  <c r="O80" i="15"/>
  <c r="O81" i="15"/>
  <c r="O82" i="15"/>
  <c r="O83" i="15"/>
  <c r="O84" i="15"/>
  <c r="O85" i="15"/>
  <c r="O86" i="15"/>
  <c r="O87" i="15"/>
  <c r="N70" i="15"/>
  <c r="N71" i="15"/>
  <c r="N72" i="15"/>
  <c r="N73" i="15"/>
  <c r="N74" i="15"/>
  <c r="N75" i="15"/>
  <c r="N76" i="15"/>
  <c r="N77" i="15"/>
  <c r="N78" i="15"/>
  <c r="N79" i="15"/>
  <c r="N80" i="15"/>
  <c r="N81" i="15"/>
  <c r="N82" i="15"/>
  <c r="N83" i="15"/>
  <c r="N84" i="15"/>
  <c r="N85" i="15"/>
  <c r="N86" i="15"/>
  <c r="N87" i="15"/>
  <c r="M70" i="15"/>
  <c r="M71" i="15"/>
  <c r="M72" i="15"/>
  <c r="M73" i="15"/>
  <c r="M74" i="15"/>
  <c r="M75" i="15"/>
  <c r="M76" i="15"/>
  <c r="M77" i="15"/>
  <c r="M78" i="15"/>
  <c r="M79" i="15"/>
  <c r="M80" i="15"/>
  <c r="M81" i="15"/>
  <c r="M82" i="15"/>
  <c r="M83" i="15"/>
  <c r="M84" i="15"/>
  <c r="M85" i="15"/>
  <c r="M86" i="15"/>
  <c r="M87" i="15"/>
  <c r="L70" i="15"/>
  <c r="L71" i="15"/>
  <c r="L72" i="15"/>
  <c r="L73" i="15"/>
  <c r="L74" i="15"/>
  <c r="L75" i="15"/>
  <c r="L76" i="15"/>
  <c r="L77" i="15"/>
  <c r="L78" i="15"/>
  <c r="L79" i="15"/>
  <c r="L80" i="15"/>
  <c r="L81" i="15"/>
  <c r="L82" i="15"/>
  <c r="L83" i="15"/>
  <c r="L84" i="15"/>
  <c r="L85" i="15"/>
  <c r="L86" i="15"/>
  <c r="L87" i="15"/>
  <c r="K70" i="15"/>
  <c r="K71" i="15"/>
  <c r="K72" i="15"/>
  <c r="K73" i="15"/>
  <c r="K74" i="15"/>
  <c r="K75" i="15"/>
  <c r="K76" i="15"/>
  <c r="K77" i="15"/>
  <c r="K78" i="15"/>
  <c r="K79" i="15"/>
  <c r="K80" i="15"/>
  <c r="K81" i="15"/>
  <c r="K82" i="15"/>
  <c r="K83" i="15"/>
  <c r="K84" i="15"/>
  <c r="K85" i="15"/>
  <c r="K86" i="15"/>
  <c r="K87" i="15"/>
  <c r="J70" i="15"/>
  <c r="J71" i="15"/>
  <c r="J72" i="15"/>
  <c r="J73" i="15"/>
  <c r="J74" i="15"/>
  <c r="J75" i="15"/>
  <c r="J76" i="15"/>
  <c r="J77" i="15"/>
  <c r="J78" i="15"/>
  <c r="J79" i="15"/>
  <c r="J80" i="15"/>
  <c r="J81" i="15"/>
  <c r="J82" i="15"/>
  <c r="J83" i="15"/>
  <c r="J84" i="15"/>
  <c r="J85" i="15"/>
  <c r="J86" i="15"/>
  <c r="J87" i="15"/>
  <c r="I70" i="15"/>
  <c r="I71" i="15"/>
  <c r="I72" i="15"/>
  <c r="I73" i="15"/>
  <c r="I74" i="15"/>
  <c r="I75" i="15"/>
  <c r="I76" i="15"/>
  <c r="I77" i="15"/>
  <c r="I78" i="15"/>
  <c r="I79" i="15"/>
  <c r="I80" i="15"/>
  <c r="I81" i="15"/>
  <c r="I82" i="15"/>
  <c r="I83" i="15"/>
  <c r="I84" i="15"/>
  <c r="I85" i="15"/>
  <c r="I86" i="15"/>
  <c r="I87" i="15"/>
  <c r="H70" i="15"/>
  <c r="H71" i="15"/>
  <c r="H72" i="15"/>
  <c r="H73" i="15"/>
  <c r="H74" i="15"/>
  <c r="H75" i="15"/>
  <c r="H76" i="15"/>
  <c r="H77" i="15"/>
  <c r="H78" i="15"/>
  <c r="H79" i="15"/>
  <c r="H80" i="15"/>
  <c r="H81" i="15"/>
  <c r="H82" i="15"/>
  <c r="H83" i="15"/>
  <c r="H84" i="15"/>
  <c r="H85" i="15"/>
  <c r="H86" i="15"/>
  <c r="H87" i="15"/>
  <c r="G70" i="15"/>
  <c r="G71" i="15"/>
  <c r="G72" i="15"/>
  <c r="G73" i="15"/>
  <c r="G74" i="15"/>
  <c r="G75" i="15"/>
  <c r="G76" i="15"/>
  <c r="G77" i="15"/>
  <c r="G78" i="15"/>
  <c r="G79" i="15"/>
  <c r="G80" i="15"/>
  <c r="G81" i="15"/>
  <c r="G82" i="15"/>
  <c r="G83" i="15"/>
  <c r="G84" i="15"/>
  <c r="G85" i="15"/>
  <c r="G86" i="15"/>
  <c r="G87" i="15"/>
  <c r="F70" i="15"/>
  <c r="F71" i="15"/>
  <c r="F72" i="15"/>
  <c r="F73" i="15"/>
  <c r="F74" i="15"/>
  <c r="F75" i="15"/>
  <c r="F76" i="15"/>
  <c r="F77" i="15"/>
  <c r="F78" i="15"/>
  <c r="F79" i="15"/>
  <c r="F80" i="15"/>
  <c r="F81" i="15"/>
  <c r="F82" i="15"/>
  <c r="F83" i="15"/>
  <c r="F84" i="15"/>
  <c r="F85" i="15"/>
  <c r="F86" i="15"/>
  <c r="F87" i="15"/>
  <c r="E70" i="15"/>
  <c r="E71" i="15"/>
  <c r="E72" i="15"/>
  <c r="E73" i="15"/>
  <c r="E74" i="15"/>
  <c r="E75" i="15"/>
  <c r="E76" i="15"/>
  <c r="E77" i="15"/>
  <c r="E78" i="15"/>
  <c r="E79" i="15"/>
  <c r="E80" i="15"/>
  <c r="E81" i="15"/>
  <c r="E82" i="15"/>
  <c r="E83" i="15"/>
  <c r="E84" i="15"/>
  <c r="E85" i="15"/>
  <c r="E86" i="15"/>
  <c r="E87" i="15"/>
  <c r="D70" i="15"/>
  <c r="D71" i="15"/>
  <c r="D72" i="15"/>
  <c r="D73" i="15"/>
  <c r="D74" i="15"/>
  <c r="D75" i="15"/>
  <c r="D76" i="15"/>
  <c r="D77" i="15"/>
  <c r="D78" i="15"/>
  <c r="D79" i="15"/>
  <c r="D80" i="15"/>
  <c r="D81" i="15"/>
  <c r="D82" i="15"/>
  <c r="D83" i="15"/>
  <c r="D84" i="15"/>
  <c r="D85" i="15"/>
  <c r="D86" i="15"/>
  <c r="D87" i="15"/>
  <c r="C70" i="15"/>
  <c r="C71" i="15"/>
  <c r="C72" i="15"/>
  <c r="C73" i="15"/>
  <c r="C74" i="15"/>
  <c r="C75" i="15"/>
  <c r="C76" i="15"/>
  <c r="C77" i="15"/>
  <c r="C78" i="15"/>
  <c r="C79" i="15"/>
  <c r="C80" i="15"/>
  <c r="C81" i="15"/>
  <c r="C82" i="15"/>
  <c r="C83" i="15"/>
  <c r="C84" i="15"/>
  <c r="C85" i="15"/>
  <c r="C86" i="15"/>
  <c r="C87" i="15"/>
  <c r="Z57" i="15"/>
  <c r="Z58" i="15"/>
  <c r="Z59" i="15"/>
  <c r="Z60" i="15"/>
  <c r="Z61" i="15"/>
  <c r="Z62" i="15"/>
  <c r="Y57" i="15"/>
  <c r="Y58" i="15"/>
  <c r="Y59" i="15"/>
  <c r="Y60" i="15"/>
  <c r="Y61" i="15"/>
  <c r="Y62" i="15"/>
  <c r="X57" i="15"/>
  <c r="X58" i="15"/>
  <c r="X59" i="15"/>
  <c r="X60" i="15"/>
  <c r="X61" i="15"/>
  <c r="X62" i="15"/>
  <c r="W57" i="15"/>
  <c r="W58" i="15"/>
  <c r="W59" i="15"/>
  <c r="W60" i="15"/>
  <c r="W61" i="15"/>
  <c r="W62" i="15"/>
  <c r="V57" i="15"/>
  <c r="V58" i="15"/>
  <c r="V59" i="15"/>
  <c r="V60" i="15"/>
  <c r="V61" i="15"/>
  <c r="V62" i="15"/>
  <c r="U57" i="15"/>
  <c r="U58" i="15"/>
  <c r="U59" i="15"/>
  <c r="U60" i="15"/>
  <c r="U61" i="15"/>
  <c r="U62" i="15"/>
  <c r="T57" i="15"/>
  <c r="T58" i="15"/>
  <c r="T59" i="15"/>
  <c r="T60" i="15"/>
  <c r="T61" i="15"/>
  <c r="T62" i="15"/>
  <c r="S57" i="15"/>
  <c r="S58" i="15"/>
  <c r="S59" i="15"/>
  <c r="S60" i="15"/>
  <c r="S61" i="15"/>
  <c r="S62" i="15"/>
  <c r="R57" i="15"/>
  <c r="R58" i="15"/>
  <c r="R59" i="15"/>
  <c r="R60" i="15"/>
  <c r="R61" i="15"/>
  <c r="R62" i="15"/>
  <c r="Q57" i="15"/>
  <c r="Q58" i="15"/>
  <c r="Q59" i="15"/>
  <c r="Q60" i="15"/>
  <c r="Q61" i="15"/>
  <c r="Q62" i="15"/>
  <c r="P57" i="15"/>
  <c r="P58" i="15"/>
  <c r="P59" i="15"/>
  <c r="P60" i="15"/>
  <c r="P61" i="15"/>
  <c r="P62" i="15"/>
  <c r="O57" i="15"/>
  <c r="O58" i="15"/>
  <c r="O59" i="15"/>
  <c r="O60" i="15"/>
  <c r="O61" i="15"/>
  <c r="O62" i="15"/>
  <c r="N57" i="15"/>
  <c r="N58" i="15"/>
  <c r="N59" i="15"/>
  <c r="N60" i="15"/>
  <c r="N61" i="15"/>
  <c r="N62" i="15"/>
  <c r="M57" i="15"/>
  <c r="M58" i="15"/>
  <c r="M59" i="15"/>
  <c r="M60" i="15"/>
  <c r="M61" i="15"/>
  <c r="M62" i="15"/>
  <c r="L57" i="15"/>
  <c r="L58" i="15"/>
  <c r="L59" i="15"/>
  <c r="L60" i="15"/>
  <c r="L61" i="15"/>
  <c r="L62" i="15"/>
  <c r="K57" i="15"/>
  <c r="K58" i="15"/>
  <c r="K59" i="15"/>
  <c r="K60" i="15"/>
  <c r="K61" i="15"/>
  <c r="K62" i="15"/>
  <c r="J57" i="15"/>
  <c r="J58" i="15"/>
  <c r="J59" i="15"/>
  <c r="J60" i="15"/>
  <c r="J61" i="15"/>
  <c r="J62" i="15"/>
  <c r="I57" i="15"/>
  <c r="I58" i="15"/>
  <c r="I59" i="15"/>
  <c r="I60" i="15"/>
  <c r="I61" i="15"/>
  <c r="I62" i="15"/>
  <c r="H57" i="15"/>
  <c r="H58" i="15"/>
  <c r="H59" i="15"/>
  <c r="H60" i="15"/>
  <c r="H61" i="15"/>
  <c r="H62" i="15"/>
  <c r="G57" i="15"/>
  <c r="G58" i="15"/>
  <c r="G59" i="15"/>
  <c r="G60" i="15"/>
  <c r="G61" i="15"/>
  <c r="G62" i="15"/>
  <c r="F57" i="15"/>
  <c r="F58" i="15"/>
  <c r="F59" i="15"/>
  <c r="F60" i="15"/>
  <c r="F61" i="15"/>
  <c r="F62" i="15"/>
  <c r="E57" i="15"/>
  <c r="E58" i="15"/>
  <c r="E59" i="15"/>
  <c r="E60" i="15"/>
  <c r="E61" i="15"/>
  <c r="E62" i="15"/>
  <c r="D57" i="15"/>
  <c r="D58" i="15"/>
  <c r="D59" i="15"/>
  <c r="D60" i="15"/>
  <c r="D61" i="15"/>
  <c r="D62" i="15"/>
  <c r="C57" i="15"/>
  <c r="C58" i="15"/>
  <c r="C59" i="15"/>
  <c r="C60" i="15"/>
  <c r="C61" i="15"/>
  <c r="C62" i="15"/>
  <c r="Z51" i="15"/>
  <c r="Y51" i="15"/>
  <c r="X51" i="15"/>
  <c r="W51" i="15"/>
  <c r="V51" i="15"/>
  <c r="U51" i="15"/>
  <c r="T51" i="15"/>
  <c r="S51" i="15"/>
  <c r="R51" i="15"/>
  <c r="Q51" i="15"/>
  <c r="P51" i="15"/>
  <c r="O51" i="15"/>
  <c r="N51" i="15"/>
  <c r="M51" i="15"/>
  <c r="L51" i="15"/>
  <c r="K51" i="15"/>
  <c r="J51" i="15"/>
  <c r="I51" i="15"/>
  <c r="H51" i="15"/>
  <c r="G51" i="15"/>
  <c r="F51" i="15"/>
  <c r="E51" i="15"/>
  <c r="D51" i="15"/>
  <c r="C51" i="15"/>
  <c r="Z6" i="15"/>
  <c r="Z7" i="15"/>
  <c r="Z8" i="15"/>
  <c r="Z9" i="15"/>
  <c r="Z10" i="15"/>
  <c r="Z11" i="15"/>
  <c r="Z12" i="15"/>
  <c r="Z13" i="15"/>
  <c r="Z14" i="15"/>
  <c r="Z15" i="15"/>
  <c r="Z16" i="15"/>
  <c r="Z17" i="15"/>
  <c r="Z18" i="15"/>
  <c r="Z19" i="15"/>
  <c r="Z20" i="15"/>
  <c r="Z21" i="15"/>
  <c r="Z22" i="15"/>
  <c r="Z23" i="15"/>
  <c r="Z24" i="15"/>
  <c r="Z25" i="15"/>
  <c r="Z26" i="15"/>
  <c r="Z27" i="15"/>
  <c r="Z28" i="15"/>
  <c r="Z29" i="15"/>
  <c r="Z30" i="15"/>
  <c r="Z31" i="15"/>
  <c r="Z32" i="15"/>
  <c r="Z33" i="15"/>
  <c r="Z34" i="15"/>
  <c r="Z35" i="15"/>
  <c r="Z36" i="15"/>
  <c r="Z37" i="15"/>
  <c r="Z38" i="15"/>
  <c r="Z39" i="15"/>
  <c r="Z40" i="15"/>
  <c r="Z41" i="15"/>
  <c r="Z42" i="15"/>
  <c r="Z43" i="15"/>
  <c r="Z44" i="15"/>
  <c r="Y6" i="15"/>
  <c r="Y7" i="15"/>
  <c r="Y8" i="15"/>
  <c r="Y9" i="15"/>
  <c r="Y10" i="15"/>
  <c r="Y11" i="15"/>
  <c r="Y12" i="15"/>
  <c r="Y13" i="15"/>
  <c r="Y14" i="15"/>
  <c r="Y15" i="15"/>
  <c r="Y16" i="15"/>
  <c r="Y17" i="15"/>
  <c r="Y18" i="15"/>
  <c r="Y19" i="15"/>
  <c r="Y20" i="15"/>
  <c r="Y21" i="15"/>
  <c r="Y22" i="15"/>
  <c r="Y23" i="15"/>
  <c r="Y24" i="15"/>
  <c r="Y25" i="15"/>
  <c r="Y26" i="15"/>
  <c r="Y27" i="15"/>
  <c r="Y28" i="15"/>
  <c r="Y29" i="15"/>
  <c r="Y30" i="15"/>
  <c r="Y31" i="15"/>
  <c r="Y32" i="15"/>
  <c r="Y33" i="15"/>
  <c r="Y34" i="15"/>
  <c r="Y35" i="15"/>
  <c r="Y36" i="15"/>
  <c r="Y37" i="15"/>
  <c r="Y38" i="15"/>
  <c r="Y39" i="15"/>
  <c r="Y40" i="15"/>
  <c r="Y41" i="15"/>
  <c r="Y42" i="15"/>
  <c r="Y43" i="15"/>
  <c r="Y44" i="15"/>
  <c r="X6" i="15"/>
  <c r="X7" i="15"/>
  <c r="X8" i="15"/>
  <c r="X9" i="15"/>
  <c r="X10" i="15"/>
  <c r="X11" i="15"/>
  <c r="X12" i="15"/>
  <c r="X13" i="15"/>
  <c r="X14" i="15"/>
  <c r="X15" i="15"/>
  <c r="X16" i="15"/>
  <c r="X17" i="15"/>
  <c r="X18" i="15"/>
  <c r="X19" i="15"/>
  <c r="X20" i="15"/>
  <c r="X21" i="15"/>
  <c r="X22" i="15"/>
  <c r="X23" i="15"/>
  <c r="X24" i="15"/>
  <c r="X25" i="15"/>
  <c r="X26" i="15"/>
  <c r="X27" i="15"/>
  <c r="X28" i="15"/>
  <c r="X29" i="15"/>
  <c r="X30" i="15"/>
  <c r="X31" i="15"/>
  <c r="X32" i="15"/>
  <c r="X33" i="15"/>
  <c r="X34" i="15"/>
  <c r="X35" i="15"/>
  <c r="X36" i="15"/>
  <c r="X37" i="15"/>
  <c r="X38" i="15"/>
  <c r="X39" i="15"/>
  <c r="X40" i="15"/>
  <c r="X41" i="15"/>
  <c r="X42" i="15"/>
  <c r="X43" i="15"/>
  <c r="X44" i="15"/>
  <c r="W6" i="15"/>
  <c r="W7" i="15"/>
  <c r="W8" i="15"/>
  <c r="W9" i="15"/>
  <c r="W10" i="15"/>
  <c r="W11" i="15"/>
  <c r="W12" i="15"/>
  <c r="W13" i="15"/>
  <c r="W14" i="15"/>
  <c r="W15" i="15"/>
  <c r="W16" i="15"/>
  <c r="W17" i="15"/>
  <c r="W18" i="15"/>
  <c r="W19" i="15"/>
  <c r="W20" i="15"/>
  <c r="W21" i="15"/>
  <c r="W22" i="15"/>
  <c r="W23" i="15"/>
  <c r="W24" i="15"/>
  <c r="W25" i="15"/>
  <c r="W26" i="15"/>
  <c r="W27" i="15"/>
  <c r="W28" i="15"/>
  <c r="W29" i="15"/>
  <c r="W30" i="15"/>
  <c r="W31" i="15"/>
  <c r="W32" i="15"/>
  <c r="W33" i="15"/>
  <c r="W34" i="15"/>
  <c r="W35" i="15"/>
  <c r="W36" i="15"/>
  <c r="W37" i="15"/>
  <c r="W38" i="15"/>
  <c r="W39" i="15"/>
  <c r="W40" i="15"/>
  <c r="W41" i="15"/>
  <c r="W42" i="15"/>
  <c r="W43" i="15"/>
  <c r="W44" i="15"/>
  <c r="V6" i="15"/>
  <c r="V7" i="15"/>
  <c r="V8" i="15"/>
  <c r="V9" i="15"/>
  <c r="V10" i="15"/>
  <c r="V11" i="15"/>
  <c r="V12" i="15"/>
  <c r="V13" i="15"/>
  <c r="V14" i="15"/>
  <c r="V15" i="15"/>
  <c r="V16" i="15"/>
  <c r="V17" i="15"/>
  <c r="V18" i="15"/>
  <c r="V19" i="15"/>
  <c r="V20" i="15"/>
  <c r="V21" i="15"/>
  <c r="V22" i="15"/>
  <c r="V23" i="15"/>
  <c r="V24" i="15"/>
  <c r="V25" i="15"/>
  <c r="V26" i="15"/>
  <c r="V27" i="15"/>
  <c r="V28" i="15"/>
  <c r="V29" i="15"/>
  <c r="V30" i="15"/>
  <c r="V31" i="15"/>
  <c r="V32" i="15"/>
  <c r="V33" i="15"/>
  <c r="V34" i="15"/>
  <c r="V35" i="15"/>
  <c r="V36" i="15"/>
  <c r="V37" i="15"/>
  <c r="V38" i="15"/>
  <c r="V39" i="15"/>
  <c r="V40" i="15"/>
  <c r="V41" i="15"/>
  <c r="V42" i="15"/>
  <c r="V43" i="15"/>
  <c r="V44" i="15"/>
  <c r="U6" i="15"/>
  <c r="U7" i="15"/>
  <c r="U8" i="15"/>
  <c r="U9" i="15"/>
  <c r="U10" i="15"/>
  <c r="U11" i="15"/>
  <c r="U12" i="15"/>
  <c r="U13" i="15"/>
  <c r="U14" i="15"/>
  <c r="U15" i="15"/>
  <c r="U16" i="15"/>
  <c r="U17" i="15"/>
  <c r="U18" i="15"/>
  <c r="U19" i="15"/>
  <c r="U20" i="15"/>
  <c r="U21" i="15"/>
  <c r="U22" i="15"/>
  <c r="U23" i="15"/>
  <c r="U24" i="15"/>
  <c r="U25" i="15"/>
  <c r="U26" i="15"/>
  <c r="U27" i="15"/>
  <c r="U28" i="15"/>
  <c r="U29" i="15"/>
  <c r="U30" i="15"/>
  <c r="U31" i="15"/>
  <c r="U32" i="15"/>
  <c r="U33" i="15"/>
  <c r="U34" i="15"/>
  <c r="U35" i="15"/>
  <c r="U36" i="15"/>
  <c r="U37" i="15"/>
  <c r="U38" i="15"/>
  <c r="U39" i="15"/>
  <c r="U40" i="15"/>
  <c r="U41" i="15"/>
  <c r="U42" i="15"/>
  <c r="U43" i="15"/>
  <c r="U44" i="15"/>
  <c r="T6" i="15"/>
  <c r="T7" i="15"/>
  <c r="T8" i="15"/>
  <c r="T9" i="15"/>
  <c r="T10" i="15"/>
  <c r="T11" i="15"/>
  <c r="T12" i="15"/>
  <c r="T13" i="15"/>
  <c r="T14" i="15"/>
  <c r="T15" i="15"/>
  <c r="T16" i="15"/>
  <c r="T17" i="15"/>
  <c r="T18" i="15"/>
  <c r="T19" i="15"/>
  <c r="T20" i="15"/>
  <c r="T21" i="15"/>
  <c r="T22" i="15"/>
  <c r="T23" i="15"/>
  <c r="T24" i="15"/>
  <c r="T25" i="15"/>
  <c r="T26" i="15"/>
  <c r="T27" i="15"/>
  <c r="T28" i="15"/>
  <c r="T29" i="15"/>
  <c r="T30" i="15"/>
  <c r="T31" i="15"/>
  <c r="T32" i="15"/>
  <c r="T33" i="15"/>
  <c r="T34" i="15"/>
  <c r="T35" i="15"/>
  <c r="T36" i="15"/>
  <c r="T37" i="15"/>
  <c r="T38" i="15"/>
  <c r="T39" i="15"/>
  <c r="T40" i="15"/>
  <c r="T41" i="15"/>
  <c r="T42" i="15"/>
  <c r="T43" i="15"/>
  <c r="T44" i="15"/>
  <c r="S6" i="15"/>
  <c r="S7" i="15"/>
  <c r="S8" i="15"/>
  <c r="S9" i="15"/>
  <c r="S10" i="15"/>
  <c r="S11" i="15"/>
  <c r="S12" i="15"/>
  <c r="S13" i="15"/>
  <c r="S14" i="15"/>
  <c r="S15" i="15"/>
  <c r="S16" i="15"/>
  <c r="S17" i="15"/>
  <c r="S18" i="15"/>
  <c r="S19" i="15"/>
  <c r="S20" i="15"/>
  <c r="S21" i="15"/>
  <c r="S22" i="15"/>
  <c r="S23" i="15"/>
  <c r="S24" i="15"/>
  <c r="S25" i="15"/>
  <c r="S26" i="15"/>
  <c r="S27" i="15"/>
  <c r="S28" i="15"/>
  <c r="S29" i="15"/>
  <c r="S30" i="15"/>
  <c r="S31" i="15"/>
  <c r="S32" i="15"/>
  <c r="S33" i="15"/>
  <c r="S34" i="15"/>
  <c r="S35" i="15"/>
  <c r="S36" i="15"/>
  <c r="S37" i="15"/>
  <c r="S38" i="15"/>
  <c r="S39" i="15"/>
  <c r="S40" i="15"/>
  <c r="S41" i="15"/>
  <c r="S42" i="15"/>
  <c r="S43" i="15"/>
  <c r="S44" i="15"/>
  <c r="R6" i="15"/>
  <c r="R7" i="15"/>
  <c r="R8" i="15"/>
  <c r="R9" i="15"/>
  <c r="R10" i="15"/>
  <c r="R11" i="15"/>
  <c r="R12" i="15"/>
  <c r="R13" i="15"/>
  <c r="R14" i="15"/>
  <c r="R15" i="15"/>
  <c r="R16" i="15"/>
  <c r="R17" i="15"/>
  <c r="R18" i="15"/>
  <c r="R19" i="15"/>
  <c r="R20" i="15"/>
  <c r="R21" i="15"/>
  <c r="R22" i="15"/>
  <c r="R23" i="15"/>
  <c r="R24" i="15"/>
  <c r="R25" i="15"/>
  <c r="R26" i="15"/>
  <c r="R27" i="15"/>
  <c r="R28" i="15"/>
  <c r="R29" i="15"/>
  <c r="R30" i="15"/>
  <c r="R31" i="15"/>
  <c r="R32" i="15"/>
  <c r="R33" i="15"/>
  <c r="R34" i="15"/>
  <c r="R35" i="15"/>
  <c r="R36" i="15"/>
  <c r="R37" i="15"/>
  <c r="R38" i="15"/>
  <c r="R39" i="15"/>
  <c r="R40" i="15"/>
  <c r="R41" i="15"/>
  <c r="R42" i="15"/>
  <c r="R43" i="15"/>
  <c r="R44" i="15"/>
  <c r="Q6" i="15"/>
  <c r="Q7" i="15"/>
  <c r="Q8" i="15"/>
  <c r="Q9" i="15"/>
  <c r="Q10" i="15"/>
  <c r="Q11" i="15"/>
  <c r="Q12" i="15"/>
  <c r="Q13" i="15"/>
  <c r="Q14" i="15"/>
  <c r="Q15" i="15"/>
  <c r="Q16" i="15"/>
  <c r="Q17" i="15"/>
  <c r="Q18" i="15"/>
  <c r="Q19" i="15"/>
  <c r="Q20" i="15"/>
  <c r="Q21" i="15"/>
  <c r="Q22" i="15"/>
  <c r="Q23" i="15"/>
  <c r="Q24" i="15"/>
  <c r="Q25" i="15"/>
  <c r="Q26" i="15"/>
  <c r="Q27" i="15"/>
  <c r="Q28" i="15"/>
  <c r="Q29" i="15"/>
  <c r="Q30" i="15"/>
  <c r="Q31" i="15"/>
  <c r="Q32" i="15"/>
  <c r="Q33" i="15"/>
  <c r="Q34" i="15"/>
  <c r="Q35" i="15"/>
  <c r="Q36" i="15"/>
  <c r="Q37" i="15"/>
  <c r="Q38" i="15"/>
  <c r="Q39" i="15"/>
  <c r="Q40" i="15"/>
  <c r="Q41" i="15"/>
  <c r="Q42" i="15"/>
  <c r="Q43" i="15"/>
  <c r="Q44" i="15"/>
  <c r="P6" i="15"/>
  <c r="P7" i="15"/>
  <c r="P8" i="15"/>
  <c r="P9" i="15"/>
  <c r="P10" i="15"/>
  <c r="P11" i="15"/>
  <c r="P12" i="15"/>
  <c r="P13" i="15"/>
  <c r="P14" i="15"/>
  <c r="P15" i="15"/>
  <c r="P16" i="15"/>
  <c r="P17" i="15"/>
  <c r="P18" i="15"/>
  <c r="P19" i="15"/>
  <c r="P20" i="15"/>
  <c r="P21" i="15"/>
  <c r="P22" i="15"/>
  <c r="P23" i="15"/>
  <c r="P24" i="15"/>
  <c r="P25" i="15"/>
  <c r="P26" i="15"/>
  <c r="P27" i="15"/>
  <c r="P28" i="15"/>
  <c r="P29" i="15"/>
  <c r="P30" i="15"/>
  <c r="P31" i="15"/>
  <c r="P32" i="15"/>
  <c r="P33" i="15"/>
  <c r="P34" i="15"/>
  <c r="P35" i="15"/>
  <c r="P36" i="15"/>
  <c r="P37" i="15"/>
  <c r="P38" i="15"/>
  <c r="P39" i="15"/>
  <c r="P40" i="15"/>
  <c r="P41" i="15"/>
  <c r="P42" i="15"/>
  <c r="P43" i="15"/>
  <c r="P44" i="15"/>
  <c r="O6" i="15"/>
  <c r="O7" i="15"/>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N6" i="15"/>
  <c r="N7" i="15"/>
  <c r="N8"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M6" i="15"/>
  <c r="M7" i="15"/>
  <c r="M8" i="15"/>
  <c r="M9" i="15"/>
  <c r="M10" i="15"/>
  <c r="M11" i="15"/>
  <c r="M12" i="15"/>
  <c r="M13" i="15"/>
  <c r="M14" i="15"/>
  <c r="M15" i="15"/>
  <c r="M16" i="15"/>
  <c r="M17" i="15"/>
  <c r="M18" i="15"/>
  <c r="M19"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L6" i="15"/>
  <c r="L7" i="15"/>
  <c r="L8" i="15"/>
  <c r="L9" i="15"/>
  <c r="L10" i="15"/>
  <c r="L11" i="15"/>
  <c r="L12" i="15"/>
  <c r="L13" i="15"/>
  <c r="L14" i="15"/>
  <c r="L15" i="15"/>
  <c r="L16" i="15"/>
  <c r="L17" i="15"/>
  <c r="L18" i="15"/>
  <c r="L19" i="15"/>
  <c r="L20" i="15"/>
  <c r="L21" i="15"/>
  <c r="L22" i="15"/>
  <c r="L23" i="15"/>
  <c r="L24" i="15"/>
  <c r="L25" i="15"/>
  <c r="L26" i="15"/>
  <c r="L27" i="15"/>
  <c r="L28" i="15"/>
  <c r="L29" i="15"/>
  <c r="L30" i="15"/>
  <c r="L31" i="15"/>
  <c r="L32" i="15"/>
  <c r="L33" i="15"/>
  <c r="L34" i="15"/>
  <c r="L35" i="15"/>
  <c r="L36" i="15"/>
  <c r="L37" i="15"/>
  <c r="L38" i="15"/>
  <c r="L39" i="15"/>
  <c r="L40" i="15"/>
  <c r="L41" i="15"/>
  <c r="L42" i="15"/>
  <c r="L43" i="15"/>
  <c r="L44" i="15"/>
  <c r="K6" i="15"/>
  <c r="K7" i="15"/>
  <c r="K8" i="15"/>
  <c r="K9" i="15"/>
  <c r="K10" i="15"/>
  <c r="K11" i="15"/>
  <c r="K12" i="15"/>
  <c r="K13" i="15"/>
  <c r="K14" i="15"/>
  <c r="K15"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J6" i="15"/>
  <c r="J7" i="15"/>
  <c r="J8" i="15"/>
  <c r="J9" i="15"/>
  <c r="J10" i="15"/>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I6" i="15"/>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H6" i="15"/>
  <c r="H7" i="15"/>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G6" i="15"/>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D6" i="15"/>
  <c r="D7" i="15"/>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C6"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AH134" i="20"/>
  <c r="AH135" i="20"/>
  <c r="AH136" i="20"/>
  <c r="AH137" i="20"/>
  <c r="AH138" i="20"/>
  <c r="AH139" i="20"/>
  <c r="AH140" i="20"/>
  <c r="AH141" i="20"/>
  <c r="AH142" i="20"/>
  <c r="AG134" i="20"/>
  <c r="AG135" i="20"/>
  <c r="AG136" i="20"/>
  <c r="AG137" i="20"/>
  <c r="AG138" i="20"/>
  <c r="AG139" i="20"/>
  <c r="AG140" i="20"/>
  <c r="AG141" i="20"/>
  <c r="AG142" i="20"/>
  <c r="AF134" i="20"/>
  <c r="AF135" i="20"/>
  <c r="AF136" i="20"/>
  <c r="AF137" i="20"/>
  <c r="AF138" i="20"/>
  <c r="AF139" i="20"/>
  <c r="AF140" i="20"/>
  <c r="AF141" i="20"/>
  <c r="AF142" i="20"/>
  <c r="AE134" i="20"/>
  <c r="AE135" i="20"/>
  <c r="AE136" i="20"/>
  <c r="AE137" i="20"/>
  <c r="AE138" i="20"/>
  <c r="AE139" i="20"/>
  <c r="AE140" i="20"/>
  <c r="AE141" i="20"/>
  <c r="AE142" i="20"/>
  <c r="AD134" i="20"/>
  <c r="AD135" i="20"/>
  <c r="AD136" i="20"/>
  <c r="AD137" i="20"/>
  <c r="AD138" i="20"/>
  <c r="AD139" i="20"/>
  <c r="AD140" i="20"/>
  <c r="AD141" i="20"/>
  <c r="AD142" i="20"/>
  <c r="AC134" i="20"/>
  <c r="AC135" i="20"/>
  <c r="AC136" i="20"/>
  <c r="AC137" i="20"/>
  <c r="AC138" i="20"/>
  <c r="AC139" i="20"/>
  <c r="AC140" i="20"/>
  <c r="AC141" i="20"/>
  <c r="AC142" i="20"/>
  <c r="AB134" i="20"/>
  <c r="AB135" i="20"/>
  <c r="AB136" i="20"/>
  <c r="AB137" i="20"/>
  <c r="AB138" i="20"/>
  <c r="AB139" i="20"/>
  <c r="AB140" i="20"/>
  <c r="AB141" i="20"/>
  <c r="AB142" i="20"/>
  <c r="AA134" i="20"/>
  <c r="AA135" i="20"/>
  <c r="AA136" i="20"/>
  <c r="AA137" i="20"/>
  <c r="AA138" i="20"/>
  <c r="AA139" i="20"/>
  <c r="AA140" i="20"/>
  <c r="AA141" i="20"/>
  <c r="AA142" i="20"/>
  <c r="Z134" i="20"/>
  <c r="Z135" i="20"/>
  <c r="Z136" i="20"/>
  <c r="Z137" i="20"/>
  <c r="Z138" i="20"/>
  <c r="Z139" i="20"/>
  <c r="Z140" i="20"/>
  <c r="Z141" i="20"/>
  <c r="Z142" i="20"/>
  <c r="Y134" i="20"/>
  <c r="Y135" i="20"/>
  <c r="Y136" i="20"/>
  <c r="Y137" i="20"/>
  <c r="Y138" i="20"/>
  <c r="Y139" i="20"/>
  <c r="Y140" i="20"/>
  <c r="Y141" i="20"/>
  <c r="Y142" i="20"/>
  <c r="X134" i="20"/>
  <c r="X135" i="20"/>
  <c r="X136" i="20"/>
  <c r="X137" i="20"/>
  <c r="X138" i="20"/>
  <c r="X139" i="20"/>
  <c r="X140" i="20"/>
  <c r="X141" i="20"/>
  <c r="X142" i="20"/>
  <c r="W134" i="20"/>
  <c r="W135" i="20"/>
  <c r="W136" i="20"/>
  <c r="W137" i="20"/>
  <c r="W138" i="20"/>
  <c r="W139" i="20"/>
  <c r="W140" i="20"/>
  <c r="W141" i="20"/>
  <c r="W142" i="20"/>
  <c r="V134" i="20"/>
  <c r="V135" i="20"/>
  <c r="V136" i="20"/>
  <c r="V137" i="20"/>
  <c r="V138" i="20"/>
  <c r="V139" i="20"/>
  <c r="V140" i="20"/>
  <c r="V141" i="20"/>
  <c r="V142" i="20"/>
  <c r="U134" i="20"/>
  <c r="U135" i="20"/>
  <c r="U136" i="20"/>
  <c r="U137" i="20"/>
  <c r="U138" i="20"/>
  <c r="U139" i="20"/>
  <c r="U140" i="20"/>
  <c r="U141" i="20"/>
  <c r="U142" i="20"/>
  <c r="T134" i="20"/>
  <c r="T135" i="20"/>
  <c r="T136" i="20"/>
  <c r="T137" i="20"/>
  <c r="T138" i="20"/>
  <c r="T139" i="20"/>
  <c r="T140" i="20"/>
  <c r="T141" i="20"/>
  <c r="T142" i="20"/>
  <c r="S134" i="20"/>
  <c r="S135" i="20"/>
  <c r="S136" i="20"/>
  <c r="S137" i="20"/>
  <c r="S138" i="20"/>
  <c r="S139" i="20"/>
  <c r="S140" i="20"/>
  <c r="S141" i="20"/>
  <c r="S142" i="20"/>
  <c r="R134" i="20"/>
  <c r="R135" i="20"/>
  <c r="R136" i="20"/>
  <c r="R137" i="20"/>
  <c r="R138" i="20"/>
  <c r="R139" i="20"/>
  <c r="R140" i="20"/>
  <c r="R141" i="20"/>
  <c r="R142" i="20"/>
  <c r="Q134" i="20"/>
  <c r="Q135" i="20"/>
  <c r="Q136" i="20"/>
  <c r="Q137" i="20"/>
  <c r="Q138" i="20"/>
  <c r="Q139" i="20"/>
  <c r="Q140" i="20"/>
  <c r="Q141" i="20"/>
  <c r="Q142" i="20"/>
  <c r="P134" i="20"/>
  <c r="P135" i="20"/>
  <c r="P136" i="20"/>
  <c r="P137" i="20"/>
  <c r="P138" i="20"/>
  <c r="P139" i="20"/>
  <c r="P140" i="20"/>
  <c r="P141" i="20"/>
  <c r="P142" i="20"/>
  <c r="O134" i="20"/>
  <c r="O135" i="20"/>
  <c r="O136" i="20"/>
  <c r="O137" i="20"/>
  <c r="O138" i="20"/>
  <c r="O139" i="20"/>
  <c r="O140" i="20"/>
  <c r="O141" i="20"/>
  <c r="O142" i="20"/>
  <c r="N134" i="20"/>
  <c r="N135" i="20"/>
  <c r="N136" i="20"/>
  <c r="N137" i="20"/>
  <c r="N138" i="20"/>
  <c r="N139" i="20"/>
  <c r="N140" i="20"/>
  <c r="N141" i="20"/>
  <c r="N142" i="20"/>
  <c r="M134" i="20"/>
  <c r="M135" i="20"/>
  <c r="M136" i="20"/>
  <c r="M137" i="20"/>
  <c r="M138" i="20"/>
  <c r="M139" i="20"/>
  <c r="M140" i="20"/>
  <c r="M141" i="20"/>
  <c r="M142" i="20"/>
  <c r="L134" i="20"/>
  <c r="L135" i="20"/>
  <c r="L136" i="20"/>
  <c r="L137" i="20"/>
  <c r="L138" i="20"/>
  <c r="L139" i="20"/>
  <c r="L140" i="20"/>
  <c r="L141" i="20"/>
  <c r="L142" i="20"/>
  <c r="K134" i="20"/>
  <c r="K135" i="20"/>
  <c r="K136" i="20"/>
  <c r="K137" i="20"/>
  <c r="K138" i="20"/>
  <c r="K139" i="20"/>
  <c r="K140" i="20"/>
  <c r="K141" i="20"/>
  <c r="K142" i="20"/>
  <c r="J134" i="20"/>
  <c r="J135" i="20"/>
  <c r="J136" i="20"/>
  <c r="J137" i="20"/>
  <c r="J138" i="20"/>
  <c r="J139" i="20"/>
  <c r="J140" i="20"/>
  <c r="J141" i="20"/>
  <c r="J142" i="20"/>
  <c r="I134" i="20"/>
  <c r="I135" i="20"/>
  <c r="I136" i="20"/>
  <c r="I137" i="20"/>
  <c r="I138" i="20"/>
  <c r="I139" i="20"/>
  <c r="I140" i="20"/>
  <c r="I141" i="20"/>
  <c r="I142" i="20"/>
  <c r="H134" i="20"/>
  <c r="H135" i="20"/>
  <c r="H136" i="20"/>
  <c r="H137" i="20"/>
  <c r="H138" i="20"/>
  <c r="H139" i="20"/>
  <c r="H140" i="20"/>
  <c r="H141" i="20"/>
  <c r="H142" i="20"/>
  <c r="G134" i="20"/>
  <c r="G135" i="20"/>
  <c r="G136" i="20"/>
  <c r="G137" i="20"/>
  <c r="G138" i="20"/>
  <c r="G139" i="20"/>
  <c r="G140" i="20"/>
  <c r="G141" i="20"/>
  <c r="G142" i="20"/>
  <c r="F134" i="20"/>
  <c r="F135" i="20"/>
  <c r="F136" i="20"/>
  <c r="F137" i="20"/>
  <c r="F138" i="20"/>
  <c r="F139" i="20"/>
  <c r="F140" i="20"/>
  <c r="F141" i="20"/>
  <c r="F142" i="20"/>
  <c r="E134" i="20"/>
  <c r="E135" i="20"/>
  <c r="E136" i="20"/>
  <c r="E137" i="20"/>
  <c r="E138" i="20"/>
  <c r="E139" i="20"/>
  <c r="E140" i="20"/>
  <c r="E141" i="20"/>
  <c r="E142" i="20"/>
  <c r="D134" i="20"/>
  <c r="D135" i="20"/>
  <c r="D136" i="20"/>
  <c r="D137" i="20"/>
  <c r="D138" i="20"/>
  <c r="D139" i="20"/>
  <c r="D140" i="20"/>
  <c r="D141" i="20"/>
  <c r="D142" i="20"/>
  <c r="AH124" i="20"/>
  <c r="AH125" i="20"/>
  <c r="AH126" i="20"/>
  <c r="AH127" i="20"/>
  <c r="AH128" i="20"/>
  <c r="AH129" i="20"/>
  <c r="AG124" i="20"/>
  <c r="AG125" i="20"/>
  <c r="AG126" i="20"/>
  <c r="AG127" i="20"/>
  <c r="AG128" i="20"/>
  <c r="AG129" i="20"/>
  <c r="AF124" i="20"/>
  <c r="AF125" i="20"/>
  <c r="AF126" i="20"/>
  <c r="AF127" i="20"/>
  <c r="AF128" i="20"/>
  <c r="AF129" i="20"/>
  <c r="AE124" i="20"/>
  <c r="AE125" i="20"/>
  <c r="AE126" i="20"/>
  <c r="AE127" i="20"/>
  <c r="AE128" i="20"/>
  <c r="AE129" i="20"/>
  <c r="AD124" i="20"/>
  <c r="AD125" i="20"/>
  <c r="AD126" i="20"/>
  <c r="AD127" i="20"/>
  <c r="AD128" i="20"/>
  <c r="AD129" i="20"/>
  <c r="AC124" i="20"/>
  <c r="AC125" i="20"/>
  <c r="AC126" i="20"/>
  <c r="AC127" i="20"/>
  <c r="AC128" i="20"/>
  <c r="AC129" i="20"/>
  <c r="AB124" i="20"/>
  <c r="AB125" i="20"/>
  <c r="AB126" i="20"/>
  <c r="AB127" i="20"/>
  <c r="AB128" i="20"/>
  <c r="AB129" i="20"/>
  <c r="AA124" i="20"/>
  <c r="AA125" i="20"/>
  <c r="AA126" i="20"/>
  <c r="AA127" i="20"/>
  <c r="AA128" i="20"/>
  <c r="AA129" i="20"/>
  <c r="Z124" i="20"/>
  <c r="Z125" i="20"/>
  <c r="Z126" i="20"/>
  <c r="Z127" i="20"/>
  <c r="Z128" i="20"/>
  <c r="Z129" i="20"/>
  <c r="Y124" i="20"/>
  <c r="Y125" i="20"/>
  <c r="Y126" i="20"/>
  <c r="Y127" i="20"/>
  <c r="Y128" i="20"/>
  <c r="Y129" i="20"/>
  <c r="X124" i="20"/>
  <c r="X125" i="20"/>
  <c r="X126" i="20"/>
  <c r="X127" i="20"/>
  <c r="X128" i="20"/>
  <c r="X129" i="20"/>
  <c r="W124" i="20"/>
  <c r="W125" i="20"/>
  <c r="W126" i="20"/>
  <c r="W127" i="20"/>
  <c r="W128" i="20"/>
  <c r="W129" i="20"/>
  <c r="V124" i="20"/>
  <c r="V125" i="20"/>
  <c r="V126" i="20"/>
  <c r="V127" i="20"/>
  <c r="V128" i="20"/>
  <c r="V129" i="20"/>
  <c r="U124" i="20"/>
  <c r="U125" i="20"/>
  <c r="U126" i="20"/>
  <c r="U127" i="20"/>
  <c r="U128" i="20"/>
  <c r="U129" i="20"/>
  <c r="T124" i="20"/>
  <c r="T125" i="20"/>
  <c r="T126" i="20"/>
  <c r="T127" i="20"/>
  <c r="T128" i="20"/>
  <c r="T129" i="20"/>
  <c r="S124" i="20"/>
  <c r="S125" i="20"/>
  <c r="S126" i="20"/>
  <c r="S127" i="20"/>
  <c r="S128" i="20"/>
  <c r="S129" i="20"/>
  <c r="R124" i="20"/>
  <c r="R125" i="20"/>
  <c r="R126" i="20"/>
  <c r="R127" i="20"/>
  <c r="R128" i="20"/>
  <c r="R129" i="20"/>
  <c r="Q124" i="20"/>
  <c r="Q125" i="20"/>
  <c r="Q126" i="20"/>
  <c r="Q127" i="20"/>
  <c r="Q128" i="20"/>
  <c r="Q129" i="20"/>
  <c r="P124" i="20"/>
  <c r="P125" i="20"/>
  <c r="P126" i="20"/>
  <c r="P127" i="20"/>
  <c r="P128" i="20"/>
  <c r="P129" i="20"/>
  <c r="O124" i="20"/>
  <c r="O125" i="20"/>
  <c r="O126" i="20"/>
  <c r="O127" i="20"/>
  <c r="O128" i="20"/>
  <c r="O129" i="20"/>
  <c r="N124" i="20"/>
  <c r="N125" i="20"/>
  <c r="N126" i="20"/>
  <c r="N127" i="20"/>
  <c r="N128" i="20"/>
  <c r="N129" i="20"/>
  <c r="M124" i="20"/>
  <c r="M125" i="20"/>
  <c r="M126" i="20"/>
  <c r="M127" i="20"/>
  <c r="M128" i="20"/>
  <c r="M129" i="20"/>
  <c r="L124" i="20"/>
  <c r="L125" i="20"/>
  <c r="L126" i="20"/>
  <c r="L127" i="20"/>
  <c r="L128" i="20"/>
  <c r="L129" i="20"/>
  <c r="K124" i="20"/>
  <c r="K125" i="20"/>
  <c r="K126" i="20"/>
  <c r="K127" i="20"/>
  <c r="K128" i="20"/>
  <c r="K129" i="20"/>
  <c r="J124" i="20"/>
  <c r="J125" i="20"/>
  <c r="J126" i="20"/>
  <c r="J127" i="20"/>
  <c r="J128" i="20"/>
  <c r="J129" i="20"/>
  <c r="I124" i="20"/>
  <c r="I125" i="20"/>
  <c r="I126" i="20"/>
  <c r="I127" i="20"/>
  <c r="I128" i="20"/>
  <c r="I129" i="20"/>
  <c r="H124" i="20"/>
  <c r="H125" i="20"/>
  <c r="H126" i="20"/>
  <c r="H127" i="20"/>
  <c r="H128" i="20"/>
  <c r="H129" i="20"/>
  <c r="G124" i="20"/>
  <c r="G125" i="20"/>
  <c r="G126" i="20"/>
  <c r="G127" i="20"/>
  <c r="G128" i="20"/>
  <c r="G129" i="20"/>
  <c r="F124" i="20"/>
  <c r="F125" i="20"/>
  <c r="F126" i="20"/>
  <c r="F127" i="20"/>
  <c r="F128" i="20"/>
  <c r="F129" i="20"/>
  <c r="E124" i="20"/>
  <c r="E125" i="20"/>
  <c r="E126" i="20"/>
  <c r="E127" i="20"/>
  <c r="E128" i="20"/>
  <c r="E129" i="20"/>
  <c r="D124" i="20"/>
  <c r="D125" i="20"/>
  <c r="D126" i="20"/>
  <c r="D127" i="20"/>
  <c r="D128" i="20"/>
  <c r="D129" i="20"/>
  <c r="AH109" i="20"/>
  <c r="AH110" i="20"/>
  <c r="AH111" i="20"/>
  <c r="AH112" i="20"/>
  <c r="AH113" i="20"/>
  <c r="AH114" i="20"/>
  <c r="AH115" i="20"/>
  <c r="AH116" i="20"/>
  <c r="AH117" i="20"/>
  <c r="AH118" i="20"/>
  <c r="AH119" i="20"/>
  <c r="AG109" i="20"/>
  <c r="AG110" i="20"/>
  <c r="AG111" i="20"/>
  <c r="AG112" i="20"/>
  <c r="AG113" i="20"/>
  <c r="AG114" i="20"/>
  <c r="AG115" i="20"/>
  <c r="AG116" i="20"/>
  <c r="AG117" i="20"/>
  <c r="AG118" i="20"/>
  <c r="AG119" i="20"/>
  <c r="AF109" i="20"/>
  <c r="AF110" i="20"/>
  <c r="AF111" i="20"/>
  <c r="AF112" i="20"/>
  <c r="AF113" i="20"/>
  <c r="AF114" i="20"/>
  <c r="AF115" i="20"/>
  <c r="AF116" i="20"/>
  <c r="AF117" i="20"/>
  <c r="AF118" i="20"/>
  <c r="AF119" i="20"/>
  <c r="AE109" i="20"/>
  <c r="AE110" i="20"/>
  <c r="AE111" i="20"/>
  <c r="AE112" i="20"/>
  <c r="AE113" i="20"/>
  <c r="AE114" i="20"/>
  <c r="AE115" i="20"/>
  <c r="AE116" i="20"/>
  <c r="AE117" i="20"/>
  <c r="AE118" i="20"/>
  <c r="AE119" i="20"/>
  <c r="AD109" i="20"/>
  <c r="AD110" i="20"/>
  <c r="AD111" i="20"/>
  <c r="AD112" i="20"/>
  <c r="AD113" i="20"/>
  <c r="AD114" i="20"/>
  <c r="AD115" i="20"/>
  <c r="AD116" i="20"/>
  <c r="AD117" i="20"/>
  <c r="AD118" i="20"/>
  <c r="AD119" i="20"/>
  <c r="AC109" i="20"/>
  <c r="AC110" i="20"/>
  <c r="AC111" i="20"/>
  <c r="AC112" i="20"/>
  <c r="AC113" i="20"/>
  <c r="AC114" i="20"/>
  <c r="AC115" i="20"/>
  <c r="AC116" i="20"/>
  <c r="AC117" i="20"/>
  <c r="AC118" i="20"/>
  <c r="AC119" i="20"/>
  <c r="AB109" i="20"/>
  <c r="AB110" i="20"/>
  <c r="AB111" i="20"/>
  <c r="AB112" i="20"/>
  <c r="AB113" i="20"/>
  <c r="AB114" i="20"/>
  <c r="AB115" i="20"/>
  <c r="AB116" i="20"/>
  <c r="AB117" i="20"/>
  <c r="AB118" i="20"/>
  <c r="AB119" i="20"/>
  <c r="AA109" i="20"/>
  <c r="AA110" i="20"/>
  <c r="AA111" i="20"/>
  <c r="AA112" i="20"/>
  <c r="AA113" i="20"/>
  <c r="AA114" i="20"/>
  <c r="AA115" i="20"/>
  <c r="AA116" i="20"/>
  <c r="AA117" i="20"/>
  <c r="AA118" i="20"/>
  <c r="AA119" i="20"/>
  <c r="Z109" i="20"/>
  <c r="Z110" i="20"/>
  <c r="Z111" i="20"/>
  <c r="Z112" i="20"/>
  <c r="Z113" i="20"/>
  <c r="Z114" i="20"/>
  <c r="Z115" i="20"/>
  <c r="Z116" i="20"/>
  <c r="Z117" i="20"/>
  <c r="Z118" i="20"/>
  <c r="Z119" i="20"/>
  <c r="Y109" i="20"/>
  <c r="Y110" i="20"/>
  <c r="Y111" i="20"/>
  <c r="Y112" i="20"/>
  <c r="Y113" i="20"/>
  <c r="Y114" i="20"/>
  <c r="Y115" i="20"/>
  <c r="Y116" i="20"/>
  <c r="Y117" i="20"/>
  <c r="Y118" i="20"/>
  <c r="Y119" i="20"/>
  <c r="X109" i="20"/>
  <c r="X110" i="20"/>
  <c r="X111" i="20"/>
  <c r="X112" i="20"/>
  <c r="X113" i="20"/>
  <c r="X114" i="20"/>
  <c r="X115" i="20"/>
  <c r="X116" i="20"/>
  <c r="X117" i="20"/>
  <c r="X118" i="20"/>
  <c r="X119" i="20"/>
  <c r="W109" i="20"/>
  <c r="W110" i="20"/>
  <c r="W111" i="20"/>
  <c r="W112" i="20"/>
  <c r="W113" i="20"/>
  <c r="W114" i="20"/>
  <c r="W115" i="20"/>
  <c r="W116" i="20"/>
  <c r="W117" i="20"/>
  <c r="W118" i="20"/>
  <c r="W119" i="20"/>
  <c r="V109" i="20"/>
  <c r="V110" i="20"/>
  <c r="V111" i="20"/>
  <c r="V112" i="20"/>
  <c r="V113" i="20"/>
  <c r="V114" i="20"/>
  <c r="V115" i="20"/>
  <c r="V116" i="20"/>
  <c r="V117" i="20"/>
  <c r="V118" i="20"/>
  <c r="V119" i="20"/>
  <c r="U109" i="20"/>
  <c r="U110" i="20"/>
  <c r="U111" i="20"/>
  <c r="U112" i="20"/>
  <c r="U113" i="20"/>
  <c r="U114" i="20"/>
  <c r="U115" i="20"/>
  <c r="U116" i="20"/>
  <c r="U117" i="20"/>
  <c r="U118" i="20"/>
  <c r="U119" i="20"/>
  <c r="T109" i="20"/>
  <c r="T110" i="20"/>
  <c r="T111" i="20"/>
  <c r="T112" i="20"/>
  <c r="T113" i="20"/>
  <c r="T114" i="20"/>
  <c r="T115" i="20"/>
  <c r="T116" i="20"/>
  <c r="T117" i="20"/>
  <c r="T118" i="20"/>
  <c r="T119" i="20"/>
  <c r="S109" i="20"/>
  <c r="S110" i="20"/>
  <c r="S111" i="20"/>
  <c r="S112" i="20"/>
  <c r="S113" i="20"/>
  <c r="S114" i="20"/>
  <c r="S115" i="20"/>
  <c r="S116" i="20"/>
  <c r="S117" i="20"/>
  <c r="S118" i="20"/>
  <c r="S119" i="20"/>
  <c r="R109" i="20"/>
  <c r="R110" i="20"/>
  <c r="R111" i="20"/>
  <c r="R112" i="20"/>
  <c r="R113" i="20"/>
  <c r="R114" i="20"/>
  <c r="R115" i="20"/>
  <c r="R116" i="20"/>
  <c r="R117" i="20"/>
  <c r="R118" i="20"/>
  <c r="R119" i="20"/>
  <c r="Q109" i="20"/>
  <c r="Q110" i="20"/>
  <c r="Q111" i="20"/>
  <c r="Q112" i="20"/>
  <c r="Q113" i="20"/>
  <c r="Q114" i="20"/>
  <c r="Q115" i="20"/>
  <c r="Q116" i="20"/>
  <c r="Q117" i="20"/>
  <c r="Q118" i="20"/>
  <c r="Q119" i="20"/>
  <c r="P109" i="20"/>
  <c r="P110" i="20"/>
  <c r="P111" i="20"/>
  <c r="P112" i="20"/>
  <c r="P113" i="20"/>
  <c r="P114" i="20"/>
  <c r="P115" i="20"/>
  <c r="P116" i="20"/>
  <c r="P117" i="20"/>
  <c r="P118" i="20"/>
  <c r="P119" i="20"/>
  <c r="O109" i="20"/>
  <c r="O110" i="20"/>
  <c r="O111" i="20"/>
  <c r="O112" i="20"/>
  <c r="O113" i="20"/>
  <c r="O114" i="20"/>
  <c r="O115" i="20"/>
  <c r="O116" i="20"/>
  <c r="O117" i="20"/>
  <c r="O118" i="20"/>
  <c r="O119" i="20"/>
  <c r="N109" i="20"/>
  <c r="N110" i="20"/>
  <c r="N111" i="20"/>
  <c r="N112" i="20"/>
  <c r="N113" i="20"/>
  <c r="N114" i="20"/>
  <c r="N115" i="20"/>
  <c r="N116" i="20"/>
  <c r="N117" i="20"/>
  <c r="N118" i="20"/>
  <c r="N119" i="20"/>
  <c r="M109" i="20"/>
  <c r="M110" i="20"/>
  <c r="M111" i="20"/>
  <c r="M112" i="20"/>
  <c r="M113" i="20"/>
  <c r="M114" i="20"/>
  <c r="M115" i="20"/>
  <c r="M116" i="20"/>
  <c r="M117" i="20"/>
  <c r="M118" i="20"/>
  <c r="M119" i="20"/>
  <c r="L109" i="20"/>
  <c r="L110" i="20"/>
  <c r="L111" i="20"/>
  <c r="L112" i="20"/>
  <c r="L113" i="20"/>
  <c r="L114" i="20"/>
  <c r="L115" i="20"/>
  <c r="L116" i="20"/>
  <c r="L117" i="20"/>
  <c r="L118" i="20"/>
  <c r="L119" i="20"/>
  <c r="K109" i="20"/>
  <c r="K110" i="20"/>
  <c r="K111" i="20"/>
  <c r="K112" i="20"/>
  <c r="K113" i="20"/>
  <c r="K114" i="20"/>
  <c r="K115" i="20"/>
  <c r="K116" i="20"/>
  <c r="K117" i="20"/>
  <c r="K118" i="20"/>
  <c r="K119" i="20"/>
  <c r="J109" i="20"/>
  <c r="J110" i="20"/>
  <c r="J111" i="20"/>
  <c r="J112" i="20"/>
  <c r="J113" i="20"/>
  <c r="J114" i="20"/>
  <c r="J115" i="20"/>
  <c r="J116" i="20"/>
  <c r="J117" i="20"/>
  <c r="J118" i="20"/>
  <c r="J119" i="20"/>
  <c r="I109" i="20"/>
  <c r="I110" i="20"/>
  <c r="I111" i="20"/>
  <c r="I112" i="20"/>
  <c r="I113" i="20"/>
  <c r="I114" i="20"/>
  <c r="I115" i="20"/>
  <c r="I116" i="20"/>
  <c r="I117" i="20"/>
  <c r="I118" i="20"/>
  <c r="I119" i="20"/>
  <c r="H109" i="20"/>
  <c r="H110" i="20"/>
  <c r="H111" i="20"/>
  <c r="H112" i="20"/>
  <c r="H113" i="20"/>
  <c r="H114" i="20"/>
  <c r="H115" i="20"/>
  <c r="H116" i="20"/>
  <c r="H117" i="20"/>
  <c r="H118" i="20"/>
  <c r="H119" i="20"/>
  <c r="G109" i="20"/>
  <c r="G110" i="20"/>
  <c r="G111" i="20"/>
  <c r="G112" i="20"/>
  <c r="G113" i="20"/>
  <c r="G114" i="20"/>
  <c r="G115" i="20"/>
  <c r="G116" i="20"/>
  <c r="G117" i="20"/>
  <c r="G118" i="20"/>
  <c r="G119" i="20"/>
  <c r="F109" i="20"/>
  <c r="F110" i="20"/>
  <c r="F111" i="20"/>
  <c r="F112" i="20"/>
  <c r="F113" i="20"/>
  <c r="F114" i="20"/>
  <c r="F115" i="20"/>
  <c r="F116" i="20"/>
  <c r="F117" i="20"/>
  <c r="F118" i="20"/>
  <c r="F119" i="20"/>
  <c r="E109" i="20"/>
  <c r="E110" i="20"/>
  <c r="E111" i="20"/>
  <c r="E112" i="20"/>
  <c r="E113" i="20"/>
  <c r="E114" i="20"/>
  <c r="E115" i="20"/>
  <c r="E116" i="20"/>
  <c r="E117" i="20"/>
  <c r="E118" i="20"/>
  <c r="E119" i="20"/>
  <c r="D109" i="20"/>
  <c r="D110" i="20"/>
  <c r="D111" i="20"/>
  <c r="D112" i="20"/>
  <c r="D113" i="20"/>
  <c r="D114" i="20"/>
  <c r="D115" i="20"/>
  <c r="D116" i="20"/>
  <c r="D117" i="20"/>
  <c r="D118" i="20"/>
  <c r="D119" i="20"/>
  <c r="AH95" i="20"/>
  <c r="AH96" i="20"/>
  <c r="AH97" i="20"/>
  <c r="AH98" i="20"/>
  <c r="AH99" i="20"/>
  <c r="AH18" i="20"/>
  <c r="AH19" i="20"/>
  <c r="AH20" i="20"/>
  <c r="AH21" i="20"/>
  <c r="AH22" i="20"/>
  <c r="AH23" i="20"/>
  <c r="AH24" i="20"/>
  <c r="AH25" i="20"/>
  <c r="AH26" i="20"/>
  <c r="AH27" i="20"/>
  <c r="AH28" i="20"/>
  <c r="AH29" i="20"/>
  <c r="AH30" i="20"/>
  <c r="AH31" i="20"/>
  <c r="AH32" i="20"/>
  <c r="AH33" i="20"/>
  <c r="AH34" i="20"/>
  <c r="AH35" i="20"/>
  <c r="AH36" i="20"/>
  <c r="AH37" i="20"/>
  <c r="AH38" i="20"/>
  <c r="AH39" i="20"/>
  <c r="AH40" i="20"/>
  <c r="AH41" i="20"/>
  <c r="AH42" i="20"/>
  <c r="AH43" i="20"/>
  <c r="AH44" i="20"/>
  <c r="AH45" i="20"/>
  <c r="AH46" i="20"/>
  <c r="AH47" i="20"/>
  <c r="AH48" i="20"/>
  <c r="AH49" i="20"/>
  <c r="AH50" i="20"/>
  <c r="AH51" i="20"/>
  <c r="AH52" i="20"/>
  <c r="AH53" i="20"/>
  <c r="AH54" i="20"/>
  <c r="AH55" i="20"/>
  <c r="AH56" i="20"/>
  <c r="AH57" i="20"/>
  <c r="AH58" i="20"/>
  <c r="AH59" i="20"/>
  <c r="AH60" i="20"/>
  <c r="AH61" i="20"/>
  <c r="AH62" i="20"/>
  <c r="AH63" i="20"/>
  <c r="AH64" i="20"/>
  <c r="AH65" i="20"/>
  <c r="AH66" i="20"/>
  <c r="AH67" i="20"/>
  <c r="AH68" i="20"/>
  <c r="AH69" i="20"/>
  <c r="AH70" i="20"/>
  <c r="AH71" i="20"/>
  <c r="AH72" i="20"/>
  <c r="AH73" i="20"/>
  <c r="AH74" i="20"/>
  <c r="AH75" i="20"/>
  <c r="AH76" i="20"/>
  <c r="AH77" i="20"/>
  <c r="AH78" i="20"/>
  <c r="AH79" i="20"/>
  <c r="AH80" i="20"/>
  <c r="AH81" i="20"/>
  <c r="AH82" i="20"/>
  <c r="AH83" i="20"/>
  <c r="AH84" i="20"/>
  <c r="AH85" i="20"/>
  <c r="AH86" i="20"/>
  <c r="AH87" i="20"/>
  <c r="AH88" i="20"/>
  <c r="AH89" i="20"/>
  <c r="AH90" i="20"/>
  <c r="AH91" i="20"/>
  <c r="AH92" i="20"/>
  <c r="AH93" i="20"/>
  <c r="AG95" i="20"/>
  <c r="AG96" i="20"/>
  <c r="AG97" i="20"/>
  <c r="AG98" i="20"/>
  <c r="AG99" i="20"/>
  <c r="AG18" i="20"/>
  <c r="AG19" i="20"/>
  <c r="AG20" i="20"/>
  <c r="AG21" i="20"/>
  <c r="AG22" i="20"/>
  <c r="AG23" i="20"/>
  <c r="AG24" i="20"/>
  <c r="AG25" i="20"/>
  <c r="AG26" i="20"/>
  <c r="AG27" i="20"/>
  <c r="AG28" i="20"/>
  <c r="AG29" i="20"/>
  <c r="AG30" i="20"/>
  <c r="AG31" i="20"/>
  <c r="AG32" i="20"/>
  <c r="AG33" i="20"/>
  <c r="AG34" i="20"/>
  <c r="AG35" i="20"/>
  <c r="AG36" i="20"/>
  <c r="AG37" i="20"/>
  <c r="AG38" i="20"/>
  <c r="AG39" i="20"/>
  <c r="AG40" i="20"/>
  <c r="AG41" i="20"/>
  <c r="AG42" i="20"/>
  <c r="AG43" i="20"/>
  <c r="AG44" i="20"/>
  <c r="AG45" i="20"/>
  <c r="AG46" i="20"/>
  <c r="AG47" i="20"/>
  <c r="AG48" i="20"/>
  <c r="AG49" i="20"/>
  <c r="AG50" i="20"/>
  <c r="AG51" i="20"/>
  <c r="AG52" i="20"/>
  <c r="AG53" i="20"/>
  <c r="AG54" i="20"/>
  <c r="AG55" i="20"/>
  <c r="AG56" i="20"/>
  <c r="AG57" i="20"/>
  <c r="AG58" i="20"/>
  <c r="AG59" i="20"/>
  <c r="AG60" i="20"/>
  <c r="AG61" i="20"/>
  <c r="AG62" i="20"/>
  <c r="AG63" i="20"/>
  <c r="AG64" i="20"/>
  <c r="AG65" i="20"/>
  <c r="AG66" i="20"/>
  <c r="AG67" i="20"/>
  <c r="AG68" i="20"/>
  <c r="AG69" i="20"/>
  <c r="AG70" i="20"/>
  <c r="AG71" i="20"/>
  <c r="AG72" i="20"/>
  <c r="AG73" i="20"/>
  <c r="AG74" i="20"/>
  <c r="AG75" i="20"/>
  <c r="AG76" i="20"/>
  <c r="AG77" i="20"/>
  <c r="AG78" i="20"/>
  <c r="AG79" i="20"/>
  <c r="AG80" i="20"/>
  <c r="AG81" i="20"/>
  <c r="AG82" i="20"/>
  <c r="AG83" i="20"/>
  <c r="AG84" i="20"/>
  <c r="AG85" i="20"/>
  <c r="AG86" i="20"/>
  <c r="AG87" i="20"/>
  <c r="AG88" i="20"/>
  <c r="AG89" i="20"/>
  <c r="AG90" i="20"/>
  <c r="AG91" i="20"/>
  <c r="AG92" i="20"/>
  <c r="AG93" i="20"/>
  <c r="AF95" i="20"/>
  <c r="AF96" i="20"/>
  <c r="AF97" i="20"/>
  <c r="AF98" i="20"/>
  <c r="AF99" i="20"/>
  <c r="AF18" i="20"/>
  <c r="AF19" i="20"/>
  <c r="AF20" i="20"/>
  <c r="AF21" i="20"/>
  <c r="AF22" i="20"/>
  <c r="AF23" i="20"/>
  <c r="AF24" i="20"/>
  <c r="AF25" i="20"/>
  <c r="AF26" i="20"/>
  <c r="AF27" i="20"/>
  <c r="AF28" i="20"/>
  <c r="AF29" i="20"/>
  <c r="AF30" i="20"/>
  <c r="AF31" i="20"/>
  <c r="AF32" i="20"/>
  <c r="AF33" i="20"/>
  <c r="AF34" i="20"/>
  <c r="AF35" i="20"/>
  <c r="AF36" i="20"/>
  <c r="AF37" i="20"/>
  <c r="AF38" i="20"/>
  <c r="AF39" i="20"/>
  <c r="AF40" i="20"/>
  <c r="AF41" i="20"/>
  <c r="AF42" i="20"/>
  <c r="AF43" i="20"/>
  <c r="AF44" i="20"/>
  <c r="AF45" i="20"/>
  <c r="AF46" i="20"/>
  <c r="AF47" i="20"/>
  <c r="AF48" i="20"/>
  <c r="AF49" i="20"/>
  <c r="AF50" i="20"/>
  <c r="AF51" i="20"/>
  <c r="AF52" i="20"/>
  <c r="AF53" i="20"/>
  <c r="AF54" i="20"/>
  <c r="AF55" i="20"/>
  <c r="AF56" i="20"/>
  <c r="AF57" i="20"/>
  <c r="AF58" i="20"/>
  <c r="AF59" i="20"/>
  <c r="AF60" i="20"/>
  <c r="AF61" i="20"/>
  <c r="AF62" i="20"/>
  <c r="AF63" i="20"/>
  <c r="AF64" i="20"/>
  <c r="AF65" i="20"/>
  <c r="AF66" i="20"/>
  <c r="AF67" i="20"/>
  <c r="AF68" i="20"/>
  <c r="AF69" i="20"/>
  <c r="AF70" i="20"/>
  <c r="AF71" i="20"/>
  <c r="AF72" i="20"/>
  <c r="AF73" i="20"/>
  <c r="AF74" i="20"/>
  <c r="AF75" i="20"/>
  <c r="AF76" i="20"/>
  <c r="AF77" i="20"/>
  <c r="AF78" i="20"/>
  <c r="AF79" i="20"/>
  <c r="AF80" i="20"/>
  <c r="AF81" i="20"/>
  <c r="AF82" i="20"/>
  <c r="AF83" i="20"/>
  <c r="AF84" i="20"/>
  <c r="AF85" i="20"/>
  <c r="AF86" i="20"/>
  <c r="AF87" i="20"/>
  <c r="AF88" i="20"/>
  <c r="AF89" i="20"/>
  <c r="AF90" i="20"/>
  <c r="AF91" i="20"/>
  <c r="AF92" i="20"/>
  <c r="AF93" i="20"/>
  <c r="AE95" i="20"/>
  <c r="AE96" i="20"/>
  <c r="AE97" i="20"/>
  <c r="AE98" i="20"/>
  <c r="AE99" i="20"/>
  <c r="AE18" i="20"/>
  <c r="AE19" i="20"/>
  <c r="AE20" i="20"/>
  <c r="AE21" i="20"/>
  <c r="AE22" i="20"/>
  <c r="AE23" i="20"/>
  <c r="AE24" i="20"/>
  <c r="AE25" i="20"/>
  <c r="AE26" i="20"/>
  <c r="AE27" i="20"/>
  <c r="AE28" i="20"/>
  <c r="AE29" i="20"/>
  <c r="AE30" i="20"/>
  <c r="AE31" i="20"/>
  <c r="AE32" i="20"/>
  <c r="AE33" i="20"/>
  <c r="AE34" i="20"/>
  <c r="AE35" i="20"/>
  <c r="AE36" i="20"/>
  <c r="AE37" i="20"/>
  <c r="AE38" i="20"/>
  <c r="AE39" i="20"/>
  <c r="AE40" i="20"/>
  <c r="AE41" i="20"/>
  <c r="AE42" i="20"/>
  <c r="AE43" i="20"/>
  <c r="AE44" i="20"/>
  <c r="AE45" i="20"/>
  <c r="AE46" i="20"/>
  <c r="AE47" i="20"/>
  <c r="AE48" i="20"/>
  <c r="AE49" i="20"/>
  <c r="AE50" i="20"/>
  <c r="AE51" i="20"/>
  <c r="AE52" i="20"/>
  <c r="AE53" i="20"/>
  <c r="AE54" i="20"/>
  <c r="AE55" i="20"/>
  <c r="AE56" i="20"/>
  <c r="AE57" i="20"/>
  <c r="AE58" i="20"/>
  <c r="AE59" i="20"/>
  <c r="AE60" i="20"/>
  <c r="AE61" i="20"/>
  <c r="AE62" i="20"/>
  <c r="AE63" i="20"/>
  <c r="AE64" i="20"/>
  <c r="AE65" i="20"/>
  <c r="AE66" i="20"/>
  <c r="AE67" i="20"/>
  <c r="AE68" i="20"/>
  <c r="AE69" i="20"/>
  <c r="AE70" i="20"/>
  <c r="AE71" i="20"/>
  <c r="AE72" i="20"/>
  <c r="AE73" i="20"/>
  <c r="AE74" i="20"/>
  <c r="AE75" i="20"/>
  <c r="AE76" i="20"/>
  <c r="AE77" i="20"/>
  <c r="AE78" i="20"/>
  <c r="AE79" i="20"/>
  <c r="AE80" i="20"/>
  <c r="AE81" i="20"/>
  <c r="AE82" i="20"/>
  <c r="AE83" i="20"/>
  <c r="AE84" i="20"/>
  <c r="AE85" i="20"/>
  <c r="AE86" i="20"/>
  <c r="AE87" i="20"/>
  <c r="AE88" i="20"/>
  <c r="AE89" i="20"/>
  <c r="AE90" i="20"/>
  <c r="AE91" i="20"/>
  <c r="AE92" i="20"/>
  <c r="AE93" i="20"/>
  <c r="AD95" i="20"/>
  <c r="AD96" i="20"/>
  <c r="AD97" i="20"/>
  <c r="AD98" i="20"/>
  <c r="AD99" i="20"/>
  <c r="AD18" i="20"/>
  <c r="AD19" i="20"/>
  <c r="AD20" i="20"/>
  <c r="AD21" i="20"/>
  <c r="AD22" i="20"/>
  <c r="AD23" i="20"/>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C95" i="20"/>
  <c r="AC96" i="20"/>
  <c r="AC97" i="20"/>
  <c r="AC98" i="20"/>
  <c r="AC99" i="20"/>
  <c r="AC18" i="20"/>
  <c r="AC19" i="20"/>
  <c r="AC20" i="20"/>
  <c r="AC21" i="20"/>
  <c r="AC22" i="20"/>
  <c r="AC23" i="20"/>
  <c r="AC24" i="20"/>
  <c r="AC25" i="20"/>
  <c r="AC26" i="20"/>
  <c r="AC27" i="20"/>
  <c r="AC28" i="20"/>
  <c r="AC29" i="20"/>
  <c r="AC30" i="20"/>
  <c r="AC31" i="20"/>
  <c r="AC32" i="20"/>
  <c r="AC33" i="20"/>
  <c r="AC34" i="20"/>
  <c r="AC35" i="20"/>
  <c r="AC36" i="20"/>
  <c r="AC37" i="20"/>
  <c r="AC38" i="20"/>
  <c r="AC39" i="20"/>
  <c r="AC40" i="20"/>
  <c r="AC41" i="20"/>
  <c r="AC42" i="20"/>
  <c r="AC43" i="20"/>
  <c r="AC44" i="20"/>
  <c r="AC45" i="20"/>
  <c r="AC46" i="20"/>
  <c r="AC47" i="20"/>
  <c r="AC48" i="20"/>
  <c r="AC49" i="20"/>
  <c r="AC50" i="20"/>
  <c r="AC51" i="20"/>
  <c r="AC52" i="20"/>
  <c r="AC53" i="20"/>
  <c r="AC54" i="20"/>
  <c r="AC55" i="20"/>
  <c r="AC56" i="20"/>
  <c r="AC57" i="20"/>
  <c r="AC58" i="20"/>
  <c r="AC59" i="20"/>
  <c r="AC60" i="20"/>
  <c r="AC61" i="20"/>
  <c r="AC62" i="20"/>
  <c r="AC63" i="20"/>
  <c r="AC64" i="20"/>
  <c r="AC65" i="20"/>
  <c r="AC66" i="20"/>
  <c r="AC67" i="20"/>
  <c r="AC68" i="20"/>
  <c r="AC69" i="20"/>
  <c r="AC70" i="20"/>
  <c r="AC71" i="20"/>
  <c r="AC72" i="20"/>
  <c r="AC73" i="20"/>
  <c r="AC74" i="20"/>
  <c r="AC75" i="20"/>
  <c r="AC76" i="20"/>
  <c r="AC77" i="20"/>
  <c r="AC78" i="20"/>
  <c r="AC79" i="20"/>
  <c r="AC80" i="20"/>
  <c r="AC81" i="20"/>
  <c r="AC82" i="20"/>
  <c r="AC83" i="20"/>
  <c r="AC84" i="20"/>
  <c r="AC85" i="20"/>
  <c r="AC86" i="20"/>
  <c r="AC87" i="20"/>
  <c r="AC88" i="20"/>
  <c r="AC89" i="20"/>
  <c r="AC90" i="20"/>
  <c r="AC91" i="20"/>
  <c r="AC92" i="20"/>
  <c r="AC93" i="20"/>
  <c r="AB95" i="20"/>
  <c r="AB96" i="20"/>
  <c r="AB97" i="20"/>
  <c r="AB98" i="20"/>
  <c r="AB99" i="20"/>
  <c r="AB18" i="20"/>
  <c r="AB19" i="20"/>
  <c r="AB20" i="20"/>
  <c r="AB21"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A95" i="20"/>
  <c r="AA96" i="20"/>
  <c r="AA97" i="20"/>
  <c r="AA98" i="20"/>
  <c r="AA99" i="20"/>
  <c r="AA18" i="20"/>
  <c r="AA19" i="20"/>
  <c r="AA20" i="20"/>
  <c r="AA21" i="20"/>
  <c r="AA22" i="20"/>
  <c r="AA23" i="20"/>
  <c r="AA24" i="20"/>
  <c r="AA25" i="20"/>
  <c r="AA26" i="20"/>
  <c r="AA27" i="20"/>
  <c r="AA28" i="20"/>
  <c r="AA29" i="20"/>
  <c r="AA30" i="20"/>
  <c r="AA31" i="20"/>
  <c r="AA32" i="20"/>
  <c r="AA33" i="20"/>
  <c r="AA34" i="20"/>
  <c r="AA35" i="20"/>
  <c r="AA36" i="20"/>
  <c r="AA37" i="20"/>
  <c r="AA38" i="20"/>
  <c r="AA39" i="20"/>
  <c r="AA40" i="20"/>
  <c r="AA41" i="20"/>
  <c r="AA42" i="20"/>
  <c r="AA43" i="20"/>
  <c r="AA44" i="20"/>
  <c r="AA45" i="20"/>
  <c r="AA46" i="20"/>
  <c r="AA47" i="20"/>
  <c r="AA48" i="20"/>
  <c r="AA49" i="20"/>
  <c r="AA50" i="20"/>
  <c r="AA51" i="20"/>
  <c r="AA52" i="20"/>
  <c r="AA53" i="20"/>
  <c r="AA54" i="20"/>
  <c r="AA55" i="20"/>
  <c r="AA56" i="20"/>
  <c r="AA57" i="20"/>
  <c r="AA58" i="20"/>
  <c r="AA59" i="20"/>
  <c r="AA60" i="20"/>
  <c r="AA61" i="20"/>
  <c r="AA62" i="20"/>
  <c r="AA63" i="20"/>
  <c r="AA64" i="20"/>
  <c r="AA65" i="20"/>
  <c r="AA66" i="20"/>
  <c r="AA67" i="20"/>
  <c r="AA68" i="20"/>
  <c r="AA69" i="20"/>
  <c r="AA70" i="20"/>
  <c r="AA71" i="20"/>
  <c r="AA72" i="20"/>
  <c r="AA73" i="20"/>
  <c r="AA74" i="20"/>
  <c r="AA75" i="20"/>
  <c r="AA76" i="20"/>
  <c r="AA77" i="20"/>
  <c r="AA78" i="20"/>
  <c r="AA79" i="20"/>
  <c r="AA80" i="20"/>
  <c r="AA81" i="20"/>
  <c r="AA82" i="20"/>
  <c r="AA83" i="20"/>
  <c r="AA84" i="20"/>
  <c r="AA85" i="20"/>
  <c r="AA86" i="20"/>
  <c r="AA87" i="20"/>
  <c r="AA88" i="20"/>
  <c r="AA89" i="20"/>
  <c r="AA90" i="20"/>
  <c r="AA91" i="20"/>
  <c r="AA92" i="20"/>
  <c r="AA93" i="20"/>
  <c r="Z95" i="20"/>
  <c r="Z96" i="20"/>
  <c r="Z97" i="20"/>
  <c r="Z98" i="20"/>
  <c r="Z99" i="20"/>
  <c r="Z18" i="20"/>
  <c r="Z19" i="20"/>
  <c r="Z20" i="20"/>
  <c r="Z21" i="20"/>
  <c r="Z22" i="20"/>
  <c r="Z23" i="20"/>
  <c r="Z24" i="20"/>
  <c r="Z25" i="20"/>
  <c r="Z26" i="20"/>
  <c r="Z27" i="20"/>
  <c r="Z28" i="20"/>
  <c r="Z29" i="20"/>
  <c r="Z30" i="20"/>
  <c r="Z31" i="20"/>
  <c r="Z32" i="20"/>
  <c r="Z33" i="20"/>
  <c r="Z34" i="20"/>
  <c r="Z35" i="20"/>
  <c r="Z36" i="20"/>
  <c r="Z37" i="20"/>
  <c r="Z38" i="20"/>
  <c r="Z39" i="20"/>
  <c r="Z40" i="20"/>
  <c r="Z41" i="20"/>
  <c r="Z42" i="20"/>
  <c r="Z43" i="20"/>
  <c r="Z44" i="20"/>
  <c r="Z45" i="20"/>
  <c r="Z46" i="20"/>
  <c r="Z47" i="20"/>
  <c r="Z48" i="20"/>
  <c r="Z49" i="20"/>
  <c r="Z50" i="20"/>
  <c r="Z51" i="20"/>
  <c r="Z52" i="20"/>
  <c r="Z53" i="20"/>
  <c r="Z54" i="20"/>
  <c r="Z55" i="20"/>
  <c r="Z56" i="20"/>
  <c r="Z57" i="20"/>
  <c r="Z58" i="20"/>
  <c r="Z59" i="20"/>
  <c r="Z60" i="20"/>
  <c r="Z61" i="20"/>
  <c r="Z62" i="20"/>
  <c r="Z63" i="20"/>
  <c r="Z64" i="20"/>
  <c r="Z65" i="20"/>
  <c r="Z66" i="20"/>
  <c r="Z67" i="20"/>
  <c r="Z68" i="20"/>
  <c r="Z69" i="20"/>
  <c r="Z70" i="20"/>
  <c r="Z71" i="20"/>
  <c r="Z72" i="20"/>
  <c r="Z73" i="20"/>
  <c r="Z74" i="20"/>
  <c r="Z75" i="20"/>
  <c r="Z76" i="20"/>
  <c r="Z77" i="20"/>
  <c r="Z78" i="20"/>
  <c r="Z79" i="20"/>
  <c r="Z80" i="20"/>
  <c r="Z81" i="20"/>
  <c r="Z82" i="20"/>
  <c r="Z83" i="20"/>
  <c r="Z84" i="20"/>
  <c r="Z85" i="20"/>
  <c r="Z86" i="20"/>
  <c r="Z87" i="20"/>
  <c r="Z88" i="20"/>
  <c r="Z89" i="20"/>
  <c r="Z90" i="20"/>
  <c r="Z91" i="20"/>
  <c r="Z92" i="20"/>
  <c r="Z93" i="20"/>
  <c r="Y95" i="20"/>
  <c r="Y96" i="20"/>
  <c r="Y97" i="20"/>
  <c r="Y98" i="20"/>
  <c r="Y99" i="20"/>
  <c r="Y18" i="20"/>
  <c r="Y19" i="20"/>
  <c r="Y20" i="20"/>
  <c r="Y21" i="20"/>
  <c r="Y22" i="20"/>
  <c r="Y23" i="20"/>
  <c r="Y24" i="20"/>
  <c r="Y25" i="20"/>
  <c r="Y26" i="20"/>
  <c r="Y27" i="20"/>
  <c r="Y28" i="20"/>
  <c r="Y29" i="20"/>
  <c r="Y30" i="20"/>
  <c r="Y31" i="20"/>
  <c r="Y32" i="20"/>
  <c r="Y33" i="20"/>
  <c r="Y34" i="20"/>
  <c r="Y35" i="20"/>
  <c r="Y36" i="20"/>
  <c r="Y37" i="20"/>
  <c r="Y38" i="20"/>
  <c r="Y39" i="20"/>
  <c r="Y40" i="20"/>
  <c r="Y41" i="20"/>
  <c r="Y42" i="20"/>
  <c r="Y43" i="20"/>
  <c r="Y44" i="20"/>
  <c r="Y45" i="20"/>
  <c r="Y46" i="20"/>
  <c r="Y47" i="20"/>
  <c r="Y48" i="20"/>
  <c r="Y49" i="20"/>
  <c r="Y50" i="20"/>
  <c r="Y51" i="20"/>
  <c r="Y52" i="20"/>
  <c r="Y53" i="20"/>
  <c r="Y54" i="20"/>
  <c r="Y55" i="20"/>
  <c r="Y56" i="20"/>
  <c r="Y57" i="20"/>
  <c r="Y58" i="20"/>
  <c r="Y59" i="20"/>
  <c r="Y60" i="20"/>
  <c r="Y61" i="20"/>
  <c r="Y62" i="20"/>
  <c r="Y63" i="20"/>
  <c r="Y64" i="20"/>
  <c r="Y65" i="20"/>
  <c r="Y66" i="20"/>
  <c r="Y67" i="20"/>
  <c r="Y68" i="20"/>
  <c r="Y69" i="20"/>
  <c r="Y70" i="20"/>
  <c r="Y71" i="20"/>
  <c r="Y72" i="20"/>
  <c r="Y73" i="20"/>
  <c r="Y74" i="20"/>
  <c r="Y75" i="20"/>
  <c r="Y76" i="20"/>
  <c r="Y77" i="20"/>
  <c r="Y78" i="20"/>
  <c r="Y79" i="20"/>
  <c r="Y80" i="20"/>
  <c r="Y81" i="20"/>
  <c r="Y82" i="20"/>
  <c r="Y83" i="20"/>
  <c r="Y84" i="20"/>
  <c r="Y85" i="20"/>
  <c r="Y86" i="20"/>
  <c r="Y87" i="20"/>
  <c r="Y88" i="20"/>
  <c r="Y89" i="20"/>
  <c r="Y90" i="20"/>
  <c r="Y91" i="20"/>
  <c r="Y92" i="20"/>
  <c r="Y93" i="20"/>
  <c r="X95" i="20"/>
  <c r="X96" i="20"/>
  <c r="X97" i="20"/>
  <c r="X98" i="20"/>
  <c r="X99" i="20"/>
  <c r="X18" i="20"/>
  <c r="X19" i="20"/>
  <c r="X20" i="20"/>
  <c r="X21" i="20"/>
  <c r="X22" i="20"/>
  <c r="X23" i="20"/>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W95" i="20"/>
  <c r="W96" i="20"/>
  <c r="W97" i="20"/>
  <c r="W98" i="20"/>
  <c r="W99" i="20"/>
  <c r="W18" i="20"/>
  <c r="W19" i="20"/>
  <c r="W20" i="20"/>
  <c r="W21" i="20"/>
  <c r="W22" i="20"/>
  <c r="W23" i="20"/>
  <c r="W24" i="20"/>
  <c r="W25" i="20"/>
  <c r="W26" i="20"/>
  <c r="W27" i="20"/>
  <c r="W28" i="20"/>
  <c r="W29" i="20"/>
  <c r="W30" i="20"/>
  <c r="W31" i="20"/>
  <c r="W32" i="20"/>
  <c r="W33" i="20"/>
  <c r="W34" i="20"/>
  <c r="W35" i="20"/>
  <c r="W36" i="20"/>
  <c r="W37" i="20"/>
  <c r="W38" i="20"/>
  <c r="W39" i="20"/>
  <c r="W40" i="20"/>
  <c r="W41" i="20"/>
  <c r="W42" i="20"/>
  <c r="W43" i="20"/>
  <c r="W44" i="20"/>
  <c r="W45" i="20"/>
  <c r="W46" i="20"/>
  <c r="W47" i="20"/>
  <c r="W48" i="20"/>
  <c r="W49" i="20"/>
  <c r="W50" i="20"/>
  <c r="W51" i="20"/>
  <c r="W52" i="20"/>
  <c r="W53" i="20"/>
  <c r="W54" i="20"/>
  <c r="W55" i="20"/>
  <c r="W56" i="20"/>
  <c r="W57" i="20"/>
  <c r="W58" i="20"/>
  <c r="W59" i="20"/>
  <c r="W60" i="20"/>
  <c r="W61" i="20"/>
  <c r="W62" i="20"/>
  <c r="W63" i="20"/>
  <c r="W64" i="20"/>
  <c r="W65" i="20"/>
  <c r="W66" i="20"/>
  <c r="W67" i="20"/>
  <c r="W68" i="20"/>
  <c r="W69" i="20"/>
  <c r="W70" i="20"/>
  <c r="W71" i="20"/>
  <c r="W72" i="20"/>
  <c r="W73" i="20"/>
  <c r="W74" i="20"/>
  <c r="W75" i="20"/>
  <c r="W76" i="20"/>
  <c r="W77" i="20"/>
  <c r="W78" i="20"/>
  <c r="W79" i="20"/>
  <c r="W80" i="20"/>
  <c r="W81" i="20"/>
  <c r="W82" i="20"/>
  <c r="W83" i="20"/>
  <c r="W84" i="20"/>
  <c r="W85" i="20"/>
  <c r="W86" i="20"/>
  <c r="W87" i="20"/>
  <c r="W88" i="20"/>
  <c r="W89" i="20"/>
  <c r="W90" i="20"/>
  <c r="W91" i="20"/>
  <c r="W92" i="20"/>
  <c r="W93" i="20"/>
  <c r="V95" i="20"/>
  <c r="V96" i="20"/>
  <c r="V97" i="20"/>
  <c r="V98" i="20"/>
  <c r="V99" i="20"/>
  <c r="V18" i="20"/>
  <c r="V19" i="20"/>
  <c r="V20" i="20"/>
  <c r="V21" i="20"/>
  <c r="V22" i="20"/>
  <c r="V23" i="20"/>
  <c r="V24" i="20"/>
  <c r="V25" i="20"/>
  <c r="V26" i="20"/>
  <c r="V27" i="20"/>
  <c r="V28" i="20"/>
  <c r="V29" i="20"/>
  <c r="V30" i="20"/>
  <c r="V31" i="20"/>
  <c r="V32" i="20"/>
  <c r="V33" i="20"/>
  <c r="V34" i="20"/>
  <c r="V35" i="20"/>
  <c r="V36" i="20"/>
  <c r="V37" i="20"/>
  <c r="V38" i="20"/>
  <c r="V39" i="20"/>
  <c r="V40" i="20"/>
  <c r="V41" i="20"/>
  <c r="V42" i="20"/>
  <c r="V43" i="20"/>
  <c r="V44" i="20"/>
  <c r="V45" i="20"/>
  <c r="V46" i="20"/>
  <c r="V47" i="20"/>
  <c r="V48" i="20"/>
  <c r="V49" i="20"/>
  <c r="V50" i="20"/>
  <c r="V51" i="20"/>
  <c r="V52" i="20"/>
  <c r="V53" i="20"/>
  <c r="V54" i="20"/>
  <c r="V55" i="20"/>
  <c r="V56" i="20"/>
  <c r="V57" i="20"/>
  <c r="V58" i="20"/>
  <c r="V59" i="20"/>
  <c r="V60" i="20"/>
  <c r="V61" i="20"/>
  <c r="V62" i="20"/>
  <c r="V63" i="20"/>
  <c r="V64" i="20"/>
  <c r="V65" i="20"/>
  <c r="V66" i="20"/>
  <c r="V67" i="20"/>
  <c r="V68" i="20"/>
  <c r="V69" i="20"/>
  <c r="V70" i="20"/>
  <c r="V71" i="20"/>
  <c r="V72" i="20"/>
  <c r="V73" i="20"/>
  <c r="V74" i="20"/>
  <c r="V75" i="20"/>
  <c r="V76" i="20"/>
  <c r="V77" i="20"/>
  <c r="V78" i="20"/>
  <c r="V79" i="20"/>
  <c r="V80" i="20"/>
  <c r="V81" i="20"/>
  <c r="V82" i="20"/>
  <c r="V83" i="20"/>
  <c r="V84" i="20"/>
  <c r="V85" i="20"/>
  <c r="V86" i="20"/>
  <c r="V87" i="20"/>
  <c r="V88" i="20"/>
  <c r="V89" i="20"/>
  <c r="V90" i="20"/>
  <c r="V91" i="20"/>
  <c r="V92" i="20"/>
  <c r="V93" i="20"/>
  <c r="U95" i="20"/>
  <c r="U96" i="20"/>
  <c r="U97" i="20"/>
  <c r="U98" i="20"/>
  <c r="U99" i="20"/>
  <c r="U18" i="20"/>
  <c r="U19" i="20"/>
  <c r="U20" i="20"/>
  <c r="U21" i="20"/>
  <c r="U22" i="20"/>
  <c r="U23" i="20"/>
  <c r="U24" i="20"/>
  <c r="U25" i="20"/>
  <c r="U26" i="20"/>
  <c r="U27" i="20"/>
  <c r="U28" i="20"/>
  <c r="U29" i="20"/>
  <c r="U30" i="20"/>
  <c r="U31" i="20"/>
  <c r="U32" i="20"/>
  <c r="U33" i="20"/>
  <c r="U34" i="20"/>
  <c r="U35" i="20"/>
  <c r="U36" i="20"/>
  <c r="U37" i="20"/>
  <c r="U38" i="20"/>
  <c r="U39" i="20"/>
  <c r="U40" i="20"/>
  <c r="U41" i="20"/>
  <c r="U42" i="20"/>
  <c r="U43" i="20"/>
  <c r="U44" i="20"/>
  <c r="U45" i="20"/>
  <c r="U46" i="20"/>
  <c r="U47" i="20"/>
  <c r="U48" i="20"/>
  <c r="U49" i="20"/>
  <c r="U50" i="20"/>
  <c r="U51" i="20"/>
  <c r="U52" i="20"/>
  <c r="U53" i="20"/>
  <c r="U54" i="20"/>
  <c r="U55" i="20"/>
  <c r="U56" i="20"/>
  <c r="U57" i="20"/>
  <c r="U58" i="20"/>
  <c r="U59" i="20"/>
  <c r="U60" i="20"/>
  <c r="U61" i="20"/>
  <c r="U62" i="20"/>
  <c r="U63" i="20"/>
  <c r="U64" i="20"/>
  <c r="U65" i="20"/>
  <c r="U66" i="20"/>
  <c r="U67" i="20"/>
  <c r="U68" i="20"/>
  <c r="U69" i="20"/>
  <c r="U70" i="20"/>
  <c r="U71" i="20"/>
  <c r="U72" i="20"/>
  <c r="U73" i="20"/>
  <c r="U74" i="20"/>
  <c r="U75" i="20"/>
  <c r="U76" i="20"/>
  <c r="U77" i="20"/>
  <c r="U78" i="20"/>
  <c r="U79" i="20"/>
  <c r="U80" i="20"/>
  <c r="U81" i="20"/>
  <c r="U82" i="20"/>
  <c r="U83" i="20"/>
  <c r="U84" i="20"/>
  <c r="U85" i="20"/>
  <c r="U86" i="20"/>
  <c r="U87" i="20"/>
  <c r="U88" i="20"/>
  <c r="U89" i="20"/>
  <c r="U90" i="20"/>
  <c r="U91" i="20"/>
  <c r="U92" i="20"/>
  <c r="U93" i="20"/>
  <c r="T95" i="20"/>
  <c r="T96" i="20"/>
  <c r="T97" i="20"/>
  <c r="T98" i="20"/>
  <c r="T99" i="20"/>
  <c r="T18" i="20"/>
  <c r="T19" i="20"/>
  <c r="T20" i="20"/>
  <c r="T21" i="20"/>
  <c r="T22"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S95" i="20"/>
  <c r="S96" i="20"/>
  <c r="S97" i="20"/>
  <c r="S98" i="20"/>
  <c r="S99" i="20"/>
  <c r="S18" i="20"/>
  <c r="S19" i="20"/>
  <c r="S20" i="20"/>
  <c r="S21" i="20"/>
  <c r="S22" i="20"/>
  <c r="S23" i="20"/>
  <c r="S24" i="20"/>
  <c r="S25" i="20"/>
  <c r="S26" i="20"/>
  <c r="S27" i="20"/>
  <c r="S28" i="20"/>
  <c r="S29" i="20"/>
  <c r="S30" i="20"/>
  <c r="S31" i="20"/>
  <c r="S32" i="20"/>
  <c r="S33" i="20"/>
  <c r="S34" i="20"/>
  <c r="S35" i="20"/>
  <c r="S36" i="20"/>
  <c r="S37" i="20"/>
  <c r="S38" i="20"/>
  <c r="S39" i="20"/>
  <c r="S40" i="20"/>
  <c r="S41" i="20"/>
  <c r="S42" i="20"/>
  <c r="S43" i="20"/>
  <c r="S44" i="20"/>
  <c r="S45" i="20"/>
  <c r="S46" i="20"/>
  <c r="S47" i="20"/>
  <c r="S48" i="20"/>
  <c r="S49" i="20"/>
  <c r="S50" i="20"/>
  <c r="S51" i="20"/>
  <c r="S52" i="20"/>
  <c r="S53" i="20"/>
  <c r="S54" i="20"/>
  <c r="S55" i="20"/>
  <c r="S56" i="20"/>
  <c r="S57" i="20"/>
  <c r="S58" i="20"/>
  <c r="S59" i="20"/>
  <c r="S60" i="20"/>
  <c r="S61" i="20"/>
  <c r="S62" i="20"/>
  <c r="S63" i="20"/>
  <c r="S64" i="20"/>
  <c r="S65" i="20"/>
  <c r="S66" i="20"/>
  <c r="S67" i="20"/>
  <c r="S68" i="20"/>
  <c r="S69" i="20"/>
  <c r="S70" i="20"/>
  <c r="S71" i="20"/>
  <c r="S72" i="20"/>
  <c r="S73" i="20"/>
  <c r="S74" i="20"/>
  <c r="S75" i="20"/>
  <c r="S76" i="20"/>
  <c r="S77" i="20"/>
  <c r="S78" i="20"/>
  <c r="S79" i="20"/>
  <c r="S80" i="20"/>
  <c r="S81" i="20"/>
  <c r="S82" i="20"/>
  <c r="S83" i="20"/>
  <c r="S84" i="20"/>
  <c r="S85" i="20"/>
  <c r="S86" i="20"/>
  <c r="S87" i="20"/>
  <c r="S88" i="20"/>
  <c r="S89" i="20"/>
  <c r="S90" i="20"/>
  <c r="S91" i="20"/>
  <c r="S92" i="20"/>
  <c r="S93" i="20"/>
  <c r="R95" i="20"/>
  <c r="R96" i="20"/>
  <c r="R97" i="20"/>
  <c r="R98" i="20"/>
  <c r="R99" i="20"/>
  <c r="R18" i="20"/>
  <c r="R19" i="20"/>
  <c r="R20" i="20"/>
  <c r="R21" i="20"/>
  <c r="R22" i="20"/>
  <c r="R23" i="20"/>
  <c r="R24" i="20"/>
  <c r="R25" i="20"/>
  <c r="R26" i="20"/>
  <c r="R27" i="20"/>
  <c r="R28" i="20"/>
  <c r="R29" i="20"/>
  <c r="R30" i="20"/>
  <c r="R31" i="20"/>
  <c r="R32" i="20"/>
  <c r="R33" i="20"/>
  <c r="R34" i="20"/>
  <c r="R35" i="20"/>
  <c r="R36" i="20"/>
  <c r="R37" i="20"/>
  <c r="R38" i="20"/>
  <c r="R39" i="20"/>
  <c r="R40" i="20"/>
  <c r="R41" i="20"/>
  <c r="R42" i="20"/>
  <c r="R43" i="20"/>
  <c r="R44" i="20"/>
  <c r="R45" i="20"/>
  <c r="R46" i="20"/>
  <c r="R47" i="20"/>
  <c r="R48" i="20"/>
  <c r="R49" i="20"/>
  <c r="R50" i="20"/>
  <c r="R51" i="20"/>
  <c r="R52" i="20"/>
  <c r="R53" i="20"/>
  <c r="R54" i="20"/>
  <c r="R55" i="20"/>
  <c r="R56" i="20"/>
  <c r="R57" i="20"/>
  <c r="R58" i="20"/>
  <c r="R59" i="20"/>
  <c r="R60" i="20"/>
  <c r="R61" i="20"/>
  <c r="R62" i="20"/>
  <c r="R63" i="20"/>
  <c r="R64" i="20"/>
  <c r="R65" i="20"/>
  <c r="R66" i="20"/>
  <c r="R67" i="20"/>
  <c r="R68" i="20"/>
  <c r="R69" i="20"/>
  <c r="R70" i="20"/>
  <c r="R71" i="20"/>
  <c r="R72" i="20"/>
  <c r="R73" i="20"/>
  <c r="R74" i="20"/>
  <c r="R75" i="20"/>
  <c r="R76" i="20"/>
  <c r="R77" i="20"/>
  <c r="R78" i="20"/>
  <c r="R79" i="20"/>
  <c r="R80" i="20"/>
  <c r="R81" i="20"/>
  <c r="R82" i="20"/>
  <c r="R83" i="20"/>
  <c r="R84" i="20"/>
  <c r="R85" i="20"/>
  <c r="R86" i="20"/>
  <c r="R87" i="20"/>
  <c r="R88" i="20"/>
  <c r="R89" i="20"/>
  <c r="R90" i="20"/>
  <c r="R91" i="20"/>
  <c r="R92" i="20"/>
  <c r="R93" i="20"/>
  <c r="Q95" i="20"/>
  <c r="Q96" i="20"/>
  <c r="Q97" i="20"/>
  <c r="Q98" i="20"/>
  <c r="Q99" i="20"/>
  <c r="Q18" i="20"/>
  <c r="Q19" i="20"/>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P95" i="20"/>
  <c r="P96" i="20"/>
  <c r="P97" i="20"/>
  <c r="P98" i="20"/>
  <c r="P99" i="20"/>
  <c r="P18" i="20"/>
  <c r="P19" i="20"/>
  <c r="P20" i="20"/>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O95" i="20"/>
  <c r="O96" i="20"/>
  <c r="O97" i="20"/>
  <c r="O98" i="20"/>
  <c r="O99" i="20"/>
  <c r="O18" i="20"/>
  <c r="O19" i="20"/>
  <c r="O20" i="20"/>
  <c r="O21" i="20"/>
  <c r="O22" i="20"/>
  <c r="O23" i="20"/>
  <c r="O24" i="20"/>
  <c r="O25" i="20"/>
  <c r="O26" i="20"/>
  <c r="O27" i="20"/>
  <c r="O28" i="20"/>
  <c r="O29" i="20"/>
  <c r="O30" i="20"/>
  <c r="O31" i="20"/>
  <c r="O32" i="20"/>
  <c r="O33" i="20"/>
  <c r="O34" i="20"/>
  <c r="O35" i="20"/>
  <c r="O36" i="20"/>
  <c r="O37" i="20"/>
  <c r="O38" i="20"/>
  <c r="O39" i="20"/>
  <c r="O40" i="20"/>
  <c r="O41" i="20"/>
  <c r="O42" i="20"/>
  <c r="O43" i="20"/>
  <c r="O44" i="20"/>
  <c r="O45" i="20"/>
  <c r="O46" i="20"/>
  <c r="O47" i="20"/>
  <c r="O48" i="20"/>
  <c r="O49" i="20"/>
  <c r="O50" i="20"/>
  <c r="O51" i="20"/>
  <c r="O52" i="20"/>
  <c r="O53" i="20"/>
  <c r="O54" i="20"/>
  <c r="O55" i="20"/>
  <c r="O56" i="20"/>
  <c r="O57" i="20"/>
  <c r="O58" i="20"/>
  <c r="O59" i="20"/>
  <c r="O60" i="20"/>
  <c r="O61" i="20"/>
  <c r="O62" i="20"/>
  <c r="O63" i="20"/>
  <c r="O64" i="20"/>
  <c r="O65" i="20"/>
  <c r="O66" i="20"/>
  <c r="O67" i="20"/>
  <c r="O68" i="20"/>
  <c r="O69" i="20"/>
  <c r="O70" i="20"/>
  <c r="O71" i="20"/>
  <c r="O72" i="20"/>
  <c r="O73" i="20"/>
  <c r="O74" i="20"/>
  <c r="O75" i="20"/>
  <c r="O76" i="20"/>
  <c r="O77" i="20"/>
  <c r="O78" i="20"/>
  <c r="O79" i="20"/>
  <c r="O80" i="20"/>
  <c r="O81" i="20"/>
  <c r="O82" i="20"/>
  <c r="O83" i="20"/>
  <c r="O84" i="20"/>
  <c r="O85" i="20"/>
  <c r="O86" i="20"/>
  <c r="O87" i="20"/>
  <c r="O88" i="20"/>
  <c r="O89" i="20"/>
  <c r="O90" i="20"/>
  <c r="O91" i="20"/>
  <c r="O92" i="20"/>
  <c r="O93" i="20"/>
  <c r="N95" i="20"/>
  <c r="N96" i="20"/>
  <c r="N97" i="20"/>
  <c r="N98" i="20"/>
  <c r="N99" i="20"/>
  <c r="N18" i="20"/>
  <c r="N19" i="20"/>
  <c r="N20" i="20"/>
  <c r="N21" i="20"/>
  <c r="N22" i="20"/>
  <c r="N23" i="20"/>
  <c r="N24" i="20"/>
  <c r="N25" i="20"/>
  <c r="N26" i="20"/>
  <c r="N27" i="20"/>
  <c r="N28" i="20"/>
  <c r="N29" i="20"/>
  <c r="N30" i="20"/>
  <c r="N31" i="20"/>
  <c r="N32" i="20"/>
  <c r="N33" i="20"/>
  <c r="N34" i="20"/>
  <c r="N35" i="20"/>
  <c r="N36" i="20"/>
  <c r="N37" i="20"/>
  <c r="N38" i="20"/>
  <c r="N39" i="20"/>
  <c r="N40" i="20"/>
  <c r="N41" i="20"/>
  <c r="N42" i="20"/>
  <c r="N43" i="20"/>
  <c r="N44" i="20"/>
  <c r="N45" i="20"/>
  <c r="N46" i="20"/>
  <c r="N47" i="20"/>
  <c r="N48" i="20"/>
  <c r="N49" i="20"/>
  <c r="N50" i="20"/>
  <c r="N51" i="20"/>
  <c r="N52" i="20"/>
  <c r="N53" i="20"/>
  <c r="N54" i="20"/>
  <c r="N55" i="20"/>
  <c r="N56" i="20"/>
  <c r="N57" i="20"/>
  <c r="N58" i="20"/>
  <c r="N59" i="20"/>
  <c r="N60" i="20"/>
  <c r="N61" i="20"/>
  <c r="N62" i="20"/>
  <c r="N63" i="20"/>
  <c r="N64" i="20"/>
  <c r="N65" i="20"/>
  <c r="N66" i="20"/>
  <c r="N67" i="20"/>
  <c r="N68" i="20"/>
  <c r="N69" i="20"/>
  <c r="N70" i="20"/>
  <c r="N71" i="20"/>
  <c r="N72" i="20"/>
  <c r="N73" i="20"/>
  <c r="N74" i="20"/>
  <c r="N75" i="20"/>
  <c r="N76" i="20"/>
  <c r="N77" i="20"/>
  <c r="N78" i="20"/>
  <c r="N79" i="20"/>
  <c r="N80" i="20"/>
  <c r="N81" i="20"/>
  <c r="N82" i="20"/>
  <c r="N83" i="20"/>
  <c r="N84" i="20"/>
  <c r="N85" i="20"/>
  <c r="N86" i="20"/>
  <c r="N87" i="20"/>
  <c r="N88" i="20"/>
  <c r="N89" i="20"/>
  <c r="N90" i="20"/>
  <c r="N91" i="20"/>
  <c r="N92" i="20"/>
  <c r="N93" i="20"/>
  <c r="M95" i="20"/>
  <c r="M96" i="20"/>
  <c r="M97" i="20"/>
  <c r="M98" i="20"/>
  <c r="M99" i="20"/>
  <c r="M18" i="20"/>
  <c r="M19" i="20"/>
  <c r="M20" i="20"/>
  <c r="M21" i="20"/>
  <c r="M94" i="20" s="1"/>
  <c r="M22" i="20"/>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L95" i="20"/>
  <c r="L96" i="20"/>
  <c r="L97" i="20"/>
  <c r="L98" i="20"/>
  <c r="L99" i="20"/>
  <c r="L18" i="20"/>
  <c r="L19" i="20"/>
  <c r="L20" i="20"/>
  <c r="L21" i="20"/>
  <c r="L22" i="20"/>
  <c r="L23" i="20"/>
  <c r="L24" i="20"/>
  <c r="L25" i="20"/>
  <c r="L26" i="20"/>
  <c r="L27" i="20"/>
  <c r="L28" i="20"/>
  <c r="L29" i="20"/>
  <c r="L30" i="20"/>
  <c r="L31" i="20"/>
  <c r="L32" i="20"/>
  <c r="L33" i="20"/>
  <c r="L34" i="20"/>
  <c r="L35" i="20"/>
  <c r="L36" i="20"/>
  <c r="L37" i="20"/>
  <c r="L38" i="20"/>
  <c r="L39" i="20"/>
  <c r="L40" i="20"/>
  <c r="L41" i="20"/>
  <c r="L42" i="20"/>
  <c r="L43" i="20"/>
  <c r="L44" i="20"/>
  <c r="L45" i="20"/>
  <c r="L46" i="20"/>
  <c r="L47" i="20"/>
  <c r="L48" i="20"/>
  <c r="L49" i="20"/>
  <c r="L50" i="20"/>
  <c r="L51" i="20"/>
  <c r="L52" i="20"/>
  <c r="L53" i="20"/>
  <c r="L54" i="20"/>
  <c r="L55" i="20"/>
  <c r="L56" i="20"/>
  <c r="L57" i="20"/>
  <c r="L58" i="20"/>
  <c r="L59" i="20"/>
  <c r="L60" i="20"/>
  <c r="L61" i="20"/>
  <c r="L62" i="20"/>
  <c r="L63" i="20"/>
  <c r="L64" i="20"/>
  <c r="L65" i="20"/>
  <c r="L66" i="20"/>
  <c r="L67" i="20"/>
  <c r="L68" i="20"/>
  <c r="L69" i="20"/>
  <c r="L70" i="20"/>
  <c r="L71" i="20"/>
  <c r="L72" i="20"/>
  <c r="L73" i="20"/>
  <c r="L74" i="20"/>
  <c r="L75" i="20"/>
  <c r="L76" i="20"/>
  <c r="L77" i="20"/>
  <c r="L78" i="20"/>
  <c r="L79" i="20"/>
  <c r="L80" i="20"/>
  <c r="L81" i="20"/>
  <c r="L82" i="20"/>
  <c r="L83" i="20"/>
  <c r="L84" i="20"/>
  <c r="L85" i="20"/>
  <c r="L86" i="20"/>
  <c r="L87" i="20"/>
  <c r="L88" i="20"/>
  <c r="L89" i="20"/>
  <c r="L90" i="20"/>
  <c r="L91" i="20"/>
  <c r="L92" i="20"/>
  <c r="L93" i="20"/>
  <c r="K95" i="20"/>
  <c r="K96" i="20"/>
  <c r="K97" i="20"/>
  <c r="K98" i="20"/>
  <c r="K99" i="20"/>
  <c r="K18" i="20"/>
  <c r="K19" i="20"/>
  <c r="K20" i="20"/>
  <c r="K21" i="20"/>
  <c r="K22" i="20"/>
  <c r="K23" i="20"/>
  <c r="K24" i="20"/>
  <c r="K25" i="20"/>
  <c r="K26" i="20"/>
  <c r="K27" i="20"/>
  <c r="K28" i="20"/>
  <c r="K29" i="20"/>
  <c r="K30" i="20"/>
  <c r="K31" i="20"/>
  <c r="K32" i="20"/>
  <c r="K33" i="20"/>
  <c r="K34" i="20"/>
  <c r="K35" i="20"/>
  <c r="K36" i="20"/>
  <c r="K37" i="20"/>
  <c r="K38" i="20"/>
  <c r="K39" i="20"/>
  <c r="K40" i="20"/>
  <c r="K41" i="20"/>
  <c r="K42" i="20"/>
  <c r="K43" i="20"/>
  <c r="K44" i="20"/>
  <c r="K45" i="20"/>
  <c r="K46" i="20"/>
  <c r="K47" i="20"/>
  <c r="K48" i="20"/>
  <c r="K49" i="20"/>
  <c r="K50" i="20"/>
  <c r="K51" i="20"/>
  <c r="K52" i="20"/>
  <c r="K53" i="20"/>
  <c r="K54" i="20"/>
  <c r="K55" i="20"/>
  <c r="K56" i="20"/>
  <c r="K57" i="20"/>
  <c r="K58" i="20"/>
  <c r="K59" i="20"/>
  <c r="K60" i="20"/>
  <c r="K61" i="20"/>
  <c r="K62" i="20"/>
  <c r="K63" i="20"/>
  <c r="K64" i="20"/>
  <c r="K65" i="20"/>
  <c r="K66" i="20"/>
  <c r="K67" i="20"/>
  <c r="K68" i="20"/>
  <c r="K69" i="20"/>
  <c r="K70" i="20"/>
  <c r="K71" i="20"/>
  <c r="K72" i="20"/>
  <c r="K73" i="20"/>
  <c r="K74" i="20"/>
  <c r="K75" i="20"/>
  <c r="K76" i="20"/>
  <c r="K77" i="20"/>
  <c r="K78" i="20"/>
  <c r="K79" i="20"/>
  <c r="K80" i="20"/>
  <c r="K81" i="20"/>
  <c r="K82" i="20"/>
  <c r="K83" i="20"/>
  <c r="K84" i="20"/>
  <c r="K85" i="20"/>
  <c r="K86" i="20"/>
  <c r="K87" i="20"/>
  <c r="K88" i="20"/>
  <c r="K89" i="20"/>
  <c r="K90" i="20"/>
  <c r="K91" i="20"/>
  <c r="K92" i="20"/>
  <c r="K93" i="20"/>
  <c r="J95" i="20"/>
  <c r="J96" i="20"/>
  <c r="J97" i="20"/>
  <c r="J98" i="20"/>
  <c r="J99" i="20"/>
  <c r="J18" i="20"/>
  <c r="J19" i="20"/>
  <c r="J20" i="20"/>
  <c r="J21" i="20"/>
  <c r="J22" i="20"/>
  <c r="J23" i="20"/>
  <c r="J24" i="20"/>
  <c r="J25" i="20"/>
  <c r="J26" i="20"/>
  <c r="J27" i="20"/>
  <c r="J28" i="20"/>
  <c r="J29" i="20"/>
  <c r="J30" i="20"/>
  <c r="J31" i="20"/>
  <c r="J32" i="20"/>
  <c r="J33" i="20"/>
  <c r="J34" i="20"/>
  <c r="J35" i="20"/>
  <c r="J36" i="20"/>
  <c r="J37" i="20"/>
  <c r="J38" i="20"/>
  <c r="J39" i="20"/>
  <c r="J40" i="20"/>
  <c r="J41" i="20"/>
  <c r="J42" i="20"/>
  <c r="J43" i="20"/>
  <c r="J44" i="20"/>
  <c r="J45" i="20"/>
  <c r="J46" i="20"/>
  <c r="J47" i="20"/>
  <c r="J48" i="20"/>
  <c r="J49" i="20"/>
  <c r="J50" i="20"/>
  <c r="J51" i="20"/>
  <c r="J52" i="20"/>
  <c r="J53" i="20"/>
  <c r="J54" i="20"/>
  <c r="J55" i="20"/>
  <c r="J56" i="20"/>
  <c r="J57" i="20"/>
  <c r="J58" i="20"/>
  <c r="J59" i="20"/>
  <c r="J60" i="20"/>
  <c r="J61" i="20"/>
  <c r="J62" i="20"/>
  <c r="J63" i="20"/>
  <c r="J64" i="20"/>
  <c r="J65" i="20"/>
  <c r="J66" i="20"/>
  <c r="J67" i="20"/>
  <c r="J68" i="20"/>
  <c r="J69" i="20"/>
  <c r="J70" i="20"/>
  <c r="J71" i="20"/>
  <c r="J72" i="20"/>
  <c r="J73" i="20"/>
  <c r="J74" i="20"/>
  <c r="J75" i="20"/>
  <c r="J76" i="20"/>
  <c r="J77" i="20"/>
  <c r="J78" i="20"/>
  <c r="J79" i="20"/>
  <c r="J80" i="20"/>
  <c r="J81" i="20"/>
  <c r="J82" i="20"/>
  <c r="J83" i="20"/>
  <c r="J84" i="20"/>
  <c r="J85" i="20"/>
  <c r="J86" i="20"/>
  <c r="J87" i="20"/>
  <c r="J88" i="20"/>
  <c r="J89" i="20"/>
  <c r="J90" i="20"/>
  <c r="J91" i="20"/>
  <c r="J92" i="20"/>
  <c r="J93" i="20"/>
  <c r="I95" i="20"/>
  <c r="I96" i="20"/>
  <c r="I97" i="20"/>
  <c r="I98" i="20"/>
  <c r="I99"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H95" i="20"/>
  <c r="H96" i="20"/>
  <c r="H97" i="20"/>
  <c r="H98" i="20"/>
  <c r="H99"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74" i="20"/>
  <c r="H75" i="20"/>
  <c r="H76" i="20"/>
  <c r="H77" i="20"/>
  <c r="H78" i="20"/>
  <c r="H79" i="20"/>
  <c r="H80" i="20"/>
  <c r="H81" i="20"/>
  <c r="H82" i="20"/>
  <c r="H83" i="20"/>
  <c r="H84" i="20"/>
  <c r="H85" i="20"/>
  <c r="H86" i="20"/>
  <c r="H87" i="20"/>
  <c r="H88" i="20"/>
  <c r="H89" i="20"/>
  <c r="H90" i="20"/>
  <c r="H91" i="20"/>
  <c r="H92" i="20"/>
  <c r="H93" i="20"/>
  <c r="G95" i="20"/>
  <c r="G96" i="20"/>
  <c r="G97" i="20"/>
  <c r="G98" i="20"/>
  <c r="G99" i="20"/>
  <c r="G18" i="20"/>
  <c r="G19" i="20"/>
  <c r="G20" i="20"/>
  <c r="G21" i="20"/>
  <c r="G22" i="20"/>
  <c r="G23" i="20"/>
  <c r="G24" i="20"/>
  <c r="G25" i="20"/>
  <c r="G26" i="20"/>
  <c r="G27" i="20"/>
  <c r="G28" i="20"/>
  <c r="G29" i="20"/>
  <c r="G30" i="20"/>
  <c r="G31" i="20"/>
  <c r="G32" i="20"/>
  <c r="G33" i="20"/>
  <c r="G34" i="20"/>
  <c r="G35" i="20"/>
  <c r="G36" i="20"/>
  <c r="G37" i="20"/>
  <c r="G38" i="20"/>
  <c r="G39" i="20"/>
  <c r="G40" i="20"/>
  <c r="G41" i="20"/>
  <c r="G42" i="20"/>
  <c r="G43" i="20"/>
  <c r="G44" i="20"/>
  <c r="G45" i="20"/>
  <c r="G46" i="20"/>
  <c r="G47" i="20"/>
  <c r="G48" i="20"/>
  <c r="G49" i="20"/>
  <c r="G50" i="20"/>
  <c r="G51" i="20"/>
  <c r="G52" i="20"/>
  <c r="G53" i="20"/>
  <c r="G54" i="20"/>
  <c r="G55" i="20"/>
  <c r="G56" i="20"/>
  <c r="G57" i="20"/>
  <c r="G58" i="20"/>
  <c r="G59" i="20"/>
  <c r="G60" i="20"/>
  <c r="G61" i="20"/>
  <c r="G62" i="20"/>
  <c r="G63" i="20"/>
  <c r="G64" i="20"/>
  <c r="G65" i="20"/>
  <c r="G66" i="20"/>
  <c r="G67" i="20"/>
  <c r="G68" i="20"/>
  <c r="G69" i="20"/>
  <c r="G70" i="20"/>
  <c r="G71" i="20"/>
  <c r="G72" i="20"/>
  <c r="G73" i="20"/>
  <c r="G74" i="20"/>
  <c r="G75" i="20"/>
  <c r="G76" i="20"/>
  <c r="G77" i="20"/>
  <c r="G78" i="20"/>
  <c r="G79" i="20"/>
  <c r="G80" i="20"/>
  <c r="G81" i="20"/>
  <c r="G82" i="20"/>
  <c r="G83" i="20"/>
  <c r="G84" i="20"/>
  <c r="G85" i="20"/>
  <c r="G86" i="20"/>
  <c r="G87" i="20"/>
  <c r="G88" i="20"/>
  <c r="G89" i="20"/>
  <c r="G90" i="20"/>
  <c r="G91" i="20"/>
  <c r="G92" i="20"/>
  <c r="G93" i="20"/>
  <c r="F95" i="20"/>
  <c r="F96" i="20"/>
  <c r="F97" i="20"/>
  <c r="F98" i="20"/>
  <c r="F99"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F62" i="20"/>
  <c r="F63" i="20"/>
  <c r="F64" i="20"/>
  <c r="F65" i="20"/>
  <c r="F66" i="20"/>
  <c r="F67" i="20"/>
  <c r="F68" i="20"/>
  <c r="F69" i="20"/>
  <c r="F70" i="20"/>
  <c r="F71" i="20"/>
  <c r="F72" i="20"/>
  <c r="F73" i="20"/>
  <c r="F74" i="20"/>
  <c r="F75" i="20"/>
  <c r="F76" i="20"/>
  <c r="F77" i="20"/>
  <c r="F78" i="20"/>
  <c r="F79" i="20"/>
  <c r="F80" i="20"/>
  <c r="F81" i="20"/>
  <c r="F82" i="20"/>
  <c r="F83" i="20"/>
  <c r="F84" i="20"/>
  <c r="F85" i="20"/>
  <c r="F86" i="20"/>
  <c r="F87" i="20"/>
  <c r="F88" i="20"/>
  <c r="F89" i="20"/>
  <c r="F90" i="20"/>
  <c r="F91" i="20"/>
  <c r="F92" i="20"/>
  <c r="F93" i="20"/>
  <c r="E95" i="20"/>
  <c r="E96" i="20"/>
  <c r="E97" i="20"/>
  <c r="E98" i="20"/>
  <c r="E99"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0" i="20"/>
  <c r="E51" i="20"/>
  <c r="E52" i="20"/>
  <c r="E53" i="20"/>
  <c r="E54" i="20"/>
  <c r="E55" i="20"/>
  <c r="E56" i="20"/>
  <c r="E57" i="20"/>
  <c r="E58" i="20"/>
  <c r="E59" i="20"/>
  <c r="E60" i="20"/>
  <c r="E61" i="20"/>
  <c r="E62" i="20"/>
  <c r="E63" i="20"/>
  <c r="E64" i="20"/>
  <c r="E65" i="20"/>
  <c r="E66" i="20"/>
  <c r="E67" i="20"/>
  <c r="E68" i="20"/>
  <c r="E69" i="20"/>
  <c r="E70" i="20"/>
  <c r="E71" i="20"/>
  <c r="E72" i="20"/>
  <c r="E73" i="20"/>
  <c r="E74" i="20"/>
  <c r="E75" i="20"/>
  <c r="E76" i="20"/>
  <c r="E77" i="20"/>
  <c r="E78" i="20"/>
  <c r="E79" i="20"/>
  <c r="E80" i="20"/>
  <c r="E81" i="20"/>
  <c r="E82" i="20"/>
  <c r="E83" i="20"/>
  <c r="E84" i="20"/>
  <c r="E85" i="20"/>
  <c r="E86" i="20"/>
  <c r="E87" i="20"/>
  <c r="E88" i="20"/>
  <c r="E89" i="20"/>
  <c r="E90" i="20"/>
  <c r="E91" i="20"/>
  <c r="E92" i="20"/>
  <c r="E93" i="20"/>
  <c r="D95" i="20"/>
  <c r="D96" i="20"/>
  <c r="D97" i="20"/>
  <c r="D98" i="20"/>
  <c r="D99"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D62" i="20"/>
  <c r="D63" i="20"/>
  <c r="D64" i="20"/>
  <c r="D65" i="20"/>
  <c r="D66" i="20"/>
  <c r="D67" i="20"/>
  <c r="D68" i="20"/>
  <c r="D69" i="20"/>
  <c r="D70" i="20"/>
  <c r="D71" i="20"/>
  <c r="D72" i="20"/>
  <c r="D73" i="20"/>
  <c r="D74" i="20"/>
  <c r="D75" i="20"/>
  <c r="D76" i="20"/>
  <c r="D77" i="20"/>
  <c r="D78" i="20"/>
  <c r="D79" i="20"/>
  <c r="D80" i="20"/>
  <c r="D81" i="20"/>
  <c r="D82" i="20"/>
  <c r="D83" i="20"/>
  <c r="D84" i="20"/>
  <c r="D85" i="20"/>
  <c r="D86" i="20"/>
  <c r="D87" i="20"/>
  <c r="D88" i="20"/>
  <c r="D89" i="20"/>
  <c r="D90" i="20"/>
  <c r="D91" i="20"/>
  <c r="D92" i="20"/>
  <c r="D93" i="20"/>
  <c r="AH5" i="20"/>
  <c r="AH6" i="20"/>
  <c r="AH7" i="20"/>
  <c r="AH8" i="20"/>
  <c r="AH9" i="20"/>
  <c r="AH10" i="20"/>
  <c r="AH11" i="20"/>
  <c r="AH12" i="20"/>
  <c r="AH13" i="20"/>
  <c r="AH14" i="20"/>
  <c r="AH15" i="20"/>
  <c r="AG5" i="20"/>
  <c r="AG6" i="20"/>
  <c r="AG7" i="20"/>
  <c r="AG8" i="20"/>
  <c r="AG9" i="20"/>
  <c r="AG10" i="20"/>
  <c r="AG11" i="20"/>
  <c r="AG12" i="20"/>
  <c r="AG13" i="20"/>
  <c r="AG14" i="20"/>
  <c r="AG15" i="20"/>
  <c r="AF5" i="20"/>
  <c r="AF6" i="20"/>
  <c r="AF7" i="20"/>
  <c r="AF8" i="20"/>
  <c r="AF9" i="20"/>
  <c r="AF10" i="20"/>
  <c r="AF11" i="20"/>
  <c r="AF12" i="20"/>
  <c r="AF13" i="20"/>
  <c r="AF14" i="20"/>
  <c r="AF15" i="20"/>
  <c r="AE5" i="20"/>
  <c r="AE6" i="20"/>
  <c r="AE7" i="20"/>
  <c r="AE8" i="20"/>
  <c r="AE9" i="20"/>
  <c r="AE10" i="20"/>
  <c r="AE11" i="20"/>
  <c r="AE12" i="20"/>
  <c r="AE13" i="20"/>
  <c r="AE14" i="20"/>
  <c r="AE15" i="20"/>
  <c r="AD5" i="20"/>
  <c r="AD6" i="20"/>
  <c r="AD7" i="20"/>
  <c r="AD16" i="20" s="1"/>
  <c r="AD101" i="20" s="1"/>
  <c r="AD8" i="20"/>
  <c r="AD9" i="20"/>
  <c r="AD10" i="20"/>
  <c r="AD11" i="20"/>
  <c r="AD12" i="20"/>
  <c r="AD13" i="20"/>
  <c r="AD14" i="20"/>
  <c r="AD15" i="20"/>
  <c r="AC5" i="20"/>
  <c r="AC6" i="20"/>
  <c r="AC7" i="20"/>
  <c r="AC8" i="20"/>
  <c r="AC9" i="20"/>
  <c r="AC10" i="20"/>
  <c r="AC11" i="20"/>
  <c r="AC12" i="20"/>
  <c r="AC13" i="20"/>
  <c r="AC14" i="20"/>
  <c r="AC15" i="20"/>
  <c r="AB5" i="20"/>
  <c r="AB6" i="20"/>
  <c r="AB7" i="20"/>
  <c r="AB8" i="20"/>
  <c r="AB9" i="20"/>
  <c r="AB10" i="20"/>
  <c r="AB11" i="20"/>
  <c r="AB12" i="20"/>
  <c r="AB13" i="20"/>
  <c r="AB14" i="20"/>
  <c r="AB15" i="20"/>
  <c r="AA5" i="20"/>
  <c r="AA6" i="20"/>
  <c r="AA7" i="20"/>
  <c r="AA8" i="20"/>
  <c r="AA9" i="20"/>
  <c r="AA10" i="20"/>
  <c r="AA11" i="20"/>
  <c r="AA12" i="20"/>
  <c r="AA13" i="20"/>
  <c r="AA14" i="20"/>
  <c r="AA15" i="20"/>
  <c r="Z5" i="20"/>
  <c r="Z6" i="20"/>
  <c r="Z7" i="20"/>
  <c r="Z8" i="20"/>
  <c r="Z9" i="20"/>
  <c r="Z10" i="20"/>
  <c r="Z11" i="20"/>
  <c r="Z12" i="20"/>
  <c r="Z13" i="20"/>
  <c r="Z14" i="20"/>
  <c r="Z15" i="20"/>
  <c r="Y5" i="20"/>
  <c r="Y6" i="20"/>
  <c r="Y7" i="20"/>
  <c r="Y8" i="20"/>
  <c r="Y9" i="20"/>
  <c r="Y10" i="20"/>
  <c r="Y11" i="20"/>
  <c r="Y12" i="20"/>
  <c r="Y13" i="20"/>
  <c r="Y14" i="20"/>
  <c r="Y15" i="20"/>
  <c r="X5" i="20"/>
  <c r="X6" i="20"/>
  <c r="X7" i="20"/>
  <c r="X8" i="20"/>
  <c r="X9" i="20"/>
  <c r="X10" i="20"/>
  <c r="X11" i="20"/>
  <c r="X12" i="20"/>
  <c r="X13" i="20"/>
  <c r="X14" i="20"/>
  <c r="X15" i="20"/>
  <c r="W5" i="20"/>
  <c r="W6" i="20"/>
  <c r="W7" i="20"/>
  <c r="W8" i="20"/>
  <c r="W9" i="20"/>
  <c r="W10" i="20"/>
  <c r="W11" i="20"/>
  <c r="W12" i="20"/>
  <c r="W13" i="20"/>
  <c r="W14" i="20"/>
  <c r="W15" i="20"/>
  <c r="V5" i="20"/>
  <c r="V6" i="20"/>
  <c r="V7" i="20"/>
  <c r="V8" i="20"/>
  <c r="V9" i="20"/>
  <c r="V10" i="20"/>
  <c r="V11" i="20"/>
  <c r="V12" i="20"/>
  <c r="V13" i="20"/>
  <c r="V14" i="20"/>
  <c r="V15" i="20"/>
  <c r="U5" i="20"/>
  <c r="U6" i="20"/>
  <c r="U7" i="20"/>
  <c r="U8" i="20"/>
  <c r="U9" i="20"/>
  <c r="U10" i="20"/>
  <c r="U11" i="20"/>
  <c r="U12" i="20"/>
  <c r="U13" i="20"/>
  <c r="U14" i="20"/>
  <c r="U15" i="20"/>
  <c r="T5" i="20"/>
  <c r="T16" i="20" s="1"/>
  <c r="T6" i="20"/>
  <c r="T7" i="20"/>
  <c r="T8" i="20"/>
  <c r="T9" i="20"/>
  <c r="T10" i="20"/>
  <c r="T11" i="20"/>
  <c r="T12" i="20"/>
  <c r="T13" i="20"/>
  <c r="T14" i="20"/>
  <c r="T15" i="20"/>
  <c r="S5" i="20"/>
  <c r="S6" i="20"/>
  <c r="S7" i="20"/>
  <c r="S8" i="20"/>
  <c r="S9" i="20"/>
  <c r="S10" i="20"/>
  <c r="S11" i="20"/>
  <c r="S12" i="20"/>
  <c r="S13" i="20"/>
  <c r="S14" i="20"/>
  <c r="S15" i="20"/>
  <c r="R5" i="20"/>
  <c r="R6" i="20"/>
  <c r="R7" i="20"/>
  <c r="R8" i="20"/>
  <c r="R9" i="20"/>
  <c r="R10" i="20"/>
  <c r="R11" i="20"/>
  <c r="R12" i="20"/>
  <c r="R13" i="20"/>
  <c r="R14" i="20"/>
  <c r="R15" i="20"/>
  <c r="Q5" i="20"/>
  <c r="Q6" i="20"/>
  <c r="Q7" i="20"/>
  <c r="Q8" i="20"/>
  <c r="Q9" i="20"/>
  <c r="Q10" i="20"/>
  <c r="Q11" i="20"/>
  <c r="Q12" i="20"/>
  <c r="Q13" i="20"/>
  <c r="Q14" i="20"/>
  <c r="Q15" i="20"/>
  <c r="P5" i="20"/>
  <c r="P6" i="20"/>
  <c r="P7" i="20"/>
  <c r="P8" i="20"/>
  <c r="P9" i="20"/>
  <c r="P10" i="20"/>
  <c r="P11" i="20"/>
  <c r="P12" i="20"/>
  <c r="P13" i="20"/>
  <c r="P14" i="20"/>
  <c r="P15" i="20"/>
  <c r="O5" i="20"/>
  <c r="O6" i="20"/>
  <c r="O7" i="20"/>
  <c r="O8" i="20"/>
  <c r="O9" i="20"/>
  <c r="O10" i="20"/>
  <c r="O11" i="20"/>
  <c r="O12" i="20"/>
  <c r="O13" i="20"/>
  <c r="O14" i="20"/>
  <c r="O15" i="20"/>
  <c r="N5" i="20"/>
  <c r="N6" i="20"/>
  <c r="N7" i="20"/>
  <c r="N8" i="20"/>
  <c r="N9" i="20"/>
  <c r="N10" i="20"/>
  <c r="N11" i="20"/>
  <c r="N12" i="20"/>
  <c r="N13" i="20"/>
  <c r="N14" i="20"/>
  <c r="N15" i="20"/>
  <c r="M5" i="20"/>
  <c r="M6" i="20"/>
  <c r="M7" i="20"/>
  <c r="M8" i="20"/>
  <c r="M9" i="20"/>
  <c r="M10" i="20"/>
  <c r="M11" i="20"/>
  <c r="M12" i="20"/>
  <c r="M13" i="20"/>
  <c r="M14" i="20"/>
  <c r="M15" i="20"/>
  <c r="L5" i="20"/>
  <c r="L16" i="20" s="1"/>
  <c r="L6" i="20"/>
  <c r="L7" i="20"/>
  <c r="L8" i="20"/>
  <c r="L9" i="20"/>
  <c r="L10" i="20"/>
  <c r="L11" i="20"/>
  <c r="L12" i="20"/>
  <c r="L13" i="20"/>
  <c r="L14" i="20"/>
  <c r="L15" i="20"/>
  <c r="K5" i="20"/>
  <c r="K6" i="20"/>
  <c r="K7" i="20"/>
  <c r="K8" i="20"/>
  <c r="K9" i="20"/>
  <c r="K10" i="20"/>
  <c r="K11" i="20"/>
  <c r="K12" i="20"/>
  <c r="K13" i="20"/>
  <c r="K14" i="20"/>
  <c r="K15" i="20"/>
  <c r="J5" i="20"/>
  <c r="J6" i="20"/>
  <c r="J7" i="20"/>
  <c r="J8" i="20"/>
  <c r="J9" i="20"/>
  <c r="J10" i="20"/>
  <c r="J11" i="20"/>
  <c r="J12" i="20"/>
  <c r="J13" i="20"/>
  <c r="J14" i="20"/>
  <c r="J15" i="20"/>
  <c r="I5" i="20"/>
  <c r="I6" i="20"/>
  <c r="I7" i="20"/>
  <c r="I8" i="20"/>
  <c r="I16" i="20" s="1"/>
  <c r="I9" i="20"/>
  <c r="I10" i="20"/>
  <c r="I11" i="20"/>
  <c r="I12" i="20"/>
  <c r="I13" i="20"/>
  <c r="I14" i="20"/>
  <c r="I15" i="20"/>
  <c r="H5" i="20"/>
  <c r="H6" i="20"/>
  <c r="H7" i="20"/>
  <c r="H8" i="20"/>
  <c r="H9" i="20"/>
  <c r="H10" i="20"/>
  <c r="H11" i="20"/>
  <c r="H12" i="20"/>
  <c r="H13" i="20"/>
  <c r="H14" i="20"/>
  <c r="H15" i="20"/>
  <c r="G5" i="20"/>
  <c r="G6" i="20"/>
  <c r="G7" i="20"/>
  <c r="G8" i="20"/>
  <c r="G9" i="20"/>
  <c r="G10" i="20"/>
  <c r="G11" i="20"/>
  <c r="G12" i="20"/>
  <c r="G13" i="20"/>
  <c r="G14" i="20"/>
  <c r="G15" i="20"/>
  <c r="F5" i="20"/>
  <c r="F6" i="20"/>
  <c r="F7" i="20"/>
  <c r="F8" i="20"/>
  <c r="F9" i="20"/>
  <c r="F10" i="20"/>
  <c r="F11" i="20"/>
  <c r="F12" i="20"/>
  <c r="F13" i="20"/>
  <c r="F14" i="20"/>
  <c r="F15" i="20"/>
  <c r="E5" i="20"/>
  <c r="E6" i="20"/>
  <c r="E7" i="20"/>
  <c r="E8" i="20"/>
  <c r="E9" i="20"/>
  <c r="E10" i="20"/>
  <c r="E11" i="20"/>
  <c r="E12" i="20"/>
  <c r="E13" i="20"/>
  <c r="E14" i="20"/>
  <c r="E15" i="20"/>
  <c r="D5" i="20"/>
  <c r="D6" i="20"/>
  <c r="D7" i="20"/>
  <c r="D8" i="20"/>
  <c r="D9" i="20"/>
  <c r="D10" i="20"/>
  <c r="D11" i="20"/>
  <c r="D12" i="20"/>
  <c r="D13" i="20"/>
  <c r="D14" i="20"/>
  <c r="D15" i="20"/>
  <c r="L39" i="14"/>
  <c r="L40" i="14"/>
  <c r="L41" i="14"/>
  <c r="L42" i="14"/>
  <c r="L43" i="14"/>
  <c r="L44" i="14"/>
  <c r="L45" i="14"/>
  <c r="L46" i="14"/>
  <c r="L47" i="14"/>
  <c r="L48" i="14"/>
  <c r="L49" i="14"/>
  <c r="L50" i="14"/>
  <c r="L51" i="14"/>
  <c r="L52" i="14"/>
  <c r="L53" i="14"/>
  <c r="K39" i="14"/>
  <c r="K40" i="14"/>
  <c r="K41" i="14"/>
  <c r="K42" i="14"/>
  <c r="K43" i="14"/>
  <c r="K44" i="14"/>
  <c r="K45" i="14"/>
  <c r="K46" i="14"/>
  <c r="K47" i="14"/>
  <c r="K48" i="14"/>
  <c r="K49" i="14"/>
  <c r="K50" i="14"/>
  <c r="K51" i="14"/>
  <c r="K52" i="14"/>
  <c r="K53" i="14"/>
  <c r="L35" i="14"/>
  <c r="L36" i="14"/>
  <c r="K35" i="14"/>
  <c r="K36" i="14"/>
  <c r="L30" i="14"/>
  <c r="K30" i="14"/>
  <c r="L17" i="14"/>
  <c r="L18" i="14"/>
  <c r="L19" i="14"/>
  <c r="L20" i="14"/>
  <c r="L21" i="14"/>
  <c r="L22" i="14"/>
  <c r="L23" i="14"/>
  <c r="L24" i="14"/>
  <c r="L25" i="14"/>
  <c r="K17" i="14"/>
  <c r="K18" i="14"/>
  <c r="K19" i="14"/>
  <c r="K20" i="14"/>
  <c r="K21" i="14"/>
  <c r="K22" i="14"/>
  <c r="K23" i="14"/>
  <c r="K24" i="14"/>
  <c r="K25" i="14"/>
  <c r="L6" i="14"/>
  <c r="L7" i="14"/>
  <c r="L8" i="14"/>
  <c r="L9" i="14"/>
  <c r="L10" i="14"/>
  <c r="L11" i="14"/>
  <c r="L12" i="14"/>
  <c r="L13" i="14"/>
  <c r="L14" i="14"/>
  <c r="K6" i="14"/>
  <c r="K7" i="14"/>
  <c r="K8" i="14"/>
  <c r="K9" i="14"/>
  <c r="K10" i="14"/>
  <c r="K11" i="14"/>
  <c r="K12" i="14"/>
  <c r="K13" i="14"/>
  <c r="K14" i="14"/>
  <c r="F5" i="14"/>
  <c r="F6"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89" i="14"/>
  <c r="F90" i="14"/>
  <c r="F91" i="14"/>
  <c r="F92" i="14"/>
  <c r="F93" i="14"/>
  <c r="F94" i="14"/>
  <c r="F95" i="14"/>
  <c r="F96" i="14"/>
  <c r="F97" i="14"/>
  <c r="F98" i="14"/>
  <c r="F99" i="14"/>
  <c r="F100" i="14"/>
  <c r="F101" i="14"/>
  <c r="F102" i="14"/>
  <c r="F103" i="14"/>
  <c r="F104" i="14"/>
  <c r="F105" i="14"/>
  <c r="F106" i="14"/>
  <c r="F107" i="14"/>
  <c r="F108" i="14"/>
  <c r="F109" i="14"/>
  <c r="F110" i="14"/>
  <c r="F111" i="14"/>
  <c r="F112" i="14"/>
  <c r="F113" i="14"/>
  <c r="F114"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E5" i="14"/>
  <c r="E6" i="14"/>
  <c r="E7" i="14"/>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AJ99" i="20" s="1"/>
  <c r="AI99" i="20" s="1"/>
  <c r="D5" i="14"/>
  <c r="D6" i="14"/>
  <c r="D7" i="14"/>
  <c r="D8" i="14"/>
  <c r="D9"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103" i="14"/>
  <c r="D104" i="14"/>
  <c r="D105" i="14"/>
  <c r="D106" i="14"/>
  <c r="D107" i="14"/>
  <c r="D108" i="14"/>
  <c r="D109" i="14"/>
  <c r="D110" i="14"/>
  <c r="D111" i="14"/>
  <c r="D112" i="14"/>
  <c r="D113" i="14"/>
  <c r="D114" i="14"/>
  <c r="D115" i="14"/>
  <c r="D116" i="14"/>
  <c r="D117" i="14"/>
  <c r="D118" i="14"/>
  <c r="D119" i="14"/>
  <c r="D120" i="14"/>
  <c r="D121" i="14"/>
  <c r="D122" i="14"/>
  <c r="D123" i="14"/>
  <c r="D124" i="14"/>
  <c r="D125" i="14"/>
  <c r="D126" i="14"/>
  <c r="D127" i="14"/>
  <c r="D128" i="14"/>
  <c r="D129" i="14"/>
  <c r="D130" i="14"/>
  <c r="D131" i="14"/>
  <c r="D132" i="14"/>
  <c r="D133" i="14"/>
  <c r="D134" i="14"/>
  <c r="D135" i="14"/>
  <c r="D136" i="14"/>
  <c r="D137" i="14"/>
  <c r="D138" i="14"/>
  <c r="D139" i="14"/>
  <c r="C3" i="1"/>
  <c r="O90" i="16"/>
  <c r="D176" i="16"/>
  <c r="F167" i="16"/>
  <c r="F168" i="16"/>
  <c r="F169" i="16"/>
  <c r="A5" i="16"/>
  <c r="A6" i="16"/>
  <c r="A7" i="16"/>
  <c r="A8" i="16"/>
  <c r="F1" i="16"/>
  <c r="H1" i="16"/>
  <c r="B2" i="16"/>
  <c r="C2" i="16"/>
  <c r="D2" i="16" s="1"/>
  <c r="E2" i="16" s="1"/>
  <c r="F2" i="16" s="1"/>
  <c r="G2" i="16" s="1"/>
  <c r="H2" i="16" s="1"/>
  <c r="I2" i="16" s="1"/>
  <c r="J2" i="16" s="1"/>
  <c r="K2" i="16" s="1"/>
  <c r="L2" i="16" s="1"/>
  <c r="M2" i="16" s="1"/>
  <c r="N2" i="16" s="1"/>
  <c r="O2" i="16" s="1"/>
  <c r="O5" i="16"/>
  <c r="Q5" i="16"/>
  <c r="O6" i="16"/>
  <c r="Q6" i="16"/>
  <c r="O7" i="16"/>
  <c r="Q7" i="16"/>
  <c r="Q8" i="16"/>
  <c r="A9" i="16"/>
  <c r="O9" i="16"/>
  <c r="Q9" i="16" s="1"/>
  <c r="A10" i="16"/>
  <c r="O10" i="16"/>
  <c r="Q10" i="16"/>
  <c r="A11" i="16"/>
  <c r="O11" i="16"/>
  <c r="Q11" i="16" s="1"/>
  <c r="A12" i="16"/>
  <c r="Q12" i="16"/>
  <c r="A13" i="16"/>
  <c r="O13" i="16"/>
  <c r="Q13" i="16" s="1"/>
  <c r="A14" i="16"/>
  <c r="O14" i="16"/>
  <c r="Q14" i="16"/>
  <c r="A15" i="16"/>
  <c r="O15" i="16"/>
  <c r="Q15" i="16" s="1"/>
  <c r="A16" i="16"/>
  <c r="Q16" i="16"/>
  <c r="A17" i="16"/>
  <c r="O17" i="16"/>
  <c r="A18" i="16"/>
  <c r="O18" i="16"/>
  <c r="Q18" i="16"/>
  <c r="A19" i="16"/>
  <c r="O19" i="16"/>
  <c r="A20" i="16"/>
  <c r="Q20" i="16"/>
  <c r="A21" i="16"/>
  <c r="O21" i="16"/>
  <c r="A22" i="16"/>
  <c r="O22" i="16"/>
  <c r="Q22" i="16"/>
  <c r="A23" i="16"/>
  <c r="O23" i="16"/>
  <c r="Q23" i="16" s="1"/>
  <c r="A24" i="16"/>
  <c r="Q24" i="16"/>
  <c r="A25" i="16"/>
  <c r="O25" i="16"/>
  <c r="Q25" i="16" s="1"/>
  <c r="A26" i="16"/>
  <c r="O26" i="16"/>
  <c r="Q26" i="16"/>
  <c r="A27" i="16"/>
  <c r="O27" i="16"/>
  <c r="A28" i="16"/>
  <c r="Q28" i="16"/>
  <c r="A29" i="16"/>
  <c r="O29" i="16"/>
  <c r="A30" i="16"/>
  <c r="O30" i="16"/>
  <c r="Q30" i="16"/>
  <c r="A31" i="16"/>
  <c r="O31" i="16"/>
  <c r="Q31" i="16" s="1"/>
  <c r="A32" i="16"/>
  <c r="Q32" i="16"/>
  <c r="A33" i="16"/>
  <c r="O33" i="16"/>
  <c r="Q33" i="16" s="1"/>
  <c r="A34" i="16"/>
  <c r="O34" i="16"/>
  <c r="Q34" i="16"/>
  <c r="A35" i="16"/>
  <c r="O35" i="16"/>
  <c r="Q35" i="16" s="1"/>
  <c r="A36" i="16"/>
  <c r="Q36" i="16"/>
  <c r="A37" i="16"/>
  <c r="O37" i="16"/>
  <c r="A38" i="16"/>
  <c r="O38" i="16"/>
  <c r="Q38" i="16"/>
  <c r="A39" i="16"/>
  <c r="O39" i="16"/>
  <c r="A40" i="16"/>
  <c r="Q40" i="16"/>
  <c r="A41" i="16"/>
  <c r="O41" i="16"/>
  <c r="Q41" i="16" s="1"/>
  <c r="A42" i="16"/>
  <c r="O42" i="16"/>
  <c r="Q42" i="16"/>
  <c r="A43" i="16"/>
  <c r="O43" i="16"/>
  <c r="A44" i="16"/>
  <c r="Q44" i="16"/>
  <c r="A45" i="16"/>
  <c r="O45" i="16"/>
  <c r="A46" i="16"/>
  <c r="O46" i="16"/>
  <c r="Q46" i="16"/>
  <c r="A47" i="16"/>
  <c r="O47" i="16"/>
  <c r="A48" i="16"/>
  <c r="Q48" i="16"/>
  <c r="A49" i="16"/>
  <c r="O49" i="16"/>
  <c r="A50" i="16"/>
  <c r="O50" i="16"/>
  <c r="Q50" i="16"/>
  <c r="A51" i="16"/>
  <c r="O51" i="16"/>
  <c r="A52" i="16"/>
  <c r="Q52" i="16"/>
  <c r="A53" i="16"/>
  <c r="O53" i="16"/>
  <c r="A54" i="16"/>
  <c r="O54" i="16"/>
  <c r="Q54" i="16"/>
  <c r="A55" i="16"/>
  <c r="O55" i="16"/>
  <c r="A56" i="16"/>
  <c r="Q56" i="16"/>
  <c r="A57" i="16"/>
  <c r="O57" i="16"/>
  <c r="Q57" i="16" s="1"/>
  <c r="A58" i="16"/>
  <c r="O58" i="16"/>
  <c r="Q58" i="16"/>
  <c r="A59" i="16"/>
  <c r="O59" i="16"/>
  <c r="Q59" i="16" s="1"/>
  <c r="A60" i="16"/>
  <c r="Q60" i="16"/>
  <c r="A61" i="16"/>
  <c r="O61" i="16"/>
  <c r="Q61" i="16" s="1"/>
  <c r="A62" i="16"/>
  <c r="O62" i="16"/>
  <c r="Q62" i="16"/>
  <c r="A63" i="16"/>
  <c r="O63" i="16"/>
  <c r="A64" i="16"/>
  <c r="Q64" i="16"/>
  <c r="A65" i="16"/>
  <c r="O65" i="16"/>
  <c r="A66" i="16"/>
  <c r="O66" i="16"/>
  <c r="Q66" i="16"/>
  <c r="A67" i="16"/>
  <c r="O67" i="16"/>
  <c r="Q67" i="16" s="1"/>
  <c r="A68" i="16"/>
  <c r="Q68" i="16"/>
  <c r="A69" i="16"/>
  <c r="O69" i="16"/>
  <c r="A70" i="16"/>
  <c r="O70" i="16"/>
  <c r="Q70" i="16"/>
  <c r="A71" i="16"/>
  <c r="O71" i="16"/>
  <c r="A72" i="16"/>
  <c r="Q72" i="16"/>
  <c r="A73" i="16"/>
  <c r="O73" i="16"/>
  <c r="Q73" i="16" s="1"/>
  <c r="A74" i="16"/>
  <c r="O74" i="16"/>
  <c r="Q74" i="16"/>
  <c r="A75" i="16"/>
  <c r="O75" i="16"/>
  <c r="A76" i="16"/>
  <c r="Q76" i="16"/>
  <c r="A77" i="16"/>
  <c r="O77" i="16"/>
  <c r="A78" i="16"/>
  <c r="O78" i="16"/>
  <c r="Q78" i="16"/>
  <c r="A79" i="16"/>
  <c r="O79" i="16"/>
  <c r="A80" i="16"/>
  <c r="Q80" i="16"/>
  <c r="A81" i="16"/>
  <c r="O81" i="16"/>
  <c r="A82" i="16"/>
  <c r="O82" i="16"/>
  <c r="Q82" i="16"/>
  <c r="A83" i="16"/>
  <c r="O83" i="16"/>
  <c r="A84" i="16"/>
  <c r="Q84" i="16"/>
  <c r="A85" i="16"/>
  <c r="O85" i="16"/>
  <c r="A86" i="16"/>
  <c r="O86" i="16"/>
  <c r="Q86" i="16"/>
  <c r="A87" i="16"/>
  <c r="O87" i="16"/>
  <c r="Q87" i="16" s="1"/>
  <c r="A88" i="16"/>
  <c r="Q88" i="16"/>
  <c r="A89" i="16"/>
  <c r="O89" i="16"/>
  <c r="A90" i="16"/>
  <c r="Q90" i="16"/>
  <c r="A91" i="16"/>
  <c r="O91" i="16"/>
  <c r="Q91" i="16"/>
  <c r="A92" i="16"/>
  <c r="O92" i="16"/>
  <c r="Q92" i="16" s="1"/>
  <c r="A93" i="16"/>
  <c r="O93" i="16"/>
  <c r="Q93" i="16"/>
  <c r="A94" i="16"/>
  <c r="O94" i="16"/>
  <c r="Q94" i="16" s="1"/>
  <c r="A95" i="16"/>
  <c r="O95" i="16"/>
  <c r="Q95" i="16"/>
  <c r="A96" i="16"/>
  <c r="O96" i="16"/>
  <c r="Q96" i="16" s="1"/>
  <c r="D97" i="16"/>
  <c r="D100" i="16" s="1"/>
  <c r="F97" i="16"/>
  <c r="F100" i="16" s="1"/>
  <c r="H97" i="16"/>
  <c r="H100" i="16" s="1"/>
  <c r="J97" i="16"/>
  <c r="J100" i="16" s="1"/>
  <c r="L97" i="16"/>
  <c r="L100" i="16" s="1"/>
  <c r="N97" i="16"/>
  <c r="N100" i="16" s="1"/>
  <c r="I35" i="14"/>
  <c r="L37" i="14"/>
  <c r="I39" i="14"/>
  <c r="D108" i="16"/>
  <c r="D113" i="16"/>
  <c r="D115" i="16"/>
  <c r="D118" i="16"/>
  <c r="E118" i="16"/>
  <c r="D120" i="16"/>
  <c r="E120" i="16" s="1"/>
  <c r="F120" i="16"/>
  <c r="D121" i="16"/>
  <c r="E121" i="16"/>
  <c r="F121" i="16" s="1"/>
  <c r="F122" i="16" s="1"/>
  <c r="D122" i="16"/>
  <c r="F134" i="16"/>
  <c r="D135" i="16"/>
  <c r="F135" i="16" s="1"/>
  <c r="E135" i="16"/>
  <c r="D136" i="16"/>
  <c r="E136" i="16"/>
  <c r="E151" i="16" s="1"/>
  <c r="F137" i="16"/>
  <c r="F138" i="16"/>
  <c r="F139" i="16"/>
  <c r="F140" i="16"/>
  <c r="F141" i="16"/>
  <c r="F142" i="16"/>
  <c r="F143" i="16"/>
  <c r="F144" i="16"/>
  <c r="F145" i="16"/>
  <c r="F146" i="16"/>
  <c r="F147" i="16"/>
  <c r="G149" i="16" s="1"/>
  <c r="U24" i="16" s="1"/>
  <c r="F148" i="16"/>
  <c r="F149" i="16"/>
  <c r="F150" i="16"/>
  <c r="G150" i="16" s="1"/>
  <c r="D151" i="16"/>
  <c r="F155" i="16"/>
  <c r="G155" i="16" s="1"/>
  <c r="F156" i="16"/>
  <c r="D157" i="16"/>
  <c r="E157" i="16"/>
  <c r="F161" i="16"/>
  <c r="F162" i="16"/>
  <c r="D163" i="16"/>
  <c r="E163" i="16"/>
  <c r="D170" i="16"/>
  <c r="E170" i="16"/>
  <c r="S41" i="16"/>
  <c r="S44" i="16"/>
  <c r="AC44" i="16" s="1"/>
  <c r="S46" i="16"/>
  <c r="S48" i="16"/>
  <c r="S50" i="16"/>
  <c r="T33" i="16"/>
  <c r="T34" i="16"/>
  <c r="T36" i="16"/>
  <c r="T38" i="16"/>
  <c r="U28" i="16"/>
  <c r="U30" i="16"/>
  <c r="U52" i="16"/>
  <c r="AC52" i="16" s="1"/>
  <c r="U54" i="16"/>
  <c r="U86" i="16"/>
  <c r="V24" i="16"/>
  <c r="V76" i="16"/>
  <c r="W26" i="16"/>
  <c r="X18" i="16"/>
  <c r="X20" i="16"/>
  <c r="AC20" i="16" s="1"/>
  <c r="X58" i="16"/>
  <c r="X59" i="16"/>
  <c r="AC59" i="16" s="1"/>
  <c r="X61" i="16"/>
  <c r="X62" i="16"/>
  <c r="X66" i="16"/>
  <c r="X67" i="16"/>
  <c r="X70" i="16"/>
  <c r="X74" i="16"/>
  <c r="X78" i="16"/>
  <c r="X84" i="16"/>
  <c r="AC84" i="16" s="1"/>
  <c r="X88" i="16"/>
  <c r="X90" i="16"/>
  <c r="X91" i="16"/>
  <c r="X92" i="16"/>
  <c r="AC92" i="16" s="1"/>
  <c r="Z97" i="16"/>
  <c r="AB42" i="16"/>
  <c r="AB82" i="16"/>
  <c r="B5" i="14"/>
  <c r="B6" i="14"/>
  <c r="B7" i="14"/>
  <c r="B8" i="14"/>
  <c r="C5" i="14"/>
  <c r="C6" i="14"/>
  <c r="C7" i="14"/>
  <c r="C8" i="14"/>
  <c r="B9" i="14"/>
  <c r="C9" i="14"/>
  <c r="B10" i="14"/>
  <c r="C10" i="14"/>
  <c r="B11" i="14"/>
  <c r="C11" i="14"/>
  <c r="B12" i="14"/>
  <c r="C12" i="14"/>
  <c r="B13" i="14"/>
  <c r="C13" i="14"/>
  <c r="B14" i="14"/>
  <c r="C14" i="14"/>
  <c r="B15" i="14"/>
  <c r="C15" i="14"/>
  <c r="B16" i="14"/>
  <c r="C16" i="14"/>
  <c r="B17" i="14"/>
  <c r="C17" i="14"/>
  <c r="B18" i="14"/>
  <c r="C18" i="14"/>
  <c r="B19" i="14"/>
  <c r="C19" i="14"/>
  <c r="B20" i="14"/>
  <c r="C20" i="14"/>
  <c r="B21" i="14"/>
  <c r="C21" i="14"/>
  <c r="B22" i="14"/>
  <c r="C22" i="14"/>
  <c r="B23" i="14"/>
  <c r="C23" i="14"/>
  <c r="B24" i="14"/>
  <c r="C24" i="14"/>
  <c r="B25" i="14"/>
  <c r="C25" i="14"/>
  <c r="B26" i="14"/>
  <c r="C26" i="14"/>
  <c r="B27" i="14"/>
  <c r="C27" i="14"/>
  <c r="B28" i="14"/>
  <c r="C28" i="14"/>
  <c r="B29" i="14"/>
  <c r="C29" i="14"/>
  <c r="B30" i="14"/>
  <c r="C30" i="14"/>
  <c r="B31" i="14"/>
  <c r="C31" i="14"/>
  <c r="B32" i="14"/>
  <c r="C32" i="14"/>
  <c r="B33" i="14"/>
  <c r="C33" i="14"/>
  <c r="B34" i="14"/>
  <c r="C34" i="14"/>
  <c r="B35" i="14"/>
  <c r="C35" i="14"/>
  <c r="B36" i="14"/>
  <c r="C36" i="14"/>
  <c r="B37" i="14"/>
  <c r="C37" i="14"/>
  <c r="B38" i="14"/>
  <c r="C38" i="14"/>
  <c r="B39" i="14"/>
  <c r="C39" i="14"/>
  <c r="B40" i="14"/>
  <c r="C40" i="14"/>
  <c r="B41" i="14"/>
  <c r="C41" i="14"/>
  <c r="B42" i="14"/>
  <c r="C42" i="14"/>
  <c r="B43" i="14"/>
  <c r="C43" i="14"/>
  <c r="B44" i="14"/>
  <c r="C44" i="14"/>
  <c r="B45" i="14"/>
  <c r="C45" i="14"/>
  <c r="B46" i="14"/>
  <c r="C46" i="14"/>
  <c r="B47" i="14"/>
  <c r="C47" i="14"/>
  <c r="B48" i="14"/>
  <c r="C48" i="14"/>
  <c r="B49" i="14"/>
  <c r="C49" i="14"/>
  <c r="B50" i="14"/>
  <c r="C50" i="14"/>
  <c r="B51" i="14"/>
  <c r="C51" i="14"/>
  <c r="B52" i="14"/>
  <c r="C52" i="14"/>
  <c r="B53" i="14"/>
  <c r="C53" i="14"/>
  <c r="B54" i="14"/>
  <c r="C54" i="14"/>
  <c r="B55" i="14"/>
  <c r="C55" i="14"/>
  <c r="B56" i="14"/>
  <c r="C56" i="14"/>
  <c r="B57" i="14"/>
  <c r="C57" i="14"/>
  <c r="B58" i="14"/>
  <c r="C58" i="14"/>
  <c r="B59" i="14"/>
  <c r="C59" i="14"/>
  <c r="B60" i="14"/>
  <c r="C60" i="14"/>
  <c r="B61" i="14"/>
  <c r="C61" i="14"/>
  <c r="B62" i="14"/>
  <c r="C62" i="14"/>
  <c r="B63" i="14"/>
  <c r="C63" i="14"/>
  <c r="B64" i="14"/>
  <c r="C64" i="14"/>
  <c r="B65" i="14"/>
  <c r="C65" i="14"/>
  <c r="B66" i="14"/>
  <c r="C66" i="14"/>
  <c r="B67" i="14"/>
  <c r="C67" i="14"/>
  <c r="B68" i="14"/>
  <c r="C68" i="14"/>
  <c r="B69" i="14"/>
  <c r="C69" i="14"/>
  <c r="B70" i="14"/>
  <c r="C70" i="14"/>
  <c r="B71" i="14"/>
  <c r="C71" i="14"/>
  <c r="B72" i="14"/>
  <c r="C72" i="14"/>
  <c r="B73" i="14"/>
  <c r="C73" i="14"/>
  <c r="B74" i="14"/>
  <c r="C74" i="14"/>
  <c r="B75" i="14"/>
  <c r="C75" i="14"/>
  <c r="B76" i="14"/>
  <c r="C76" i="14"/>
  <c r="B77" i="14"/>
  <c r="C77" i="14"/>
  <c r="B78" i="14"/>
  <c r="C78" i="14"/>
  <c r="B79" i="14"/>
  <c r="C79" i="14"/>
  <c r="B80" i="14"/>
  <c r="C80" i="14"/>
  <c r="B81" i="14"/>
  <c r="C81" i="14"/>
  <c r="B82" i="14"/>
  <c r="C82" i="14"/>
  <c r="B83" i="14"/>
  <c r="C83" i="14"/>
  <c r="B84" i="14"/>
  <c r="C84" i="14"/>
  <c r="B85" i="14"/>
  <c r="C85" i="14"/>
  <c r="B86" i="14"/>
  <c r="C86" i="14"/>
  <c r="B87" i="14"/>
  <c r="C87" i="14"/>
  <c r="B88" i="14"/>
  <c r="C88" i="14"/>
  <c r="B89" i="14"/>
  <c r="C89" i="14"/>
  <c r="B90" i="14"/>
  <c r="C90" i="14"/>
  <c r="B91" i="14"/>
  <c r="C91" i="14"/>
  <c r="B92" i="14"/>
  <c r="C92" i="14"/>
  <c r="B93" i="14"/>
  <c r="C93" i="14"/>
  <c r="B94" i="14"/>
  <c r="C94" i="14"/>
  <c r="B95" i="14"/>
  <c r="C95" i="14"/>
  <c r="B96" i="14"/>
  <c r="C96" i="14"/>
  <c r="B97" i="14"/>
  <c r="C97" i="14"/>
  <c r="B98" i="14"/>
  <c r="C98" i="14"/>
  <c r="B99" i="14"/>
  <c r="C99" i="14"/>
  <c r="B100" i="14"/>
  <c r="C100" i="14"/>
  <c r="B101" i="14"/>
  <c r="C101" i="14"/>
  <c r="B102" i="14"/>
  <c r="C102" i="14"/>
  <c r="B103" i="14"/>
  <c r="C103" i="14"/>
  <c r="B104" i="14"/>
  <c r="C104" i="14"/>
  <c r="B105" i="14"/>
  <c r="C105" i="14"/>
  <c r="B106" i="14"/>
  <c r="C106" i="14"/>
  <c r="B107" i="14"/>
  <c r="C107" i="14"/>
  <c r="B108" i="14"/>
  <c r="C108" i="14"/>
  <c r="B109" i="14"/>
  <c r="C109" i="14"/>
  <c r="B110" i="14"/>
  <c r="C110" i="14"/>
  <c r="B111" i="14"/>
  <c r="C111" i="14"/>
  <c r="B112" i="14"/>
  <c r="C112" i="14"/>
  <c r="B113" i="14"/>
  <c r="C113" i="14"/>
  <c r="B114" i="14"/>
  <c r="C114" i="14"/>
  <c r="B115" i="14"/>
  <c r="C115" i="14"/>
  <c r="B116" i="14"/>
  <c r="C116" i="14"/>
  <c r="B117" i="14"/>
  <c r="C117" i="14"/>
  <c r="B118" i="14"/>
  <c r="C118" i="14"/>
  <c r="B119" i="14"/>
  <c r="C119" i="14"/>
  <c r="B120" i="14"/>
  <c r="C120" i="14"/>
  <c r="B121" i="14"/>
  <c r="C121" i="14"/>
  <c r="B122" i="14"/>
  <c r="C122" i="14"/>
  <c r="B123" i="14"/>
  <c r="C123" i="14"/>
  <c r="B124" i="14"/>
  <c r="C124" i="14"/>
  <c r="B125" i="14"/>
  <c r="C125" i="14"/>
  <c r="B126" i="14"/>
  <c r="C126" i="14"/>
  <c r="B127" i="14"/>
  <c r="C127" i="14"/>
  <c r="B128" i="14"/>
  <c r="C128" i="14"/>
  <c r="B129" i="14"/>
  <c r="C129" i="14"/>
  <c r="B130" i="14"/>
  <c r="C130" i="14"/>
  <c r="B131" i="14"/>
  <c r="C131" i="14"/>
  <c r="B132" i="14"/>
  <c r="C132" i="14"/>
  <c r="B133" i="14"/>
  <c r="C133" i="14"/>
  <c r="B134" i="14"/>
  <c r="C134" i="14"/>
  <c r="B135" i="14"/>
  <c r="C135" i="14"/>
  <c r="B136" i="14"/>
  <c r="C136" i="14"/>
  <c r="B137" i="14"/>
  <c r="C137" i="14"/>
  <c r="B138" i="14"/>
  <c r="C138" i="14"/>
  <c r="B139" i="14"/>
  <c r="C139" i="14"/>
  <c r="AJ19" i="20"/>
  <c r="A5" i="20"/>
  <c r="A6" i="20"/>
  <c r="A7" i="20"/>
  <c r="A8" i="20"/>
  <c r="AJ5" i="20"/>
  <c r="AJ7" i="20"/>
  <c r="A9" i="20"/>
  <c r="A10" i="20"/>
  <c r="A11" i="20"/>
  <c r="A12" i="20"/>
  <c r="A13" i="20"/>
  <c r="A14" i="20"/>
  <c r="A15" i="20"/>
  <c r="V16" i="20"/>
  <c r="V101" i="20" s="1"/>
  <c r="AG16" i="20"/>
  <c r="A18" i="20"/>
  <c r="AJ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J76" i="20"/>
  <c r="A77" i="20"/>
  <c r="A78" i="20"/>
  <c r="A79" i="20"/>
  <c r="AJ79" i="20"/>
  <c r="A80" i="20"/>
  <c r="AJ80" i="20"/>
  <c r="A81" i="20"/>
  <c r="A82" i="20"/>
  <c r="A83" i="20"/>
  <c r="AJ83" i="20"/>
  <c r="A84" i="20"/>
  <c r="AJ84" i="20"/>
  <c r="A85" i="20"/>
  <c r="A86" i="20"/>
  <c r="A87" i="20"/>
  <c r="AJ87" i="20"/>
  <c r="A88" i="20"/>
  <c r="AJ88" i="20"/>
  <c r="A89" i="20"/>
  <c r="A90" i="20"/>
  <c r="A91" i="20"/>
  <c r="AJ91" i="20"/>
  <c r="A92" i="20"/>
  <c r="AJ92" i="20"/>
  <c r="A93" i="20"/>
  <c r="E94" i="20"/>
  <c r="G94" i="20"/>
  <c r="J94" i="20"/>
  <c r="K94" i="20"/>
  <c r="O94" i="20"/>
  <c r="Q94" i="20"/>
  <c r="R94" i="20"/>
  <c r="U94" i="20"/>
  <c r="V94" i="20"/>
  <c r="W94" i="20"/>
  <c r="Y94" i="20"/>
  <c r="Z94" i="20"/>
  <c r="AA94" i="20"/>
  <c r="AC94" i="20"/>
  <c r="AD94" i="20"/>
  <c r="AE94" i="20"/>
  <c r="AG94" i="20"/>
  <c r="AG101" i="20" s="1"/>
  <c r="AH94" i="20"/>
  <c r="A95" i="20"/>
  <c r="A96" i="20"/>
  <c r="A97" i="20"/>
  <c r="A98" i="20"/>
  <c r="AJ98" i="20"/>
  <c r="AI98" i="20" s="1"/>
  <c r="A99" i="20"/>
  <c r="B3" i="20"/>
  <c r="C3" i="20" s="1"/>
  <c r="D3" i="20" s="1"/>
  <c r="E3" i="20"/>
  <c r="F3" i="20" s="1"/>
  <c r="G3" i="20" s="1"/>
  <c r="H3" i="20" s="1"/>
  <c r="I3" i="20" s="1"/>
  <c r="J3" i="20" s="1"/>
  <c r="K3" i="20" s="1"/>
  <c r="L3" i="20" s="1"/>
  <c r="M3" i="20" s="1"/>
  <c r="N3" i="20" s="1"/>
  <c r="O3" i="20" s="1"/>
  <c r="P3" i="20" s="1"/>
  <c r="Q3" i="20" s="1"/>
  <c r="R3" i="20" s="1"/>
  <c r="S3" i="20" s="1"/>
  <c r="T3" i="20" s="1"/>
  <c r="U3" i="20" s="1"/>
  <c r="V3" i="20" s="1"/>
  <c r="W3" i="20" s="1"/>
  <c r="X3" i="20" s="1"/>
  <c r="Y3" i="20" s="1"/>
  <c r="Z3" i="20" s="1"/>
  <c r="AA3" i="20" s="1"/>
  <c r="AB3" i="20" s="1"/>
  <c r="AC3" i="20" s="1"/>
  <c r="AD3" i="20" s="1"/>
  <c r="AE3" i="20" s="1"/>
  <c r="AF3" i="20" s="1"/>
  <c r="AG3" i="20" s="1"/>
  <c r="AH3" i="20" s="1"/>
  <c r="AI3" i="20" s="1"/>
  <c r="AJ3" i="20" s="1"/>
  <c r="AK3" i="20" s="1"/>
  <c r="AL3" i="20" s="1"/>
  <c r="AM3" i="20" s="1"/>
  <c r="AF25" i="16"/>
  <c r="AF97" i="16" s="1"/>
  <c r="AC18" i="16"/>
  <c r="AC22" i="16"/>
  <c r="AC23" i="16"/>
  <c r="AC26" i="16"/>
  <c r="AC28" i="16"/>
  <c r="AC30" i="16"/>
  <c r="AC32" i="16"/>
  <c r="AC33" i="16"/>
  <c r="AC34" i="16"/>
  <c r="AC35" i="16"/>
  <c r="AC38" i="16"/>
  <c r="AC40" i="16"/>
  <c r="AC41" i="16"/>
  <c r="AC42" i="16"/>
  <c r="AC46" i="16"/>
  <c r="AC48" i="16"/>
  <c r="AC50" i="16"/>
  <c r="AC54" i="16"/>
  <c r="AC56" i="16"/>
  <c r="AC58" i="16"/>
  <c r="AC60" i="16"/>
  <c r="AC61" i="16"/>
  <c r="AC62" i="16"/>
  <c r="AC64" i="16"/>
  <c r="AC66" i="16"/>
  <c r="AC67" i="16"/>
  <c r="AC68" i="16"/>
  <c r="AC70" i="16"/>
  <c r="AC72" i="16"/>
  <c r="AC73" i="16"/>
  <c r="AC74" i="16"/>
  <c r="AC76" i="16"/>
  <c r="AC80" i="16"/>
  <c r="AC82" i="16"/>
  <c r="AC86" i="16"/>
  <c r="AC88" i="16"/>
  <c r="AC90" i="16"/>
  <c r="AC91" i="16"/>
  <c r="A88" i="15"/>
  <c r="AA70" i="15"/>
  <c r="AB70" i="15" s="1"/>
  <c r="AA84" i="15"/>
  <c r="AB84" i="15"/>
  <c r="AA85" i="15"/>
  <c r="AB85" i="15" s="1"/>
  <c r="AA86" i="15"/>
  <c r="AB86" i="15"/>
  <c r="AA87" i="15"/>
  <c r="AB87" i="15" s="1"/>
  <c r="AA71" i="15"/>
  <c r="AB71" i="15"/>
  <c r="AA72" i="15"/>
  <c r="AB72" i="15" s="1"/>
  <c r="AA73" i="15"/>
  <c r="AB73" i="15"/>
  <c r="AA74" i="15"/>
  <c r="AB74" i="15" s="1"/>
  <c r="AA75" i="15"/>
  <c r="AB75" i="15"/>
  <c r="AA76" i="15"/>
  <c r="AB76" i="15" s="1"/>
  <c r="AA77" i="15"/>
  <c r="AB77" i="15"/>
  <c r="AA78" i="15"/>
  <c r="AB78" i="15" s="1"/>
  <c r="AA79" i="15"/>
  <c r="AB79" i="15"/>
  <c r="AA80" i="15"/>
  <c r="AB80" i="15" s="1"/>
  <c r="AA81" i="15"/>
  <c r="AB81" i="15"/>
  <c r="AA82" i="15"/>
  <c r="AB82" i="15" s="1"/>
  <c r="AA83" i="15"/>
  <c r="AB83" i="15"/>
  <c r="AA88" i="15"/>
  <c r="Z88" i="15"/>
  <c r="Y88" i="15"/>
  <c r="X88" i="15"/>
  <c r="W88" i="15"/>
  <c r="V88" i="15"/>
  <c r="U88" i="15"/>
  <c r="T88" i="15"/>
  <c r="S88" i="15"/>
  <c r="R88" i="15"/>
  <c r="Q88" i="15"/>
  <c r="P88" i="15"/>
  <c r="O88" i="15"/>
  <c r="N88" i="15"/>
  <c r="M88" i="15"/>
  <c r="L88" i="15"/>
  <c r="K88" i="15"/>
  <c r="J88" i="15"/>
  <c r="I88" i="15"/>
  <c r="H88" i="15"/>
  <c r="G88" i="15"/>
  <c r="F88" i="15"/>
  <c r="E88" i="15"/>
  <c r="D88" i="15"/>
  <c r="C88" i="15"/>
  <c r="U5" i="1"/>
  <c r="B85" i="15" s="1"/>
  <c r="U6" i="1"/>
  <c r="U7" i="1"/>
  <c r="U8" i="1"/>
  <c r="V5" i="1"/>
  <c r="V6" i="1"/>
  <c r="V7" i="1"/>
  <c r="V8" i="1"/>
  <c r="U9" i="1"/>
  <c r="V9" i="1"/>
  <c r="U10" i="1"/>
  <c r="V10" i="1"/>
  <c r="U11" i="1"/>
  <c r="V11" i="1"/>
  <c r="U12" i="1"/>
  <c r="V12" i="1"/>
  <c r="U13" i="1"/>
  <c r="V13" i="1"/>
  <c r="U14" i="1"/>
  <c r="V14" i="1"/>
  <c r="U15" i="1"/>
  <c r="V15" i="1"/>
  <c r="U16" i="1"/>
  <c r="V16" i="1"/>
  <c r="U17" i="1"/>
  <c r="V17" i="1"/>
  <c r="U18" i="1"/>
  <c r="V18" i="1"/>
  <c r="U19" i="1"/>
  <c r="V19" i="1"/>
  <c r="U20" i="1"/>
  <c r="V20" i="1"/>
  <c r="U21" i="1"/>
  <c r="V21" i="1"/>
  <c r="U22" i="1"/>
  <c r="V22" i="1"/>
  <c r="B87" i="15"/>
  <c r="B83" i="15"/>
  <c r="B79" i="15"/>
  <c r="B75" i="15"/>
  <c r="B71" i="15"/>
  <c r="A63" i="15"/>
  <c r="AA57" i="15"/>
  <c r="AA63" i="15" s="1"/>
  <c r="AB57" i="15"/>
  <c r="AA58" i="15"/>
  <c r="AB58" i="15" s="1"/>
  <c r="AA59" i="15"/>
  <c r="AB59" i="15"/>
  <c r="AA60" i="15"/>
  <c r="AB60" i="15" s="1"/>
  <c r="AA61" i="15"/>
  <c r="AB61" i="15"/>
  <c r="AA62" i="15"/>
  <c r="AB62" i="15" s="1"/>
  <c r="Z63" i="15"/>
  <c r="Y63" i="15"/>
  <c r="X63" i="15"/>
  <c r="W63" i="15"/>
  <c r="V63" i="15"/>
  <c r="U63" i="15"/>
  <c r="T63" i="15"/>
  <c r="S63" i="15"/>
  <c r="R63" i="15"/>
  <c r="Q63" i="15"/>
  <c r="P63" i="15"/>
  <c r="O63" i="15"/>
  <c r="N63" i="15"/>
  <c r="M63" i="15"/>
  <c r="L63" i="15"/>
  <c r="K63" i="15"/>
  <c r="J63" i="15"/>
  <c r="I63" i="15"/>
  <c r="H63" i="15"/>
  <c r="G63" i="15"/>
  <c r="F63" i="15"/>
  <c r="E63" i="15"/>
  <c r="D63" i="15"/>
  <c r="C63" i="15"/>
  <c r="R5" i="1"/>
  <c r="R6" i="1"/>
  <c r="B60" i="15" s="1"/>
  <c r="R7" i="1"/>
  <c r="B43" i="15" s="1"/>
  <c r="R8" i="1"/>
  <c r="S5" i="1"/>
  <c r="S6" i="1"/>
  <c r="S7" i="1"/>
  <c r="S8" i="1"/>
  <c r="R9" i="1"/>
  <c r="S9" i="1"/>
  <c r="R10" i="1"/>
  <c r="S10" i="1"/>
  <c r="R11" i="1"/>
  <c r="S11" i="1"/>
  <c r="R12" i="1"/>
  <c r="S12" i="1"/>
  <c r="R13" i="1"/>
  <c r="S13" i="1"/>
  <c r="R14" i="1"/>
  <c r="S14" i="1"/>
  <c r="R15" i="1"/>
  <c r="S15" i="1"/>
  <c r="R16" i="1"/>
  <c r="S16" i="1"/>
  <c r="R17" i="1"/>
  <c r="S17" i="1"/>
  <c r="R18" i="1"/>
  <c r="S18" i="1"/>
  <c r="R19" i="1"/>
  <c r="S19" i="1"/>
  <c r="R20" i="1"/>
  <c r="S20" i="1"/>
  <c r="R21" i="1"/>
  <c r="S21" i="1"/>
  <c r="R22" i="1"/>
  <c r="S22" i="1"/>
  <c r="R23" i="1"/>
  <c r="S23" i="1"/>
  <c r="R24" i="1"/>
  <c r="S24" i="1"/>
  <c r="R25" i="1"/>
  <c r="S25" i="1"/>
  <c r="R26" i="1"/>
  <c r="S26" i="1"/>
  <c r="R27" i="1"/>
  <c r="S27" i="1"/>
  <c r="R28" i="1"/>
  <c r="S28" i="1"/>
  <c r="R29" i="1"/>
  <c r="S29" i="1"/>
  <c r="R30" i="1"/>
  <c r="S30" i="1"/>
  <c r="R31" i="1"/>
  <c r="S31" i="1"/>
  <c r="R32" i="1"/>
  <c r="S32" i="1"/>
  <c r="R33" i="1"/>
  <c r="S33" i="1"/>
  <c r="R34" i="1"/>
  <c r="S34" i="1"/>
  <c r="R35" i="1"/>
  <c r="S35" i="1"/>
  <c r="R36" i="1"/>
  <c r="S36" i="1"/>
  <c r="R37" i="1"/>
  <c r="S37" i="1"/>
  <c r="R38" i="1"/>
  <c r="S38" i="1"/>
  <c r="R39" i="1"/>
  <c r="S39" i="1"/>
  <c r="R40" i="1"/>
  <c r="S40" i="1"/>
  <c r="R41" i="1"/>
  <c r="S41" i="1"/>
  <c r="R42" i="1"/>
  <c r="S42" i="1"/>
  <c r="R43" i="1"/>
  <c r="S43" i="1"/>
  <c r="B62" i="15"/>
  <c r="B59" i="15"/>
  <c r="B58" i="15"/>
  <c r="A52" i="15"/>
  <c r="AA51" i="15"/>
  <c r="AB51" i="15"/>
  <c r="AB52" i="15" s="1"/>
  <c r="AD52" i="15" s="1"/>
  <c r="AA52" i="15"/>
  <c r="Z52" i="15"/>
  <c r="Y52" i="15"/>
  <c r="X52" i="15"/>
  <c r="W52" i="15"/>
  <c r="V52" i="15"/>
  <c r="U52" i="15"/>
  <c r="T52" i="15"/>
  <c r="S52" i="15"/>
  <c r="R52" i="15"/>
  <c r="Q52" i="15"/>
  <c r="P52" i="15"/>
  <c r="O52" i="15"/>
  <c r="N52" i="15"/>
  <c r="M52" i="15"/>
  <c r="L52" i="15"/>
  <c r="K52" i="15"/>
  <c r="J52" i="15"/>
  <c r="I52" i="15"/>
  <c r="H52" i="15"/>
  <c r="G52" i="15"/>
  <c r="F52" i="15"/>
  <c r="E52" i="15"/>
  <c r="D52" i="15"/>
  <c r="C52" i="15"/>
  <c r="B51" i="15"/>
  <c r="A46" i="15"/>
  <c r="AA6" i="15"/>
  <c r="AB6" i="15"/>
  <c r="AA7" i="15"/>
  <c r="AB7" i="15" s="1"/>
  <c r="AA8" i="15"/>
  <c r="AB8" i="15"/>
  <c r="AA9" i="15"/>
  <c r="AB9" i="15" s="1"/>
  <c r="AA10" i="15"/>
  <c r="AB10" i="15"/>
  <c r="AA11" i="15"/>
  <c r="AB11" i="15" s="1"/>
  <c r="AA12" i="15"/>
  <c r="AB12" i="15"/>
  <c r="AA13" i="15"/>
  <c r="AB13" i="15" s="1"/>
  <c r="AA14" i="15"/>
  <c r="AB14" i="15"/>
  <c r="AA15" i="15"/>
  <c r="AB15" i="15" s="1"/>
  <c r="AA16" i="15"/>
  <c r="AB16" i="15"/>
  <c r="AA17" i="15"/>
  <c r="AB17" i="15" s="1"/>
  <c r="AA18" i="15"/>
  <c r="AB18" i="15"/>
  <c r="AA19" i="15"/>
  <c r="AB19" i="15" s="1"/>
  <c r="AA20" i="15"/>
  <c r="AB20" i="15"/>
  <c r="AA21" i="15"/>
  <c r="AA45" i="15" s="1"/>
  <c r="AA46" i="15" s="1"/>
  <c r="AA22" i="15"/>
  <c r="AB22" i="15"/>
  <c r="AA23" i="15"/>
  <c r="AB23" i="15" s="1"/>
  <c r="AA24" i="15"/>
  <c r="AB24" i="15"/>
  <c r="AA25" i="15"/>
  <c r="AB25" i="15" s="1"/>
  <c r="AA26" i="15"/>
  <c r="AB26" i="15"/>
  <c r="AA27" i="15"/>
  <c r="AB27" i="15" s="1"/>
  <c r="AA28" i="15"/>
  <c r="AB28" i="15"/>
  <c r="AA29" i="15"/>
  <c r="AB29" i="15" s="1"/>
  <c r="AA30" i="15"/>
  <c r="AB30" i="15"/>
  <c r="AA31" i="15"/>
  <c r="AB31" i="15" s="1"/>
  <c r="AA32" i="15"/>
  <c r="AB32" i="15"/>
  <c r="AA33" i="15"/>
  <c r="AB33" i="15" s="1"/>
  <c r="AA34" i="15"/>
  <c r="AB34" i="15"/>
  <c r="AA35" i="15"/>
  <c r="AB35" i="15" s="1"/>
  <c r="AA36" i="15"/>
  <c r="AB36" i="15"/>
  <c r="AA37" i="15"/>
  <c r="AB37" i="15" s="1"/>
  <c r="AA38" i="15"/>
  <c r="AB38" i="15"/>
  <c r="AA39" i="15"/>
  <c r="AB39" i="15" s="1"/>
  <c r="AA40" i="15"/>
  <c r="AB40" i="15"/>
  <c r="AA41" i="15"/>
  <c r="AB41" i="15" s="1"/>
  <c r="AA42" i="15"/>
  <c r="AB42" i="15"/>
  <c r="AA43" i="15"/>
  <c r="AB43" i="15" s="1"/>
  <c r="AA44" i="15"/>
  <c r="AB44" i="15"/>
  <c r="Z45" i="15"/>
  <c r="Z46" i="15" s="1"/>
  <c r="Y45" i="15"/>
  <c r="Y46" i="15"/>
  <c r="X45" i="15"/>
  <c r="X46" i="15" s="1"/>
  <c r="W45" i="15"/>
  <c r="W46" i="15"/>
  <c r="V45" i="15"/>
  <c r="V46" i="15" s="1"/>
  <c r="U45" i="15"/>
  <c r="U46" i="15"/>
  <c r="T45" i="15"/>
  <c r="T46" i="15" s="1"/>
  <c r="S45" i="15"/>
  <c r="S46" i="15"/>
  <c r="R45" i="15"/>
  <c r="R46" i="15" s="1"/>
  <c r="Q45" i="15"/>
  <c r="Q46" i="15"/>
  <c r="P45" i="15"/>
  <c r="P46" i="15" s="1"/>
  <c r="O45" i="15"/>
  <c r="O46" i="15"/>
  <c r="N45" i="15"/>
  <c r="N46" i="15" s="1"/>
  <c r="M45" i="15"/>
  <c r="M46" i="15"/>
  <c r="L45" i="15"/>
  <c r="L46" i="15" s="1"/>
  <c r="K45" i="15"/>
  <c r="K46" i="15"/>
  <c r="J45" i="15"/>
  <c r="J46" i="15" s="1"/>
  <c r="I45" i="15"/>
  <c r="I46" i="15"/>
  <c r="H45" i="15"/>
  <c r="H46" i="15" s="1"/>
  <c r="G45" i="15"/>
  <c r="G46" i="15"/>
  <c r="F45" i="15"/>
  <c r="F46" i="15" s="1"/>
  <c r="E45" i="15"/>
  <c r="E46" i="15"/>
  <c r="D45" i="15"/>
  <c r="D46" i="15" s="1"/>
  <c r="C45" i="15"/>
  <c r="C46" i="15"/>
  <c r="B41" i="15"/>
  <c r="B37" i="15"/>
  <c r="B33" i="15"/>
  <c r="B29" i="15"/>
  <c r="B25" i="15"/>
  <c r="B21" i="15"/>
  <c r="B20" i="15"/>
  <c r="B17" i="15"/>
  <c r="B13" i="15"/>
  <c r="B9" i="15"/>
  <c r="N5" i="1"/>
  <c r="X5" i="15" s="1"/>
  <c r="N6" i="1"/>
  <c r="N7" i="1"/>
  <c r="N8" i="1"/>
  <c r="O5" i="1"/>
  <c r="O6" i="1"/>
  <c r="O7" i="1"/>
  <c r="O8" i="1"/>
  <c r="N9" i="1"/>
  <c r="O9" i="1"/>
  <c r="N10" i="1"/>
  <c r="O10" i="1"/>
  <c r="N11" i="1"/>
  <c r="O11" i="1"/>
  <c r="N12" i="1"/>
  <c r="O12" i="1"/>
  <c r="N13" i="1"/>
  <c r="O13" i="1"/>
  <c r="N14" i="1"/>
  <c r="O14" i="1"/>
  <c r="N15" i="1"/>
  <c r="O15" i="1"/>
  <c r="N16" i="1"/>
  <c r="O16" i="1"/>
  <c r="N17" i="1"/>
  <c r="O17" i="1"/>
  <c r="N18" i="1"/>
  <c r="O18" i="1"/>
  <c r="N19" i="1"/>
  <c r="O19" i="1"/>
  <c r="N20" i="1"/>
  <c r="O20" i="1"/>
  <c r="N21" i="1"/>
  <c r="O21" i="1"/>
  <c r="N22" i="1"/>
  <c r="O22" i="1"/>
  <c r="N23" i="1"/>
  <c r="O23" i="1"/>
  <c r="N24" i="1"/>
  <c r="O24" i="1"/>
  <c r="N25" i="1"/>
  <c r="O25" i="1"/>
  <c r="N26" i="1"/>
  <c r="O26" i="1"/>
  <c r="N27" i="1"/>
  <c r="O27" i="1"/>
  <c r="N28" i="1"/>
  <c r="O28" i="1"/>
  <c r="N29" i="1"/>
  <c r="O29" i="1"/>
  <c r="N30" i="1"/>
  <c r="O30" i="1"/>
  <c r="N31" i="1"/>
  <c r="O31" i="1"/>
  <c r="N32" i="1"/>
  <c r="O32" i="1"/>
  <c r="N33" i="1"/>
  <c r="O33" i="1"/>
  <c r="N34" i="1"/>
  <c r="O34" i="1"/>
  <c r="N35" i="1"/>
  <c r="O35" i="1"/>
  <c r="N36" i="1"/>
  <c r="O36" i="1"/>
  <c r="N37" i="1"/>
  <c r="O37" i="1"/>
  <c r="N38" i="1"/>
  <c r="O38" i="1"/>
  <c r="Z5" i="15"/>
  <c r="V5" i="15"/>
  <c r="R5" i="15"/>
  <c r="N5" i="15"/>
  <c r="J5" i="15"/>
  <c r="F5" i="15"/>
  <c r="B4" i="15"/>
  <c r="C4" i="15" s="1"/>
  <c r="D4" i="15" s="1"/>
  <c r="E4" i="15" s="1"/>
  <c r="F4" i="15" s="1"/>
  <c r="G4" i="15" s="1"/>
  <c r="H4" i="15" s="1"/>
  <c r="I4" i="15" s="1"/>
  <c r="J4" i="15" s="1"/>
  <c r="K4" i="15" s="1"/>
  <c r="L4" i="15" s="1"/>
  <c r="M4" i="15" s="1"/>
  <c r="N4" i="15" s="1"/>
  <c r="O4" i="15" s="1"/>
  <c r="P4" i="15" s="1"/>
  <c r="Q4" i="15" s="1"/>
  <c r="R4" i="15" s="1"/>
  <c r="S4" i="15" s="1"/>
  <c r="T4" i="15" s="1"/>
  <c r="U4" i="15" s="1"/>
  <c r="V4" i="15" s="1"/>
  <c r="W4" i="15" s="1"/>
  <c r="X4" i="15" s="1"/>
  <c r="Y4" i="15" s="1"/>
  <c r="Z4" i="15" s="1"/>
  <c r="AA4" i="15" s="1"/>
  <c r="AB4" i="15" s="1"/>
  <c r="K1" i="15"/>
  <c r="H1" i="15"/>
  <c r="W157" i="20"/>
  <c r="X157" i="20"/>
  <c r="Y157" i="20"/>
  <c r="Z157" i="20"/>
  <c r="AA157" i="20"/>
  <c r="AB157" i="20"/>
  <c r="AC157" i="20"/>
  <c r="AD157" i="20"/>
  <c r="AE157" i="20"/>
  <c r="AF157" i="20"/>
  <c r="AG157" i="20"/>
  <c r="AH157" i="20"/>
  <c r="AJ129" i="20"/>
  <c r="AJ142" i="20"/>
  <c r="D157" i="20"/>
  <c r="E157" i="20"/>
  <c r="F157" i="20"/>
  <c r="G157" i="20"/>
  <c r="H157" i="20"/>
  <c r="I157" i="20"/>
  <c r="J157" i="20"/>
  <c r="K157" i="20"/>
  <c r="L157" i="20"/>
  <c r="M157" i="20"/>
  <c r="N157" i="20"/>
  <c r="O157" i="20"/>
  <c r="P157" i="20"/>
  <c r="Q157" i="20"/>
  <c r="R157" i="20"/>
  <c r="S157" i="20"/>
  <c r="T157" i="20"/>
  <c r="U157" i="20"/>
  <c r="V157" i="20"/>
  <c r="A157" i="20"/>
  <c r="W156" i="20"/>
  <c r="X156" i="20"/>
  <c r="Y156" i="20"/>
  <c r="Z156" i="20"/>
  <c r="AA156" i="20"/>
  <c r="AB156" i="20"/>
  <c r="AC156" i="20"/>
  <c r="AD156" i="20"/>
  <c r="AE156" i="20"/>
  <c r="AF156" i="20"/>
  <c r="AG156" i="20"/>
  <c r="AH156" i="20"/>
  <c r="AJ128" i="20"/>
  <c r="D156" i="20"/>
  <c r="E156" i="20"/>
  <c r="F156" i="20"/>
  <c r="G156" i="20"/>
  <c r="H156" i="20"/>
  <c r="I156" i="20"/>
  <c r="J156" i="20"/>
  <c r="K156" i="20"/>
  <c r="L156" i="20"/>
  <c r="M156" i="20"/>
  <c r="N156" i="20"/>
  <c r="O156" i="20"/>
  <c r="P156" i="20"/>
  <c r="Q156" i="20"/>
  <c r="R156" i="20"/>
  <c r="S156" i="20"/>
  <c r="T156" i="20"/>
  <c r="U156" i="20"/>
  <c r="V156" i="20"/>
  <c r="A156" i="20"/>
  <c r="W155" i="20"/>
  <c r="X155" i="20"/>
  <c r="Y155" i="20"/>
  <c r="Z155" i="20"/>
  <c r="AA155" i="20"/>
  <c r="AB155" i="20"/>
  <c r="AC155" i="20"/>
  <c r="AD155" i="20"/>
  <c r="AE155" i="20"/>
  <c r="AF155" i="20"/>
  <c r="AG155" i="20"/>
  <c r="AH155" i="20"/>
  <c r="AJ141" i="20"/>
  <c r="AJ155" i="20"/>
  <c r="D155" i="20"/>
  <c r="E155" i="20"/>
  <c r="F155" i="20"/>
  <c r="G155" i="20"/>
  <c r="H155" i="20"/>
  <c r="I155" i="20"/>
  <c r="J155" i="20"/>
  <c r="K155" i="20"/>
  <c r="L155" i="20"/>
  <c r="M155" i="20"/>
  <c r="N155" i="20"/>
  <c r="O155" i="20"/>
  <c r="P155" i="20"/>
  <c r="Q155" i="20"/>
  <c r="R155" i="20"/>
  <c r="S155" i="20"/>
  <c r="T155" i="20"/>
  <c r="U155" i="20"/>
  <c r="V155" i="20"/>
  <c r="A155" i="20"/>
  <c r="W154" i="20"/>
  <c r="X154" i="20"/>
  <c r="Y154" i="20"/>
  <c r="Z154" i="20"/>
  <c r="AA154" i="20"/>
  <c r="AB154" i="20"/>
  <c r="AC154" i="20"/>
  <c r="AD154" i="20"/>
  <c r="AE154" i="20"/>
  <c r="AF154" i="20"/>
  <c r="AG154" i="20"/>
  <c r="AH154" i="20"/>
  <c r="AJ140" i="20"/>
  <c r="D154" i="20"/>
  <c r="E154" i="20"/>
  <c r="F154" i="20"/>
  <c r="G154" i="20"/>
  <c r="H154" i="20"/>
  <c r="I154" i="20"/>
  <c r="J154" i="20"/>
  <c r="K154" i="20"/>
  <c r="L154" i="20"/>
  <c r="M154" i="20"/>
  <c r="N154" i="20"/>
  <c r="O154" i="20"/>
  <c r="P154" i="20"/>
  <c r="Q154" i="20"/>
  <c r="R154" i="20"/>
  <c r="S154" i="20"/>
  <c r="T154" i="20"/>
  <c r="U154" i="20"/>
  <c r="V154" i="20"/>
  <c r="A154" i="20"/>
  <c r="W153" i="20"/>
  <c r="X153" i="20"/>
  <c r="Y153" i="20"/>
  <c r="Z153" i="20"/>
  <c r="AA153" i="20"/>
  <c r="AB153" i="20"/>
  <c r="AC153" i="20"/>
  <c r="AD153" i="20"/>
  <c r="AE153" i="20"/>
  <c r="AF153" i="20"/>
  <c r="AG153" i="20"/>
  <c r="AH153" i="20"/>
  <c r="AJ127" i="20"/>
  <c r="D153" i="20"/>
  <c r="E153" i="20"/>
  <c r="F153" i="20"/>
  <c r="G153" i="20"/>
  <c r="H153" i="20"/>
  <c r="I153" i="20"/>
  <c r="J153" i="20"/>
  <c r="K153" i="20"/>
  <c r="L153" i="20"/>
  <c r="M153" i="20"/>
  <c r="N153" i="20"/>
  <c r="O153" i="20"/>
  <c r="P153" i="20"/>
  <c r="Q153" i="20"/>
  <c r="R153" i="20"/>
  <c r="S153" i="20"/>
  <c r="T153" i="20"/>
  <c r="U153" i="20"/>
  <c r="V153" i="20"/>
  <c r="A153" i="20"/>
  <c r="W152" i="20"/>
  <c r="X152" i="20"/>
  <c r="Y152" i="20"/>
  <c r="Z152" i="20"/>
  <c r="AA152" i="20"/>
  <c r="AB152" i="20"/>
  <c r="AC152" i="20"/>
  <c r="AD152" i="20"/>
  <c r="AE152" i="20"/>
  <c r="AF152" i="20"/>
  <c r="AG152" i="20"/>
  <c r="AH152" i="20"/>
  <c r="AJ126" i="20"/>
  <c r="AJ139" i="20"/>
  <c r="D152" i="20"/>
  <c r="E152" i="20"/>
  <c r="F152" i="20"/>
  <c r="G152" i="20"/>
  <c r="H152" i="20"/>
  <c r="I152" i="20"/>
  <c r="J152" i="20"/>
  <c r="K152" i="20"/>
  <c r="L152" i="20"/>
  <c r="M152" i="20"/>
  <c r="N152" i="20"/>
  <c r="O152" i="20"/>
  <c r="P152" i="20"/>
  <c r="Q152" i="20"/>
  <c r="R152" i="20"/>
  <c r="S152" i="20"/>
  <c r="T152" i="20"/>
  <c r="U152" i="20"/>
  <c r="V152" i="20"/>
  <c r="A152" i="20"/>
  <c r="W151" i="20"/>
  <c r="X151" i="20"/>
  <c r="Y151" i="20"/>
  <c r="Z151" i="20"/>
  <c r="AA151" i="20"/>
  <c r="AB151" i="20"/>
  <c r="AC151" i="20"/>
  <c r="AD151" i="20"/>
  <c r="AE151" i="20"/>
  <c r="AF151" i="20"/>
  <c r="AG151" i="20"/>
  <c r="AH151" i="20"/>
  <c r="AJ125" i="20"/>
  <c r="AJ138" i="20"/>
  <c r="AI138" i="20" s="1"/>
  <c r="AL138" i="20" s="1"/>
  <c r="D151" i="20"/>
  <c r="E151" i="20"/>
  <c r="F151" i="20"/>
  <c r="G151" i="20"/>
  <c r="H151" i="20"/>
  <c r="I151" i="20"/>
  <c r="J151" i="20"/>
  <c r="K151" i="20"/>
  <c r="L151" i="20"/>
  <c r="M151" i="20"/>
  <c r="N151" i="20"/>
  <c r="O151" i="20"/>
  <c r="P151" i="20"/>
  <c r="Q151" i="20"/>
  <c r="R151" i="20"/>
  <c r="S151" i="20"/>
  <c r="T151" i="20"/>
  <c r="U151" i="20"/>
  <c r="V151" i="20"/>
  <c r="A151" i="20"/>
  <c r="W150" i="20"/>
  <c r="X150" i="20"/>
  <c r="Y150" i="20"/>
  <c r="Z150" i="20"/>
  <c r="AA150" i="20"/>
  <c r="AB150" i="20"/>
  <c r="AC150" i="20"/>
  <c r="AD150" i="20"/>
  <c r="AE150" i="20"/>
  <c r="AF150" i="20"/>
  <c r="AG150" i="20"/>
  <c r="AH150" i="20"/>
  <c r="AJ137" i="20"/>
  <c r="D150" i="20"/>
  <c r="E150" i="20"/>
  <c r="F150" i="20"/>
  <c r="G150" i="20"/>
  <c r="H150" i="20"/>
  <c r="I150" i="20"/>
  <c r="J150" i="20"/>
  <c r="K150" i="20"/>
  <c r="L150" i="20"/>
  <c r="M150" i="20"/>
  <c r="N150" i="20"/>
  <c r="O150" i="20"/>
  <c r="P150" i="20"/>
  <c r="Q150" i="20"/>
  <c r="R150" i="20"/>
  <c r="S150" i="20"/>
  <c r="T150" i="20"/>
  <c r="U150" i="20"/>
  <c r="V150" i="20"/>
  <c r="A150" i="20"/>
  <c r="W149" i="20"/>
  <c r="X149" i="20"/>
  <c r="Y149" i="20"/>
  <c r="Z149" i="20"/>
  <c r="AA149" i="20"/>
  <c r="AB149" i="20"/>
  <c r="AC149" i="20"/>
  <c r="AD149" i="20"/>
  <c r="AE149" i="20"/>
  <c r="AF149" i="20"/>
  <c r="AG149" i="20"/>
  <c r="AH149" i="20"/>
  <c r="AJ136" i="20"/>
  <c r="AI136" i="20" s="1"/>
  <c r="AL136" i="20" s="1"/>
  <c r="D149" i="20"/>
  <c r="E149" i="20"/>
  <c r="F149" i="20"/>
  <c r="G149" i="20"/>
  <c r="H149" i="20"/>
  <c r="I149" i="20"/>
  <c r="J149" i="20"/>
  <c r="K149" i="20"/>
  <c r="L149" i="20"/>
  <c r="M149" i="20"/>
  <c r="N149" i="20"/>
  <c r="O149" i="20"/>
  <c r="P149" i="20"/>
  <c r="Q149" i="20"/>
  <c r="R149" i="20"/>
  <c r="S149" i="20"/>
  <c r="T149" i="20"/>
  <c r="U149" i="20"/>
  <c r="V149" i="20"/>
  <c r="A149" i="20"/>
  <c r="W148" i="20"/>
  <c r="X148" i="20"/>
  <c r="Y148" i="20"/>
  <c r="Z148" i="20"/>
  <c r="AA148" i="20"/>
  <c r="AB148" i="20"/>
  <c r="AC148" i="20"/>
  <c r="AD148" i="20"/>
  <c r="AE148" i="20"/>
  <c r="AF148" i="20"/>
  <c r="AG148" i="20"/>
  <c r="AH148" i="20"/>
  <c r="AJ124" i="20"/>
  <c r="AJ135" i="20"/>
  <c r="D148" i="20"/>
  <c r="E148" i="20"/>
  <c r="F148" i="20"/>
  <c r="G148" i="20"/>
  <c r="H148" i="20"/>
  <c r="I148" i="20"/>
  <c r="J148" i="20"/>
  <c r="K148" i="20"/>
  <c r="L148" i="20"/>
  <c r="M148" i="20"/>
  <c r="N148" i="20"/>
  <c r="O148" i="20"/>
  <c r="P148" i="20"/>
  <c r="Q148" i="20"/>
  <c r="R148" i="20"/>
  <c r="S148" i="20"/>
  <c r="T148" i="20"/>
  <c r="U148" i="20"/>
  <c r="V148" i="20"/>
  <c r="A148" i="20"/>
  <c r="W147" i="20"/>
  <c r="X147" i="20"/>
  <c r="Y147" i="20"/>
  <c r="Z147" i="20"/>
  <c r="AA147" i="20"/>
  <c r="AB147" i="20"/>
  <c r="AC147" i="20"/>
  <c r="AD147" i="20"/>
  <c r="AE147" i="20"/>
  <c r="AF147" i="20"/>
  <c r="AG147" i="20"/>
  <c r="AH147" i="20"/>
  <c r="AJ134" i="20"/>
  <c r="D147" i="20"/>
  <c r="E147" i="20"/>
  <c r="F147" i="20"/>
  <c r="G147" i="20"/>
  <c r="H147" i="20"/>
  <c r="I147" i="20"/>
  <c r="J147" i="20"/>
  <c r="K147" i="20"/>
  <c r="L147" i="20"/>
  <c r="M147" i="20"/>
  <c r="N147" i="20"/>
  <c r="O147" i="20"/>
  <c r="P147" i="20"/>
  <c r="Q147" i="20"/>
  <c r="R147" i="20"/>
  <c r="S147" i="20"/>
  <c r="T147" i="20"/>
  <c r="U147" i="20"/>
  <c r="V147" i="20"/>
  <c r="A147" i="20"/>
  <c r="AH144" i="20"/>
  <c r="AG144" i="20"/>
  <c r="AF144" i="20"/>
  <c r="AE144" i="20"/>
  <c r="AD144" i="20"/>
  <c r="AC144" i="20"/>
  <c r="AB144" i="20"/>
  <c r="AA144" i="20"/>
  <c r="Z144" i="20"/>
  <c r="Y144" i="20"/>
  <c r="X144" i="20"/>
  <c r="W144" i="20"/>
  <c r="V144" i="20"/>
  <c r="U144" i="20"/>
  <c r="T144" i="20"/>
  <c r="S144" i="20"/>
  <c r="R144" i="20"/>
  <c r="Q144" i="20"/>
  <c r="P144" i="20"/>
  <c r="O144" i="20"/>
  <c r="N144" i="20"/>
  <c r="M144" i="20"/>
  <c r="L144" i="20"/>
  <c r="K144" i="20"/>
  <c r="J144" i="20"/>
  <c r="I144" i="20"/>
  <c r="H144" i="20"/>
  <c r="G144" i="20"/>
  <c r="F144" i="20"/>
  <c r="E144" i="20"/>
  <c r="D144" i="20"/>
  <c r="AI134" i="20"/>
  <c r="AL134" i="20"/>
  <c r="AI135" i="20"/>
  <c r="AL135" i="20" s="1"/>
  <c r="AI137" i="20"/>
  <c r="AL137" i="20" s="1"/>
  <c r="AI139" i="20"/>
  <c r="AI140" i="20"/>
  <c r="AI141" i="20"/>
  <c r="AL141" i="20" s="1"/>
  <c r="AI142" i="20"/>
  <c r="AH143" i="20"/>
  <c r="AG143" i="20"/>
  <c r="AF143" i="20"/>
  <c r="AE143" i="20"/>
  <c r="AD143" i="20"/>
  <c r="AC143" i="20"/>
  <c r="AB143" i="20"/>
  <c r="AA143" i="20"/>
  <c r="Z143" i="20"/>
  <c r="Y143" i="20"/>
  <c r="X143" i="20"/>
  <c r="W143" i="20"/>
  <c r="V143" i="20"/>
  <c r="U143" i="20"/>
  <c r="T143" i="20"/>
  <c r="S143" i="20"/>
  <c r="R143" i="20"/>
  <c r="Q143" i="20"/>
  <c r="P143" i="20"/>
  <c r="O143" i="20"/>
  <c r="N143" i="20"/>
  <c r="M143" i="20"/>
  <c r="L143" i="20"/>
  <c r="K143" i="20"/>
  <c r="J143" i="20"/>
  <c r="I143" i="20"/>
  <c r="H143" i="20"/>
  <c r="G143" i="20"/>
  <c r="F143" i="20"/>
  <c r="E143" i="20"/>
  <c r="D143" i="20"/>
  <c r="AL142" i="20"/>
  <c r="AL140" i="20"/>
  <c r="AL139" i="20"/>
  <c r="AJ118" i="20"/>
  <c r="AI118" i="20"/>
  <c r="AL118" i="20"/>
  <c r="AL131" i="20" s="1"/>
  <c r="AJ131" i="20"/>
  <c r="AI131" i="20"/>
  <c r="AH131" i="20"/>
  <c r="AH130" i="20" s="1"/>
  <c r="AG131" i="20"/>
  <c r="AF131" i="20"/>
  <c r="AE131" i="20"/>
  <c r="AD131" i="20"/>
  <c r="AD130" i="20" s="1"/>
  <c r="AC131" i="20"/>
  <c r="AB131" i="20"/>
  <c r="AA131" i="20"/>
  <c r="Z131" i="20"/>
  <c r="Z130" i="20" s="1"/>
  <c r="Y131" i="20"/>
  <c r="X131" i="20"/>
  <c r="W131" i="20"/>
  <c r="V131" i="20"/>
  <c r="V130" i="20" s="1"/>
  <c r="U131" i="20"/>
  <c r="T131" i="20"/>
  <c r="S131" i="20"/>
  <c r="R131" i="20"/>
  <c r="R130" i="20" s="1"/>
  <c r="Q131" i="20"/>
  <c r="P131" i="20"/>
  <c r="O131" i="20"/>
  <c r="N131" i="20"/>
  <c r="N130" i="20" s="1"/>
  <c r="M131" i="20"/>
  <c r="L131" i="20"/>
  <c r="K131" i="20"/>
  <c r="J131" i="20"/>
  <c r="J130" i="20" s="1"/>
  <c r="I131" i="20"/>
  <c r="H131" i="20"/>
  <c r="G131" i="20"/>
  <c r="F131" i="20"/>
  <c r="F130" i="20" s="1"/>
  <c r="E131" i="20"/>
  <c r="D131" i="20"/>
  <c r="AI125" i="20"/>
  <c r="AL125" i="20"/>
  <c r="AI126" i="20"/>
  <c r="AL126" i="20"/>
  <c r="AI127" i="20"/>
  <c r="AL127" i="20" s="1"/>
  <c r="AI128" i="20"/>
  <c r="AL128" i="20"/>
  <c r="AI129" i="20"/>
  <c r="AG130" i="20"/>
  <c r="AF130" i="20"/>
  <c r="AE130" i="20"/>
  <c r="AC130" i="20"/>
  <c r="AB130" i="20"/>
  <c r="AA130" i="20"/>
  <c r="Y130" i="20"/>
  <c r="X130" i="20"/>
  <c r="W130" i="20"/>
  <c r="U130" i="20"/>
  <c r="T130" i="20"/>
  <c r="S130" i="20"/>
  <c r="Q130" i="20"/>
  <c r="P130" i="20"/>
  <c r="O130" i="20"/>
  <c r="M130" i="20"/>
  <c r="L130" i="20"/>
  <c r="K130" i="20"/>
  <c r="I130" i="20"/>
  <c r="H130" i="20"/>
  <c r="G130" i="20"/>
  <c r="E130" i="20"/>
  <c r="D130" i="20"/>
  <c r="AL129" i="20"/>
  <c r="AJ109" i="20"/>
  <c r="AJ111" i="20"/>
  <c r="AI111" i="20" s="1"/>
  <c r="AL111" i="20" s="1"/>
  <c r="AJ113" i="20"/>
  <c r="AJ115" i="20"/>
  <c r="AI115" i="20" s="1"/>
  <c r="AL115" i="20" s="1"/>
  <c r="AJ119" i="20"/>
  <c r="AI109" i="20"/>
  <c r="AL109" i="20"/>
  <c r="AI113" i="20"/>
  <c r="AL113" i="20"/>
  <c r="AI119" i="20"/>
  <c r="AL119" i="20"/>
  <c r="AH120" i="20"/>
  <c r="AG120" i="20"/>
  <c r="AF120" i="20"/>
  <c r="AE120" i="20"/>
  <c r="AD120" i="20"/>
  <c r="AC120" i="20"/>
  <c r="AB120" i="20"/>
  <c r="AA120" i="20"/>
  <c r="Z120" i="20"/>
  <c r="Y120" i="20"/>
  <c r="X120" i="20"/>
  <c r="W120" i="20"/>
  <c r="V120" i="20"/>
  <c r="U120" i="20"/>
  <c r="T120" i="20"/>
  <c r="S120" i="20"/>
  <c r="R120" i="20"/>
  <c r="Q120" i="20"/>
  <c r="P120" i="20"/>
  <c r="O120" i="20"/>
  <c r="N120" i="20"/>
  <c r="M120" i="20"/>
  <c r="L120" i="20"/>
  <c r="K120" i="20"/>
  <c r="J120" i="20"/>
  <c r="I120" i="20"/>
  <c r="H120" i="20"/>
  <c r="G120" i="20"/>
  <c r="F120" i="20"/>
  <c r="E120" i="20"/>
  <c r="D120" i="20"/>
  <c r="W106" i="20"/>
  <c r="X106" i="20"/>
  <c r="Y106" i="20"/>
  <c r="Z106" i="20"/>
  <c r="AA106" i="20"/>
  <c r="AB106" i="20"/>
  <c r="AC106" i="20"/>
  <c r="AD106" i="20"/>
  <c r="AE106" i="20"/>
  <c r="AF106" i="20"/>
  <c r="AG106" i="20"/>
  <c r="AH106" i="20"/>
  <c r="D106" i="20"/>
  <c r="E106" i="20"/>
  <c r="F106" i="20"/>
  <c r="G106" i="20"/>
  <c r="H106" i="20"/>
  <c r="I106" i="20"/>
  <c r="J106" i="20"/>
  <c r="K106" i="20"/>
  <c r="L106" i="20"/>
  <c r="M106" i="20"/>
  <c r="N106" i="20"/>
  <c r="O106" i="20"/>
  <c r="P106" i="20"/>
  <c r="Q106" i="20"/>
  <c r="R106" i="20"/>
  <c r="S106" i="20"/>
  <c r="T106" i="20"/>
  <c r="U106" i="20"/>
  <c r="V106" i="20"/>
  <c r="AE4" i="20"/>
  <c r="AA4" i="20"/>
  <c r="W4" i="20"/>
  <c r="S4" i="20"/>
  <c r="O4" i="20"/>
  <c r="K4" i="20"/>
  <c r="G4" i="20"/>
  <c r="L1" i="20"/>
  <c r="J1" i="20"/>
  <c r="F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K37" i="14"/>
  <c r="K54" i="14"/>
  <c r="K56" i="14"/>
  <c r="K31" i="14" s="1"/>
  <c r="A56" i="14"/>
  <c r="A55" i="14"/>
  <c r="A54" i="14"/>
  <c r="I53" i="14"/>
  <c r="J53" i="14"/>
  <c r="A53" i="14"/>
  <c r="I52" i="14"/>
  <c r="J52" i="14"/>
  <c r="A52" i="14"/>
  <c r="I51" i="14"/>
  <c r="J51" i="14"/>
  <c r="A51" i="14"/>
  <c r="I50" i="14"/>
  <c r="J50" i="14"/>
  <c r="A50" i="14"/>
  <c r="I49" i="14"/>
  <c r="J49" i="14"/>
  <c r="A49" i="14"/>
  <c r="I48" i="14"/>
  <c r="J48" i="14"/>
  <c r="A48" i="14"/>
  <c r="I47" i="14"/>
  <c r="J47" i="14"/>
  <c r="A47" i="14"/>
  <c r="I46" i="14"/>
  <c r="J46" i="14"/>
  <c r="A46" i="14"/>
  <c r="I45" i="14"/>
  <c r="J45" i="14"/>
  <c r="A45" i="14"/>
  <c r="I44" i="14"/>
  <c r="J44" i="14"/>
  <c r="A44" i="14"/>
  <c r="I43" i="14"/>
  <c r="J43" i="14"/>
  <c r="A43" i="14"/>
  <c r="I42" i="14"/>
  <c r="J42" i="14"/>
  <c r="A42" i="14"/>
  <c r="I41" i="14"/>
  <c r="J41" i="14"/>
  <c r="A41" i="14"/>
  <c r="I40" i="14"/>
  <c r="J40" i="14"/>
  <c r="A40" i="14"/>
  <c r="J39" i="14"/>
  <c r="A39" i="14"/>
  <c r="A38" i="14"/>
  <c r="A37" i="14"/>
  <c r="I36" i="14"/>
  <c r="J36" i="14"/>
  <c r="A36" i="14"/>
  <c r="J35" i="14"/>
  <c r="A35" i="14"/>
  <c r="A34" i="14"/>
  <c r="I6" i="14"/>
  <c r="I7" i="14"/>
  <c r="I8" i="14"/>
  <c r="I9" i="14"/>
  <c r="I10" i="14"/>
  <c r="I11" i="14"/>
  <c r="I12" i="14"/>
  <c r="I13" i="14"/>
  <c r="I14" i="14"/>
  <c r="L15" i="14"/>
  <c r="I17" i="14"/>
  <c r="I18" i="14"/>
  <c r="I19" i="14"/>
  <c r="I20" i="14"/>
  <c r="I21" i="14"/>
  <c r="I22" i="14"/>
  <c r="I23" i="14"/>
  <c r="I24" i="14"/>
  <c r="I25" i="14"/>
  <c r="L26" i="14"/>
  <c r="L28" i="14"/>
  <c r="I30" i="14"/>
  <c r="K15" i="14"/>
  <c r="K28" i="14" s="1"/>
  <c r="K33" i="14" s="1"/>
  <c r="K26" i="14"/>
  <c r="K32" i="14"/>
  <c r="A33" i="14"/>
  <c r="A32" i="14"/>
  <c r="A31" i="14"/>
  <c r="J30" i="14"/>
  <c r="A30" i="14"/>
  <c r="A29" i="14"/>
  <c r="A28" i="14"/>
  <c r="A27" i="14"/>
  <c r="A26" i="14"/>
  <c r="J25" i="14"/>
  <c r="A25" i="14"/>
  <c r="J24" i="14"/>
  <c r="A24" i="14"/>
  <c r="J23" i="14"/>
  <c r="A23" i="14"/>
  <c r="J22" i="14"/>
  <c r="A22" i="14"/>
  <c r="J21" i="14"/>
  <c r="A21" i="14"/>
  <c r="J20" i="14"/>
  <c r="A20" i="14"/>
  <c r="J19" i="14"/>
  <c r="A19" i="14"/>
  <c r="J18" i="14"/>
  <c r="A18" i="14"/>
  <c r="J17" i="14"/>
  <c r="A17" i="14"/>
  <c r="A16" i="14"/>
  <c r="A15" i="14"/>
  <c r="J14" i="14"/>
  <c r="A14" i="14"/>
  <c r="J13" i="14"/>
  <c r="A13" i="14"/>
  <c r="J12" i="14"/>
  <c r="A12" i="14"/>
  <c r="J11" i="14"/>
  <c r="A11" i="14"/>
  <c r="J10" i="14"/>
  <c r="A10" i="14"/>
  <c r="J9" i="14"/>
  <c r="A9" i="14"/>
  <c r="J8" i="14"/>
  <c r="A8" i="14"/>
  <c r="J7" i="14"/>
  <c r="A7" i="14"/>
  <c r="J6" i="14"/>
  <c r="A6" i="14"/>
  <c r="A5" i="14"/>
  <c r="L4" i="14"/>
  <c r="K4" i="14"/>
  <c r="E4" i="14"/>
  <c r="E3" i="14"/>
  <c r="D3" i="14"/>
  <c r="L1" i="14"/>
  <c r="I136" i="1"/>
  <c r="H136" i="1"/>
  <c r="I135" i="1"/>
  <c r="H135" i="1"/>
  <c r="I134" i="1"/>
  <c r="H134" i="1"/>
  <c r="I133" i="1"/>
  <c r="H133" i="1"/>
  <c r="I132" i="1"/>
  <c r="H132" i="1"/>
  <c r="I131" i="1"/>
  <c r="H131" i="1"/>
  <c r="I130" i="1"/>
  <c r="H130" i="1"/>
  <c r="I129" i="1"/>
  <c r="H129" i="1"/>
  <c r="I128" i="1"/>
  <c r="H128" i="1"/>
  <c r="I127" i="1"/>
  <c r="H127" i="1"/>
  <c r="I126" i="1"/>
  <c r="H126" i="1"/>
  <c r="I125" i="1"/>
  <c r="H125" i="1"/>
  <c r="I124" i="1"/>
  <c r="H124" i="1"/>
  <c r="I123" i="1"/>
  <c r="H123" i="1"/>
  <c r="I122" i="1"/>
  <c r="H122" i="1"/>
  <c r="I121" i="1"/>
  <c r="H121" i="1"/>
  <c r="I120" i="1"/>
  <c r="H120" i="1"/>
  <c r="I119" i="1"/>
  <c r="H119" i="1"/>
  <c r="I118" i="1"/>
  <c r="H118" i="1"/>
  <c r="I117" i="1"/>
  <c r="H117" i="1"/>
  <c r="I116" i="1"/>
  <c r="H116" i="1"/>
  <c r="I115" i="1"/>
  <c r="H115" i="1"/>
  <c r="I114" i="1"/>
  <c r="H114" i="1"/>
  <c r="I113" i="1"/>
  <c r="H113" i="1"/>
  <c r="I112" i="1"/>
  <c r="H112" i="1"/>
  <c r="I111" i="1"/>
  <c r="H111" i="1"/>
  <c r="I110" i="1"/>
  <c r="H110" i="1"/>
  <c r="I109" i="1"/>
  <c r="H109" i="1"/>
  <c r="I108" i="1"/>
  <c r="H108" i="1"/>
  <c r="I107" i="1"/>
  <c r="H107" i="1"/>
  <c r="I106" i="1"/>
  <c r="H106" i="1"/>
  <c r="I105" i="1"/>
  <c r="H105" i="1"/>
  <c r="I104" i="1"/>
  <c r="H104" i="1"/>
  <c r="I103" i="1"/>
  <c r="H103" i="1"/>
  <c r="I102" i="1"/>
  <c r="H102" i="1"/>
  <c r="I101" i="1"/>
  <c r="H101" i="1"/>
  <c r="I100" i="1"/>
  <c r="H100" i="1"/>
  <c r="I99" i="1"/>
  <c r="H99" i="1"/>
  <c r="I98" i="1"/>
  <c r="H98" i="1"/>
  <c r="I97" i="1"/>
  <c r="H97" i="1"/>
  <c r="I96" i="1"/>
  <c r="H96" i="1"/>
  <c r="I95" i="1"/>
  <c r="H95" i="1"/>
  <c r="I94" i="1"/>
  <c r="H94" i="1"/>
  <c r="I93" i="1"/>
  <c r="H93" i="1"/>
  <c r="I92" i="1"/>
  <c r="H92" i="1"/>
  <c r="I91" i="1"/>
  <c r="H91" i="1"/>
  <c r="I90" i="1"/>
  <c r="H90" i="1"/>
  <c r="I89" i="1"/>
  <c r="H89" i="1"/>
  <c r="I88" i="1"/>
  <c r="H88" i="1"/>
  <c r="I87" i="1"/>
  <c r="H87" i="1"/>
  <c r="I86" i="1"/>
  <c r="H86" i="1"/>
  <c r="I85" i="1"/>
  <c r="H85" i="1"/>
  <c r="I84" i="1"/>
  <c r="H84" i="1"/>
  <c r="I83" i="1"/>
  <c r="H83" i="1"/>
  <c r="I82" i="1"/>
  <c r="H82" i="1"/>
  <c r="I81" i="1"/>
  <c r="H81" i="1"/>
  <c r="I80" i="1"/>
  <c r="H80" i="1"/>
  <c r="I79" i="1"/>
  <c r="H79" i="1"/>
  <c r="I78" i="1"/>
  <c r="H78" i="1"/>
  <c r="I77" i="1"/>
  <c r="H77" i="1"/>
  <c r="I76" i="1"/>
  <c r="H76" i="1"/>
  <c r="I75" i="1"/>
  <c r="H75" i="1"/>
  <c r="I74" i="1"/>
  <c r="H74" i="1"/>
  <c r="I73" i="1"/>
  <c r="H73" i="1"/>
  <c r="I72" i="1"/>
  <c r="H72" i="1"/>
  <c r="I71" i="1"/>
  <c r="H71" i="1"/>
  <c r="I70" i="1"/>
  <c r="H70" i="1"/>
  <c r="I69" i="1"/>
  <c r="H69" i="1"/>
  <c r="I68" i="1"/>
  <c r="H68" i="1"/>
  <c r="I67" i="1"/>
  <c r="H67" i="1"/>
  <c r="I66" i="1"/>
  <c r="H66" i="1"/>
  <c r="I65" i="1"/>
  <c r="H65" i="1"/>
  <c r="I64" i="1"/>
  <c r="H64" i="1"/>
  <c r="I63" i="1"/>
  <c r="H63" i="1"/>
  <c r="I62" i="1"/>
  <c r="H62" i="1"/>
  <c r="I61" i="1"/>
  <c r="H61" i="1"/>
  <c r="I60" i="1"/>
  <c r="H60" i="1"/>
  <c r="I59" i="1"/>
  <c r="H59" i="1"/>
  <c r="I58" i="1"/>
  <c r="H58" i="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P38" i="1"/>
  <c r="I38" i="1"/>
  <c r="H38" i="1"/>
  <c r="P37" i="1"/>
  <c r="I37" i="1"/>
  <c r="H37" i="1"/>
  <c r="P36" i="1"/>
  <c r="I36" i="1"/>
  <c r="H36" i="1"/>
  <c r="P35" i="1"/>
  <c r="I35" i="1"/>
  <c r="H35" i="1"/>
  <c r="P34" i="1"/>
  <c r="I34" i="1"/>
  <c r="H34" i="1"/>
  <c r="P33" i="1"/>
  <c r="I33" i="1"/>
  <c r="H33" i="1"/>
  <c r="P32" i="1"/>
  <c r="I32" i="1"/>
  <c r="H32" i="1"/>
  <c r="P31" i="1"/>
  <c r="I31" i="1"/>
  <c r="H31" i="1"/>
  <c r="P30" i="1"/>
  <c r="I30" i="1"/>
  <c r="H30" i="1"/>
  <c r="P29" i="1"/>
  <c r="I29" i="1"/>
  <c r="H29" i="1"/>
  <c r="P28" i="1"/>
  <c r="I28" i="1"/>
  <c r="H28" i="1"/>
  <c r="P27" i="1"/>
  <c r="I27" i="1"/>
  <c r="H27" i="1"/>
  <c r="P26" i="1"/>
  <c r="I26" i="1"/>
  <c r="H26" i="1"/>
  <c r="P25" i="1"/>
  <c r="I25" i="1"/>
  <c r="H25" i="1"/>
  <c r="P24" i="1"/>
  <c r="I24" i="1"/>
  <c r="H24" i="1"/>
  <c r="P23" i="1"/>
  <c r="I23" i="1"/>
  <c r="H23" i="1"/>
  <c r="P22" i="1"/>
  <c r="I22" i="1"/>
  <c r="H22" i="1"/>
  <c r="P21" i="1"/>
  <c r="I21" i="1"/>
  <c r="H21" i="1"/>
  <c r="P20" i="1"/>
  <c r="L20" i="1"/>
  <c r="K20" i="1"/>
  <c r="I20" i="1"/>
  <c r="H20" i="1"/>
  <c r="P19" i="1"/>
  <c r="L19" i="1"/>
  <c r="K19" i="1"/>
  <c r="I19" i="1"/>
  <c r="H19" i="1"/>
  <c r="P18" i="1"/>
  <c r="L18" i="1"/>
  <c r="K18" i="1"/>
  <c r="I18" i="1"/>
  <c r="H18" i="1"/>
  <c r="P17" i="1"/>
  <c r="L17" i="1"/>
  <c r="K17" i="1"/>
  <c r="I17" i="1"/>
  <c r="H17" i="1"/>
  <c r="B17" i="1"/>
  <c r="P16" i="1"/>
  <c r="L16" i="1"/>
  <c r="K16" i="1"/>
  <c r="I16" i="1"/>
  <c r="H16" i="1"/>
  <c r="B16" i="1"/>
  <c r="P15" i="1"/>
  <c r="L15" i="1"/>
  <c r="K15" i="1"/>
  <c r="I15" i="1"/>
  <c r="H15" i="1"/>
  <c r="B15" i="1"/>
  <c r="P14" i="1"/>
  <c r="L14" i="1"/>
  <c r="K14" i="1"/>
  <c r="I14" i="1"/>
  <c r="H14" i="1"/>
  <c r="B14" i="1"/>
  <c r="P13" i="1"/>
  <c r="L13" i="1"/>
  <c r="K13" i="1"/>
  <c r="I13" i="1"/>
  <c r="H13" i="1"/>
  <c r="P12" i="1"/>
  <c r="L12" i="1"/>
  <c r="K12" i="1"/>
  <c r="I12" i="1"/>
  <c r="H12" i="1"/>
  <c r="P11" i="1"/>
  <c r="L11" i="1"/>
  <c r="K11" i="1"/>
  <c r="I11" i="1"/>
  <c r="H11" i="1"/>
  <c r="P10" i="1"/>
  <c r="L10" i="1"/>
  <c r="K10" i="1"/>
  <c r="I10" i="1"/>
  <c r="H10" i="1"/>
  <c r="P9" i="1"/>
  <c r="L9" i="1"/>
  <c r="K9" i="1"/>
  <c r="I9" i="1"/>
  <c r="H9" i="1"/>
  <c r="Y8" i="1"/>
  <c r="X8" i="1"/>
  <c r="P8" i="1"/>
  <c r="L8" i="1"/>
  <c r="K8" i="1"/>
  <c r="I8" i="1"/>
  <c r="H8" i="1"/>
  <c r="Y7" i="1"/>
  <c r="X7" i="1"/>
  <c r="P7" i="1"/>
  <c r="L7" i="1"/>
  <c r="K7" i="1"/>
  <c r="I7" i="1"/>
  <c r="H7" i="1"/>
  <c r="Y6" i="1"/>
  <c r="X6" i="1"/>
  <c r="P6" i="1"/>
  <c r="L6" i="1"/>
  <c r="K6" i="1"/>
  <c r="I6" i="1"/>
  <c r="H6" i="1"/>
  <c r="Y5" i="1"/>
  <c r="X5" i="1"/>
  <c r="P5" i="1"/>
  <c r="L5" i="1"/>
  <c r="K5" i="1"/>
  <c r="I5" i="1"/>
  <c r="H5" i="1"/>
  <c r="B12" i="23"/>
  <c r="H9" i="23"/>
  <c r="B30" i="23"/>
  <c r="D5" i="23"/>
  <c r="B24" i="22"/>
  <c r="B25" i="22"/>
  <c r="B26" i="22"/>
  <c r="B15" i="22"/>
  <c r="B34" i="22"/>
  <c r="B16" i="22"/>
  <c r="B18" i="22"/>
  <c r="B19" i="22"/>
  <c r="B20" i="22"/>
  <c r="B21" i="22"/>
  <c r="B9" i="22"/>
  <c r="B31" i="22"/>
  <c r="B33" i="22"/>
  <c r="B10" i="22"/>
  <c r="B11" i="22"/>
  <c r="B12" i="22"/>
  <c r="B30" i="22"/>
  <c r="H28" i="22"/>
  <c r="H22" i="22"/>
  <c r="H9" i="22"/>
  <c r="H10" i="22"/>
  <c r="H11" i="22"/>
  <c r="H30" i="22"/>
  <c r="H31" i="22"/>
  <c r="K35" i="22"/>
  <c r="B35" i="22"/>
  <c r="K34" i="22"/>
  <c r="K33" i="22"/>
  <c r="K32" i="22"/>
  <c r="K21" i="22"/>
  <c r="K20" i="22"/>
  <c r="B17" i="22"/>
  <c r="E5" i="22"/>
  <c r="B3" i="39"/>
  <c r="A1" i="39"/>
  <c r="F12" i="21"/>
  <c r="A29" i="21"/>
  <c r="A30" i="21"/>
  <c r="D30" i="21" s="1"/>
  <c r="A31" i="21"/>
  <c r="D31" i="21" s="1"/>
  <c r="A43" i="21"/>
  <c r="O2" i="21"/>
  <c r="D38" i="21"/>
  <c r="D37" i="21"/>
  <c r="D36" i="21"/>
  <c r="D35" i="21"/>
  <c r="D34" i="21"/>
  <c r="D24" i="21"/>
  <c r="B11" i="21"/>
  <c r="D5" i="21"/>
  <c r="J15" i="44"/>
  <c r="L17" i="41"/>
  <c r="L15" i="44"/>
  <c r="N17" i="41" s="1"/>
  <c r="J25" i="44"/>
  <c r="J29" i="44"/>
  <c r="J30" i="44" s="1"/>
  <c r="L19" i="41" s="1"/>
  <c r="L25" i="44"/>
  <c r="L29" i="44"/>
  <c r="L30" i="44" s="1"/>
  <c r="N19" i="41" s="1"/>
  <c r="J37" i="44"/>
  <c r="J39" i="44" s="1"/>
  <c r="L21" i="41" s="1"/>
  <c r="P21" i="41" s="1"/>
  <c r="I35" i="49" s="1"/>
  <c r="L37" i="44"/>
  <c r="L39" i="44"/>
  <c r="N21" i="41" s="1"/>
  <c r="L21" i="45"/>
  <c r="L27" i="41" s="1"/>
  <c r="J43" i="46"/>
  <c r="L30" i="41" s="1"/>
  <c r="L14" i="46"/>
  <c r="L15" i="46"/>
  <c r="L16" i="46"/>
  <c r="L18" i="46"/>
  <c r="L19" i="46"/>
  <c r="L21" i="46"/>
  <c r="L22" i="46"/>
  <c r="L24" i="46"/>
  <c r="L26" i="46"/>
  <c r="L27" i="46"/>
  <c r="L29" i="46"/>
  <c r="L30" i="46"/>
  <c r="L32" i="46"/>
  <c r="L34" i="46"/>
  <c r="L35" i="46"/>
  <c r="L37" i="46"/>
  <c r="L38" i="46"/>
  <c r="L39" i="46"/>
  <c r="L41" i="46"/>
  <c r="L43" i="46"/>
  <c r="N30" i="41" s="1"/>
  <c r="N33" i="41" s="1"/>
  <c r="H65" i="48" s="1"/>
  <c r="L43" i="45"/>
  <c r="F23" i="45" s="1"/>
  <c r="L40" i="41"/>
  <c r="P40" i="41"/>
  <c r="N35" i="48"/>
  <c r="N44" i="48" s="1"/>
  <c r="J25" i="42" s="1"/>
  <c r="N43" i="48"/>
  <c r="N14" i="48"/>
  <c r="N21" i="48"/>
  <c r="N22" i="48"/>
  <c r="J16" i="42"/>
  <c r="I38" i="49"/>
  <c r="D12" i="44"/>
  <c r="D15" i="44" s="1"/>
  <c r="F17" i="41" s="1"/>
  <c r="D13" i="44"/>
  <c r="D14" i="44"/>
  <c r="F22" i="44"/>
  <c r="F25" i="44" s="1"/>
  <c r="F24" i="44"/>
  <c r="F26" i="44"/>
  <c r="F29" i="44" s="1"/>
  <c r="F28" i="44"/>
  <c r="D35" i="44"/>
  <c r="D36" i="44"/>
  <c r="D37" i="44"/>
  <c r="D39" i="44" s="1"/>
  <c r="F21" i="41" s="1"/>
  <c r="J21" i="41" s="1"/>
  <c r="G35" i="49" s="1"/>
  <c r="D38" i="44"/>
  <c r="F37" i="44"/>
  <c r="F39" i="44"/>
  <c r="H21" i="41" s="1"/>
  <c r="H27" i="41"/>
  <c r="D14" i="46"/>
  <c r="D15" i="46"/>
  <c r="D16" i="46"/>
  <c r="D18" i="46"/>
  <c r="D19" i="46"/>
  <c r="D22" i="46"/>
  <c r="D24" i="46"/>
  <c r="D30" i="46"/>
  <c r="D32" i="46"/>
  <c r="D34" i="46"/>
  <c r="D35" i="46"/>
  <c r="D37" i="46"/>
  <c r="D38" i="46"/>
  <c r="D39" i="46"/>
  <c r="D41" i="46"/>
  <c r="H14" i="46"/>
  <c r="F14" i="46" s="1"/>
  <c r="H15" i="46"/>
  <c r="F15" i="46" s="1"/>
  <c r="H16" i="46"/>
  <c r="F16" i="46" s="1"/>
  <c r="H18" i="46"/>
  <c r="F18" i="46" s="1"/>
  <c r="H19" i="46"/>
  <c r="F19" i="46" s="1"/>
  <c r="H24" i="46"/>
  <c r="F24" i="46" s="1"/>
  <c r="H32" i="46"/>
  <c r="F32" i="46" s="1"/>
  <c r="H34" i="46"/>
  <c r="F34" i="46" s="1"/>
  <c r="H35" i="46"/>
  <c r="F35" i="46" s="1"/>
  <c r="H37" i="46"/>
  <c r="F37" i="46" s="1"/>
  <c r="H38" i="46"/>
  <c r="F38" i="46" s="1"/>
  <c r="H39" i="46"/>
  <c r="F39" i="46" s="1"/>
  <c r="H41" i="46"/>
  <c r="F41" i="46" s="1"/>
  <c r="F40" i="41"/>
  <c r="J40" i="41"/>
  <c r="L27" i="48"/>
  <c r="L28" i="48"/>
  <c r="L29" i="48"/>
  <c r="L35" i="48" s="1"/>
  <c r="L30" i="48"/>
  <c r="L31" i="48"/>
  <c r="L32" i="48"/>
  <c r="L33" i="48"/>
  <c r="L34" i="48"/>
  <c r="L37" i="48"/>
  <c r="L39" i="48"/>
  <c r="L40" i="48"/>
  <c r="L41" i="48"/>
  <c r="L42" i="48"/>
  <c r="L43" i="48"/>
  <c r="L10" i="48"/>
  <c r="L11" i="48"/>
  <c r="L12" i="48"/>
  <c r="L13" i="48"/>
  <c r="L14" i="48"/>
  <c r="L15" i="48"/>
  <c r="L16" i="48"/>
  <c r="L17" i="48"/>
  <c r="L18" i="48"/>
  <c r="L21" i="48" s="1"/>
  <c r="L20" i="48"/>
  <c r="G36" i="49"/>
  <c r="L27" i="49"/>
  <c r="M27" i="49" s="1"/>
  <c r="B27" i="49" s="1"/>
  <c r="I21" i="49"/>
  <c r="G21" i="49"/>
  <c r="E18" i="49"/>
  <c r="E19" i="49"/>
  <c r="E21" i="49" s="1"/>
  <c r="C19" i="49"/>
  <c r="A5" i="49"/>
  <c r="A1" i="49"/>
  <c r="F15" i="44"/>
  <c r="H17" i="41" s="1"/>
  <c r="J54" i="48"/>
  <c r="J49" i="48"/>
  <c r="J62" i="48"/>
  <c r="J66" i="48" s="1"/>
  <c r="D62" i="48"/>
  <c r="D66" i="48" s="1"/>
  <c r="J51" i="48"/>
  <c r="J55" i="48" s="1"/>
  <c r="P44" i="48"/>
  <c r="C42" i="48"/>
  <c r="C41" i="48"/>
  <c r="C40" i="48"/>
  <c r="C39" i="48"/>
  <c r="C37" i="48"/>
  <c r="C34" i="48"/>
  <c r="C33" i="48"/>
  <c r="C32" i="48"/>
  <c r="C31" i="48"/>
  <c r="C30" i="48"/>
  <c r="C29" i="48"/>
  <c r="C28" i="48"/>
  <c r="P22" i="48"/>
  <c r="C20" i="48"/>
  <c r="C18" i="48"/>
  <c r="C17" i="48"/>
  <c r="C16" i="48"/>
  <c r="C15" i="48"/>
  <c r="C13" i="48"/>
  <c r="C12" i="48"/>
  <c r="C11" i="48"/>
  <c r="B5" i="48"/>
  <c r="B1" i="48"/>
  <c r="J45" i="47"/>
  <c r="K45" i="47" s="1"/>
  <c r="C45" i="47" s="1"/>
  <c r="D43" i="47"/>
  <c r="F41" i="47"/>
  <c r="D38" i="47" s="1"/>
  <c r="D41" i="47" s="1"/>
  <c r="D40" i="47"/>
  <c r="J34" i="47"/>
  <c r="K34" i="47"/>
  <c r="C34" i="47" s="1"/>
  <c r="F28" i="47"/>
  <c r="D28" i="47"/>
  <c r="F21" i="47"/>
  <c r="D18" i="47"/>
  <c r="D19" i="47"/>
  <c r="D20" i="47"/>
  <c r="D21" i="47"/>
  <c r="F15" i="47"/>
  <c r="D15" i="47"/>
  <c r="B5" i="47"/>
  <c r="B1" i="47"/>
  <c r="N43" i="46"/>
  <c r="N46" i="46"/>
  <c r="H29" i="46"/>
  <c r="H30" i="46" s="1"/>
  <c r="F30" i="46" s="1"/>
  <c r="D26" i="46"/>
  <c r="D27" i="46" s="1"/>
  <c r="F26" i="46"/>
  <c r="H26" i="46" s="1"/>
  <c r="H27" i="46" s="1"/>
  <c r="H21" i="46"/>
  <c r="B5" i="46"/>
  <c r="L51" i="45"/>
  <c r="L41" i="45"/>
  <c r="L44" i="45"/>
  <c r="L45" i="45" s="1"/>
  <c r="J45" i="45"/>
  <c r="H45" i="45"/>
  <c r="F45" i="45"/>
  <c r="D45" i="45"/>
  <c r="L31" i="45"/>
  <c r="J24" i="45"/>
  <c r="H24" i="45"/>
  <c r="B5" i="45"/>
  <c r="B1" i="45"/>
  <c r="H48" i="44"/>
  <c r="H47" i="44"/>
  <c r="H46" i="44"/>
  <c r="N37" i="44"/>
  <c r="N38" i="44"/>
  <c r="N39" i="44"/>
  <c r="H35" i="44"/>
  <c r="H36" i="44"/>
  <c r="H37" i="44" s="1"/>
  <c r="H39" i="44" s="1"/>
  <c r="H38" i="44"/>
  <c r="C36" i="44"/>
  <c r="C35" i="44"/>
  <c r="N22" i="44"/>
  <c r="N25" i="44" s="1"/>
  <c r="N23" i="44"/>
  <c r="N24" i="44"/>
  <c r="N26" i="44"/>
  <c r="N29" i="44" s="1"/>
  <c r="N27" i="44"/>
  <c r="N28" i="44"/>
  <c r="H22" i="44"/>
  <c r="H24" i="44"/>
  <c r="H26" i="44"/>
  <c r="H29" i="44" s="1"/>
  <c r="H28" i="44"/>
  <c r="D25" i="44"/>
  <c r="D30" i="44" s="1"/>
  <c r="F19" i="41" s="1"/>
  <c r="D29" i="44"/>
  <c r="C28" i="44"/>
  <c r="H27" i="44"/>
  <c r="C26" i="44"/>
  <c r="C24" i="44"/>
  <c r="H23" i="44"/>
  <c r="H25" i="44" s="1"/>
  <c r="H30" i="44" s="1"/>
  <c r="C22" i="44"/>
  <c r="N12" i="44"/>
  <c r="N13" i="44"/>
  <c r="N14" i="44"/>
  <c r="N15" i="44"/>
  <c r="H12" i="44"/>
  <c r="H13" i="44"/>
  <c r="H14" i="44"/>
  <c r="H15" i="44"/>
  <c r="C14" i="44"/>
  <c r="C13" i="44"/>
  <c r="C12" i="44"/>
  <c r="B5" i="44"/>
  <c r="B1" i="44"/>
  <c r="C13" i="43"/>
  <c r="E17" i="43" s="1"/>
  <c r="C14" i="43"/>
  <c r="G13" i="43"/>
  <c r="I17" i="43" s="1"/>
  <c r="F17" i="42"/>
  <c r="F22" i="42" s="1"/>
  <c r="E30" i="43" s="1"/>
  <c r="E32" i="43" s="1"/>
  <c r="F18" i="42"/>
  <c r="F19" i="42"/>
  <c r="F20" i="42"/>
  <c r="F21" i="42"/>
  <c r="G14" i="43"/>
  <c r="G15" i="43"/>
  <c r="I24" i="43"/>
  <c r="J22" i="42"/>
  <c r="I30" i="43"/>
  <c r="I32" i="43"/>
  <c r="E24" i="43"/>
  <c r="C15" i="43"/>
  <c r="A1" i="43"/>
  <c r="L59" i="42"/>
  <c r="L12" i="42"/>
  <c r="J23" i="42"/>
  <c r="B21" i="42"/>
  <c r="B20" i="42"/>
  <c r="B19" i="42"/>
  <c r="B18" i="42"/>
  <c r="B17" i="42"/>
  <c r="B1" i="42"/>
  <c r="P62" i="41"/>
  <c r="L62" i="41"/>
  <c r="B39" i="41"/>
  <c r="B38" i="41"/>
  <c r="J9" i="22" l="1"/>
  <c r="K9" i="22" s="1"/>
  <c r="H13" i="22"/>
  <c r="J25" i="22"/>
  <c r="K25" i="22" s="1"/>
  <c r="H36" i="22"/>
  <c r="D29" i="21"/>
  <c r="N30" i="44"/>
  <c r="L22" i="48"/>
  <c r="L23" i="45"/>
  <c r="F24" i="45"/>
  <c r="L23" i="41"/>
  <c r="P19" i="41"/>
  <c r="L28" i="42"/>
  <c r="L31" i="42" s="1"/>
  <c r="L33" i="42" s="1"/>
  <c r="I37" i="49"/>
  <c r="P30" i="41"/>
  <c r="I41" i="47"/>
  <c r="H12" i="42"/>
  <c r="F27" i="46"/>
  <c r="L44" i="48"/>
  <c r="F23" i="41"/>
  <c r="J17" i="41"/>
  <c r="P27" i="41"/>
  <c r="N23" i="41"/>
  <c r="P17" i="41"/>
  <c r="P23" i="41" s="1"/>
  <c r="F30" i="44"/>
  <c r="H19" i="41" s="1"/>
  <c r="H23" i="41" s="1"/>
  <c r="H22" i="46"/>
  <c r="F22" i="46" s="1"/>
  <c r="F43" i="46" s="1"/>
  <c r="H30" i="41" s="1"/>
  <c r="D43" i="46"/>
  <c r="F30" i="41" s="1"/>
  <c r="AJ130" i="20"/>
  <c r="AI124" i="20"/>
  <c r="AB88" i="15"/>
  <c r="AI155" i="20"/>
  <c r="AL155" i="20" s="1"/>
  <c r="AB63" i="15"/>
  <c r="AD63" i="15" s="1"/>
  <c r="AD88" i="15"/>
  <c r="F4" i="20"/>
  <c r="J4" i="20"/>
  <c r="N4" i="20"/>
  <c r="R4" i="20"/>
  <c r="V4" i="20"/>
  <c r="Z4" i="20"/>
  <c r="AD4" i="20"/>
  <c r="AH4" i="20"/>
  <c r="E5" i="15"/>
  <c r="I5" i="15"/>
  <c r="M5" i="15"/>
  <c r="Q5" i="15"/>
  <c r="U5" i="15"/>
  <c r="Y5" i="15"/>
  <c r="B8" i="15"/>
  <c r="B12" i="15"/>
  <c r="B16" i="15"/>
  <c r="B24" i="15"/>
  <c r="B28" i="15"/>
  <c r="B32" i="15"/>
  <c r="B36" i="15"/>
  <c r="B40" i="15"/>
  <c r="B44" i="15"/>
  <c r="AB21" i="15"/>
  <c r="AB45" i="15" s="1"/>
  <c r="AB46" i="15" s="1"/>
  <c r="B57" i="15"/>
  <c r="B61" i="15"/>
  <c r="B70" i="15"/>
  <c r="B74" i="15"/>
  <c r="B78" i="15"/>
  <c r="B82" i="15"/>
  <c r="B86" i="15"/>
  <c r="AI91" i="20"/>
  <c r="AI88" i="20"/>
  <c r="AL88" i="20" s="1"/>
  <c r="AM88" i="20"/>
  <c r="AI83" i="20"/>
  <c r="AI80" i="20"/>
  <c r="AL80" i="20" s="1"/>
  <c r="AM80" i="20"/>
  <c r="AI7" i="20"/>
  <c r="G145" i="16"/>
  <c r="AB24" i="16" s="1"/>
  <c r="P2" i="16"/>
  <c r="Q2" i="16" s="1"/>
  <c r="F152" i="16"/>
  <c r="AI18" i="20"/>
  <c r="G169" i="16"/>
  <c r="F170" i="16"/>
  <c r="E140" i="14"/>
  <c r="L54" i="14"/>
  <c r="D16" i="20"/>
  <c r="E16" i="20"/>
  <c r="E101" i="20" s="1"/>
  <c r="F16" i="20"/>
  <c r="G16" i="20"/>
  <c r="G101" i="20" s="1"/>
  <c r="H16" i="20"/>
  <c r="J16" i="20"/>
  <c r="J101" i="20" s="1"/>
  <c r="K16" i="20"/>
  <c r="K101" i="20" s="1"/>
  <c r="M16" i="20"/>
  <c r="M101" i="20" s="1"/>
  <c r="N16" i="20"/>
  <c r="O16" i="20"/>
  <c r="O101" i="20" s="1"/>
  <c r="P16" i="20"/>
  <c r="Q16" i="20"/>
  <c r="Q101" i="20" s="1"/>
  <c r="R16" i="20"/>
  <c r="R101" i="20" s="1"/>
  <c r="S16" i="20"/>
  <c r="U16" i="20"/>
  <c r="U101" i="20" s="1"/>
  <c r="W16" i="20"/>
  <c r="W101" i="20" s="1"/>
  <c r="X16" i="20"/>
  <c r="Y16" i="20"/>
  <c r="Y101" i="20" s="1"/>
  <c r="Z16" i="20"/>
  <c r="Z101" i="20" s="1"/>
  <c r="AA16" i="20"/>
  <c r="AA101" i="20" s="1"/>
  <c r="AB16" i="20"/>
  <c r="AC16" i="20"/>
  <c r="AC101" i="20" s="1"/>
  <c r="AE16" i="20"/>
  <c r="AE101" i="20" s="1"/>
  <c r="AF16" i="20"/>
  <c r="AH16" i="20"/>
  <c r="AH101" i="20" s="1"/>
  <c r="D94" i="20"/>
  <c r="F94" i="20"/>
  <c r="D4" i="20"/>
  <c r="H4" i="20"/>
  <c r="L4" i="20"/>
  <c r="P4" i="20"/>
  <c r="T4" i="20"/>
  <c r="X4" i="20"/>
  <c r="AB4" i="20"/>
  <c r="AF4" i="20"/>
  <c r="C5" i="15"/>
  <c r="G5" i="15"/>
  <c r="K5" i="15"/>
  <c r="O5" i="15"/>
  <c r="S5" i="15"/>
  <c r="W5" i="15"/>
  <c r="B6" i="15"/>
  <c r="B10" i="15"/>
  <c r="B14" i="15"/>
  <c r="B18" i="15"/>
  <c r="B22" i="15"/>
  <c r="B26" i="15"/>
  <c r="B30" i="15"/>
  <c r="B34" i="15"/>
  <c r="B38" i="15"/>
  <c r="B42" i="15"/>
  <c r="B72" i="15"/>
  <c r="B76" i="15"/>
  <c r="B80" i="15"/>
  <c r="B84" i="15"/>
  <c r="AE86" i="16"/>
  <c r="AI92" i="20"/>
  <c r="AL92" i="20" s="1"/>
  <c r="AM92" i="20"/>
  <c r="AE90" i="16" s="1"/>
  <c r="AI87" i="20"/>
  <c r="AI84" i="20"/>
  <c r="AL84" i="20" s="1"/>
  <c r="AM84" i="20"/>
  <c r="AI79" i="20"/>
  <c r="AI76" i="20"/>
  <c r="AL76" i="20" s="1"/>
  <c r="AM76" i="20"/>
  <c r="AE74" i="16" s="1"/>
  <c r="E4" i="20"/>
  <c r="I4" i="20"/>
  <c r="M4" i="20"/>
  <c r="Q4" i="20"/>
  <c r="U4" i="20"/>
  <c r="Y4" i="20"/>
  <c r="AC4" i="20"/>
  <c r="AG4" i="20"/>
  <c r="D5" i="15"/>
  <c r="H5" i="15"/>
  <c r="L5" i="15"/>
  <c r="P5" i="15"/>
  <c r="T5" i="15"/>
  <c r="B7" i="15"/>
  <c r="B11" i="15"/>
  <c r="B15" i="15"/>
  <c r="B19" i="15"/>
  <c r="B23" i="15"/>
  <c r="B27" i="15"/>
  <c r="B31" i="15"/>
  <c r="B35" i="15"/>
  <c r="B39" i="15"/>
  <c r="B73" i="15"/>
  <c r="B77" i="15"/>
  <c r="B81" i="15"/>
  <c r="AE78" i="16"/>
  <c r="AE82" i="16"/>
  <c r="AI19" i="20"/>
  <c r="AC36" i="16"/>
  <c r="AI5" i="20"/>
  <c r="L56" i="14"/>
  <c r="Q81" i="16"/>
  <c r="AB81" i="16"/>
  <c r="AC81" i="16" s="1"/>
  <c r="Q79" i="16"/>
  <c r="X79" i="16"/>
  <c r="AC79" i="16" s="1"/>
  <c r="Q65" i="16"/>
  <c r="X65" i="16"/>
  <c r="AC65" i="16" s="1"/>
  <c r="Q63" i="16"/>
  <c r="X63" i="16"/>
  <c r="AC63" i="16" s="1"/>
  <c r="Q49" i="16"/>
  <c r="S49" i="16"/>
  <c r="AC49" i="16" s="1"/>
  <c r="Q47" i="16"/>
  <c r="S47" i="16"/>
  <c r="AC47" i="16" s="1"/>
  <c r="H94" i="20"/>
  <c r="I94" i="20"/>
  <c r="I101" i="20" s="1"/>
  <c r="L94" i="20"/>
  <c r="L101" i="20" s="1"/>
  <c r="N94" i="20"/>
  <c r="P94" i="20"/>
  <c r="S94" i="20"/>
  <c r="T94" i="20"/>
  <c r="T101" i="20" s="1"/>
  <c r="AL91" i="20"/>
  <c r="AM91" i="20" s="1"/>
  <c r="AE89" i="16" s="1"/>
  <c r="AL87" i="20"/>
  <c r="AM87" i="20" s="1"/>
  <c r="AE85" i="16" s="1"/>
  <c r="AL83" i="20"/>
  <c r="AM83" i="20" s="1"/>
  <c r="AE81" i="16" s="1"/>
  <c r="AJ10" i="20"/>
  <c r="AJ14" i="20"/>
  <c r="AJ21" i="20"/>
  <c r="AJ25" i="20"/>
  <c r="AJ29" i="20"/>
  <c r="AJ33" i="20"/>
  <c r="AJ37" i="20"/>
  <c r="AJ41" i="20"/>
  <c r="AJ45" i="20"/>
  <c r="AJ49" i="20"/>
  <c r="AJ53" i="20"/>
  <c r="AJ57" i="20"/>
  <c r="AJ61" i="20"/>
  <c r="AJ65" i="20"/>
  <c r="AJ69" i="20"/>
  <c r="AJ73" i="20"/>
  <c r="AJ77" i="20"/>
  <c r="AJ81" i="20"/>
  <c r="AJ85" i="20"/>
  <c r="AJ89" i="20"/>
  <c r="AJ93" i="20"/>
  <c r="AJ95" i="20"/>
  <c r="AJ97" i="20"/>
  <c r="AI97" i="20" s="1"/>
  <c r="AJ6" i="20"/>
  <c r="AJ96" i="20"/>
  <c r="AI96" i="20" s="1"/>
  <c r="AJ8" i="20"/>
  <c r="AJ9" i="20"/>
  <c r="AJ11" i="20"/>
  <c r="AJ12" i="20"/>
  <c r="AJ13" i="20"/>
  <c r="AJ15" i="20"/>
  <c r="AJ20" i="20"/>
  <c r="AJ22" i="20"/>
  <c r="AJ23" i="20"/>
  <c r="AJ24" i="20"/>
  <c r="AJ26" i="20"/>
  <c r="AJ27" i="20"/>
  <c r="AJ28" i="20"/>
  <c r="AJ30" i="20"/>
  <c r="AJ31" i="20"/>
  <c r="AJ32" i="20"/>
  <c r="AJ34" i="20"/>
  <c r="AJ35" i="20"/>
  <c r="AJ36" i="20"/>
  <c r="AJ38" i="20"/>
  <c r="AJ39" i="20"/>
  <c r="AJ40" i="20"/>
  <c r="AJ42" i="20"/>
  <c r="AJ43" i="20"/>
  <c r="AJ44" i="20"/>
  <c r="AJ46" i="20"/>
  <c r="AJ47" i="20"/>
  <c r="AJ48" i="20"/>
  <c r="AJ50" i="20"/>
  <c r="AJ51" i="20"/>
  <c r="AJ52" i="20"/>
  <c r="AJ54" i="20"/>
  <c r="AJ55" i="20"/>
  <c r="AJ56" i="20"/>
  <c r="AJ58" i="20"/>
  <c r="AJ59" i="20"/>
  <c r="AJ60" i="20"/>
  <c r="AJ62" i="20"/>
  <c r="AJ63" i="20"/>
  <c r="AJ64" i="20"/>
  <c r="AJ66" i="20"/>
  <c r="AJ67" i="20"/>
  <c r="AJ68" i="20"/>
  <c r="AJ70" i="20"/>
  <c r="AJ71" i="20"/>
  <c r="AJ72" i="20"/>
  <c r="AJ74" i="20"/>
  <c r="AJ75" i="20"/>
  <c r="G156" i="16"/>
  <c r="U78" i="16" s="1"/>
  <c r="AC78" i="16" s="1"/>
  <c r="F157" i="16"/>
  <c r="Q89" i="16"/>
  <c r="X89" i="16"/>
  <c r="AC89" i="16" s="1"/>
  <c r="Q71" i="16"/>
  <c r="X71" i="16"/>
  <c r="AC71" i="16" s="1"/>
  <c r="U55" i="16"/>
  <c r="AC55" i="16" s="1"/>
  <c r="Q55" i="16"/>
  <c r="Q39" i="16"/>
  <c r="T39" i="16"/>
  <c r="AC39" i="16" s="1"/>
  <c r="D109" i="16"/>
  <c r="D110" i="16" s="1"/>
  <c r="F164" i="16"/>
  <c r="F171" i="16"/>
  <c r="F158" i="16"/>
  <c r="AJ90" i="20"/>
  <c r="AJ86" i="20"/>
  <c r="AJ82" i="20"/>
  <c r="AJ78" i="20"/>
  <c r="X57" i="16"/>
  <c r="AC57" i="16" s="1"/>
  <c r="F163" i="16"/>
  <c r="F165" i="16" s="1"/>
  <c r="G162" i="16"/>
  <c r="W31" i="16"/>
  <c r="AC31" i="16" s="1"/>
  <c r="E122" i="16"/>
  <c r="C18" i="49" s="1"/>
  <c r="C21" i="49" s="1"/>
  <c r="AL79" i="20"/>
  <c r="AL19" i="20"/>
  <c r="AM19" i="20" s="1"/>
  <c r="AE17" i="16" s="1"/>
  <c r="X94" i="20"/>
  <c r="AB94" i="20"/>
  <c r="AF94" i="20"/>
  <c r="Q85" i="16"/>
  <c r="X85" i="16"/>
  <c r="AC85" i="16" s="1"/>
  <c r="Q83" i="16"/>
  <c r="AB83" i="16"/>
  <c r="AC83" i="16" s="1"/>
  <c r="Q69" i="16"/>
  <c r="X69" i="16"/>
  <c r="AC69" i="16" s="1"/>
  <c r="Q53" i="16"/>
  <c r="U53" i="16"/>
  <c r="AC53" i="16" s="1"/>
  <c r="U51" i="16"/>
  <c r="AC51" i="16" s="1"/>
  <c r="Q51" i="16"/>
  <c r="Q37" i="16"/>
  <c r="T37" i="16"/>
  <c r="AC37" i="16" s="1"/>
  <c r="Q21" i="16"/>
  <c r="W21" i="16"/>
  <c r="Q19" i="16"/>
  <c r="X19" i="16"/>
  <c r="AC19" i="16" s="1"/>
  <c r="Q17" i="16"/>
  <c r="X17" i="16"/>
  <c r="D140" i="14"/>
  <c r="AL7" i="20"/>
  <c r="O97" i="16"/>
  <c r="E97" i="16"/>
  <c r="G97" i="16"/>
  <c r="I97" i="16"/>
  <c r="K97" i="16"/>
  <c r="M97" i="16"/>
  <c r="G157" i="16"/>
  <c r="F136" i="16"/>
  <c r="F151" i="16" s="1"/>
  <c r="F153" i="16" s="1"/>
  <c r="G139" i="16"/>
  <c r="F118" i="16"/>
  <c r="Q77" i="16"/>
  <c r="V77" i="16"/>
  <c r="AC77" i="16" s="1"/>
  <c r="Q75" i="16"/>
  <c r="V75" i="16"/>
  <c r="Q45" i="16"/>
  <c r="S45" i="16"/>
  <c r="AC45" i="16" s="1"/>
  <c r="Q43" i="16"/>
  <c r="S43" i="16"/>
  <c r="AC43" i="16" s="1"/>
  <c r="Q29" i="16"/>
  <c r="U29" i="16"/>
  <c r="AC29" i="16" s="1"/>
  <c r="W27" i="16"/>
  <c r="AC27" i="16" s="1"/>
  <c r="Q27" i="16"/>
  <c r="H38" i="22" l="1"/>
  <c r="S35" i="22"/>
  <c r="S27" i="22"/>
  <c r="J32" i="22"/>
  <c r="S30" i="22"/>
  <c r="S31" i="22"/>
  <c r="O38" i="23"/>
  <c r="M38" i="23"/>
  <c r="H12" i="23"/>
  <c r="I12" i="23" s="1"/>
  <c r="J33" i="22"/>
  <c r="S17" i="22"/>
  <c r="I36" i="22"/>
  <c r="J31" i="22"/>
  <c r="K31" i="22" s="1"/>
  <c r="S16" i="22"/>
  <c r="S26" i="22"/>
  <c r="S32" i="22"/>
  <c r="J20" i="22"/>
  <c r="S34" i="22"/>
  <c r="J27" i="22"/>
  <c r="K27" i="22" s="1"/>
  <c r="S33" i="22"/>
  <c r="O38" i="22"/>
  <c r="J35" i="22"/>
  <c r="AD46" i="15"/>
  <c r="J19" i="22"/>
  <c r="K19" i="22" s="1"/>
  <c r="J21" i="22"/>
  <c r="F54" i="48"/>
  <c r="G151" i="16"/>
  <c r="X24" i="16"/>
  <c r="AC24" i="16" s="1"/>
  <c r="I100" i="16"/>
  <c r="AJ114" i="20"/>
  <c r="AI114" i="20" s="1"/>
  <c r="AL114" i="20" s="1"/>
  <c r="X97" i="16"/>
  <c r="J14" i="45" s="1"/>
  <c r="AC17" i="16"/>
  <c r="AA25" i="16"/>
  <c r="G163" i="16"/>
  <c r="AM78" i="20"/>
  <c r="AE76" i="16" s="1"/>
  <c r="AI78" i="20"/>
  <c r="AL78" i="20" s="1"/>
  <c r="AI74" i="20"/>
  <c r="AL74" i="20" s="1"/>
  <c r="AI68" i="20"/>
  <c r="AL68" i="20" s="1"/>
  <c r="AI63" i="20"/>
  <c r="AL63" i="20" s="1"/>
  <c r="AM58" i="20"/>
  <c r="AE56" i="16" s="1"/>
  <c r="AI58" i="20"/>
  <c r="AL58" i="20" s="1"/>
  <c r="AI52" i="20"/>
  <c r="AL52" i="20" s="1"/>
  <c r="AM52" i="20"/>
  <c r="AE50" i="16" s="1"/>
  <c r="AM47" i="20"/>
  <c r="AE45" i="16" s="1"/>
  <c r="AI47" i="20"/>
  <c r="AL47" i="20" s="1"/>
  <c r="AI42" i="20"/>
  <c r="AL42" i="20" s="1"/>
  <c r="AM42" i="20" s="1"/>
  <c r="AE40" i="16" s="1"/>
  <c r="AI36" i="20"/>
  <c r="AL36" i="20" s="1"/>
  <c r="AM36" i="20" s="1"/>
  <c r="AE34" i="16" s="1"/>
  <c r="AI31" i="20"/>
  <c r="AL31" i="20" s="1"/>
  <c r="AM31" i="20" s="1"/>
  <c r="AE29" i="16" s="1"/>
  <c r="AM26" i="20"/>
  <c r="AE24" i="16" s="1"/>
  <c r="AI26" i="20"/>
  <c r="AL26" i="20" s="1"/>
  <c r="AI20" i="20"/>
  <c r="AL20" i="20" s="1"/>
  <c r="AM20" i="20"/>
  <c r="AE18" i="16" s="1"/>
  <c r="AM11" i="20"/>
  <c r="AI11" i="20"/>
  <c r="AL11" i="20" s="1"/>
  <c r="AJ16" i="20"/>
  <c r="AI6" i="20"/>
  <c r="AL6" i="20" s="1"/>
  <c r="AJ157" i="20"/>
  <c r="AI157" i="20" s="1"/>
  <c r="AL157" i="20" s="1"/>
  <c r="AI89" i="20"/>
  <c r="AL89" i="20" s="1"/>
  <c r="AM89" i="20" s="1"/>
  <c r="AE87" i="16" s="1"/>
  <c r="AM73" i="20"/>
  <c r="AE71" i="16" s="1"/>
  <c r="AI73" i="20"/>
  <c r="AL73" i="20" s="1"/>
  <c r="AJ154" i="20"/>
  <c r="AI154" i="20" s="1"/>
  <c r="AL154" i="20" s="1"/>
  <c r="AI57" i="20"/>
  <c r="AL57" i="20" s="1"/>
  <c r="AM57" i="20" s="1"/>
  <c r="AE55" i="16" s="1"/>
  <c r="AI41" i="20"/>
  <c r="AL41" i="20" s="1"/>
  <c r="AM41" i="20" s="1"/>
  <c r="AE39" i="16" s="1"/>
  <c r="AI25" i="20"/>
  <c r="AL25" i="20" s="1"/>
  <c r="AM25" i="20" s="1"/>
  <c r="AE23" i="16" s="1"/>
  <c r="X101" i="20"/>
  <c r="N101" i="20"/>
  <c r="H101" i="20"/>
  <c r="D101" i="20"/>
  <c r="G170" i="16"/>
  <c r="U87" i="16"/>
  <c r="AC87" i="16" s="1"/>
  <c r="AJ94" i="20"/>
  <c r="AB97" i="16"/>
  <c r="J12" i="45" s="1"/>
  <c r="J15" i="45" s="1"/>
  <c r="R12" i="23"/>
  <c r="P38" i="22"/>
  <c r="J17" i="22"/>
  <c r="K17" i="22" s="1"/>
  <c r="J34" i="22"/>
  <c r="J19" i="41"/>
  <c r="J23" i="41" s="1"/>
  <c r="K100" i="16"/>
  <c r="AJ116" i="20"/>
  <c r="AI116" i="20" s="1"/>
  <c r="AL116" i="20" s="1"/>
  <c r="G100" i="16"/>
  <c r="AJ112" i="20"/>
  <c r="AI112" i="20" s="1"/>
  <c r="AL112" i="20" s="1"/>
  <c r="Q97" i="16"/>
  <c r="W97" i="16"/>
  <c r="H14" i="45" s="1"/>
  <c r="AC21" i="16"/>
  <c r="AM82" i="20"/>
  <c r="AE80" i="16" s="1"/>
  <c r="AI82" i="20"/>
  <c r="AL82" i="20" s="1"/>
  <c r="F159" i="16"/>
  <c r="AI72" i="20"/>
  <c r="AL72" i="20" s="1"/>
  <c r="AM72" i="20"/>
  <c r="AE70" i="16" s="1"/>
  <c r="AI67" i="20"/>
  <c r="AL67" i="20" s="1"/>
  <c r="AM67" i="20" s="1"/>
  <c r="AE65" i="16" s="1"/>
  <c r="AJ152" i="20"/>
  <c r="AI152" i="20" s="1"/>
  <c r="AL152" i="20" s="1"/>
  <c r="AM62" i="20"/>
  <c r="AE60" i="16" s="1"/>
  <c r="AI62" i="20"/>
  <c r="AL62" i="20" s="1"/>
  <c r="AI56" i="20"/>
  <c r="AL56" i="20" s="1"/>
  <c r="AM56" i="20"/>
  <c r="AE54" i="16" s="1"/>
  <c r="AM51" i="20"/>
  <c r="AE49" i="16" s="1"/>
  <c r="AI51" i="20"/>
  <c r="AL51" i="20" s="1"/>
  <c r="AI46" i="20"/>
  <c r="AL46" i="20" s="1"/>
  <c r="AM46" i="20" s="1"/>
  <c r="AE44" i="16" s="1"/>
  <c r="AI40" i="20"/>
  <c r="AL40" i="20" s="1"/>
  <c r="AM40" i="20" s="1"/>
  <c r="AE38" i="16" s="1"/>
  <c r="AI35" i="20"/>
  <c r="AL35" i="20" s="1"/>
  <c r="AM35" i="20" s="1"/>
  <c r="AE33" i="16" s="1"/>
  <c r="AM30" i="20"/>
  <c r="AE28" i="16" s="1"/>
  <c r="AI30" i="20"/>
  <c r="AL30" i="20" s="1"/>
  <c r="AI24" i="20"/>
  <c r="AL24" i="20" s="1"/>
  <c r="AM24" i="20"/>
  <c r="AE22" i="16" s="1"/>
  <c r="AM15" i="20"/>
  <c r="AI15" i="20"/>
  <c r="AL15" i="20" s="1"/>
  <c r="AI9" i="20"/>
  <c r="AL9" i="20" s="1"/>
  <c r="AM9" i="20"/>
  <c r="AM85" i="20"/>
  <c r="AE83" i="16" s="1"/>
  <c r="AI85" i="20"/>
  <c r="AL85" i="20" s="1"/>
  <c r="AI69" i="20"/>
  <c r="AL69" i="20" s="1"/>
  <c r="AM53" i="20"/>
  <c r="AE51" i="16" s="1"/>
  <c r="AI53" i="20"/>
  <c r="AL53" i="20" s="1"/>
  <c r="AI37" i="20"/>
  <c r="AL37" i="20" s="1"/>
  <c r="AM37" i="20" s="1"/>
  <c r="AE35" i="16" s="1"/>
  <c r="AM21" i="20"/>
  <c r="AE19" i="16" s="1"/>
  <c r="AI21" i="20"/>
  <c r="AL21" i="20" s="1"/>
  <c r="L31" i="14"/>
  <c r="AL5" i="20"/>
  <c r="AM7" i="20"/>
  <c r="AI130" i="20"/>
  <c r="AL124" i="20"/>
  <c r="AL130" i="20" s="1"/>
  <c r="N38" i="22"/>
  <c r="F65" i="48"/>
  <c r="N36" i="41"/>
  <c r="N42" i="41" s="1"/>
  <c r="F50" i="48"/>
  <c r="F51" i="48" s="1"/>
  <c r="F55" i="48" s="1"/>
  <c r="L31" i="41"/>
  <c r="L24" i="45"/>
  <c r="V97" i="16"/>
  <c r="AC75" i="16"/>
  <c r="M100" i="16"/>
  <c r="AJ117" i="20"/>
  <c r="AJ110" i="20"/>
  <c r="E100" i="16"/>
  <c r="AJ156" i="20"/>
  <c r="AI156" i="20" s="1"/>
  <c r="AL156" i="20" s="1"/>
  <c r="AI86" i="20"/>
  <c r="AL86" i="20" s="1"/>
  <c r="AM86" i="20" s="1"/>
  <c r="AE84" i="16" s="1"/>
  <c r="AM71" i="20"/>
  <c r="AE69" i="16" s="1"/>
  <c r="AI71" i="20"/>
  <c r="AL71" i="20" s="1"/>
  <c r="AJ153" i="20"/>
  <c r="AI153" i="20" s="1"/>
  <c r="AL153" i="20" s="1"/>
  <c r="AI66" i="20"/>
  <c r="AL66" i="20" s="1"/>
  <c r="AM66" i="20" s="1"/>
  <c r="AE64" i="16" s="1"/>
  <c r="AJ151" i="20"/>
  <c r="AI151" i="20" s="1"/>
  <c r="AL151" i="20" s="1"/>
  <c r="AI60" i="20"/>
  <c r="AL60" i="20" s="1"/>
  <c r="AM60" i="20"/>
  <c r="AE58" i="16" s="1"/>
  <c r="AJ148" i="20"/>
  <c r="AI148" i="20" s="1"/>
  <c r="AL148" i="20" s="1"/>
  <c r="AI55" i="20"/>
  <c r="AL55" i="20" s="1"/>
  <c r="AM55" i="20" s="1"/>
  <c r="AE53" i="16" s="1"/>
  <c r="AI50" i="20"/>
  <c r="AL50" i="20" s="1"/>
  <c r="AM50" i="20" s="1"/>
  <c r="AE48" i="16" s="1"/>
  <c r="AI44" i="20"/>
  <c r="AL44" i="20" s="1"/>
  <c r="AM44" i="20"/>
  <c r="AE42" i="16" s="1"/>
  <c r="AI39" i="20"/>
  <c r="AL39" i="20" s="1"/>
  <c r="AM39" i="20" s="1"/>
  <c r="AE37" i="16" s="1"/>
  <c r="AI34" i="20"/>
  <c r="AL34" i="20" s="1"/>
  <c r="AM34" i="20" s="1"/>
  <c r="AE32" i="16" s="1"/>
  <c r="AI28" i="20"/>
  <c r="AL28" i="20" s="1"/>
  <c r="AM28" i="20"/>
  <c r="AE26" i="16" s="1"/>
  <c r="AI23" i="20"/>
  <c r="AL23" i="20" s="1"/>
  <c r="AJ106" i="20"/>
  <c r="AI13" i="20"/>
  <c r="AL13" i="20" s="1"/>
  <c r="AI8" i="20"/>
  <c r="AL8" i="20" s="1"/>
  <c r="AI95" i="20"/>
  <c r="AL95" i="20" s="1"/>
  <c r="AM95" i="20" s="1"/>
  <c r="AE92" i="16" s="1"/>
  <c r="AI81" i="20"/>
  <c r="AL81" i="20" s="1"/>
  <c r="AM81" i="20" s="1"/>
  <c r="AE79" i="16" s="1"/>
  <c r="AM65" i="20"/>
  <c r="AE63" i="16" s="1"/>
  <c r="AI65" i="20"/>
  <c r="AL65" i="20" s="1"/>
  <c r="AJ150" i="20"/>
  <c r="AI150" i="20" s="1"/>
  <c r="AL150" i="20" s="1"/>
  <c r="AI49" i="20"/>
  <c r="AL49" i="20" s="1"/>
  <c r="AM49" i="20" s="1"/>
  <c r="AE47" i="16" s="1"/>
  <c r="AI33" i="20"/>
  <c r="AL33" i="20" s="1"/>
  <c r="AM33" i="20" s="1"/>
  <c r="AE31" i="16" s="1"/>
  <c r="AI14" i="20"/>
  <c r="AL14" i="20" s="1"/>
  <c r="S97" i="16"/>
  <c r="AB101" i="20"/>
  <c r="P101" i="20"/>
  <c r="F101" i="20"/>
  <c r="U97" i="16"/>
  <c r="H33" i="45" s="1"/>
  <c r="H35" i="45" s="1"/>
  <c r="J24" i="22"/>
  <c r="I28" i="22"/>
  <c r="J30" i="22"/>
  <c r="J30" i="41"/>
  <c r="F25" i="42"/>
  <c r="G37" i="49" s="1"/>
  <c r="Q44" i="48"/>
  <c r="F16" i="42"/>
  <c r="Q22" i="48"/>
  <c r="Q99" i="16"/>
  <c r="AJ104" i="20"/>
  <c r="AI90" i="20"/>
  <c r="AL90" i="20" s="1"/>
  <c r="AM90" i="20" s="1"/>
  <c r="AE88" i="16" s="1"/>
  <c r="AM75" i="20"/>
  <c r="AE73" i="16" s="1"/>
  <c r="AI75" i="20"/>
  <c r="AL75" i="20" s="1"/>
  <c r="AI70" i="20"/>
  <c r="AL70" i="20" s="1"/>
  <c r="AI64" i="20"/>
  <c r="AL64" i="20" s="1"/>
  <c r="AI59" i="20"/>
  <c r="AL59" i="20" s="1"/>
  <c r="AM59" i="20" s="1"/>
  <c r="AE57" i="16" s="1"/>
  <c r="AJ147" i="20"/>
  <c r="AI147" i="20" s="1"/>
  <c r="AL147" i="20" s="1"/>
  <c r="AI54" i="20"/>
  <c r="AL54" i="20" s="1"/>
  <c r="AM54" i="20" s="1"/>
  <c r="AE52" i="16" s="1"/>
  <c r="AI48" i="20"/>
  <c r="AL48" i="20" s="1"/>
  <c r="AM48" i="20"/>
  <c r="AE46" i="16" s="1"/>
  <c r="AI43" i="20"/>
  <c r="AL43" i="20" s="1"/>
  <c r="AM43" i="20" s="1"/>
  <c r="AE41" i="16" s="1"/>
  <c r="AI38" i="20"/>
  <c r="AL38" i="20" s="1"/>
  <c r="AM38" i="20" s="1"/>
  <c r="AE36" i="16" s="1"/>
  <c r="AI32" i="20"/>
  <c r="AL32" i="20" s="1"/>
  <c r="AM32" i="20"/>
  <c r="AE30" i="16" s="1"/>
  <c r="AI27" i="20"/>
  <c r="AL27" i="20" s="1"/>
  <c r="AI22" i="20"/>
  <c r="AL22" i="20" s="1"/>
  <c r="AI12" i="20"/>
  <c r="AL12" i="20" s="1"/>
  <c r="AI93" i="20"/>
  <c r="AL93" i="20" s="1"/>
  <c r="AM93" i="20" s="1"/>
  <c r="AE91" i="16" s="1"/>
  <c r="AI77" i="20"/>
  <c r="AL77" i="20" s="1"/>
  <c r="AM77" i="20" s="1"/>
  <c r="AE75" i="16" s="1"/>
  <c r="AI61" i="20"/>
  <c r="AL61" i="20" s="1"/>
  <c r="AM61" i="20" s="1"/>
  <c r="AE59" i="16" s="1"/>
  <c r="AJ149" i="20"/>
  <c r="AI149" i="20" s="1"/>
  <c r="AL149" i="20" s="1"/>
  <c r="AM45" i="20"/>
  <c r="AE43" i="16" s="1"/>
  <c r="AI45" i="20"/>
  <c r="AL45" i="20" s="1"/>
  <c r="AI29" i="20"/>
  <c r="AL29" i="20" s="1"/>
  <c r="AM29" i="20" s="1"/>
  <c r="AE27" i="16" s="1"/>
  <c r="AM10" i="20"/>
  <c r="AI10" i="20"/>
  <c r="AL10" i="20" s="1"/>
  <c r="T97" i="16"/>
  <c r="F33" i="45" s="1"/>
  <c r="F35" i="45" s="1"/>
  <c r="AM79" i="20"/>
  <c r="AE77" i="16" s="1"/>
  <c r="AF101" i="20"/>
  <c r="S101" i="20"/>
  <c r="F172" i="16"/>
  <c r="AL18" i="20"/>
  <c r="B13" i="23"/>
  <c r="B24" i="23"/>
  <c r="B18" i="23"/>
  <c r="B17" i="23"/>
  <c r="B34" i="23"/>
  <c r="B35" i="23"/>
  <c r="B10" i="23"/>
  <c r="B31" i="23"/>
  <c r="B33" i="23"/>
  <c r="J26" i="22"/>
  <c r="K26" i="22" s="1"/>
  <c r="J16" i="22"/>
  <c r="K16" i="22" s="1"/>
  <c r="J10" i="22"/>
  <c r="K10" i="22" s="1"/>
  <c r="F61" i="48"/>
  <c r="H43" i="46"/>
  <c r="S24" i="22" l="1"/>
  <c r="S12" i="22"/>
  <c r="S19" i="22"/>
  <c r="J12" i="22"/>
  <c r="K12" i="22" s="1"/>
  <c r="S25" i="22"/>
  <c r="S15" i="22"/>
  <c r="I22" i="22"/>
  <c r="S20" i="22"/>
  <c r="S18" i="22"/>
  <c r="P38" i="23"/>
  <c r="J18" i="22"/>
  <c r="K18" i="22" s="1"/>
  <c r="Q38" i="22"/>
  <c r="S11" i="22"/>
  <c r="S21" i="22"/>
  <c r="S10" i="22"/>
  <c r="K12" i="21"/>
  <c r="R23" i="41"/>
  <c r="AL94" i="20"/>
  <c r="AM18" i="20"/>
  <c r="R28" i="23"/>
  <c r="J36" i="22"/>
  <c r="K30" i="22"/>
  <c r="AI16" i="20"/>
  <c r="AI94" i="20"/>
  <c r="AM12" i="20"/>
  <c r="AM27" i="20"/>
  <c r="AE25" i="16" s="1"/>
  <c r="F38" i="23"/>
  <c r="AM14" i="20"/>
  <c r="AI106" i="20"/>
  <c r="AL106" i="20" s="1"/>
  <c r="AM106" i="20" s="1"/>
  <c r="AJ120" i="20"/>
  <c r="AJ121" i="20" s="1"/>
  <c r="AI110" i="20"/>
  <c r="J33" i="45"/>
  <c r="J35" i="45" s="1"/>
  <c r="J50" i="45"/>
  <c r="J51" i="45" s="1"/>
  <c r="N44" i="41"/>
  <c r="L44" i="41" s="1"/>
  <c r="P44" i="41" s="1"/>
  <c r="AJ101" i="20"/>
  <c r="H46" i="46"/>
  <c r="P43" i="46"/>
  <c r="AM70" i="20"/>
  <c r="AE68" i="16" s="1"/>
  <c r="G38" i="49"/>
  <c r="F23" i="42"/>
  <c r="H28" i="42" s="1"/>
  <c r="H31" i="42" s="1"/>
  <c r="H33" i="42" s="1"/>
  <c r="M12" i="21"/>
  <c r="S9" i="22"/>
  <c r="AM8" i="20"/>
  <c r="R33" i="23"/>
  <c r="AI117" i="20"/>
  <c r="AJ144" i="20"/>
  <c r="AJ143" i="20" s="1"/>
  <c r="L65" i="48"/>
  <c r="N65" i="48" s="1"/>
  <c r="AL16" i="20"/>
  <c r="AL101" i="20" s="1"/>
  <c r="AM5" i="20"/>
  <c r="O99" i="16"/>
  <c r="O100" i="16" s="1"/>
  <c r="L32" i="14"/>
  <c r="AM69" i="20"/>
  <c r="AE67" i="16" s="1"/>
  <c r="AM6" i="20"/>
  <c r="AM63" i="20"/>
  <c r="AE61" i="16" s="1"/>
  <c r="AM74" i="20"/>
  <c r="AE72" i="16" s="1"/>
  <c r="AA97" i="16"/>
  <c r="H12" i="45" s="1"/>
  <c r="AC25" i="16"/>
  <c r="F62" i="48"/>
  <c r="F66" i="48" s="1"/>
  <c r="AM22" i="20"/>
  <c r="AE20" i="16" s="1"/>
  <c r="AE97" i="16" s="1"/>
  <c r="AM64" i="20"/>
  <c r="AE62" i="16" s="1"/>
  <c r="J28" i="22"/>
  <c r="K24" i="22"/>
  <c r="AB98" i="16"/>
  <c r="AB99" i="16" s="1"/>
  <c r="D33" i="45"/>
  <c r="AM13" i="20"/>
  <c r="AM23" i="20"/>
  <c r="AE21" i="16" s="1"/>
  <c r="P31" i="41"/>
  <c r="P33" i="41" s="1"/>
  <c r="P36" i="41" s="1"/>
  <c r="P42" i="41" s="1"/>
  <c r="P46" i="41" s="1"/>
  <c r="L33" i="41"/>
  <c r="J11" i="22"/>
  <c r="K11" i="22" s="1"/>
  <c r="AI103" i="20"/>
  <c r="Q100" i="16"/>
  <c r="R38" i="22"/>
  <c r="N38" i="23"/>
  <c r="AM68" i="20"/>
  <c r="AE66" i="16" s="1"/>
  <c r="AC97" i="16"/>
  <c r="S38" i="22" l="1"/>
  <c r="I13" i="22"/>
  <c r="I38" i="22" s="1"/>
  <c r="J15" i="22"/>
  <c r="J22" i="22" s="1"/>
  <c r="L12" i="21"/>
  <c r="G12" i="21"/>
  <c r="P11" i="21"/>
  <c r="H82" i="48"/>
  <c r="D54" i="48"/>
  <c r="AE98" i="16"/>
  <c r="H31" i="41"/>
  <c r="H33" i="41" s="1"/>
  <c r="AM16" i="20"/>
  <c r="R32" i="23"/>
  <c r="P15" i="21"/>
  <c r="N46" i="41"/>
  <c r="N52" i="41" s="1"/>
  <c r="AL110" i="20"/>
  <c r="AL120" i="20" s="1"/>
  <c r="AI120" i="20"/>
  <c r="L36" i="41"/>
  <c r="L42" i="41" s="1"/>
  <c r="L46" i="41" s="1"/>
  <c r="L52" i="41" s="1"/>
  <c r="L33" i="45"/>
  <c r="D35" i="45"/>
  <c r="R22" i="23"/>
  <c r="H30" i="23"/>
  <c r="I30" i="23" s="1"/>
  <c r="R24" i="23"/>
  <c r="R17" i="23"/>
  <c r="R36" i="23"/>
  <c r="R13" i="23"/>
  <c r="AM94" i="20"/>
  <c r="R23" i="23"/>
  <c r="R31" i="23"/>
  <c r="R34" i="23"/>
  <c r="H15" i="45"/>
  <c r="L12" i="45"/>
  <c r="P55" i="48"/>
  <c r="L33" i="14"/>
  <c r="R29" i="23"/>
  <c r="H10" i="23"/>
  <c r="H33" i="23"/>
  <c r="I33" i="23" s="1"/>
  <c r="R18" i="23"/>
  <c r="P52" i="41"/>
  <c r="I33" i="49"/>
  <c r="I40" i="49" s="1"/>
  <c r="I10" i="43" s="1"/>
  <c r="I20" i="43" s="1"/>
  <c r="I23" i="43" s="1"/>
  <c r="I26" i="43" s="1"/>
  <c r="R35" i="23"/>
  <c r="R14" i="23"/>
  <c r="H12" i="21"/>
  <c r="H61" i="48"/>
  <c r="L61" i="48"/>
  <c r="L62" i="48" s="1"/>
  <c r="L66" i="48" s="1"/>
  <c r="AI144" i="20"/>
  <c r="AI143" i="20" s="1"/>
  <c r="AL117" i="20"/>
  <c r="AJ122" i="20"/>
  <c r="AJ105" i="20"/>
  <c r="AJ103" i="20"/>
  <c r="M18" i="21"/>
  <c r="J13" i="22"/>
  <c r="R25" i="23"/>
  <c r="R11" i="23"/>
  <c r="AI101" i="20"/>
  <c r="AL103" i="20" s="1"/>
  <c r="K15" i="22" l="1"/>
  <c r="J38" i="22"/>
  <c r="K38" i="22" s="1"/>
  <c r="M20" i="21"/>
  <c r="F18" i="21"/>
  <c r="P63" i="41"/>
  <c r="P60" i="41"/>
  <c r="H13" i="23"/>
  <c r="I13" i="23" s="1"/>
  <c r="N61" i="48"/>
  <c r="O12" i="21"/>
  <c r="F14" i="45"/>
  <c r="L35" i="45"/>
  <c r="N63" i="41"/>
  <c r="L37" i="42"/>
  <c r="H50" i="41"/>
  <c r="N60" i="41"/>
  <c r="H28" i="23"/>
  <c r="R10" i="23"/>
  <c r="H31" i="23"/>
  <c r="I31" i="23" s="1"/>
  <c r="AL144" i="20"/>
  <c r="AL143" i="20" s="1"/>
  <c r="I12" i="21"/>
  <c r="I10" i="23"/>
  <c r="F27" i="41"/>
  <c r="G20" i="23"/>
  <c r="H35" i="23"/>
  <c r="I35" i="23" s="1"/>
  <c r="H34" i="23"/>
  <c r="I34" i="23" s="1"/>
  <c r="F50" i="41"/>
  <c r="J50" i="41" s="1"/>
  <c r="J59" i="41" s="1"/>
  <c r="L60" i="41"/>
  <c r="L63" i="41"/>
  <c r="H24" i="23"/>
  <c r="I24" i="23" s="1"/>
  <c r="AM101" i="20"/>
  <c r="H83" i="48"/>
  <c r="I38" i="43"/>
  <c r="E22" i="43"/>
  <c r="H18" i="23"/>
  <c r="P14" i="21"/>
  <c r="K18" i="21"/>
  <c r="H60" i="48"/>
  <c r="H17" i="23"/>
  <c r="H54" i="48"/>
  <c r="L54" i="48" s="1"/>
  <c r="L50" i="48" s="1"/>
  <c r="L51" i="48" s="1"/>
  <c r="L55" i="48" s="1"/>
  <c r="H36" i="41"/>
  <c r="H42" i="41" s="1"/>
  <c r="N18" i="21" l="1"/>
  <c r="H44" i="41"/>
  <c r="F44" i="41" s="1"/>
  <c r="H46" i="41"/>
  <c r="H52" i="41" s="1"/>
  <c r="J27" i="41"/>
  <c r="I9" i="23"/>
  <c r="H36" i="23"/>
  <c r="I36" i="23" s="1"/>
  <c r="H11" i="23"/>
  <c r="I11" i="23" s="1"/>
  <c r="I17" i="23"/>
  <c r="N60" i="48"/>
  <c r="H62" i="48"/>
  <c r="H66" i="48" s="1"/>
  <c r="H23" i="23"/>
  <c r="I23" i="23" s="1"/>
  <c r="H29" i="23"/>
  <c r="G26" i="23"/>
  <c r="H22" i="23"/>
  <c r="I28" i="23"/>
  <c r="F15" i="45"/>
  <c r="L14" i="45"/>
  <c r="H14" i="23"/>
  <c r="I14" i="23" s="1"/>
  <c r="K20" i="21"/>
  <c r="H32" i="23"/>
  <c r="I32" i="23" s="1"/>
  <c r="H59" i="41"/>
  <c r="AM103" i="20"/>
  <c r="H19" i="23"/>
  <c r="I19" i="23" s="1"/>
  <c r="G15" i="23"/>
  <c r="G37" i="23"/>
  <c r="H25" i="23"/>
  <c r="I25" i="23" s="1"/>
  <c r="F20" i="21"/>
  <c r="L18" i="21"/>
  <c r="R30" i="23"/>
  <c r="N54" i="48"/>
  <c r="H75" i="48" s="1"/>
  <c r="D50" i="48"/>
  <c r="J82" i="48"/>
  <c r="L41" i="42"/>
  <c r="P9" i="21"/>
  <c r="H37" i="23" l="1"/>
  <c r="I37" i="23" s="1"/>
  <c r="G38" i="23"/>
  <c r="D49" i="48"/>
  <c r="N62" i="48"/>
  <c r="N66" i="48" s="1"/>
  <c r="L40" i="42"/>
  <c r="L42" i="42" s="1"/>
  <c r="L44" i="42" s="1"/>
  <c r="L82" i="48"/>
  <c r="L83" i="48" s="1"/>
  <c r="H15" i="23"/>
  <c r="H63" i="41"/>
  <c r="H60" i="41"/>
  <c r="H37" i="42"/>
  <c r="Q38" i="23"/>
  <c r="P10" i="21"/>
  <c r="P12" i="21" s="1"/>
  <c r="N12" i="21"/>
  <c r="F31" i="41"/>
  <c r="L15" i="45"/>
  <c r="N15" i="45" s="1"/>
  <c r="J44" i="41"/>
  <c r="F59" i="41"/>
  <c r="L20" i="21"/>
  <c r="H76" i="48"/>
  <c r="J83" i="48"/>
  <c r="N82" i="48"/>
  <c r="N83" i="48" s="1"/>
  <c r="H26" i="23"/>
  <c r="I26" i="23" s="1"/>
  <c r="I22" i="23"/>
  <c r="I29" i="23"/>
  <c r="H20" i="23"/>
  <c r="I20" i="23" s="1"/>
  <c r="J31" i="41" l="1"/>
  <c r="J33" i="41" s="1"/>
  <c r="F33" i="41"/>
  <c r="O18" i="21"/>
  <c r="P16" i="21"/>
  <c r="P18" i="21" s="1"/>
  <c r="N20" i="21"/>
  <c r="H38" i="23"/>
  <c r="I38" i="23" s="1"/>
  <c r="I15" i="23"/>
  <c r="D51" i="48"/>
  <c r="D55" i="48" s="1"/>
  <c r="L60" i="42"/>
  <c r="L58" i="42"/>
  <c r="P20" i="21" l="1"/>
  <c r="G18" i="21"/>
  <c r="G20" i="21" s="1"/>
  <c r="F36" i="41"/>
  <c r="F42" i="41" s="1"/>
  <c r="F46" i="41" s="1"/>
  <c r="F52" i="41" s="1"/>
  <c r="O20" i="21"/>
  <c r="R33" i="41"/>
  <c r="J36" i="41"/>
  <c r="J42" i="41" s="1"/>
  <c r="J46" i="41" l="1"/>
  <c r="R42" i="41"/>
  <c r="H18" i="21"/>
  <c r="F63" i="41"/>
  <c r="F60" i="41"/>
  <c r="H20" i="21" l="1"/>
  <c r="I18" i="21"/>
  <c r="G33" i="49"/>
  <c r="G40" i="49" s="1"/>
  <c r="E10" i="43" s="1"/>
  <c r="E20" i="43" s="1"/>
  <c r="E23" i="43" s="1"/>
  <c r="E26" i="43" s="1"/>
  <c r="E38" i="43" s="1"/>
  <c r="J52" i="41"/>
  <c r="H49" i="48" l="1"/>
  <c r="I20" i="21"/>
  <c r="J60" i="41"/>
  <c r="J63" i="41"/>
  <c r="R52" i="41"/>
  <c r="N49" i="48" l="1"/>
  <c r="H50" i="48"/>
  <c r="N50" i="48" s="1"/>
  <c r="N51" i="48" l="1"/>
  <c r="N55" i="48" s="1"/>
  <c r="Q55" i="48" s="1"/>
  <c r="L75" i="48"/>
  <c r="L76" i="48" s="1"/>
  <c r="H40" i="42"/>
  <c r="H41" i="42"/>
  <c r="J75" i="48"/>
  <c r="H51" i="48"/>
  <c r="H55" i="48" s="1"/>
  <c r="J76" i="48" l="1"/>
  <c r="N75" i="48"/>
  <c r="N76" i="48" s="1"/>
  <c r="H42" i="42"/>
  <c r="H44" i="42" s="1"/>
  <c r="H60" i="42" l="1"/>
  <c r="H58"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Alan Hunt</author>
  </authors>
  <commentList>
    <comment ref="C14" authorId="0" shapeId="0" xr:uid="{00000000-0006-0000-0300-000001000000}">
      <text>
        <r>
          <rPr>
            <b/>
            <sz val="9"/>
            <color indexed="81"/>
            <rFont val="Tahoma"/>
            <family val="2"/>
          </rPr>
          <t>Alan Hunt:</t>
        </r>
        <r>
          <rPr>
            <sz val="9"/>
            <color indexed="81"/>
            <rFont val="Tahoma"/>
            <family val="2"/>
          </rPr>
          <t xml:space="preserve">
Sightsavers reimbursing SCIF for a photographer</t>
        </r>
      </text>
    </comment>
    <comment ref="A46" authorId="0" shapeId="0" xr:uid="{00000000-0006-0000-0300-000002000000}">
      <text>
        <r>
          <rPr>
            <b/>
            <sz val="9"/>
            <color indexed="81"/>
            <rFont val="Tahoma"/>
            <family val="2"/>
          </rPr>
          <t>Alan Hunt:</t>
        </r>
        <r>
          <rPr>
            <sz val="9"/>
            <color indexed="81"/>
            <rFont val="Tahoma"/>
            <family val="2"/>
          </rPr>
          <t xml:space="preserve">
Just Haysmacintyre in 2020-21</t>
        </r>
      </text>
    </comment>
    <comment ref="A47" authorId="0" shapeId="0" xr:uid="{00000000-0006-0000-0300-000003000000}">
      <text>
        <r>
          <rPr>
            <b/>
            <sz val="9"/>
            <color indexed="81"/>
            <rFont val="Tahoma"/>
            <family val="2"/>
          </rPr>
          <t>Alan Hunt:</t>
        </r>
        <r>
          <rPr>
            <sz val="9"/>
            <color indexed="81"/>
            <rFont val="Tahoma"/>
            <family val="2"/>
          </rPr>
          <t xml:space="preserve">
Manually add £360 for webinare on accepting donations</t>
        </r>
      </text>
    </comment>
    <comment ref="H47" authorId="0" shapeId="0" xr:uid="{00000000-0006-0000-0300-000004000000}">
      <text>
        <r>
          <rPr>
            <b/>
            <sz val="9"/>
            <color indexed="81"/>
            <rFont val="Tahoma"/>
            <family val="2"/>
          </rPr>
          <t>Alan Hunt:</t>
        </r>
        <r>
          <rPr>
            <sz val="9"/>
            <color indexed="81"/>
            <rFont val="Tahoma"/>
            <family val="2"/>
          </rPr>
          <t xml:space="preserve">
Manually add £360 for webinar on accepting donations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Alan Hunt</author>
  </authors>
  <commentList>
    <comment ref="AT27" authorId="0" shapeId="0" xr:uid="{00000000-0006-0000-0B00-000016000000}">
      <text>
        <r>
          <rPr>
            <b/>
            <sz val="9"/>
            <color indexed="8"/>
            <rFont val="Calibri"/>
            <family val="2"/>
            <scheme val="minor"/>
          </rPr>
          <t>Alan Hunt:</t>
        </r>
        <r>
          <rPr>
            <sz val="9"/>
            <color indexed="8"/>
            <rFont val="Calibri"/>
            <family val="2"/>
            <scheme val="minor"/>
          </rPr>
          <t xml:space="preserve">
a guess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Alan Hunt</author>
  </authors>
  <commentList>
    <comment ref="A7" authorId="0" shapeId="0" xr:uid="{00000000-0006-0000-0D00-000001000000}">
      <text>
        <r>
          <rPr>
            <b/>
            <sz val="9"/>
            <color indexed="81"/>
            <rFont val="Tahoma"/>
            <family val="2"/>
          </rPr>
          <t>Alan Hunt:</t>
        </r>
        <r>
          <rPr>
            <sz val="9"/>
            <color indexed="81"/>
            <rFont val="Tahoma"/>
            <family val="2"/>
          </rPr>
          <t xml:space="preserve">
Shading:
Light yellow - all unrestricted - use cost centre analysis
Green - nominals have an award allocation - taken from P&amp;L by award tab
Blue - PD &amp; GOV cost centres &amp; nominals excluding these costs</t>
        </r>
      </text>
    </comment>
    <comment ref="F31" authorId="0" shapeId="0" xr:uid="{00000000-0006-0000-0D00-00000C000000}">
      <text>
        <r>
          <rPr>
            <b/>
            <sz val="9"/>
            <color indexed="81"/>
            <rFont val="Tahoma"/>
            <family val="2"/>
          </rPr>
          <t>Alan Hunt:</t>
        </r>
        <r>
          <rPr>
            <sz val="9"/>
            <color indexed="81"/>
            <rFont val="Tahoma"/>
            <family val="2"/>
          </rPr>
          <t xml:space="preserve">
£2,000 of budget transferred from Premises Insurance budget</t>
        </r>
      </text>
    </comment>
    <comment ref="A38" authorId="0" shapeId="0" xr:uid="{00000000-0006-0000-0D00-000011000000}">
      <text>
        <r>
          <rPr>
            <b/>
            <sz val="9"/>
            <color indexed="81"/>
            <rFont val="Tahoma"/>
            <family val="2"/>
          </rPr>
          <t>Alan Hunt:</t>
        </r>
        <r>
          <rPr>
            <sz val="9"/>
            <color indexed="81"/>
            <rFont val="Tahoma"/>
            <family val="2"/>
          </rPr>
          <t xml:space="preserve">
Used for some lookups</t>
        </r>
      </text>
    </comment>
    <comment ref="A78" authorId="0" shapeId="0" xr:uid="{00000000-0006-0000-0D00-000013000000}">
      <text>
        <r>
          <rPr>
            <b/>
            <sz val="9"/>
            <color indexed="81"/>
            <rFont val="Tahoma"/>
            <family val="2"/>
          </rPr>
          <t>Alan Hunt:</t>
        </r>
        <r>
          <rPr>
            <sz val="9"/>
            <color indexed="81"/>
            <rFont val="Tahoma"/>
            <family val="2"/>
          </rPr>
          <t xml:space="preserve">
used for some lookups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Alan Hunt</author>
  </authors>
  <commentList>
    <comment ref="AI4" authorId="0" shapeId="0" xr:uid="{00000000-0006-0000-1100-000001000000}">
      <text>
        <r>
          <rPr>
            <b/>
            <sz val="9"/>
            <color indexed="81"/>
            <rFont val="Tahoma"/>
            <family val="2"/>
          </rPr>
          <t>Alan Hunt:</t>
        </r>
        <r>
          <rPr>
            <sz val="9"/>
            <color indexed="81"/>
            <rFont val="Tahoma"/>
            <family val="2"/>
          </rPr>
          <t xml:space="preserve">
this should only be populated for nominals without the Award DAF code</t>
        </r>
      </text>
    </comment>
    <comment ref="AI5" authorId="0" shapeId="0" xr:uid="{00000000-0006-0000-1100-000002000000}">
      <text>
        <r>
          <rPr>
            <b/>
            <sz val="9"/>
            <color indexed="81"/>
            <rFont val="Tahoma"/>
            <family val="2"/>
          </rPr>
          <t>Alan Hunt:</t>
        </r>
        <r>
          <rPr>
            <sz val="9"/>
            <color indexed="81"/>
            <rFont val="Tahoma"/>
            <family val="2"/>
          </rPr>
          <t xml:space="preserve">
Grey shaded cells should equal zero (award code not set-up for these nominals)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Alan Hunt</author>
  </authors>
  <commentList>
    <comment ref="AA21" authorId="0" shapeId="0" xr:uid="{00000000-0006-0000-1300-000001000000}">
      <text>
        <r>
          <rPr>
            <b/>
            <sz val="9"/>
            <color indexed="81"/>
            <rFont val="Tahoma"/>
            <family val="2"/>
          </rPr>
          <t>Alan Hunt:</t>
        </r>
        <r>
          <rPr>
            <sz val="9"/>
            <color indexed="81"/>
            <rFont val="Tahoma"/>
            <family val="2"/>
          </rPr>
          <t xml:space="preserve">
From salaries file Employee Award tab</t>
        </r>
      </text>
    </comment>
    <comment ref="AF21" authorId="0" shapeId="0" xr:uid="{00000000-0006-0000-1300-000002000000}">
      <text>
        <r>
          <rPr>
            <b/>
            <sz val="9"/>
            <color indexed="81"/>
            <rFont val="Tahoma"/>
            <family val="2"/>
          </rPr>
          <t>Alan Hunt:</t>
        </r>
        <r>
          <rPr>
            <sz val="9"/>
            <color indexed="81"/>
            <rFont val="Tahoma"/>
            <family val="2"/>
          </rPr>
          <t xml:space="preserve">
From salaries file Employee Award tab</t>
        </r>
      </text>
    </comment>
    <comment ref="X77" authorId="0" shapeId="0" xr:uid="{00000000-0006-0000-1300-000003000000}">
      <text>
        <r>
          <rPr>
            <b/>
            <sz val="9"/>
            <color indexed="81"/>
            <rFont val="Tahoma"/>
            <family val="2"/>
          </rPr>
          <t>Alan Hunt:</t>
        </r>
        <r>
          <rPr>
            <sz val="9"/>
            <color indexed="81"/>
            <rFont val="Tahoma"/>
            <family val="2"/>
          </rPr>
          <t xml:space="preserve">
PKF partner audits and assessments</t>
        </r>
      </text>
    </comment>
    <comment ref="U78" authorId="0" shapeId="0" xr:uid="{00000000-0006-0000-1300-000004000000}">
      <text>
        <r>
          <rPr>
            <b/>
            <sz val="9"/>
            <color indexed="81"/>
            <rFont val="Tahoma"/>
            <family val="2"/>
          </rPr>
          <t>Alan Hunt:</t>
        </r>
        <r>
          <rPr>
            <sz val="9"/>
            <color indexed="81"/>
            <rFont val="Tahoma"/>
            <family val="2"/>
          </rPr>
          <t xml:space="preserve">
filing fee</t>
        </r>
      </text>
    </comment>
    <comment ref="X78" authorId="0" shapeId="0" xr:uid="{00000000-0006-0000-1300-000005000000}">
      <text>
        <r>
          <rPr>
            <b/>
            <sz val="9"/>
            <color indexed="81"/>
            <rFont val="Tahoma"/>
            <family val="2"/>
          </rPr>
          <t>Alan Hunt:</t>
        </r>
        <r>
          <rPr>
            <sz val="9"/>
            <color indexed="81"/>
            <rFont val="Tahoma"/>
            <family val="2"/>
          </rPr>
          <t xml:space="preserve">
translations prog related</t>
        </r>
      </text>
    </comment>
    <comment ref="C133" authorId="0" shapeId="0" xr:uid="{00000000-0006-0000-1300-000006000000}">
      <text>
        <r>
          <rPr>
            <b/>
            <sz val="9"/>
            <color indexed="81"/>
            <rFont val="Tahoma"/>
            <family val="2"/>
          </rPr>
          <t>Alan Hunt:</t>
        </r>
        <r>
          <rPr>
            <sz val="9"/>
            <color indexed="81"/>
            <rFont val="Tahoma"/>
            <family val="2"/>
          </rPr>
          <t xml:space="preserve">
refer Consult&amp;ProfFee_Mar21_v2 file</t>
        </r>
      </text>
    </comment>
    <comment ref="C154" authorId="0" shapeId="0" xr:uid="{00000000-0006-0000-1300-000007000000}">
      <text>
        <r>
          <rPr>
            <b/>
            <sz val="9"/>
            <color indexed="81"/>
            <rFont val="Tahoma"/>
            <family val="2"/>
          </rPr>
          <t>Alan Hunt:</t>
        </r>
        <r>
          <rPr>
            <sz val="9"/>
            <color indexed="81"/>
            <rFont val="Tahoma"/>
            <family val="2"/>
          </rPr>
          <t xml:space="preserve">
refer Consult&amp;ProfFee_Mar21_v2 file</t>
        </r>
      </text>
    </comment>
    <comment ref="C160" authorId="0" shapeId="0" xr:uid="{00000000-0006-0000-1300-000008000000}">
      <text>
        <r>
          <rPr>
            <b/>
            <sz val="9"/>
            <color indexed="81"/>
            <rFont val="Tahoma"/>
            <family val="2"/>
          </rPr>
          <t>Alan Hunt:</t>
        </r>
        <r>
          <rPr>
            <sz val="9"/>
            <color indexed="81"/>
            <rFont val="Tahoma"/>
            <family val="2"/>
          </rPr>
          <t xml:space="preserve">
Refer salaries file</t>
        </r>
      </text>
    </comment>
    <comment ref="C166" authorId="0" shapeId="0" xr:uid="{00000000-0006-0000-1300-000009000000}">
      <text>
        <r>
          <rPr>
            <b/>
            <sz val="9"/>
            <color indexed="81"/>
            <rFont val="Tahoma"/>
            <family val="2"/>
          </rPr>
          <t>Alan Hunt:</t>
        </r>
        <r>
          <rPr>
            <sz val="9"/>
            <color indexed="81"/>
            <rFont val="Tahoma"/>
            <family val="2"/>
          </rPr>
          <t xml:space="preserve">
refer Consult&amp;ProfFee_Mar21_v2 file</t>
        </r>
      </text>
    </comment>
  </commentList>
</comments>
</file>

<file path=xl/sharedStrings.xml><?xml version="1.0" encoding="utf-8"?>
<sst xmlns="http://schemas.openxmlformats.org/spreadsheetml/2006/main" count="1558" uniqueCount="765">
  <si>
    <t>Connection number</t>
  </si>
  <si>
    <t>Report Parameters</t>
  </si>
  <si>
    <t>Period from</t>
  </si>
  <si>
    <t>Period to</t>
  </si>
  <si>
    <t>CN</t>
  </si>
  <si>
    <t>PF</t>
  </si>
  <si>
    <t>PT</t>
  </si>
  <si>
    <t>Name</t>
  </si>
  <si>
    <t>Month</t>
  </si>
  <si>
    <t>ORIGINAL</t>
  </si>
  <si>
    <t>Original Budget</t>
  </si>
  <si>
    <t>BC</t>
  </si>
  <si>
    <t>CEN</t>
  </si>
  <si>
    <t>FOP</t>
  </si>
  <si>
    <t>OFF</t>
  </si>
  <si>
    <t>Office Running</t>
  </si>
  <si>
    <t>GEN</t>
  </si>
  <si>
    <t>GOV</t>
  </si>
  <si>
    <t>MER</t>
  </si>
  <si>
    <t>PAC</t>
  </si>
  <si>
    <t>PDE</t>
  </si>
  <si>
    <t>PRD</t>
  </si>
  <si>
    <t>PRG</t>
  </si>
  <si>
    <t>SUP</t>
  </si>
  <si>
    <t>General Revenue</t>
  </si>
  <si>
    <t>Programme Costs</t>
  </si>
  <si>
    <t>Programme Delivery Team</t>
  </si>
  <si>
    <t>MER Team</t>
  </si>
  <si>
    <t>Finance Operations &amp; Executive</t>
  </si>
  <si>
    <t>Governance</t>
  </si>
  <si>
    <t>Start-up Costs</t>
  </si>
  <si>
    <t>4000</t>
  </si>
  <si>
    <t>Donations</t>
  </si>
  <si>
    <t>4001</t>
  </si>
  <si>
    <t>Gift Aid Received</t>
  </si>
  <si>
    <t>4010</t>
  </si>
  <si>
    <t>Grant Income</t>
  </si>
  <si>
    <t>4011</t>
  </si>
  <si>
    <t>Grant Income - Central Cost Contribution</t>
  </si>
  <si>
    <t>4020</t>
  </si>
  <si>
    <t>Contract Income</t>
  </si>
  <si>
    <t>4021</t>
  </si>
  <si>
    <t>4050</t>
  </si>
  <si>
    <t>Consultancy Income</t>
  </si>
  <si>
    <t>4060</t>
  </si>
  <si>
    <t>Other Income</t>
  </si>
  <si>
    <t>4100</t>
  </si>
  <si>
    <t>Bank Interest Received</t>
  </si>
  <si>
    <t>6100</t>
  </si>
  <si>
    <t>Payments to Partner Organisations</t>
  </si>
  <si>
    <t>6101</t>
  </si>
  <si>
    <t>Third Party Consultants (Prog Related)</t>
  </si>
  <si>
    <t>6102</t>
  </si>
  <si>
    <t>Supplies &amp; Consumables</t>
  </si>
  <si>
    <t>6103</t>
  </si>
  <si>
    <t>Field Work Expenses</t>
  </si>
  <si>
    <t>7000</t>
  </si>
  <si>
    <t>Salaries</t>
  </si>
  <si>
    <t>7010</t>
  </si>
  <si>
    <t>Consultancy</t>
  </si>
  <si>
    <t>7011</t>
  </si>
  <si>
    <t>Agency Interim &amp; Temp Staff</t>
  </si>
  <si>
    <t>7020</t>
  </si>
  <si>
    <t>Staff Training</t>
  </si>
  <si>
    <t>7021</t>
  </si>
  <si>
    <t>Staff Welfare</t>
  </si>
  <si>
    <t>7023</t>
  </si>
  <si>
    <t>Membership Subscriptions</t>
  </si>
  <si>
    <t>7030</t>
  </si>
  <si>
    <t>HR Costs</t>
  </si>
  <si>
    <t>7031</t>
  </si>
  <si>
    <t>Payroll Costs</t>
  </si>
  <si>
    <t>7040</t>
  </si>
  <si>
    <t>Recruitment Costs</t>
  </si>
  <si>
    <t>7100</t>
  </si>
  <si>
    <t>Rents Payable</t>
  </si>
  <si>
    <t>7101</t>
  </si>
  <si>
    <t>Service Charges Payable</t>
  </si>
  <si>
    <t>7120</t>
  </si>
  <si>
    <t>Business Rates</t>
  </si>
  <si>
    <t>7130</t>
  </si>
  <si>
    <t>Insurance - Premises</t>
  </si>
  <si>
    <t>7150</t>
  </si>
  <si>
    <t>Electricity</t>
  </si>
  <si>
    <t>7151</t>
  </si>
  <si>
    <t>Office Heating</t>
  </si>
  <si>
    <t>7160</t>
  </si>
  <si>
    <t>Cleaning</t>
  </si>
  <si>
    <t>7161</t>
  </si>
  <si>
    <t>Repairs &amp; Maintenance</t>
  </si>
  <si>
    <t>7162</t>
  </si>
  <si>
    <t>Office Furniture &amp; Fixtures</t>
  </si>
  <si>
    <t>7163</t>
  </si>
  <si>
    <t>Sundry Office Costs</t>
  </si>
  <si>
    <t>7200</t>
  </si>
  <si>
    <t>Printing &amp; Photocopying</t>
  </si>
  <si>
    <t>7210</t>
  </si>
  <si>
    <t>Postage</t>
  </si>
  <si>
    <t>7211</t>
  </si>
  <si>
    <t>Couriers &amp; Freight</t>
  </si>
  <si>
    <t>7220</t>
  </si>
  <si>
    <t>Office Stationery</t>
  </si>
  <si>
    <t>7230</t>
  </si>
  <si>
    <t>Telephone</t>
  </si>
  <si>
    <t>7231</t>
  </si>
  <si>
    <t>Internet</t>
  </si>
  <si>
    <t>7232</t>
  </si>
  <si>
    <t>Mobile &amp; Tablet Charges</t>
  </si>
  <si>
    <t>7240</t>
  </si>
  <si>
    <t>Computer Equipment</t>
  </si>
  <si>
    <t>7241</t>
  </si>
  <si>
    <t>Computer Maintenance &amp; Supplies</t>
  </si>
  <si>
    <t>7242</t>
  </si>
  <si>
    <t>Software Purchases &amp; Licenses</t>
  </si>
  <si>
    <t>7243</t>
  </si>
  <si>
    <t>IT Support</t>
  </si>
  <si>
    <t>7244</t>
  </si>
  <si>
    <t>Other IT Costs</t>
  </si>
  <si>
    <t>7250</t>
  </si>
  <si>
    <t>Subscriptions</t>
  </si>
  <si>
    <t>7251</t>
  </si>
  <si>
    <t>Books / Publications / Research</t>
  </si>
  <si>
    <t>7260</t>
  </si>
  <si>
    <t>Equipment Hire</t>
  </si>
  <si>
    <t>7300</t>
  </si>
  <si>
    <t>Travel - Air</t>
  </si>
  <si>
    <t>7301</t>
  </si>
  <si>
    <t>Travel - Rail</t>
  </si>
  <si>
    <t>7302</t>
  </si>
  <si>
    <t>Travel - Taxi</t>
  </si>
  <si>
    <t>7303</t>
  </si>
  <si>
    <t>Travel - Car Hire</t>
  </si>
  <si>
    <t>7304</t>
  </si>
  <si>
    <t>Travel - Mileage</t>
  </si>
  <si>
    <t>7305</t>
  </si>
  <si>
    <t>Travel - Fuel</t>
  </si>
  <si>
    <t>7306</t>
  </si>
  <si>
    <t>Travel - Other</t>
  </si>
  <si>
    <t>7310</t>
  </si>
  <si>
    <t>Accomodation</t>
  </si>
  <si>
    <t>7311</t>
  </si>
  <si>
    <t>Subsistence</t>
  </si>
  <si>
    <t>7320</t>
  </si>
  <si>
    <t>Bank charges - Travel Related</t>
  </si>
  <si>
    <t>7321</t>
  </si>
  <si>
    <t>Laundry - Travel Related</t>
  </si>
  <si>
    <t>7322</t>
  </si>
  <si>
    <t>Healthcare &amp; Medication - Travel Related</t>
  </si>
  <si>
    <t>7323</t>
  </si>
  <si>
    <t>Mobile &amp; Internet - Travel Related</t>
  </si>
  <si>
    <t>7324</t>
  </si>
  <si>
    <t>Visa Fees</t>
  </si>
  <si>
    <t>7330</t>
  </si>
  <si>
    <t>Hospitality - Business Meals</t>
  </si>
  <si>
    <t>7331</t>
  </si>
  <si>
    <t>Hospitality - Staff Only</t>
  </si>
  <si>
    <t>7332</t>
  </si>
  <si>
    <t>Hospitality - Other</t>
  </si>
  <si>
    <t>7334</t>
  </si>
  <si>
    <t>Meeting Costs</t>
  </si>
  <si>
    <t>7400</t>
  </si>
  <si>
    <t>Legal &amp; Filing Fees</t>
  </si>
  <si>
    <t>7410</t>
  </si>
  <si>
    <t>Accountancy &amp; Taxation Advice</t>
  </si>
  <si>
    <t>7420</t>
  </si>
  <si>
    <t>Audit Fees</t>
  </si>
  <si>
    <t>7430</t>
  </si>
  <si>
    <t>Other Professional Fees</t>
  </si>
  <si>
    <t>7500</t>
  </si>
  <si>
    <t>Bank Charges</t>
  </si>
  <si>
    <t>7501</t>
  </si>
  <si>
    <t>Credit Card Charges</t>
  </si>
  <si>
    <t>7510</t>
  </si>
  <si>
    <t>Advertising &amp; Marketing</t>
  </si>
  <si>
    <t>7511</t>
  </si>
  <si>
    <t>Visibility &amp; Branding</t>
  </si>
  <si>
    <t>7515</t>
  </si>
  <si>
    <t>Fundraising Costs</t>
  </si>
  <si>
    <t>7520</t>
  </si>
  <si>
    <t>Conference Fees</t>
  </si>
  <si>
    <t>7530</t>
  </si>
  <si>
    <t>Donations &amp; Sponsorship</t>
  </si>
  <si>
    <t>7535</t>
  </si>
  <si>
    <t>Insurance</t>
  </si>
  <si>
    <t>7540</t>
  </si>
  <si>
    <t>Sundry Costs</t>
  </si>
  <si>
    <t>7550</t>
  </si>
  <si>
    <t>Bad Debts Expense</t>
  </si>
  <si>
    <t>7600</t>
  </si>
  <si>
    <t>Depn Furniture, Fittings and Equipment</t>
  </si>
  <si>
    <t>7800</t>
  </si>
  <si>
    <t>Exchange Gains &amp; Losses</t>
  </si>
  <si>
    <t>7900</t>
  </si>
  <si>
    <t>Exceptional Income &amp; Costs</t>
  </si>
  <si>
    <t>7950</t>
  </si>
  <si>
    <t>Profit/Loss on Sale of Assets</t>
  </si>
  <si>
    <t>8101</t>
  </si>
  <si>
    <t>Bank Account Interest Paid</t>
  </si>
  <si>
    <t>8102</t>
  </si>
  <si>
    <t>Other Interest Paid</t>
  </si>
  <si>
    <t>9999</t>
  </si>
  <si>
    <t>Suspense Account</t>
  </si>
  <si>
    <t>Cost Centres</t>
  </si>
  <si>
    <t>Trial balance</t>
  </si>
  <si>
    <t>Awards</t>
  </si>
  <si>
    <t>Accounts</t>
  </si>
  <si>
    <t>Analysis Keys (GL Code)</t>
  </si>
  <si>
    <t>Countries</t>
  </si>
  <si>
    <t>SCI Foundation - trial balance</t>
  </si>
  <si>
    <t>Nominal</t>
  </si>
  <si>
    <t>Year to date</t>
  </si>
  <si>
    <t>Other</t>
  </si>
  <si>
    <t>AUS</t>
  </si>
  <si>
    <t>BRD</t>
  </si>
  <si>
    <t>CAN</t>
  </si>
  <si>
    <t>CENTRAL</t>
  </si>
  <si>
    <t>CHE</t>
  </si>
  <si>
    <t>CIV</t>
  </si>
  <si>
    <t>Cote d'Ivoire</t>
  </si>
  <si>
    <t>COD</t>
  </si>
  <si>
    <t>DRC</t>
  </si>
  <si>
    <t>COR</t>
  </si>
  <si>
    <t>DEU</t>
  </si>
  <si>
    <t>EAC</t>
  </si>
  <si>
    <t>ECT</t>
  </si>
  <si>
    <t>ESP</t>
  </si>
  <si>
    <t>ETH</t>
  </si>
  <si>
    <t>Ethiopia</t>
  </si>
  <si>
    <t>EUR</t>
  </si>
  <si>
    <t>GBR</t>
  </si>
  <si>
    <t>LBR</t>
  </si>
  <si>
    <t>Liberia</t>
  </si>
  <si>
    <t>MAU</t>
  </si>
  <si>
    <t>Mauritania</t>
  </si>
  <si>
    <t>MDG</t>
  </si>
  <si>
    <t>Madagascar</t>
  </si>
  <si>
    <t>MOZ</t>
  </si>
  <si>
    <t>MWI</t>
  </si>
  <si>
    <t>Malawi</t>
  </si>
  <si>
    <t>NER</t>
  </si>
  <si>
    <t>NGA</t>
  </si>
  <si>
    <t>NNN</t>
  </si>
  <si>
    <t>NOR</t>
  </si>
  <si>
    <t>NZL</t>
  </si>
  <si>
    <t>OTH</t>
  </si>
  <si>
    <t>PPC</t>
  </si>
  <si>
    <t>SCI</t>
  </si>
  <si>
    <t>SDN</t>
  </si>
  <si>
    <t>Sudan</t>
  </si>
  <si>
    <t>TZA</t>
  </si>
  <si>
    <t>Tanzania</t>
  </si>
  <si>
    <t>UGA</t>
  </si>
  <si>
    <t>Uganda</t>
  </si>
  <si>
    <t>USA</t>
  </si>
  <si>
    <t>WHA</t>
  </si>
  <si>
    <t>WHO</t>
  </si>
  <si>
    <t>WHS</t>
  </si>
  <si>
    <t>WWW</t>
  </si>
  <si>
    <t>ZMB</t>
  </si>
  <si>
    <t>ZNZ-PEM</t>
  </si>
  <si>
    <t>ZNZ-UNG</t>
  </si>
  <si>
    <t>ASC01</t>
  </si>
  <si>
    <t>CAF01</t>
  </si>
  <si>
    <t>CIF01</t>
  </si>
  <si>
    <t>END01</t>
  </si>
  <si>
    <t>MER01</t>
  </si>
  <si>
    <t>PPC01</t>
  </si>
  <si>
    <t>TGH01</t>
  </si>
  <si>
    <t>UNR01</t>
  </si>
  <si>
    <t>UNR02</t>
  </si>
  <si>
    <t>UNR03</t>
  </si>
  <si>
    <t>UNR04</t>
  </si>
  <si>
    <t>UNR05</t>
  </si>
  <si>
    <t>UNR06</t>
  </si>
  <si>
    <t>UNR07</t>
  </si>
  <si>
    <t>UNR08</t>
  </si>
  <si>
    <t>UNR09</t>
  </si>
  <si>
    <t>UNR10</t>
  </si>
  <si>
    <t>UNR11</t>
  </si>
  <si>
    <t>UNR12</t>
  </si>
  <si>
    <t>Unrestricted</t>
  </si>
  <si>
    <t>Programme costs</t>
  </si>
  <si>
    <t>From:</t>
  </si>
  <si>
    <t>To:</t>
  </si>
  <si>
    <t>Total</t>
  </si>
  <si>
    <t>Total Unrestricted</t>
  </si>
  <si>
    <t>Contract Income - Central Cost Contrib</t>
  </si>
  <si>
    <t>Third Party Consultants</t>
  </si>
  <si>
    <t>7001</t>
  </si>
  <si>
    <t>Employer's National Insurance</t>
  </si>
  <si>
    <t>7002</t>
  </si>
  <si>
    <t>Employer's Pension Contributions</t>
  </si>
  <si>
    <t>Partnership and Comms</t>
  </si>
  <si>
    <t>Central Costs (Shared)</t>
  </si>
  <si>
    <t>Personal Develop-ment</t>
  </si>
  <si>
    <t>P&amp;L by cost centre</t>
  </si>
  <si>
    <t>Country Code</t>
  </si>
  <si>
    <t>Country</t>
  </si>
  <si>
    <t>Description</t>
  </si>
  <si>
    <t>SCI Foundation - Balance Sheet &amp; P&amp;L</t>
  </si>
  <si>
    <t>Detailed</t>
  </si>
  <si>
    <t>Period</t>
  </si>
  <si>
    <t>Year-to-date</t>
  </si>
  <si>
    <t>Balance Sheet</t>
  </si>
  <si>
    <t>Total Assets</t>
  </si>
  <si>
    <t>Total Liabilities</t>
  </si>
  <si>
    <t>Net Assets</t>
  </si>
  <si>
    <t>Current year P&amp;L</t>
  </si>
  <si>
    <t>Profit &amp; Loss</t>
  </si>
  <si>
    <t>Total Income</t>
  </si>
  <si>
    <t>Total Expenditure</t>
  </si>
  <si>
    <t>Net Income</t>
  </si>
  <si>
    <t>Income</t>
  </si>
  <si>
    <t>Expenditure</t>
  </si>
  <si>
    <t>Grants</t>
  </si>
  <si>
    <t>Programme Management</t>
  </si>
  <si>
    <t>Procurement of program supplies</t>
  </si>
  <si>
    <t>Total Costs</t>
  </si>
  <si>
    <t>Net surplus/(deficit)</t>
  </si>
  <si>
    <t xml:space="preserve"> </t>
  </si>
  <si>
    <t>Cash at Bank</t>
  </si>
  <si>
    <t>Sundry Debtors (Sightsavers, deposits)</t>
  </si>
  <si>
    <t>Sundry Creditors (Suppliers, PAYE, VAT)</t>
  </si>
  <si>
    <t>Due from Imperial College</t>
  </si>
  <si>
    <t>Opening Reserves</t>
  </si>
  <si>
    <t>Reserves</t>
  </si>
  <si>
    <t>%
 var-iance</t>
  </si>
  <si>
    <t>Comment</t>
  </si>
  <si>
    <t xml:space="preserve">ASCEND WEST </t>
  </si>
  <si>
    <t xml:space="preserve">Niger </t>
  </si>
  <si>
    <t xml:space="preserve">ASCEND EAST </t>
  </si>
  <si>
    <t/>
  </si>
  <si>
    <t>Zanzibar (Unguja)</t>
  </si>
  <si>
    <t>Zanzibar (Pemba)</t>
  </si>
  <si>
    <t xml:space="preserve">OTHERS </t>
  </si>
  <si>
    <t xml:space="preserve">Burundi </t>
  </si>
  <si>
    <t>Other programme related</t>
  </si>
  <si>
    <t>Programme Management Costs</t>
  </si>
  <si>
    <t>Difference</t>
  </si>
  <si>
    <t>Personal Development</t>
  </si>
  <si>
    <t>Nominal (text)</t>
  </si>
  <si>
    <t>Nominal (value)</t>
  </si>
  <si>
    <t>Check total</t>
  </si>
  <si>
    <t>SUD</t>
  </si>
  <si>
    <t>170CAB</t>
  </si>
  <si>
    <t>200TRC</t>
  </si>
  <si>
    <t>220VAT</t>
  </si>
  <si>
    <t>225SSC</t>
  </si>
  <si>
    <t>240ADI</t>
  </si>
  <si>
    <t>Less due from Imperial College</t>
  </si>
  <si>
    <t>Ascend</t>
  </si>
  <si>
    <t>UNR</t>
  </si>
  <si>
    <t>CIFF ETH
Tech Assist.</t>
  </si>
  <si>
    <t>End Fund
MDG</t>
  </si>
  <si>
    <t>Central Costs (Shared Across Teams)</t>
  </si>
  <si>
    <t>Partnership and Communications</t>
  </si>
  <si>
    <t>TOTAL</t>
  </si>
  <si>
    <t>Analysis by Cost Centre</t>
  </si>
  <si>
    <t>Total excluding above cost centres</t>
  </si>
  <si>
    <t>SCI Foundation - Financial Summary</t>
  </si>
  <si>
    <r>
      <rPr>
        <b/>
        <sz val="12"/>
        <color theme="1"/>
        <rFont val="Arial"/>
        <family val="2"/>
      </rPr>
      <t>SCI Foundation - Financial Summary</t>
    </r>
    <r>
      <rPr>
        <sz val="12"/>
        <color theme="1"/>
        <rFont val="Arial"/>
        <family val="2"/>
      </rPr>
      <t xml:space="preserve"> </t>
    </r>
  </si>
  <si>
    <t>Income and Expenditure Statement</t>
  </si>
  <si>
    <t>Restricted</t>
  </si>
  <si>
    <t>£</t>
  </si>
  <si>
    <t>Support Costs</t>
  </si>
  <si>
    <t>Staff Costs</t>
  </si>
  <si>
    <t>Other Direct</t>
  </si>
  <si>
    <t>Office expenses</t>
  </si>
  <si>
    <t>Property costs</t>
  </si>
  <si>
    <t>Other support costs</t>
  </si>
  <si>
    <t>Governance costs</t>
  </si>
  <si>
    <t>Support</t>
  </si>
  <si>
    <t>Balance sheet</t>
  </si>
  <si>
    <t>Partner Analysis</t>
  </si>
  <si>
    <t>Partners</t>
  </si>
  <si>
    <t>BRD01</t>
  </si>
  <si>
    <t>BRE01</t>
  </si>
  <si>
    <t>CHD01</t>
  </si>
  <si>
    <t>CIV01</t>
  </si>
  <si>
    <t>ETH01</t>
  </si>
  <si>
    <t>IMA</t>
  </si>
  <si>
    <t>LBR01</t>
  </si>
  <si>
    <t>MDG01</t>
  </si>
  <si>
    <t>MDG02</t>
  </si>
  <si>
    <t>MRT01</t>
  </si>
  <si>
    <t>PHL01</t>
  </si>
  <si>
    <t>UGA01</t>
  </si>
  <si>
    <t>ZNU01</t>
  </si>
  <si>
    <t>Salary Analysis</t>
  </si>
  <si>
    <t>Salary Categories</t>
  </si>
  <si>
    <t>NI</t>
  </si>
  <si>
    <t>Other Employment Costs</t>
  </si>
  <si>
    <t>PEN</t>
  </si>
  <si>
    <t>Employer's Pension Contribution</t>
  </si>
  <si>
    <t>SAL</t>
  </si>
  <si>
    <t>Diff s/be=0</t>
  </si>
  <si>
    <t>Expenses  claimed by Trustees (taken from Expenses ledger)</t>
  </si>
  <si>
    <t>Peter Dranfield</t>
  </si>
  <si>
    <t>Lord Trees</t>
  </si>
  <si>
    <t>Operating leases</t>
  </si>
  <si>
    <t>Extract from PO:</t>
  </si>
  <si>
    <t>Rent</t>
  </si>
  <si>
    <t>To 30-Apr-21 + VAT</t>
  </si>
  <si>
    <t>To 30-Apr-22 + VAT</t>
  </si>
  <si>
    <t>Statutory accounts analysis of expenditure</t>
  </si>
  <si>
    <t>---------Support Costs---------</t>
  </si>
  <si>
    <t>---------------Charitable Activities---------------</t>
  </si>
  <si>
    <t>--Fundraising &amp; Publicity--</t>
  </si>
  <si>
    <t>Diff sbe=0</t>
  </si>
  <si>
    <t>K.Khole Global Health Consulting</t>
  </si>
  <si>
    <t>LSHTM Collaboration Project</t>
  </si>
  <si>
    <t>ILS Travel Security Consulting</t>
  </si>
  <si>
    <t>Direct costs</t>
  </si>
  <si>
    <t>Fundraising &amp; Publicity</t>
  </si>
  <si>
    <t>Consulting Fees analysis (refer separate file)</t>
  </si>
  <si>
    <t>Raiser's Edge</t>
  </si>
  <si>
    <t>Grant Manager</t>
  </si>
  <si>
    <t>Total:</t>
  </si>
  <si>
    <t>RESTRICTED</t>
  </si>
  <si>
    <t>Total Restricted Funds</t>
  </si>
  <si>
    <t>Restricted F/raising &amp; Publicity</t>
  </si>
  <si>
    <t>Total Restricted</t>
  </si>
  <si>
    <t>&lt;1 year</t>
  </si>
  <si>
    <t>1-5 years</t>
  </si>
  <si>
    <t>Expenditure Category</t>
  </si>
  <si>
    <t>HR &amp; Payroll Costs</t>
  </si>
  <si>
    <t>Occupancy</t>
  </si>
  <si>
    <t>Other Office Costs</t>
  </si>
  <si>
    <t>IT &amp; Communications</t>
  </si>
  <si>
    <t>Communications</t>
  </si>
  <si>
    <t>Software Licenses</t>
  </si>
  <si>
    <t>Travel</t>
  </si>
  <si>
    <t>Professional Fees</t>
  </si>
  <si>
    <t>Advertising &amp; Visibility</t>
  </si>
  <si>
    <t>Sponsorship</t>
  </si>
  <si>
    <t>Other Awards</t>
  </si>
  <si>
    <t>P&amp;L by Award</t>
  </si>
  <si>
    <t>Total net of PDE &amp; GOV</t>
  </si>
  <si>
    <t>Annual
Budget</t>
  </si>
  <si>
    <t>Month end date</t>
  </si>
  <si>
    <t>Period number</t>
  </si>
  <si>
    <t>Month end date in full</t>
  </si>
  <si>
    <t>% Variance</t>
  </si>
  <si>
    <t>%</t>
  </si>
  <si>
    <t>Annual Budget</t>
  </si>
  <si>
    <t>Month summary</t>
  </si>
  <si>
    <t>FGS Integration - CIV</t>
  </si>
  <si>
    <t>Period from:</t>
  </si>
  <si>
    <t>BSPF</t>
  </si>
  <si>
    <t>Budget</t>
  </si>
  <si>
    <t>Lower as office is not occupied</t>
  </si>
  <si>
    <t>Rolled over budget</t>
  </si>
  <si>
    <t>Check=0</t>
  </si>
  <si>
    <t>Budget excluded VAT, less 50% Covid-19 rent credit to 30-Jun</t>
  </si>
  <si>
    <t>NNN conf reduced from  £15k to £5.1k. SIWI conf cancelled</t>
  </si>
  <si>
    <t>Management costs</t>
  </si>
  <si>
    <t>MgtCosts</t>
  </si>
  <si>
    <t>Refer separate schedule</t>
  </si>
  <si>
    <t>Ascend Innovation Fund Projects</t>
  </si>
  <si>
    <t>Ethiopia Parameter Validation Survey</t>
  </si>
  <si>
    <t>Burkina Faso</t>
  </si>
  <si>
    <t>Ethiopia Tech Assistance - CIFF</t>
  </si>
  <si>
    <t>ETH Tech Assist. - End Fund/ Unrestricted</t>
  </si>
  <si>
    <t>2021.00</t>
  </si>
  <si>
    <t>B/F 2020</t>
  </si>
  <si>
    <t>ASC04</t>
  </si>
  <si>
    <t>END02</t>
  </si>
  <si>
    <t>END03</t>
  </si>
  <si>
    <t>KIT01</t>
  </si>
  <si>
    <t>TGH02</t>
  </si>
  <si>
    <t>TGH03</t>
  </si>
  <si>
    <t>Variance Annual Budget</t>
  </si>
  <si>
    <t>July</t>
  </si>
  <si>
    <t>ACTUAL (where we are)</t>
  </si>
  <si>
    <r>
      <t>GAP (</t>
    </r>
    <r>
      <rPr>
        <sz val="12"/>
        <rFont val="Calibri"/>
        <family val="2"/>
      </rPr>
      <t xml:space="preserve">What we </t>
    </r>
    <r>
      <rPr>
        <u/>
        <sz val="12"/>
        <rFont val="Calibri"/>
        <family val="2"/>
      </rPr>
      <t>still</t>
    </r>
    <r>
      <rPr>
        <sz val="12"/>
        <rFont val="Calibri"/>
        <family val="2"/>
      </rPr>
      <t xml:space="preserve"> need to do</t>
    </r>
    <r>
      <rPr>
        <b/>
        <sz val="12"/>
        <rFont val="Calibri"/>
        <family val="2"/>
      </rPr>
      <t>)</t>
    </r>
  </si>
  <si>
    <r>
      <t>FORECAST YEAREND (</t>
    </r>
    <r>
      <rPr>
        <sz val="12"/>
        <rFont val="Calibri"/>
        <family val="2"/>
      </rPr>
      <t>where we</t>
    </r>
    <r>
      <rPr>
        <b/>
        <sz val="12"/>
        <rFont val="Calibri"/>
        <family val="2"/>
      </rPr>
      <t xml:space="preserve"> </t>
    </r>
    <r>
      <rPr>
        <b/>
        <u/>
        <sz val="12"/>
        <rFont val="Calibri"/>
        <family val="2"/>
      </rPr>
      <t xml:space="preserve">want </t>
    </r>
    <r>
      <rPr>
        <sz val="12"/>
        <rFont val="Calibri"/>
        <family val="2"/>
      </rPr>
      <t>to be</t>
    </r>
    <r>
      <rPr>
        <b/>
        <sz val="12"/>
        <rFont val="Calibri"/>
        <family val="2"/>
      </rPr>
      <t>)</t>
    </r>
  </si>
  <si>
    <t>Full Year</t>
  </si>
  <si>
    <t>Difference - Actual to date and Full Year Q1 Forecasts</t>
  </si>
  <si>
    <t>Designated</t>
  </si>
  <si>
    <t>Actual</t>
  </si>
  <si>
    <r>
      <t xml:space="preserve">Unrestricted </t>
    </r>
    <r>
      <rPr>
        <b/>
        <sz val="10"/>
        <rFont val="Calibri"/>
        <family val="2"/>
      </rPr>
      <t>Forecast</t>
    </r>
    <r>
      <rPr>
        <sz val="10"/>
        <rFont val="Calibri"/>
        <family val="2"/>
      </rPr>
      <t xml:space="preserve"> £</t>
    </r>
  </si>
  <si>
    <t>Var</t>
  </si>
  <si>
    <r>
      <t xml:space="preserve">Total </t>
    </r>
    <r>
      <rPr>
        <b/>
        <sz val="10"/>
        <rFont val="Calibri"/>
        <family val="2"/>
      </rPr>
      <t>Forecast</t>
    </r>
    <r>
      <rPr>
        <sz val="10"/>
        <rFont val="Calibri"/>
        <family val="2"/>
      </rPr>
      <t xml:space="preserve"> £</t>
    </r>
  </si>
  <si>
    <t>Forecast</t>
  </si>
  <si>
    <t>ASC02</t>
  </si>
  <si>
    <t>ASC03</t>
  </si>
  <si>
    <t>Check on P&amp;L</t>
  </si>
  <si>
    <t>by Award tab</t>
  </si>
  <si>
    <t>CIV02</t>
  </si>
  <si>
    <t>Includes mgt liability top-up insurance £6k p.a.</t>
  </si>
  <si>
    <t>COVID-19 support CIV</t>
  </si>
  <si>
    <t>Includes Annual Report production costs £3,300</t>
  </si>
  <si>
    <t>7801</t>
  </si>
  <si>
    <t>Exchange Clearing Account</t>
  </si>
  <si>
    <t>252OCW</t>
  </si>
  <si>
    <t>Footnote - update manually:</t>
  </si>
  <si>
    <t>6104</t>
  </si>
  <si>
    <t>Programme Equipment</t>
  </si>
  <si>
    <t>Programme Expenses</t>
  </si>
  <si>
    <t>120INV</t>
  </si>
  <si>
    <t>Investments</t>
  </si>
  <si>
    <t>Includes HR system (£3k including training)</t>
  </si>
  <si>
    <t>Interest received &amp; investment income</t>
  </si>
  <si>
    <t>4105</t>
  </si>
  <si>
    <t>4106</t>
  </si>
  <si>
    <t>Investment Distributions</t>
  </si>
  <si>
    <t>Investment Revaluations</t>
  </si>
  <si>
    <t>IT Support &amp; Subscriptions</t>
  </si>
  <si>
    <t>Team Meetings &amp; Staff Welfare</t>
  </si>
  <si>
    <t>Transfers between reserves</t>
  </si>
  <si>
    <t>Restricted Funds</t>
  </si>
  <si>
    <t>Unrestricted Funds</t>
  </si>
  <si>
    <t>Designated Funds</t>
  </si>
  <si>
    <t>Opening</t>
  </si>
  <si>
    <t>PPC02</t>
  </si>
  <si>
    <t>PPC03</t>
  </si>
  <si>
    <t>ARU01</t>
  </si>
  <si>
    <t>ISP01</t>
  </si>
  <si>
    <t>DRC01</t>
  </si>
  <si>
    <t>Includes £6k for cancellation Southern Communications contract</t>
  </si>
  <si>
    <t>2021.12</t>
  </si>
  <si>
    <t>Mar 2021</t>
  </si>
  <si>
    <t>Note 1 - Year to date budget is actual to 31-December plus the December forecast for January, February &amp; March</t>
  </si>
  <si>
    <t>ACL01</t>
  </si>
  <si>
    <t>NER01</t>
  </si>
  <si>
    <t>Analysis by Funding Source</t>
  </si>
  <si>
    <t>Transfer from Imperial College</t>
  </si>
  <si>
    <t>Designated funds</t>
  </si>
  <si>
    <t>SCI FOUNDATION</t>
  </si>
  <si>
    <t>STATEMENT OF FINANCIAL ACTIVITIES</t>
  </si>
  <si>
    <t>(including Income and Expenditure account)</t>
  </si>
  <si>
    <t>Total Funds</t>
  </si>
  <si>
    <t>Note</t>
  </si>
  <si>
    <t>Funds</t>
  </si>
  <si>
    <t>Period ended</t>
  </si>
  <si>
    <t>INCOME FROM:</t>
  </si>
  <si>
    <t>Donations and legacies</t>
  </si>
  <si>
    <t>Charitable activities</t>
  </si>
  <si>
    <t>Investment income</t>
  </si>
  <si>
    <t>TOTAL INCOME</t>
  </si>
  <si>
    <t>EXPENDITURE ON:</t>
  </si>
  <si>
    <t>Fundraising and publicity</t>
  </si>
  <si>
    <t>Partner awards</t>
  </si>
  <si>
    <t>TOTAL EXPENDITURE</t>
  </si>
  <si>
    <t>NET INCOME BEFORE TRANSFER</t>
  </si>
  <si>
    <t>FROM IMPERIAL COLLEGE</t>
  </si>
  <si>
    <t>2a</t>
  </si>
  <si>
    <t>NET INCOME</t>
  </si>
  <si>
    <t>Transfer between funds</t>
  </si>
  <si>
    <t>NET MOVEMENT IN FUNDS</t>
  </si>
  <si>
    <t>Reconciliation of funds:</t>
  </si>
  <si>
    <t>Total funds brought forward</t>
  </si>
  <si>
    <t>TOTAL FUNDS CARRIED FORWARD</t>
  </si>
  <si>
    <t>All transactions are derived from activities that commenced during the period.</t>
  </si>
  <si>
    <t>All recognised gains and losses are included in the Statement of Financial Activities.</t>
  </si>
  <si>
    <t>Per P&amp;L by Award</t>
  </si>
  <si>
    <t>Check no changes</t>
  </si>
  <si>
    <t>BALANCE SHEET (Company Number 11775313)</t>
  </si>
  <si>
    <t>CURRENT ASSETS</t>
  </si>
  <si>
    <t>Debtors</t>
  </si>
  <si>
    <t>Cash at bank and in hand</t>
  </si>
  <si>
    <t xml:space="preserve">CREDITORS: amounts falling </t>
  </si>
  <si>
    <t>due within one year</t>
  </si>
  <si>
    <t>NET CURRENT ASSETS</t>
  </si>
  <si>
    <t>TOTAL ASSETS LESS CURRENT</t>
  </si>
  <si>
    <t>LIABILITIES</t>
  </si>
  <si>
    <t>NET ASSETS</t>
  </si>
  <si>
    <t>FUNDS</t>
  </si>
  <si>
    <t>Restricted funds</t>
  </si>
  <si>
    <t>Unrestricted funds:</t>
  </si>
  <si>
    <t>General funds</t>
  </si>
  <si>
    <t>The financial statements were approved and authorised for issue by the Trustees on [         ] and were signed below on its behalf by:</t>
  </si>
  <si>
    <t>Trustee</t>
  </si>
  <si>
    <t>STATEMENT OF CASH FLOWS</t>
  </si>
  <si>
    <t>Cash Flow from operating activities</t>
  </si>
  <si>
    <t>Cash flows from investing activities</t>
  </si>
  <si>
    <t>Other interest receivable</t>
  </si>
  <si>
    <t>Cash used in investing activities</t>
  </si>
  <si>
    <t>Increase/(Decrease) in cash and cash equivalents in the year</t>
  </si>
  <si>
    <t>Cash and cash equivalents at the beginning of the year</t>
  </si>
  <si>
    <t>Change due to exchange rate movements</t>
  </si>
  <si>
    <t>Total cash and cash equivalents at the end of the year</t>
  </si>
  <si>
    <t xml:space="preserve">Cash and cash equivalents </t>
  </si>
  <si>
    <t xml:space="preserve">Cash at bank and in hand at the end of the reporting period </t>
  </si>
  <si>
    <t>NOTES TO THE FINANCIAL STATEMENTS (continued)</t>
  </si>
  <si>
    <t>2.</t>
  </si>
  <si>
    <t>DONATIONS AND LEGACIES</t>
  </si>
  <si>
    <t xml:space="preserve">Period ended </t>
  </si>
  <si>
    <t>3.</t>
  </si>
  <si>
    <t>CHARITABLE ACTIVITIES</t>
  </si>
  <si>
    <t>Rounding</t>
  </si>
  <si>
    <t>Consultancy income</t>
  </si>
  <si>
    <t>4.</t>
  </si>
  <si>
    <t>INVESTMENT INCOME</t>
  </si>
  <si>
    <t>Income from investments</t>
  </si>
  <si>
    <t>5.</t>
  </si>
  <si>
    <t>NET INCOME FOR THE YEAR</t>
  </si>
  <si>
    <t>This is stated after charging the following:</t>
  </si>
  <si>
    <t xml:space="preserve">   - Auditors remuneration</t>
  </si>
  <si>
    <t xml:space="preserve">                     Audit</t>
  </si>
  <si>
    <t xml:space="preserve">                     Other services</t>
  </si>
  <si>
    <t xml:space="preserve">   - Operating lease rentals</t>
  </si>
  <si>
    <t>6.</t>
  </si>
  <si>
    <t>EXPENDITURE</t>
  </si>
  <si>
    <t>FOR THE PERIOD ENDED 31 MARCH 2020</t>
  </si>
  <si>
    <t>a)</t>
  </si>
  <si>
    <t>ANALYSIS OF EXPENDITURE</t>
  </si>
  <si>
    <t>Expenditure on charitable activities:</t>
  </si>
  <si>
    <t>b)</t>
  </si>
  <si>
    <t>ANALYSIS OF SUPPORT COSTS</t>
  </si>
  <si>
    <t>TOTAL SUPPORT COSTS:</t>
  </si>
  <si>
    <t>c)</t>
  </si>
  <si>
    <t xml:space="preserve">GOVERNANCE COSTS </t>
  </si>
  <si>
    <t>Legal and professional, including audit</t>
  </si>
  <si>
    <t>EXPENDITURE (cont)</t>
  </si>
  <si>
    <t>Burundi</t>
  </si>
  <si>
    <t xml:space="preserve">  Ministry of Public Health and Fight against Aids</t>
  </si>
  <si>
    <t xml:space="preserve">  BRESDE Consulting </t>
  </si>
  <si>
    <t xml:space="preserve">  Ministere de la Sante Publique</t>
  </si>
  <si>
    <t xml:space="preserve">  IMA World Health </t>
  </si>
  <si>
    <t xml:space="preserve">  Public Health Laboratory Ivo de Carneri</t>
  </si>
  <si>
    <t xml:space="preserve">  Vector Control Division, Biharzia and Worm Control
  Programme, Ministry of Health</t>
  </si>
  <si>
    <t>7.</t>
  </si>
  <si>
    <t>STAFF NUMBERS AND COSTS</t>
  </si>
  <si>
    <t>No.</t>
  </si>
  <si>
    <t>The average number of persons employed during the year were as follows</t>
  </si>
  <si>
    <t>Raising funds</t>
  </si>
  <si>
    <t>The aggregate payroll costs of these persons were as follows</t>
  </si>
  <si>
    <t>Salaries and wages</t>
  </si>
  <si>
    <t>Social security costs</t>
  </si>
  <si>
    <t>Pension scheme contributions</t>
  </si>
  <si>
    <t>£60,000 - £69,999</t>
  </si>
  <si>
    <t>£70,000 - £79,999</t>
  </si>
  <si>
    <t>8.</t>
  </si>
  <si>
    <t>TRUSTEES' REMUNERATION AND REIMBURSED EXPENSES</t>
  </si>
  <si>
    <t>Text</t>
  </si>
  <si>
    <t>Trustee's expenses</t>
  </si>
  <si>
    <t>9.</t>
  </si>
  <si>
    <t>INVESTMENT IN SUBSIDIARY</t>
  </si>
  <si>
    <t>10.</t>
  </si>
  <si>
    <t>Taxation</t>
  </si>
  <si>
    <t>SCI Foundation is a registered charity and, therefore, is not liable to income tax or corporation tax on income derived from its chartiable activities, as it falls within the various exemptions avaiable to registered charities.</t>
  </si>
  <si>
    <t>11.</t>
  </si>
  <si>
    <t>DEBTORS</t>
  </si>
  <si>
    <t>Trade debtors</t>
  </si>
  <si>
    <t>Other debtors</t>
  </si>
  <si>
    <t>Prepayments and accrued income</t>
  </si>
  <si>
    <t>12.</t>
  </si>
  <si>
    <t>CREDITORS: Amounts falling</t>
  </si>
  <si>
    <t>Charity</t>
  </si>
  <si>
    <t>Trade creditors</t>
  </si>
  <si>
    <t>Other creditors including taxation and social security</t>
  </si>
  <si>
    <t>Grant commitments</t>
  </si>
  <si>
    <t>Accruals and deferred income</t>
  </si>
  <si>
    <t>13.</t>
  </si>
  <si>
    <t>At 18 January 2019</t>
  </si>
  <si>
    <t>Transfers/ gains/ (losses)</t>
  </si>
  <si>
    <t>At 31 March 2020</t>
  </si>
  <si>
    <t>General Funds</t>
  </si>
  <si>
    <t>Designated funds represents balance of transfers from Imperial College, and will be used for charitable of activities over the next three years.</t>
  </si>
  <si>
    <t>14.</t>
  </si>
  <si>
    <t>ANALYSIS OF FUND BALANCES BETWEEN NET ASSETS</t>
  </si>
  <si>
    <t>Net current assets</t>
  </si>
  <si>
    <t>15.</t>
  </si>
  <si>
    <t>CAPITAL COMMITMENTS</t>
  </si>
  <si>
    <t>Commitments for capital expenditure for which no provisions have been made in these financial statements were as follows:</t>
  </si>
  <si>
    <t>Authorised and contracted for</t>
  </si>
  <si>
    <t>16.</t>
  </si>
  <si>
    <t>OPERATING LEASE COMMITMENTS</t>
  </si>
  <si>
    <t>Land &amp; Buildings</t>
  </si>
  <si>
    <t>Leases which expire:</t>
  </si>
  <si>
    <t>Within one year</t>
  </si>
  <si>
    <t>In one to five years</t>
  </si>
  <si>
    <t>After five years</t>
  </si>
  <si>
    <t>17.</t>
  </si>
  <si>
    <t>MEMBERS' LIABILITY</t>
  </si>
  <si>
    <t xml:space="preserve"> In the event of the company being wound up, they will each have a liability of £1.</t>
  </si>
  <si>
    <t>18.</t>
  </si>
  <si>
    <t>PENSION COMMITMENTS</t>
  </si>
  <si>
    <t>Pension charge</t>
  </si>
  <si>
    <t>19.</t>
  </si>
  <si>
    <t>RECONCILIATION OF NET MOVEMENT IN FUNDS TO NET CASH INFLOW</t>
  </si>
  <si>
    <t>Net movement in funds</t>
  </si>
  <si>
    <t>Exchange rate loss</t>
  </si>
  <si>
    <t>Increase/ (Decrease) in creditors</t>
  </si>
  <si>
    <t>(Increase)/ Decrease in debtors</t>
  </si>
  <si>
    <t>Net Cash generated by operating activities</t>
  </si>
  <si>
    <t>20.</t>
  </si>
  <si>
    <t>RELATED PARTY TRANSACTIONS</t>
  </si>
  <si>
    <t>There were no related party transactions during the period.</t>
  </si>
  <si>
    <t>Year ended</t>
  </si>
  <si>
    <t>AT 31 MARCH 2021</t>
  </si>
  <si>
    <t>FOR THE YEAR ENDED 31 MARCH 2021</t>
  </si>
  <si>
    <t xml:space="preserve">Year ended </t>
  </si>
  <si>
    <t>At 31 March 2021</t>
  </si>
  <si>
    <t>BAY01</t>
  </si>
  <si>
    <t>Photocopier 15 qtly rentals @ £120 + VAT</t>
  </si>
  <si>
    <t>The Charity holds 100% of the £2 share capital of SCIF Services Limited, registered in England and Wales (company registration number 12190612). The company was dormant during the year and previous period.</t>
  </si>
  <si>
    <t>Exchange loss £84k, VAT recovered £8k</t>
  </si>
  <si>
    <t>Cashflow items</t>
  </si>
  <si>
    <t>Total exchange loss</t>
  </si>
  <si>
    <t>Exchange loss on USD bank balances</t>
  </si>
  <si>
    <t>There were five employees whose emoluments, excluding pension contributions and employer's national insurance, were in excess of £60,000 (2020: Nil).</t>
  </si>
  <si>
    <t>The total employee benefits of the key management personnel of the Foundation were £408,398 (2020: £245,048).</t>
  </si>
  <si>
    <t xml:space="preserve">  All Consulting and Logistics</t>
  </si>
  <si>
    <t>Niger</t>
  </si>
  <si>
    <t>Democratic Republic of Congo</t>
  </si>
  <si>
    <t xml:space="preserve">  United Front Against River Blindness</t>
  </si>
  <si>
    <t xml:space="preserve">  Ministère de la Santé Publique de la République
  Démocratique du Congo </t>
  </si>
  <si>
    <t xml:space="preserve">  Federal Ministry of Health of the Federal
  Democratic Republic of Ethiopia</t>
  </si>
  <si>
    <t xml:space="preserve">  Réseau International Schistosomoses
  Environment Aménagement et Lutte</t>
  </si>
  <si>
    <t xml:space="preserve">  Centre for Health, Agriculture, Development
  Research and Consulting</t>
  </si>
  <si>
    <t xml:space="preserve">  The Government of the Islamic Republic of
  Mauritania, Minister of Health, Programme
  National de Luttecontre les Schistosomiases et
  Geo-Helminthiases </t>
  </si>
  <si>
    <t xml:space="preserve">  Ministère de la Santé Publique de la République
  du Niger</t>
  </si>
  <si>
    <t xml:space="preserve">  Ministry of Public Health of the United Republic
  of Tanzania-Zanzibar</t>
  </si>
  <si>
    <t xml:space="preserve">  The Government of the Republic of Malawi,
  Ministry of Health and Population</t>
  </si>
  <si>
    <t xml:space="preserve">  Institut de Santé Publique du Niger</t>
  </si>
  <si>
    <t xml:space="preserve">  Programme National de Lutte contre les
  Maladies Tropicales Négligées à
  Chimiothérapie Préventive</t>
  </si>
  <si>
    <t xml:space="preserve">  Unité de Coordination des Programmes à
  Financements Extérieurs, Direction Générale de
  la Santé</t>
  </si>
  <si>
    <t>INC</t>
  </si>
  <si>
    <t>EXP</t>
  </si>
  <si>
    <t>NET</t>
  </si>
  <si>
    <t>RES</t>
  </si>
  <si>
    <t>INVESTMENTS</t>
  </si>
  <si>
    <t>Additions</t>
  </si>
  <si>
    <t xml:space="preserve">Unrealised proit/(loss) on revaluation </t>
  </si>
  <si>
    <t>Market value at 31 March 2020</t>
  </si>
  <si>
    <t>Market value at 31 March 2021</t>
  </si>
  <si>
    <t>Historical cost at 31 March 2021</t>
  </si>
  <si>
    <t>21.</t>
  </si>
  <si>
    <t>note: this includes employer NI  &amp;  Pensions</t>
  </si>
  <si>
    <t>Distributions</t>
  </si>
  <si>
    <t>FIXED ASSETS</t>
  </si>
  <si>
    <t>Income from listed investments</t>
  </si>
  <si>
    <t>Purchase of investments</t>
  </si>
  <si>
    <t>SCIF received £4,131,610 in general donations directly from individuals, trusts and corporations for the general charitable work of the charity (2020: £3,141,704). In addition, in the period ended 31 March 2020 £14.5 million was transferred as part of the establishment of the SCI Foundation from Imperial College London and a further £6.9m was received this year. These monies related to SCI Foundation activities under the Imperial College umbrella as explained in the Financial Review section of the Strategic Report.</t>
  </si>
  <si>
    <t>Hygieia Health Consulting (K Fanaguzzi)</t>
  </si>
  <si>
    <t>Rabia Gungor (Safeguarding)</t>
  </si>
  <si>
    <t>Good Conversations (Social Media)</t>
  </si>
  <si>
    <t>PS Financials support</t>
  </si>
  <si>
    <t>Stephen Lowe (GDPR)</t>
  </si>
  <si>
    <t>Blackbaud support</t>
  </si>
  <si>
    <t>By The Waves (fundraising)</t>
  </si>
  <si>
    <t>Axtive SARL (photography)</t>
  </si>
  <si>
    <t>Lucent Content (glossy annual report design)</t>
  </si>
  <si>
    <t>Kiem Tang Ltd (Newsletter Design)</t>
  </si>
  <si>
    <t>Prof Andy Tatham</t>
  </si>
  <si>
    <t>Haysmacintyre (webinar accepting donations)</t>
  </si>
  <si>
    <t>Disclosure Services Limited</t>
  </si>
  <si>
    <t>Check balances</t>
  </si>
  <si>
    <t>Translations - programme related</t>
  </si>
  <si>
    <t>Data protection fee</t>
  </si>
  <si>
    <t>VAT Recovered</t>
  </si>
  <si>
    <t>Working from home costs</t>
  </si>
  <si>
    <t>Gifts to trustees</t>
  </si>
  <si>
    <t>Other Support</t>
  </si>
  <si>
    <t>Total Delivey Cost</t>
  </si>
  <si>
    <t>Variance from Budget</t>
  </si>
  <si>
    <t>-</t>
  </si>
  <si>
    <t>As at
 31-Mar-21</t>
  </si>
  <si>
    <t>Actuals for Year - Analysis by Funding Source</t>
  </si>
  <si>
    <t>Funds Movements For the Year to 31 March 2021</t>
  </si>
  <si>
    <r>
      <t>Transfer between funds</t>
    </r>
    <r>
      <rPr>
        <vertAlign val="superscript"/>
        <sz val="10"/>
        <color theme="1"/>
        <rFont val="Arial"/>
        <family val="2"/>
      </rPr>
      <t>2</t>
    </r>
  </si>
  <si>
    <t>Opening balance</t>
  </si>
  <si>
    <t>Balance carried forward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</si>
</sst>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00_-;\-&quot;£&quot;* #,##0.00_-;_-&quot;£&quot;* &quot;-&quot;??_-;_-@_-"/>
    <numFmt numFmtId="165" formatCode="_-* #,##0.00_-;\-* #,##0.00_-;_-* &quot;-&quot;??_-;_-@_-"/>
    <numFmt numFmtId="166" formatCode="#,##0;\-#,##0;\-"/>
    <numFmt numFmtId="167" formatCode="&quot;£&quot;#,##0"/>
    <numFmt numFmtId="168" formatCode="_-* #,##0_-;\-* #,##0_-;_-* &quot;-&quot;??_-;_-@_-"/>
    <numFmt numFmtId="169" formatCode="#,##0.000"/>
    <numFmt numFmtId="170" formatCode="#,##0_ ;\-#,##0\ "/>
    <numFmt numFmtId="171" formatCode="&quot;£&quot;#,##0;\-&quot;£&quot;#,##0;\-"/>
    <numFmt numFmtId="172" formatCode="#,##0_);\(#,##0\);\-_)"/>
    <numFmt numFmtId="173" formatCode="#,##0.00;\-#,##0.00;\-"/>
    <numFmt numFmtId="174" formatCode="#,###;\(#,###\);&quot;-&quot;"/>
    <numFmt numFmtId="175" formatCode="#,##0.000000000000000"/>
    <numFmt numFmtId="176" formatCode="#,##0.0;\-#,##0.0;\-"/>
    <numFmt numFmtId="177" formatCode="#,###.00;\(#,###.00\);&quot;-&quot;"/>
    <numFmt numFmtId="178" formatCode="#,###.0;\(#,###.0\);&quot;-&quot;"/>
    <numFmt numFmtId="179" formatCode="#,###.00000;\(#,###.00000\);&quot;-&quot;"/>
    <numFmt numFmtId="180" formatCode="#,##0_ ;\(#,##0\)"/>
  </numFmts>
  <fonts count="57" x14ac:knownFonts="1">
    <font>
      <sz val="11"/>
      <color theme="1"/>
      <name val="Calibri"/>
      <family val="2"/>
      <scheme val="minor"/>
    </font>
    <font>
      <u/>
      <sz val="11"/>
      <color theme="1"/>
      <name val="Calibri"/>
      <family val="2"/>
      <scheme val="minor"/>
    </font>
    <font>
      <b/>
      <sz val="11"/>
      <color theme="1"/>
      <name val="Calibri"/>
      <family val="2"/>
      <scheme val="minor"/>
    </font>
    <font>
      <b/>
      <sz val="14"/>
      <color theme="1"/>
      <name val="Calibri"/>
      <family val="2"/>
      <scheme val="minor"/>
    </font>
    <font>
      <sz val="8"/>
      <color rgb="FF00B0F0"/>
      <name val="Calibri"/>
      <family val="2"/>
      <scheme val="minor"/>
    </font>
    <font>
      <sz val="11"/>
      <color theme="1"/>
      <name val="Calibri"/>
      <family val="2"/>
      <scheme val="minor"/>
    </font>
    <font>
      <sz val="10"/>
      <color theme="1"/>
      <name val="Arial"/>
      <family val="2"/>
    </font>
    <font>
      <b/>
      <sz val="10"/>
      <color theme="1"/>
      <name val="Arial"/>
      <family val="2"/>
    </font>
    <font>
      <sz val="9"/>
      <color theme="1"/>
      <name val="Arial"/>
      <family val="2"/>
    </font>
    <font>
      <b/>
      <sz val="10"/>
      <color theme="0"/>
      <name val="Arial"/>
      <family val="2"/>
    </font>
    <font>
      <b/>
      <sz val="10"/>
      <name val="Arial"/>
      <family val="2"/>
    </font>
    <font>
      <sz val="10"/>
      <name val="Arial"/>
      <family val="2"/>
    </font>
    <font>
      <b/>
      <sz val="9"/>
      <color indexed="81"/>
      <name val="Tahoma"/>
      <family val="2"/>
    </font>
    <font>
      <sz val="9"/>
      <color indexed="81"/>
      <name val="Tahoma"/>
      <family val="2"/>
    </font>
    <font>
      <sz val="10"/>
      <color theme="0"/>
      <name val="Arial"/>
      <family val="2"/>
    </font>
    <font>
      <b/>
      <i/>
      <sz val="10"/>
      <color theme="1"/>
      <name val="Arial"/>
      <family val="2"/>
    </font>
    <font>
      <sz val="10"/>
      <color rgb="FF00B0F0"/>
      <name val="Arial"/>
      <family val="2"/>
    </font>
    <font>
      <sz val="11"/>
      <color theme="1"/>
      <name val="Arial"/>
      <family val="2"/>
    </font>
    <font>
      <b/>
      <sz val="10"/>
      <color rgb="FF003B70"/>
      <name val="Arial"/>
      <family val="2"/>
    </font>
    <font>
      <i/>
      <sz val="10"/>
      <color theme="1"/>
      <name val="Arial"/>
      <family val="2"/>
    </font>
    <font>
      <b/>
      <sz val="11"/>
      <color rgb="FF003B70"/>
      <name val="Arial"/>
      <family val="2"/>
    </font>
    <font>
      <sz val="10"/>
      <color rgb="FFFF0000"/>
      <name val="Arial"/>
      <family val="2"/>
    </font>
    <font>
      <sz val="12"/>
      <color theme="1"/>
      <name val="Arial"/>
      <family val="2"/>
    </font>
    <font>
      <b/>
      <sz val="12"/>
      <color theme="1"/>
      <name val="Arial"/>
      <family val="2"/>
    </font>
    <font>
      <sz val="11"/>
      <color rgb="FF0070C0"/>
      <name val="Calibri"/>
      <family val="2"/>
      <scheme val="minor"/>
    </font>
    <font>
      <i/>
      <sz val="11"/>
      <color theme="1"/>
      <name val="Calibri"/>
      <family val="2"/>
      <scheme val="minor"/>
    </font>
    <font>
      <sz val="11"/>
      <color indexed="8"/>
      <name val="Calibri"/>
      <family val="2"/>
    </font>
    <font>
      <sz val="10"/>
      <color indexed="9"/>
      <name val="Arial"/>
      <family val="2"/>
    </font>
    <font>
      <b/>
      <sz val="10"/>
      <color indexed="9"/>
      <name val="Arial"/>
      <family val="2"/>
    </font>
    <font>
      <sz val="10"/>
      <color indexed="8"/>
      <name val="Arial"/>
      <family val="2"/>
    </font>
    <font>
      <b/>
      <sz val="10"/>
      <color indexed="8"/>
      <name val="Arial"/>
      <family val="2"/>
    </font>
    <font>
      <b/>
      <i/>
      <sz val="9"/>
      <color theme="1"/>
      <name val="Arial"/>
      <family val="2"/>
    </font>
    <font>
      <sz val="10"/>
      <color rgb="FF0070C0"/>
      <name val="Arial"/>
      <family val="2"/>
    </font>
    <font>
      <sz val="9"/>
      <color rgb="FF0070C0"/>
      <name val="Arial"/>
      <family val="2"/>
    </font>
    <font>
      <b/>
      <sz val="10"/>
      <color rgb="FFFF0000"/>
      <name val="Arial"/>
      <family val="2"/>
    </font>
    <font>
      <b/>
      <sz val="9"/>
      <color indexed="8"/>
      <name val="Calibri"/>
      <family val="2"/>
      <scheme val="minor"/>
    </font>
    <font>
      <sz val="9"/>
      <color indexed="8"/>
      <name val="Calibri"/>
      <family val="2"/>
      <scheme val="minor"/>
    </font>
    <font>
      <b/>
      <sz val="14"/>
      <name val="Calibri"/>
      <family val="2"/>
    </font>
    <font>
      <sz val="14"/>
      <name val="Calibri"/>
      <family val="2"/>
      <scheme val="minor"/>
    </font>
    <font>
      <sz val="10"/>
      <name val="Calibri"/>
      <family val="2"/>
      <scheme val="minor"/>
    </font>
    <font>
      <b/>
      <sz val="14"/>
      <name val="Calibri"/>
      <family val="2"/>
      <scheme val="minor"/>
    </font>
    <font>
      <b/>
      <sz val="12"/>
      <name val="Calibri"/>
      <family val="2"/>
      <scheme val="minor"/>
    </font>
    <font>
      <sz val="12"/>
      <name val="Calibri"/>
      <family val="2"/>
    </font>
    <font>
      <u/>
      <sz val="12"/>
      <name val="Calibri"/>
      <family val="2"/>
    </font>
    <font>
      <b/>
      <sz val="12"/>
      <name val="Calibri"/>
      <family val="2"/>
    </font>
    <font>
      <b/>
      <u/>
      <sz val="12"/>
      <name val="Calibri"/>
      <family val="2"/>
    </font>
    <font>
      <b/>
      <sz val="10"/>
      <name val="Calibri"/>
      <family val="2"/>
      <scheme val="minor"/>
    </font>
    <font>
      <b/>
      <sz val="10"/>
      <name val="Calibri"/>
      <family val="2"/>
    </font>
    <font>
      <sz val="10"/>
      <name val="Calibri"/>
      <family val="2"/>
    </font>
    <font>
      <b/>
      <sz val="11"/>
      <color rgb="FF0070C0"/>
      <name val="Calibri"/>
      <family val="2"/>
      <scheme val="minor"/>
    </font>
    <font>
      <sz val="9"/>
      <name val="Arial"/>
      <family val="2"/>
    </font>
    <font>
      <b/>
      <sz val="9"/>
      <color theme="1"/>
      <name val="Arial"/>
      <family val="2"/>
    </font>
    <font>
      <i/>
      <sz val="9"/>
      <color theme="1"/>
      <name val="Arial"/>
      <family val="2"/>
    </font>
    <font>
      <sz val="9"/>
      <color indexed="8"/>
      <name val="Arial"/>
      <family val="2"/>
    </font>
    <font>
      <sz val="9"/>
      <color rgb="FFFF0000"/>
      <name val="Arial"/>
      <family val="2"/>
    </font>
    <font>
      <b/>
      <sz val="9"/>
      <color indexed="8"/>
      <name val="Arial"/>
      <family val="2"/>
    </font>
    <font>
      <vertAlign val="superscript"/>
      <sz val="10"/>
      <color theme="1"/>
      <name val="Arial"/>
      <family val="2"/>
    </font>
  </fonts>
  <fills count="18">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theme="0"/>
        <bgColor indexed="64"/>
      </patternFill>
    </fill>
    <fill>
      <patternFill patternType="solid">
        <fgColor rgb="FF003B70"/>
        <bgColor indexed="64"/>
      </patternFill>
    </fill>
    <fill>
      <patternFill patternType="solid">
        <fgColor theme="4" tint="-0.499984740745262"/>
        <bgColor indexed="64"/>
      </patternFill>
    </fill>
    <fill>
      <patternFill patternType="solid">
        <fgColor rgb="FF1F4E78"/>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FF"/>
        <bgColor rgb="FFFFFFFF"/>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gray0625"/>
    </fill>
    <fill>
      <patternFill patternType="solid">
        <fgColor rgb="FFCCFFFF"/>
        <bgColor indexed="64"/>
      </patternFill>
    </fill>
    <fill>
      <patternFill patternType="solid">
        <fgColor theme="0" tint="-0.14999847407452621"/>
        <bgColor indexed="64"/>
      </patternFill>
    </fill>
    <fill>
      <patternFill patternType="solid">
        <fgColor rgb="FFCCFFCC"/>
        <bgColor indexed="64"/>
      </patternFill>
    </fill>
  </fills>
  <borders count="51">
    <border>
      <left/>
      <right/>
      <top/>
      <bottom/>
      <diagonal/>
    </border>
    <border>
      <left/>
      <right/>
      <top style="thin">
        <color auto="1"/>
      </top>
      <bottom style="thin">
        <color auto="1"/>
      </bottom>
      <diagonal/>
    </border>
    <border>
      <left/>
      <right/>
      <top/>
      <bottom style="thin">
        <color indexed="64"/>
      </bottom>
      <diagonal/>
    </border>
    <border>
      <left/>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medium">
        <color indexed="64"/>
      </top>
      <bottom style="medium">
        <color indexed="64"/>
      </bottom>
      <diagonal/>
    </border>
    <border>
      <left style="thin">
        <color auto="1"/>
      </left>
      <right/>
      <top/>
      <bottom style="medium">
        <color indexed="64"/>
      </bottom>
      <diagonal/>
    </border>
    <border>
      <left style="thin">
        <color auto="1"/>
      </left>
      <right style="thin">
        <color auto="1"/>
      </right>
      <top style="thin">
        <color rgb="FF000000"/>
      </top>
      <bottom style="thin">
        <color rgb="FF000000"/>
      </bottom>
      <diagonal/>
    </border>
    <border>
      <left/>
      <right/>
      <top style="thin">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rgb="FFF5F5F5"/>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right/>
      <top style="thin">
        <color indexed="64"/>
      </top>
      <bottom style="double">
        <color indexed="64"/>
      </bottom>
      <diagonal/>
    </border>
    <border>
      <left/>
      <right/>
      <top/>
      <bottom style="double">
        <color indexed="64"/>
      </bottom>
      <diagonal/>
    </border>
    <border>
      <left/>
      <right/>
      <top style="thin">
        <color auto="1"/>
      </top>
      <bottom style="double">
        <color auto="1"/>
      </bottom>
      <diagonal/>
    </border>
    <border>
      <left/>
      <right/>
      <top style="thin">
        <color auto="1"/>
      </top>
      <bottom/>
      <diagonal/>
    </border>
    <border>
      <left/>
      <right/>
      <top/>
      <bottom style="double">
        <color auto="1"/>
      </bottom>
      <diagonal/>
    </border>
  </borders>
  <cellStyleXfs count="7">
    <xf numFmtId="0" fontId="0"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11" fillId="0" borderId="0"/>
    <xf numFmtId="164" fontId="5" fillId="0" borderId="0" applyFont="0" applyFill="0" applyBorder="0" applyAlignment="0" applyProtection="0"/>
  </cellStyleXfs>
  <cellXfs count="515">
    <xf numFmtId="0" fontId="0" fillId="0" borderId="0" xfId="0"/>
    <xf numFmtId="0" fontId="0" fillId="0" borderId="0" xfId="0" applyAlignment="1">
      <alignment horizontal="left"/>
    </xf>
    <xf numFmtId="0" fontId="1" fillId="0" borderId="0" xfId="0" applyFont="1"/>
    <xf numFmtId="49" fontId="0" fillId="0" borderId="0" xfId="0" quotePrefix="1" applyNumberFormat="1" applyFont="1" applyAlignment="1">
      <alignment horizontal="left"/>
    </xf>
    <xf numFmtId="0" fontId="0" fillId="0" borderId="0" xfId="0" quotePrefix="1" applyNumberFormat="1" applyAlignment="1"/>
    <xf numFmtId="0" fontId="0" fillId="0" borderId="0" xfId="0" applyNumberFormat="1" applyAlignment="1"/>
    <xf numFmtId="0" fontId="0" fillId="0" borderId="0" xfId="0" quotePrefix="1" applyNumberFormat="1" applyFont="1" applyBorder="1" applyAlignment="1"/>
    <xf numFmtId="0" fontId="0" fillId="0" borderId="0" xfId="0" applyNumberFormat="1" applyFont="1" applyBorder="1" applyAlignment="1"/>
    <xf numFmtId="49" fontId="0" fillId="0" borderId="0" xfId="0" applyNumberFormat="1"/>
    <xf numFmtId="3" fontId="0" fillId="0" borderId="0" xfId="0" applyNumberFormat="1"/>
    <xf numFmtId="0" fontId="0" fillId="0" borderId="2" xfId="0" applyBorder="1"/>
    <xf numFmtId="3" fontId="0" fillId="0" borderId="1" xfId="0" applyNumberFormat="1" applyBorder="1"/>
    <xf numFmtId="0" fontId="3" fillId="0" borderId="0" xfId="0" applyFont="1"/>
    <xf numFmtId="0" fontId="0" fillId="0" borderId="0" xfId="0" applyAlignment="1">
      <alignment horizontal="right"/>
    </xf>
    <xf numFmtId="0" fontId="0" fillId="2" borderId="0" xfId="0" applyFill="1"/>
    <xf numFmtId="3" fontId="0" fillId="0" borderId="2" xfId="0" applyNumberFormat="1" applyBorder="1"/>
    <xf numFmtId="3" fontId="2" fillId="0" borderId="1" xfId="0" applyNumberFormat="1" applyFont="1" applyBorder="1"/>
    <xf numFmtId="0" fontId="0" fillId="2" borderId="0" xfId="0" applyFill="1" applyAlignment="1">
      <alignment horizontal="center" wrapText="1"/>
    </xf>
    <xf numFmtId="3" fontId="2" fillId="0" borderId="0" xfId="0" applyNumberFormat="1" applyFont="1"/>
    <xf numFmtId="3" fontId="0" fillId="0" borderId="0" xfId="0" applyNumberFormat="1" applyFont="1"/>
    <xf numFmtId="3" fontId="0" fillId="0" borderId="2" xfId="0" applyNumberFormat="1" applyFont="1" applyBorder="1"/>
    <xf numFmtId="49" fontId="2" fillId="2" borderId="0" xfId="0" quotePrefix="1" applyNumberFormat="1" applyFont="1" applyFill="1" applyAlignment="1">
      <alignment horizontal="left"/>
    </xf>
    <xf numFmtId="0" fontId="0" fillId="0" borderId="0" xfId="0" applyNumberFormat="1" applyAlignment="1">
      <alignment horizontal="center"/>
    </xf>
    <xf numFmtId="49" fontId="0" fillId="0" borderId="0" xfId="0" quotePrefix="1" applyNumberFormat="1" applyAlignment="1">
      <alignment horizontal="center"/>
    </xf>
    <xf numFmtId="0" fontId="0" fillId="2" borderId="0" xfId="0" applyNumberFormat="1" applyFill="1" applyAlignment="1">
      <alignment horizontal="center" wrapText="1"/>
    </xf>
    <xf numFmtId="49" fontId="0" fillId="2" borderId="0" xfId="0" quotePrefix="1" applyNumberFormat="1" applyFill="1" applyAlignment="1">
      <alignment horizontal="center" wrapText="1"/>
    </xf>
    <xf numFmtId="166" fontId="0" fillId="0" borderId="0" xfId="0" applyNumberFormat="1"/>
    <xf numFmtId="166" fontId="0" fillId="0" borderId="2" xfId="0" applyNumberFormat="1" applyBorder="1"/>
    <xf numFmtId="0" fontId="4" fillId="0" borderId="0" xfId="0" applyFont="1" applyAlignment="1">
      <alignment horizontal="center"/>
    </xf>
    <xf numFmtId="49" fontId="2" fillId="0" borderId="0" xfId="0" applyNumberFormat="1" applyFont="1"/>
    <xf numFmtId="0" fontId="2" fillId="0" borderId="0" xfId="0" applyFont="1"/>
    <xf numFmtId="3" fontId="0" fillId="3" borderId="0" xfId="0" applyNumberFormat="1" applyFont="1" applyFill="1" applyBorder="1"/>
    <xf numFmtId="166" fontId="0" fillId="0" borderId="0" xfId="0" applyNumberFormat="1" applyFill="1"/>
    <xf numFmtId="0" fontId="0" fillId="0" borderId="0" xfId="0" applyAlignment="1">
      <alignment horizontal="center"/>
    </xf>
    <xf numFmtId="0" fontId="0" fillId="0" borderId="2" xfId="0" applyBorder="1" applyAlignment="1">
      <alignment horizontal="center"/>
    </xf>
    <xf numFmtId="0" fontId="0" fillId="0" borderId="0" xfId="0" applyBorder="1" applyAlignment="1">
      <alignment horizontal="center"/>
    </xf>
    <xf numFmtId="166" fontId="0" fillId="0" borderId="3" xfId="0" applyNumberFormat="1" applyBorder="1"/>
    <xf numFmtId="166" fontId="0" fillId="0" borderId="0" xfId="0" applyNumberFormat="1" applyBorder="1"/>
    <xf numFmtId="166" fontId="0" fillId="0" borderId="1" xfId="0" applyNumberFormat="1" applyBorder="1"/>
    <xf numFmtId="166" fontId="0" fillId="0" borderId="0" xfId="0" quotePrefix="1" applyNumberFormat="1"/>
    <xf numFmtId="166" fontId="0" fillId="0" borderId="3" xfId="0" quotePrefix="1" applyNumberFormat="1" applyBorder="1"/>
    <xf numFmtId="3" fontId="2" fillId="0" borderId="3" xfId="0" applyNumberFormat="1" applyFont="1" applyBorder="1"/>
    <xf numFmtId="3" fontId="2" fillId="0" borderId="0" xfId="0" applyNumberFormat="1" applyFont="1" applyBorder="1"/>
    <xf numFmtId="166" fontId="0" fillId="0" borderId="0" xfId="0" quotePrefix="1" applyNumberFormat="1" applyBorder="1"/>
    <xf numFmtId="3" fontId="0" fillId="3" borderId="0" xfId="0" applyNumberFormat="1" applyFill="1"/>
    <xf numFmtId="0" fontId="6" fillId="4" borderId="0" xfId="0" applyFont="1" applyFill="1" applyAlignment="1">
      <alignment horizontal="centerContinuous"/>
    </xf>
    <xf numFmtId="3" fontId="6" fillId="4" borderId="0" xfId="0" applyNumberFormat="1" applyFont="1" applyFill="1" applyAlignment="1">
      <alignment horizontal="centerContinuous"/>
    </xf>
    <xf numFmtId="0" fontId="7" fillId="4" borderId="0" xfId="0" applyFont="1" applyFill="1"/>
    <xf numFmtId="3" fontId="6" fillId="4" borderId="0" xfId="0" applyNumberFormat="1" applyFont="1" applyFill="1"/>
    <xf numFmtId="0" fontId="6" fillId="4" borderId="0" xfId="0" applyFont="1" applyFill="1"/>
    <xf numFmtId="0" fontId="6" fillId="4" borderId="0" xfId="0" applyFont="1" applyFill="1" applyBorder="1"/>
    <xf numFmtId="0" fontId="6" fillId="0" borderId="0" xfId="0" applyFont="1"/>
    <xf numFmtId="167" fontId="9" fillId="5" borderId="10" xfId="0" applyNumberFormat="1" applyFont="1" applyFill="1" applyBorder="1" applyAlignment="1">
      <alignment horizontal="right" vertical="center"/>
    </xf>
    <xf numFmtId="0" fontId="6" fillId="4" borderId="0" xfId="0" applyFont="1" applyFill="1" applyAlignment="1">
      <alignment vertical="center"/>
    </xf>
    <xf numFmtId="167" fontId="9" fillId="5" borderId="11" xfId="0" applyNumberFormat="1" applyFont="1" applyFill="1" applyBorder="1" applyAlignment="1">
      <alignment horizontal="right" vertical="center"/>
    </xf>
    <xf numFmtId="0" fontId="6" fillId="0" borderId="0" xfId="0" applyFont="1" applyFill="1"/>
    <xf numFmtId="0" fontId="9" fillId="5" borderId="10" xfId="0" applyFont="1" applyFill="1" applyBorder="1" applyAlignment="1">
      <alignment vertical="center" wrapText="1"/>
    </xf>
    <xf numFmtId="9" fontId="9" fillId="5" borderId="10" xfId="0" applyNumberFormat="1" applyFont="1" applyFill="1" applyBorder="1" applyAlignment="1">
      <alignment horizontal="right" vertical="center"/>
    </xf>
    <xf numFmtId="0" fontId="9" fillId="5" borderId="4" xfId="0" applyFont="1" applyFill="1" applyBorder="1" applyAlignment="1">
      <alignment vertical="center" wrapText="1"/>
    </xf>
    <xf numFmtId="169" fontId="6" fillId="4" borderId="0" xfId="0" applyNumberFormat="1" applyFont="1" applyFill="1"/>
    <xf numFmtId="0" fontId="7" fillId="4" borderId="0" xfId="0" applyFont="1" applyFill="1" applyAlignment="1">
      <alignment horizontal="centerContinuous"/>
    </xf>
    <xf numFmtId="0" fontId="9" fillId="5" borderId="5" xfId="0" applyFont="1" applyFill="1" applyBorder="1" applyAlignment="1">
      <alignment vertical="center" wrapText="1"/>
    </xf>
    <xf numFmtId="0" fontId="6" fillId="4" borderId="0" xfId="0" applyFont="1" applyFill="1" applyAlignment="1">
      <alignment wrapText="1"/>
    </xf>
    <xf numFmtId="0" fontId="6" fillId="0" borderId="4" xfId="0" applyFont="1" applyBorder="1" applyAlignment="1">
      <alignment vertical="center" wrapText="1"/>
    </xf>
    <xf numFmtId="0" fontId="6" fillId="4" borderId="0" xfId="0" applyFont="1" applyFill="1" applyBorder="1" applyAlignment="1">
      <alignment wrapText="1"/>
    </xf>
    <xf numFmtId="0" fontId="0" fillId="2" borderId="0" xfId="0" applyFill="1" applyAlignment="1">
      <alignment horizontal="left"/>
    </xf>
    <xf numFmtId="3" fontId="0" fillId="0" borderId="0" xfId="0" applyNumberFormat="1" applyFont="1" applyFill="1"/>
    <xf numFmtId="3" fontId="0" fillId="2" borderId="0" xfId="0" applyNumberFormat="1" applyFont="1" applyFill="1"/>
    <xf numFmtId="3" fontId="2" fillId="2" borderId="1" xfId="0" applyNumberFormat="1" applyFont="1" applyFill="1" applyBorder="1"/>
    <xf numFmtId="3" fontId="2" fillId="0" borderId="0" xfId="0" applyNumberFormat="1" applyFont="1" applyFill="1"/>
    <xf numFmtId="0" fontId="6" fillId="0" borderId="0" xfId="0" applyFont="1" applyFill="1" applyBorder="1"/>
    <xf numFmtId="0" fontId="6" fillId="0" borderId="0" xfId="0" applyFont="1" applyFill="1" applyAlignment="1">
      <alignment wrapText="1"/>
    </xf>
    <xf numFmtId="49" fontId="0" fillId="0" borderId="0" xfId="0" quotePrefix="1" applyNumberFormat="1" applyAlignment="1"/>
    <xf numFmtId="49" fontId="2" fillId="0" borderId="0" xfId="0" quotePrefix="1" applyNumberFormat="1" applyFont="1" applyAlignment="1"/>
    <xf numFmtId="0" fontId="6" fillId="0" borderId="0" xfId="0" applyFont="1" applyAlignment="1">
      <alignment horizontal="centerContinuous"/>
    </xf>
    <xf numFmtId="166" fontId="0" fillId="0" borderId="1" xfId="0" quotePrefix="1" applyNumberFormat="1" applyBorder="1"/>
    <xf numFmtId="166" fontId="0" fillId="0" borderId="2" xfId="0" quotePrefix="1" applyNumberFormat="1" applyBorder="1"/>
    <xf numFmtId="0" fontId="6" fillId="0" borderId="0" xfId="0" applyFont="1" applyAlignment="1">
      <alignment horizontal="left"/>
    </xf>
    <xf numFmtId="0" fontId="16" fillId="0" borderId="0" xfId="0" applyFont="1" applyAlignment="1">
      <alignment horizontal="center"/>
    </xf>
    <xf numFmtId="0" fontId="14" fillId="4" borderId="0" xfId="0" applyFont="1" applyFill="1" applyBorder="1"/>
    <xf numFmtId="0" fontId="6" fillId="0" borderId="0" xfId="0" applyFont="1" applyFill="1" applyAlignment="1">
      <alignment horizontal="left"/>
    </xf>
    <xf numFmtId="166" fontId="6" fillId="0" borderId="4" xfId="0" quotePrefix="1" applyNumberFormat="1" applyFont="1" applyBorder="1" applyAlignment="1">
      <alignment vertical="center"/>
    </xf>
    <xf numFmtId="0" fontId="6" fillId="0" borderId="0" xfId="0" applyFont="1" applyAlignment="1">
      <alignment horizontal="left" vertical="center"/>
    </xf>
    <xf numFmtId="0" fontId="6" fillId="0" borderId="0" xfId="0" applyFont="1" applyFill="1" applyAlignment="1">
      <alignment horizontal="left" vertical="center"/>
    </xf>
    <xf numFmtId="3" fontId="6" fillId="0" borderId="0" xfId="0" applyNumberFormat="1" applyFont="1"/>
    <xf numFmtId="0" fontId="6" fillId="4" borderId="0" xfId="0" applyFont="1" applyFill="1" applyAlignment="1">
      <alignment horizontal="left"/>
    </xf>
    <xf numFmtId="0" fontId="14" fillId="4" borderId="0" xfId="0" applyFont="1" applyFill="1" applyBorder="1" applyAlignment="1">
      <alignment horizontal="centerContinuous"/>
    </xf>
    <xf numFmtId="0" fontId="17" fillId="4" borderId="0" xfId="0" applyFont="1" applyFill="1"/>
    <xf numFmtId="0" fontId="7" fillId="4" borderId="2" xfId="0" applyFont="1" applyFill="1" applyBorder="1" applyAlignment="1">
      <alignment horizontal="center"/>
    </xf>
    <xf numFmtId="0" fontId="6" fillId="4" borderId="2" xfId="0" applyFont="1" applyFill="1" applyBorder="1" applyAlignment="1">
      <alignment horizontal="centerContinuous" wrapText="1"/>
    </xf>
    <xf numFmtId="0" fontId="6" fillId="4" borderId="2" xfId="0" applyFont="1" applyFill="1" applyBorder="1" applyAlignment="1">
      <alignment horizontal="centerContinuous"/>
    </xf>
    <xf numFmtId="0" fontId="10" fillId="4" borderId="0" xfId="0" applyFont="1" applyFill="1" applyBorder="1" applyAlignment="1">
      <alignment horizontal="center" wrapText="1"/>
    </xf>
    <xf numFmtId="0" fontId="10" fillId="0" borderId="1" xfId="0" applyFont="1" applyFill="1" applyBorder="1"/>
    <xf numFmtId="1" fontId="6" fillId="4" borderId="0" xfId="0" applyNumberFormat="1" applyFont="1" applyFill="1" applyAlignment="1">
      <alignment horizontal="center" vertical="center"/>
    </xf>
    <xf numFmtId="0" fontId="9" fillId="6" borderId="1" xfId="0" applyFont="1" applyFill="1" applyBorder="1" applyAlignment="1">
      <alignment vertical="center"/>
    </xf>
    <xf numFmtId="0" fontId="6" fillId="4" borderId="0" xfId="0" applyFont="1" applyFill="1" applyAlignment="1">
      <alignment vertical="center" wrapText="1"/>
    </xf>
    <xf numFmtId="3" fontId="9" fillId="6" borderId="1" xfId="0" applyNumberFormat="1" applyFont="1" applyFill="1" applyBorder="1" applyAlignment="1">
      <alignment horizontal="left" vertical="center"/>
    </xf>
    <xf numFmtId="3" fontId="21" fillId="0" borderId="0" xfId="0" applyNumberFormat="1" applyFont="1" applyAlignment="1">
      <alignment horizontal="center" vertical="center"/>
    </xf>
    <xf numFmtId="0" fontId="9" fillId="6" borderId="3" xfId="0" applyFont="1" applyFill="1" applyBorder="1" applyAlignment="1">
      <alignment vertical="center"/>
    </xf>
    <xf numFmtId="167" fontId="7" fillId="4" borderId="0" xfId="0" applyNumberFormat="1" applyFont="1" applyFill="1" applyBorder="1"/>
    <xf numFmtId="0" fontId="10" fillId="4" borderId="0" xfId="0" applyFont="1" applyFill="1" applyBorder="1"/>
    <xf numFmtId="3" fontId="6" fillId="4" borderId="0" xfId="1" applyNumberFormat="1" applyFont="1" applyFill="1" applyBorder="1" applyAlignment="1">
      <alignment horizontal="right"/>
    </xf>
    <xf numFmtId="0" fontId="9" fillId="6" borderId="9" xfId="0" applyFont="1" applyFill="1" applyBorder="1" applyAlignment="1">
      <alignment vertical="center"/>
    </xf>
    <xf numFmtId="0" fontId="9" fillId="6" borderId="5" xfId="0" applyFont="1" applyFill="1" applyBorder="1" applyAlignment="1">
      <alignment vertical="center"/>
    </xf>
    <xf numFmtId="0" fontId="9" fillId="6" borderId="5" xfId="0" applyFont="1" applyFill="1" applyBorder="1" applyAlignment="1">
      <alignment vertical="center" wrapText="1"/>
    </xf>
    <xf numFmtId="0" fontId="14" fillId="4" borderId="3" xfId="0" applyFont="1" applyFill="1" applyBorder="1"/>
    <xf numFmtId="0" fontId="10" fillId="4" borderId="2" xfId="0" applyFont="1" applyFill="1" applyBorder="1"/>
    <xf numFmtId="167" fontId="7" fillId="4" borderId="2" xfId="0" applyNumberFormat="1" applyFont="1" applyFill="1" applyBorder="1"/>
    <xf numFmtId="3" fontId="6" fillId="4" borderId="15" xfId="1" applyNumberFormat="1" applyFont="1" applyFill="1" applyBorder="1" applyAlignment="1">
      <alignment horizontal="right"/>
    </xf>
    <xf numFmtId="0" fontId="15" fillId="0" borderId="0" xfId="0" applyFont="1"/>
    <xf numFmtId="0" fontId="15" fillId="4" borderId="0" xfId="0" applyFont="1" applyFill="1"/>
    <xf numFmtId="0" fontId="15" fillId="4" borderId="12" xfId="0" applyFont="1" applyFill="1" applyBorder="1" applyAlignment="1">
      <alignment wrapText="1"/>
    </xf>
    <xf numFmtId="170" fontId="6" fillId="0" borderId="0" xfId="0" applyNumberFormat="1" applyFont="1"/>
    <xf numFmtId="0" fontId="17" fillId="0" borderId="0" xfId="0" applyFont="1"/>
    <xf numFmtId="0" fontId="22" fillId="0" borderId="0" xfId="0" applyFont="1" applyAlignment="1">
      <alignment horizontal="centerContinuous"/>
    </xf>
    <xf numFmtId="0" fontId="23" fillId="4" borderId="0" xfId="0" applyFont="1" applyFill="1" applyAlignment="1">
      <alignment horizontal="centerContinuous"/>
    </xf>
    <xf numFmtId="0" fontId="17" fillId="4" borderId="0" xfId="0" applyFont="1" applyFill="1" applyAlignment="1">
      <alignment horizontal="centerContinuous"/>
    </xf>
    <xf numFmtId="0" fontId="9" fillId="6" borderId="0" xfId="0" applyFont="1" applyFill="1" applyBorder="1" applyAlignment="1">
      <alignment vertical="center" wrapText="1"/>
    </xf>
    <xf numFmtId="171" fontId="7" fillId="0" borderId="18" xfId="0" applyNumberFormat="1" applyFont="1" applyFill="1" applyBorder="1" applyAlignment="1">
      <alignment vertical="center"/>
    </xf>
    <xf numFmtId="0" fontId="17" fillId="0" borderId="0" xfId="0" applyFont="1" applyFill="1"/>
    <xf numFmtId="167" fontId="7" fillId="0" borderId="18" xfId="0" applyNumberFormat="1" applyFont="1" applyFill="1" applyBorder="1" applyAlignment="1">
      <alignment horizontal="right" vertical="center" wrapText="1"/>
    </xf>
    <xf numFmtId="0" fontId="9" fillId="5" borderId="19" xfId="0" applyFont="1" applyFill="1" applyBorder="1" applyAlignment="1">
      <alignment vertical="center" wrapText="1"/>
    </xf>
    <xf numFmtId="0" fontId="6" fillId="4" borderId="5" xfId="0" applyFont="1" applyFill="1" applyBorder="1" applyAlignment="1">
      <alignment vertical="center"/>
    </xf>
    <xf numFmtId="0" fontId="6" fillId="4" borderId="5" xfId="0" applyFont="1" applyFill="1" applyBorder="1" applyAlignment="1">
      <alignment vertical="center" wrapText="1"/>
    </xf>
    <xf numFmtId="0" fontId="6" fillId="0" borderId="4" xfId="0" applyFont="1" applyBorder="1" applyAlignment="1">
      <alignment vertical="center"/>
    </xf>
    <xf numFmtId="0" fontId="11" fillId="0" borderId="3" xfId="0" applyFont="1" applyFill="1" applyBorder="1" applyAlignment="1">
      <alignment horizontal="left" vertical="center"/>
    </xf>
    <xf numFmtId="0" fontId="11" fillId="0" borderId="2" xfId="0" applyFont="1" applyFill="1" applyBorder="1" applyAlignment="1">
      <alignment horizontal="left" vertical="center"/>
    </xf>
    <xf numFmtId="171" fontId="6" fillId="4" borderId="3" xfId="0" applyNumberFormat="1" applyFont="1" applyFill="1" applyBorder="1" applyAlignment="1">
      <alignment vertical="center"/>
    </xf>
    <xf numFmtId="171" fontId="7" fillId="4" borderId="3" xfId="0" applyNumberFormat="1" applyFont="1" applyFill="1" applyBorder="1" applyAlignment="1">
      <alignment vertical="center"/>
    </xf>
    <xf numFmtId="0" fontId="11" fillId="0" borderId="0" xfId="0" applyFont="1" applyFill="1" applyBorder="1" applyAlignment="1">
      <alignment horizontal="left" vertical="center"/>
    </xf>
    <xf numFmtId="9" fontId="6" fillId="10" borderId="20" xfId="1" applyNumberFormat="1" applyFont="1" applyFill="1" applyBorder="1" applyAlignment="1">
      <alignment horizontal="right" vertical="center"/>
    </xf>
    <xf numFmtId="9" fontId="6" fillId="10" borderId="18" xfId="1" applyNumberFormat="1" applyFont="1" applyFill="1" applyBorder="1" applyAlignment="1">
      <alignment horizontal="right" vertical="center"/>
    </xf>
    <xf numFmtId="0" fontId="8" fillId="0" borderId="0" xfId="0" applyFont="1"/>
    <xf numFmtId="0" fontId="8" fillId="0" borderId="0" xfId="0" applyFont="1" applyAlignment="1">
      <alignment horizontal="left" vertical="center"/>
    </xf>
    <xf numFmtId="0" fontId="25" fillId="0" borderId="0" xfId="0" applyFont="1" applyAlignment="1">
      <alignment horizontal="right"/>
    </xf>
    <xf numFmtId="166" fontId="24" fillId="0" borderId="0" xfId="0" applyNumberFormat="1" applyFont="1"/>
    <xf numFmtId="166" fontId="24" fillId="0" borderId="2" xfId="0" applyNumberFormat="1" applyFont="1" applyBorder="1"/>
    <xf numFmtId="0" fontId="0" fillId="14" borderId="0" xfId="0" applyFill="1"/>
    <xf numFmtId="0" fontId="0" fillId="0" borderId="0" xfId="0" applyAlignment="1">
      <alignment horizontal="centerContinuous"/>
    </xf>
    <xf numFmtId="0" fontId="0" fillId="0" borderId="0" xfId="0" quotePrefix="1" applyAlignment="1">
      <alignment horizontal="centerContinuous"/>
    </xf>
    <xf numFmtId="0" fontId="0" fillId="0" borderId="0" xfId="0" quotePrefix="1" applyAlignment="1">
      <alignment horizontal="left"/>
    </xf>
    <xf numFmtId="49" fontId="25" fillId="0" borderId="0" xfId="0" quotePrefix="1" applyNumberFormat="1" applyFont="1" applyFill="1" applyAlignment="1">
      <alignment horizontal="center" wrapText="1"/>
    </xf>
    <xf numFmtId="0" fontId="2" fillId="0" borderId="0" xfId="0" applyFont="1" applyAlignment="1">
      <alignment horizontal="centerContinuous"/>
    </xf>
    <xf numFmtId="3" fontId="0" fillId="0" borderId="21" xfId="0" applyNumberFormat="1" applyBorder="1"/>
    <xf numFmtId="3" fontId="26" fillId="0" borderId="0" xfId="0" applyNumberFormat="1" applyFont="1" applyFill="1" applyBorder="1" applyAlignment="1" applyProtection="1"/>
    <xf numFmtId="0" fontId="26" fillId="0" borderId="0" xfId="0" applyNumberFormat="1" applyFont="1" applyFill="1" applyBorder="1" applyAlignment="1" applyProtection="1">
      <alignment horizontal="center"/>
    </xf>
    <xf numFmtId="0" fontId="29" fillId="0" borderId="0" xfId="0" applyNumberFormat="1" applyFont="1" applyFill="1" applyBorder="1" applyAlignment="1" applyProtection="1">
      <alignment horizontal="left" vertical="center"/>
    </xf>
    <xf numFmtId="0" fontId="27" fillId="7" borderId="23" xfId="0" applyNumberFormat="1" applyFont="1" applyFill="1" applyBorder="1" applyAlignment="1" applyProtection="1">
      <alignment horizontal="left" vertical="center" wrapText="1"/>
    </xf>
    <xf numFmtId="0" fontId="27" fillId="7" borderId="26" xfId="0" applyNumberFormat="1" applyFont="1" applyFill="1" applyBorder="1" applyAlignment="1" applyProtection="1">
      <alignment horizontal="left" vertical="center" wrapText="1"/>
    </xf>
    <xf numFmtId="0" fontId="28" fillId="7" borderId="23" xfId="0" applyNumberFormat="1" applyFont="1" applyFill="1" applyBorder="1" applyAlignment="1" applyProtection="1">
      <alignment horizontal="left" vertical="center" wrapText="1"/>
    </xf>
    <xf numFmtId="3" fontId="9" fillId="7" borderId="6" xfId="0" applyNumberFormat="1" applyFont="1" applyFill="1" applyBorder="1" applyAlignment="1">
      <alignment horizontal="center" vertical="center" wrapText="1"/>
    </xf>
    <xf numFmtId="3" fontId="9" fillId="7" borderId="6" xfId="0" applyNumberFormat="1" applyFont="1" applyFill="1" applyBorder="1" applyAlignment="1">
      <alignment horizontal="left" vertical="center" wrapText="1"/>
    </xf>
    <xf numFmtId="0" fontId="9" fillId="7" borderId="6" xfId="0" applyFont="1" applyFill="1" applyBorder="1" applyAlignment="1">
      <alignment horizontal="center" vertical="center" wrapText="1"/>
    </xf>
    <xf numFmtId="171" fontId="7" fillId="12" borderId="22" xfId="0" applyNumberFormat="1" applyFont="1" applyFill="1" applyBorder="1" applyAlignment="1">
      <alignment vertical="center"/>
    </xf>
    <xf numFmtId="166" fontId="6" fillId="0" borderId="23" xfId="0" quotePrefix="1" applyNumberFormat="1" applyFont="1" applyBorder="1" applyAlignment="1">
      <alignment vertical="center"/>
    </xf>
    <xf numFmtId="166" fontId="7" fillId="12" borderId="23" xfId="0" quotePrefix="1" applyNumberFormat="1" applyFont="1" applyFill="1" applyBorder="1" applyAlignment="1">
      <alignment vertical="center"/>
    </xf>
    <xf numFmtId="0" fontId="28" fillId="7" borderId="23" xfId="0" applyNumberFormat="1" applyFont="1" applyFill="1" applyBorder="1" applyAlignment="1" applyProtection="1">
      <alignment horizontal="center" vertical="center" wrapText="1"/>
    </xf>
    <xf numFmtId="15" fontId="24" fillId="0" borderId="0" xfId="0" applyNumberFormat="1" applyFont="1" applyAlignment="1">
      <alignment horizontal="left"/>
    </xf>
    <xf numFmtId="1" fontId="0" fillId="0" borderId="0" xfId="0" applyNumberFormat="1" applyAlignment="1">
      <alignment horizontal="left"/>
    </xf>
    <xf numFmtId="0" fontId="29" fillId="0" borderId="0" xfId="0" applyNumberFormat="1" applyFont="1" applyFill="1" applyBorder="1" applyAlignment="1" applyProtection="1">
      <alignment vertical="center"/>
    </xf>
    <xf numFmtId="9" fontId="6" fillId="0" borderId="23" xfId="0" applyNumberFormat="1" applyFont="1" applyFill="1" applyBorder="1" applyAlignment="1">
      <alignment horizontal="center" vertical="center"/>
    </xf>
    <xf numFmtId="3" fontId="29" fillId="0" borderId="23" xfId="0" applyNumberFormat="1" applyFont="1" applyFill="1" applyBorder="1" applyAlignment="1" applyProtection="1">
      <alignment vertical="center"/>
    </xf>
    <xf numFmtId="3" fontId="29" fillId="0" borderId="26" xfId="0" applyNumberFormat="1" applyFont="1" applyFill="1" applyBorder="1" applyAlignment="1" applyProtection="1">
      <alignment vertical="center"/>
    </xf>
    <xf numFmtId="166" fontId="6" fillId="0" borderId="23" xfId="0" quotePrefix="1" applyNumberFormat="1" applyFont="1" applyFill="1" applyBorder="1" applyAlignment="1">
      <alignment vertical="center"/>
    </xf>
    <xf numFmtId="166" fontId="6" fillId="15" borderId="23" xfId="0" quotePrefix="1" applyNumberFormat="1" applyFont="1" applyFill="1" applyBorder="1" applyAlignment="1">
      <alignment vertical="center"/>
    </xf>
    <xf numFmtId="0" fontId="29" fillId="4" borderId="0" xfId="0" applyNumberFormat="1" applyFont="1" applyFill="1" applyBorder="1" applyAlignment="1" applyProtection="1"/>
    <xf numFmtId="3" fontId="29" fillId="4" borderId="0" xfId="0" applyNumberFormat="1" applyFont="1" applyFill="1" applyBorder="1" applyAlignment="1" applyProtection="1"/>
    <xf numFmtId="171" fontId="6" fillId="4" borderId="0" xfId="0" applyNumberFormat="1" applyFont="1" applyFill="1"/>
    <xf numFmtId="0" fontId="6" fillId="4" borderId="0" xfId="0" applyFont="1" applyFill="1" applyAlignment="1">
      <alignment horizontal="center"/>
    </xf>
    <xf numFmtId="0" fontId="9" fillId="6" borderId="23" xfId="0" applyFont="1" applyFill="1" applyBorder="1" applyAlignment="1">
      <alignment vertical="center"/>
    </xf>
    <xf numFmtId="0" fontId="9" fillId="7" borderId="23" xfId="0" applyFont="1" applyFill="1" applyBorder="1" applyAlignment="1">
      <alignment vertical="center"/>
    </xf>
    <xf numFmtId="0" fontId="9" fillId="6" borderId="23" xfId="0" applyFont="1" applyFill="1" applyBorder="1" applyAlignment="1">
      <alignment vertical="center" wrapText="1"/>
    </xf>
    <xf numFmtId="167" fontId="6" fillId="0" borderId="1" xfId="0" applyNumberFormat="1" applyFont="1" applyFill="1" applyBorder="1" applyAlignment="1">
      <alignment horizontal="center"/>
    </xf>
    <xf numFmtId="166" fontId="6" fillId="12" borderId="23" xfId="0" quotePrefix="1" applyNumberFormat="1" applyFont="1" applyFill="1" applyBorder="1" applyAlignment="1">
      <alignment vertical="center"/>
    </xf>
    <xf numFmtId="0" fontId="7" fillId="8" borderId="23" xfId="0" applyFont="1" applyFill="1" applyBorder="1" applyAlignment="1">
      <alignment horizontal="center" vertical="center" wrapText="1"/>
    </xf>
    <xf numFmtId="3" fontId="6" fillId="10" borderId="16" xfId="1" applyNumberFormat="1" applyFont="1" applyFill="1" applyBorder="1" applyAlignment="1">
      <alignment horizontal="center"/>
    </xf>
    <xf numFmtId="0" fontId="17" fillId="4" borderId="0" xfId="0" applyFont="1" applyFill="1" applyAlignment="1">
      <alignment vertical="center"/>
    </xf>
    <xf numFmtId="0" fontId="7" fillId="8" borderId="6" xfId="0" applyFont="1" applyFill="1" applyBorder="1" applyAlignment="1">
      <alignment horizontal="center" vertical="center" wrapText="1"/>
    </xf>
    <xf numFmtId="0" fontId="10" fillId="9" borderId="23" xfId="0" applyNumberFormat="1" applyFont="1" applyFill="1" applyBorder="1" applyAlignment="1" applyProtection="1">
      <alignment horizontal="center" vertical="center" wrapText="1"/>
    </xf>
    <xf numFmtId="167" fontId="6" fillId="0" borderId="25" xfId="0" applyNumberFormat="1" applyFont="1" applyFill="1" applyBorder="1" applyAlignment="1">
      <alignment horizontal="center"/>
    </xf>
    <xf numFmtId="3" fontId="6" fillId="10" borderId="17" xfId="1" applyNumberFormat="1" applyFont="1" applyFill="1" applyBorder="1" applyAlignment="1">
      <alignment horizontal="right" vertical="center"/>
    </xf>
    <xf numFmtId="171" fontId="7" fillId="11" borderId="18" xfId="0" applyNumberFormat="1" applyFont="1" applyFill="1" applyBorder="1" applyAlignment="1">
      <alignment vertical="center"/>
    </xf>
    <xf numFmtId="9" fontId="7" fillId="15" borderId="22" xfId="0" applyNumberFormat="1" applyFont="1" applyFill="1" applyBorder="1" applyAlignment="1">
      <alignment horizontal="center" vertical="center"/>
    </xf>
    <xf numFmtId="170" fontId="6" fillId="4" borderId="0" xfId="0" applyNumberFormat="1" applyFont="1" applyFill="1"/>
    <xf numFmtId="171" fontId="7" fillId="4" borderId="0" xfId="0" applyNumberFormat="1" applyFont="1" applyFill="1" applyBorder="1" applyAlignment="1">
      <alignment vertical="center"/>
    </xf>
    <xf numFmtId="0" fontId="7" fillId="4" borderId="0" xfId="0" applyFont="1" applyFill="1" applyBorder="1" applyAlignment="1">
      <alignment horizontal="center" vertical="center" wrapText="1"/>
    </xf>
    <xf numFmtId="167" fontId="6" fillId="4" borderId="0" xfId="0" applyNumberFormat="1" applyFont="1" applyFill="1" applyBorder="1" applyAlignment="1">
      <alignment horizontal="center"/>
    </xf>
    <xf numFmtId="166" fontId="7" fillId="4" borderId="13" xfId="0" quotePrefix="1" applyNumberFormat="1" applyFont="1" applyFill="1" applyBorder="1" applyAlignment="1">
      <alignment vertical="center"/>
    </xf>
    <xf numFmtId="0" fontId="8" fillId="0" borderId="0" xfId="0" applyFont="1" applyFill="1" applyAlignment="1">
      <alignment horizontal="left" vertical="center"/>
    </xf>
    <xf numFmtId="0" fontId="8" fillId="4" borderId="0" xfId="0" applyFont="1" applyFill="1"/>
    <xf numFmtId="0" fontId="31" fillId="0" borderId="0" xfId="0" applyFont="1"/>
    <xf numFmtId="0" fontId="9" fillId="7" borderId="7" xfId="0" applyFont="1" applyFill="1" applyBorder="1" applyAlignment="1">
      <alignment horizontal="center" wrapText="1"/>
    </xf>
    <xf numFmtId="3" fontId="9" fillId="7" borderId="6" xfId="0" applyNumberFormat="1" applyFont="1" applyFill="1" applyBorder="1" applyAlignment="1">
      <alignment horizontal="center" vertical="center" wrapText="1"/>
    </xf>
    <xf numFmtId="0" fontId="6" fillId="16" borderId="14" xfId="0" applyFont="1" applyFill="1" applyBorder="1"/>
    <xf numFmtId="0" fontId="6" fillId="0" borderId="0" xfId="0" applyFont="1" applyBorder="1"/>
    <xf numFmtId="0" fontId="30" fillId="4" borderId="28" xfId="0" applyNumberFormat="1" applyFont="1" applyFill="1" applyBorder="1" applyAlignment="1" applyProtection="1">
      <alignment vertical="center" wrapText="1" readingOrder="1"/>
    </xf>
    <xf numFmtId="3" fontId="29" fillId="4" borderId="0" xfId="0" applyNumberFormat="1" applyFont="1" applyFill="1" applyBorder="1" applyAlignment="1" applyProtection="1">
      <alignment horizontal="center" vertical="center"/>
    </xf>
    <xf numFmtId="166" fontId="19" fillId="0" borderId="0" xfId="0" applyNumberFormat="1" applyFont="1" applyFill="1" applyBorder="1"/>
    <xf numFmtId="3" fontId="17" fillId="0" borderId="0" xfId="0" applyNumberFormat="1" applyFont="1"/>
    <xf numFmtId="0" fontId="17" fillId="0" borderId="0" xfId="0" applyFont="1" applyBorder="1"/>
    <xf numFmtId="0" fontId="6" fillId="0" borderId="0" xfId="0" applyNumberFormat="1" applyFont="1" applyAlignment="1"/>
    <xf numFmtId="167" fontId="6" fillId="4" borderId="0" xfId="0" applyNumberFormat="1" applyFont="1" applyFill="1"/>
    <xf numFmtId="0" fontId="0" fillId="0" borderId="0" xfId="0" quotePrefix="1"/>
    <xf numFmtId="3" fontId="24" fillId="0" borderId="0" xfId="0" applyNumberFormat="1" applyFont="1"/>
    <xf numFmtId="0" fontId="24" fillId="0" borderId="0" xfId="0" applyFont="1" applyAlignment="1">
      <alignment horizontal="right"/>
    </xf>
    <xf numFmtId="0" fontId="6" fillId="0" borderId="23" xfId="0" applyFont="1" applyFill="1" applyBorder="1" applyAlignment="1">
      <alignment vertical="center"/>
    </xf>
    <xf numFmtId="0" fontId="6" fillId="0" borderId="0" xfId="0" applyFont="1" applyFill="1" applyBorder="1" applyAlignment="1">
      <alignment vertical="center"/>
    </xf>
    <xf numFmtId="0" fontId="6" fillId="4" borderId="0" xfId="0" applyFont="1" applyFill="1" applyBorder="1" applyAlignment="1">
      <alignment vertical="center"/>
    </xf>
    <xf numFmtId="0" fontId="6" fillId="0" borderId="23" xfId="0" applyFont="1" applyFill="1" applyBorder="1" applyAlignment="1">
      <alignment vertical="center" wrapText="1"/>
    </xf>
    <xf numFmtId="166" fontId="6" fillId="4" borderId="3" xfId="0" quotePrefix="1" applyNumberFormat="1" applyFont="1" applyFill="1" applyBorder="1" applyAlignment="1">
      <alignment vertical="center"/>
    </xf>
    <xf numFmtId="166" fontId="6" fillId="11" borderId="23" xfId="0" quotePrefix="1" applyNumberFormat="1" applyFont="1" applyFill="1" applyBorder="1" applyAlignment="1">
      <alignment vertical="center"/>
    </xf>
    <xf numFmtId="3" fontId="29" fillId="0" borderId="29" xfId="0" applyNumberFormat="1" applyFont="1" applyFill="1" applyBorder="1" applyAlignment="1" applyProtection="1">
      <alignment vertical="center"/>
    </xf>
    <xf numFmtId="0" fontId="6" fillId="0" borderId="29" xfId="0" applyFont="1" applyBorder="1" applyAlignment="1">
      <alignment vertical="center"/>
    </xf>
    <xf numFmtId="166" fontId="6" fillId="0" borderId="29" xfId="0" quotePrefix="1" applyNumberFormat="1" applyFont="1" applyBorder="1" applyAlignment="1">
      <alignment vertical="center"/>
    </xf>
    <xf numFmtId="9" fontId="6" fillId="0" borderId="23" xfId="0" applyNumberFormat="1" applyFont="1" applyFill="1" applyBorder="1" applyAlignment="1">
      <alignment vertical="center" wrapText="1"/>
    </xf>
    <xf numFmtId="9" fontId="6" fillId="0" borderId="0" xfId="0" applyNumberFormat="1" applyFont="1" applyFill="1" applyBorder="1" applyAlignment="1">
      <alignment horizontal="center" vertical="center"/>
    </xf>
    <xf numFmtId="0" fontId="30" fillId="4" borderId="31" xfId="0" applyNumberFormat="1" applyFont="1" applyFill="1" applyBorder="1" applyAlignment="1" applyProtection="1">
      <alignment vertical="center" wrapText="1" readingOrder="1"/>
    </xf>
    <xf numFmtId="3" fontId="29" fillId="4" borderId="31" xfId="0" applyNumberFormat="1" applyFont="1" applyFill="1" applyBorder="1" applyAlignment="1" applyProtection="1">
      <alignment vertical="center"/>
    </xf>
    <xf numFmtId="0" fontId="6" fillId="4" borderId="31" xfId="0" applyFont="1" applyFill="1" applyBorder="1"/>
    <xf numFmtId="0" fontId="30" fillId="4" borderId="30" xfId="0" applyNumberFormat="1" applyFont="1" applyFill="1" applyBorder="1" applyAlignment="1" applyProtection="1">
      <alignment vertical="center" wrapText="1" readingOrder="1"/>
    </xf>
    <xf numFmtId="3" fontId="29" fillId="4" borderId="30" xfId="0" applyNumberFormat="1" applyFont="1" applyFill="1" applyBorder="1" applyAlignment="1" applyProtection="1">
      <alignment vertical="center"/>
    </xf>
    <xf numFmtId="0" fontId="6" fillId="4" borderId="30" xfId="0" applyFont="1" applyFill="1" applyBorder="1"/>
    <xf numFmtId="0" fontId="30" fillId="4" borderId="0" xfId="0" applyNumberFormat="1" applyFont="1" applyFill="1" applyBorder="1" applyAlignment="1" applyProtection="1">
      <alignment vertical="center" wrapText="1" readingOrder="1"/>
    </xf>
    <xf numFmtId="3" fontId="29" fillId="4" borderId="0" xfId="0" applyNumberFormat="1" applyFont="1" applyFill="1" applyBorder="1" applyAlignment="1" applyProtection="1">
      <alignment vertical="center"/>
    </xf>
    <xf numFmtId="166" fontId="6" fillId="15" borderId="29" xfId="0" quotePrefix="1" applyNumberFormat="1" applyFont="1" applyFill="1" applyBorder="1" applyAlignment="1">
      <alignment vertical="center"/>
    </xf>
    <xf numFmtId="0" fontId="10" fillId="9" borderId="29" xfId="0" applyNumberFormat="1" applyFont="1" applyFill="1" applyBorder="1" applyAlignment="1" applyProtection="1">
      <alignment horizontal="center" vertical="center" wrapText="1"/>
    </xf>
    <xf numFmtId="9" fontId="6" fillId="0" borderId="23" xfId="0" quotePrefix="1" applyNumberFormat="1" applyFont="1" applyBorder="1" applyAlignment="1">
      <alignment horizontal="center" vertical="center"/>
    </xf>
    <xf numFmtId="0" fontId="0" fillId="0" borderId="0" xfId="0" applyFill="1"/>
    <xf numFmtId="0" fontId="16" fillId="0" borderId="0" xfId="0" applyFont="1" applyFill="1" applyAlignment="1">
      <alignment horizontal="center"/>
    </xf>
    <xf numFmtId="9" fontId="34" fillId="4" borderId="0" xfId="4" applyFont="1" applyFill="1" applyBorder="1"/>
    <xf numFmtId="0" fontId="28" fillId="7" borderId="32" xfId="0" applyNumberFormat="1" applyFont="1" applyFill="1" applyBorder="1" applyAlignment="1" applyProtection="1">
      <alignment horizontal="center" vertical="center" wrapText="1"/>
    </xf>
    <xf numFmtId="167" fontId="7" fillId="0" borderId="0" xfId="0" applyNumberFormat="1" applyFont="1" applyFill="1" applyBorder="1"/>
    <xf numFmtId="166" fontId="28" fillId="5" borderId="34" xfId="0" applyNumberFormat="1" applyFont="1" applyFill="1" applyBorder="1" applyAlignment="1" applyProtection="1">
      <alignment horizontal="right" vertical="center"/>
    </xf>
    <xf numFmtId="172" fontId="37" fillId="0" borderId="0" xfId="5" applyNumberFormat="1" applyFont="1"/>
    <xf numFmtId="172" fontId="38" fillId="0" borderId="0" xfId="5" applyNumberFormat="1" applyFont="1"/>
    <xf numFmtId="172" fontId="39" fillId="0" borderId="0" xfId="5" applyNumberFormat="1" applyFont="1"/>
    <xf numFmtId="3" fontId="39" fillId="0" borderId="0" xfId="5" applyNumberFormat="1" applyFont="1"/>
    <xf numFmtId="17" fontId="0" fillId="0" borderId="0" xfId="0" applyNumberFormat="1"/>
    <xf numFmtId="172" fontId="40" fillId="0" borderId="0" xfId="5" applyNumberFormat="1" applyFont="1"/>
    <xf numFmtId="172" fontId="39" fillId="0" borderId="0" xfId="5" applyNumberFormat="1" applyFont="1" applyAlignment="1">
      <alignment horizontal="right"/>
    </xf>
    <xf numFmtId="172" fontId="39" fillId="16" borderId="7" xfId="5" applyNumberFormat="1" applyFont="1" applyFill="1" applyBorder="1"/>
    <xf numFmtId="172" fontId="39" fillId="16" borderId="27" xfId="5" quotePrefix="1" applyNumberFormat="1" applyFont="1" applyFill="1" applyBorder="1" applyAlignment="1">
      <alignment horizontal="center"/>
    </xf>
    <xf numFmtId="172" fontId="46" fillId="16" borderId="33" xfId="5" applyNumberFormat="1" applyFont="1" applyFill="1" applyBorder="1" applyAlignment="1">
      <alignment horizontal="center"/>
    </xf>
    <xf numFmtId="172" fontId="39" fillId="16" borderId="13" xfId="5" applyNumberFormat="1" applyFont="1" applyFill="1" applyBorder="1"/>
    <xf numFmtId="172" fontId="39" fillId="16" borderId="13" xfId="5" applyNumberFormat="1" applyFont="1" applyFill="1" applyBorder="1" applyAlignment="1">
      <alignment horizontal="center"/>
    </xf>
    <xf numFmtId="172" fontId="39" fillId="16" borderId="0" xfId="5" applyNumberFormat="1" applyFont="1" applyFill="1" applyAlignment="1">
      <alignment horizontal="center"/>
    </xf>
    <xf numFmtId="172" fontId="39" fillId="16" borderId="14" xfId="5" applyNumberFormat="1" applyFont="1" applyFill="1" applyBorder="1" applyAlignment="1">
      <alignment horizontal="center"/>
    </xf>
    <xf numFmtId="172" fontId="39" fillId="0" borderId="0" xfId="5" applyNumberFormat="1" applyFont="1" applyAlignment="1">
      <alignment horizontal="center"/>
    </xf>
    <xf numFmtId="172" fontId="39" fillId="16" borderId="42" xfId="5" applyNumberFormat="1" applyFont="1" applyFill="1" applyBorder="1" applyAlignment="1">
      <alignment horizontal="center"/>
    </xf>
    <xf numFmtId="172" fontId="46" fillId="16" borderId="37" xfId="5" applyNumberFormat="1" applyFont="1" applyFill="1" applyBorder="1" applyAlignment="1">
      <alignment horizontal="center"/>
    </xf>
    <xf numFmtId="172" fontId="46" fillId="16" borderId="13" xfId="5" applyNumberFormat="1" applyFont="1" applyFill="1" applyBorder="1" applyAlignment="1">
      <alignment horizontal="center"/>
    </xf>
    <xf numFmtId="172" fontId="39" fillId="16" borderId="37" xfId="5" applyNumberFormat="1" applyFont="1" applyFill="1" applyBorder="1" applyAlignment="1">
      <alignment horizontal="center"/>
    </xf>
    <xf numFmtId="3" fontId="39" fillId="16" borderId="7" xfId="5" applyNumberFormat="1" applyFont="1" applyFill="1" applyBorder="1" applyAlignment="1">
      <alignment horizontal="center"/>
    </xf>
    <xf numFmtId="3" fontId="39" fillId="16" borderId="36" xfId="5" applyNumberFormat="1" applyFont="1" applyFill="1" applyBorder="1" applyAlignment="1">
      <alignment horizontal="center"/>
    </xf>
    <xf numFmtId="172" fontId="39" fillId="16" borderId="33" xfId="5" applyNumberFormat="1" applyFont="1" applyFill="1" applyBorder="1" applyAlignment="1">
      <alignment horizontal="center"/>
    </xf>
    <xf numFmtId="172" fontId="39" fillId="16" borderId="9" xfId="5" applyNumberFormat="1" applyFont="1" applyFill="1" applyBorder="1"/>
    <xf numFmtId="172" fontId="39" fillId="16" borderId="9" xfId="5" applyNumberFormat="1" applyFont="1" applyFill="1" applyBorder="1" applyAlignment="1">
      <alignment horizontal="right"/>
    </xf>
    <xf numFmtId="172" fontId="39" fillId="16" borderId="35" xfId="5" applyNumberFormat="1" applyFont="1" applyFill="1" applyBorder="1" applyAlignment="1">
      <alignment horizontal="right"/>
    </xf>
    <xf numFmtId="172" fontId="39" fillId="16" borderId="43" xfId="5" applyNumberFormat="1" applyFont="1" applyFill="1" applyBorder="1" applyAlignment="1">
      <alignment horizontal="right"/>
    </xf>
    <xf numFmtId="172" fontId="39" fillId="16" borderId="45" xfId="5" applyNumberFormat="1" applyFont="1" applyFill="1" applyBorder="1" applyAlignment="1">
      <alignment horizontal="right"/>
    </xf>
    <xf numFmtId="172" fontId="39" fillId="16" borderId="8" xfId="5" applyNumberFormat="1" applyFont="1" applyFill="1" applyBorder="1" applyAlignment="1">
      <alignment horizontal="right"/>
    </xf>
    <xf numFmtId="172" fontId="39" fillId="16" borderId="13" xfId="5" applyNumberFormat="1" applyFont="1" applyFill="1" applyBorder="1" applyAlignment="1">
      <alignment horizontal="right"/>
    </xf>
    <xf numFmtId="172" fontId="39" fillId="16" borderId="0" xfId="5" applyNumberFormat="1" applyFont="1" applyFill="1" applyAlignment="1">
      <alignment horizontal="right"/>
    </xf>
    <xf numFmtId="172" fontId="39" fillId="16" borderId="37" xfId="5" applyNumberFormat="1" applyFont="1" applyFill="1" applyBorder="1" applyAlignment="1">
      <alignment horizontal="right"/>
    </xf>
    <xf numFmtId="3" fontId="39" fillId="16" borderId="9" xfId="5" applyNumberFormat="1" applyFont="1" applyFill="1" applyBorder="1" applyAlignment="1">
      <alignment horizontal="right"/>
    </xf>
    <xf numFmtId="3" fontId="39" fillId="16" borderId="35" xfId="5" applyNumberFormat="1" applyFont="1" applyFill="1" applyBorder="1" applyAlignment="1">
      <alignment horizontal="right"/>
    </xf>
    <xf numFmtId="0" fontId="0" fillId="0" borderId="0" xfId="0" applyFont="1" applyBorder="1" applyAlignment="1"/>
    <xf numFmtId="0" fontId="0" fillId="0" borderId="0" xfId="0" quotePrefix="1" applyFont="1" applyBorder="1" applyAlignment="1"/>
    <xf numFmtId="167" fontId="7" fillId="0" borderId="2" xfId="0" applyNumberFormat="1" applyFont="1" applyFill="1" applyBorder="1"/>
    <xf numFmtId="49" fontId="49" fillId="0" borderId="0" xfId="0" quotePrefix="1" applyNumberFormat="1" applyFont="1" applyAlignment="1">
      <alignment horizontal="left"/>
    </xf>
    <xf numFmtId="0" fontId="32" fillId="4" borderId="0" xfId="0" applyFont="1" applyFill="1"/>
    <xf numFmtId="166" fontId="0" fillId="3" borderId="0" xfId="0" applyNumberFormat="1" applyFill="1"/>
    <xf numFmtId="166" fontId="6" fillId="11" borderId="33" xfId="0" quotePrefix="1" applyNumberFormat="1" applyFont="1" applyFill="1" applyBorder="1" applyAlignment="1">
      <alignment vertical="center"/>
    </xf>
    <xf numFmtId="0" fontId="17" fillId="0" borderId="0" xfId="0" applyFont="1" applyAlignment="1">
      <alignment vertical="center"/>
    </xf>
    <xf numFmtId="166" fontId="0" fillId="13" borderId="0" xfId="0" quotePrefix="1" applyNumberFormat="1" applyFill="1"/>
    <xf numFmtId="0" fontId="8" fillId="0" borderId="0" xfId="0" applyFont="1" applyAlignment="1">
      <alignment vertical="center"/>
    </xf>
    <xf numFmtId="174" fontId="8" fillId="0" borderId="0" xfId="0" applyNumberFormat="1" applyFont="1" applyAlignment="1">
      <alignment horizontal="right"/>
    </xf>
    <xf numFmtId="174" fontId="8" fillId="0" borderId="36" xfId="0" applyNumberFormat="1" applyFont="1" applyBorder="1" applyAlignment="1">
      <alignment horizontal="right"/>
    </xf>
    <xf numFmtId="174" fontId="8" fillId="0" borderId="25" xfId="0" applyNumberFormat="1" applyFont="1" applyBorder="1" applyAlignment="1">
      <alignment horizontal="right"/>
    </xf>
    <xf numFmtId="0" fontId="51" fillId="0" borderId="0" xfId="0" applyFont="1" applyAlignment="1">
      <alignment horizontal="left"/>
    </xf>
    <xf numFmtId="0" fontId="51" fillId="0" borderId="0" xfId="0" applyFont="1" applyAlignment="1">
      <alignment horizontal="center"/>
    </xf>
    <xf numFmtId="0" fontId="51" fillId="0" borderId="0" xfId="0" applyFont="1" applyFill="1" applyAlignment="1">
      <alignment horizontal="left"/>
    </xf>
    <xf numFmtId="0" fontId="51" fillId="0" borderId="0" xfId="0" applyFont="1" applyFill="1" applyBorder="1" applyAlignment="1">
      <alignment horizontal="left"/>
    </xf>
    <xf numFmtId="0" fontId="8" fillId="0" borderId="0" xfId="0" applyFont="1" applyAlignment="1">
      <alignment horizontal="left"/>
    </xf>
    <xf numFmtId="0" fontId="8" fillId="0" borderId="0" xfId="0" applyFont="1" applyAlignment="1">
      <alignment horizontal="center"/>
    </xf>
    <xf numFmtId="0" fontId="8" fillId="0" borderId="0" xfId="0" applyFont="1" applyFill="1" applyAlignment="1">
      <alignment horizontal="left"/>
    </xf>
    <xf numFmtId="0" fontId="8" fillId="0" borderId="0" xfId="0" applyFont="1" applyFill="1" applyBorder="1" applyAlignment="1">
      <alignment horizontal="left"/>
    </xf>
    <xf numFmtId="0" fontId="8" fillId="0" borderId="0" xfId="0" applyFont="1" applyBorder="1" applyAlignment="1">
      <alignment horizontal="left"/>
    </xf>
    <xf numFmtId="0" fontId="8" fillId="0" borderId="0" xfId="0" applyFont="1" applyBorder="1" applyAlignment="1">
      <alignment horizontal="center"/>
    </xf>
    <xf numFmtId="0" fontId="8" fillId="0" borderId="36" xfId="0" applyFont="1" applyBorder="1" applyAlignment="1">
      <alignment horizontal="left"/>
    </xf>
    <xf numFmtId="0" fontId="8" fillId="0" borderId="36" xfId="0" applyFont="1" applyBorder="1" applyAlignment="1">
      <alignment horizontal="center"/>
    </xf>
    <xf numFmtId="0" fontId="8" fillId="0" borderId="36" xfId="0" applyFont="1" applyFill="1" applyBorder="1" applyAlignment="1">
      <alignment horizontal="left"/>
    </xf>
    <xf numFmtId="0" fontId="51" fillId="0" borderId="0" xfId="0" applyFont="1" applyFill="1" applyAlignment="1">
      <alignment horizontal="center"/>
    </xf>
    <xf numFmtId="0" fontId="51" fillId="0" borderId="0" xfId="0" applyFont="1" applyFill="1" applyBorder="1" applyAlignment="1">
      <alignment horizontal="center"/>
    </xf>
    <xf numFmtId="15" fontId="51" fillId="0" borderId="0" xfId="0" applyNumberFormat="1" applyFont="1" applyFill="1" applyAlignment="1">
      <alignment horizontal="center"/>
    </xf>
    <xf numFmtId="0" fontId="8" fillId="0" borderId="0" xfId="0" applyFont="1" applyFill="1" applyAlignment="1">
      <alignment horizontal="center"/>
    </xf>
    <xf numFmtId="174" fontId="8" fillId="0" borderId="0" xfId="6" applyNumberFormat="1" applyFont="1" applyFill="1" applyAlignment="1">
      <alignment horizontal="right"/>
    </xf>
    <xf numFmtId="174" fontId="8" fillId="0" borderId="0" xfId="6" applyNumberFormat="1" applyFont="1" applyFill="1" applyBorder="1" applyAlignment="1">
      <alignment horizontal="right"/>
    </xf>
    <xf numFmtId="174" fontId="8" fillId="0" borderId="25" xfId="6" applyNumberFormat="1" applyFont="1" applyFill="1" applyBorder="1" applyAlignment="1">
      <alignment horizontal="right"/>
    </xf>
    <xf numFmtId="4" fontId="8" fillId="0" borderId="0" xfId="6" applyNumberFormat="1" applyFont="1" applyFill="1" applyAlignment="1">
      <alignment horizontal="right"/>
    </xf>
    <xf numFmtId="4" fontId="8" fillId="0" borderId="0" xfId="0" applyNumberFormat="1" applyFont="1" applyAlignment="1">
      <alignment horizontal="left"/>
    </xf>
    <xf numFmtId="174" fontId="8" fillId="0" borderId="0" xfId="0" applyNumberFormat="1" applyFont="1" applyAlignment="1">
      <alignment horizontal="left"/>
    </xf>
    <xf numFmtId="174" fontId="50" fillId="0" borderId="0" xfId="0" applyNumberFormat="1" applyFont="1" applyAlignment="1">
      <alignment horizontal="left"/>
    </xf>
    <xf numFmtId="168" fontId="8" fillId="0" borderId="0" xfId="0" applyNumberFormat="1" applyFont="1" applyAlignment="1">
      <alignment horizontal="left"/>
    </xf>
    <xf numFmtId="175" fontId="8" fillId="0" borderId="0" xfId="0" applyNumberFormat="1" applyFont="1" applyAlignment="1">
      <alignment horizontal="left"/>
    </xf>
    <xf numFmtId="0" fontId="8" fillId="2" borderId="0" xfId="0" applyFont="1" applyFill="1" applyAlignment="1">
      <alignment horizontal="left"/>
    </xf>
    <xf numFmtId="0" fontId="8" fillId="2" borderId="0" xfId="0" applyFont="1" applyFill="1" applyAlignment="1"/>
    <xf numFmtId="166" fontId="8" fillId="2" borderId="0" xfId="0" applyNumberFormat="1" applyFont="1" applyFill="1" applyBorder="1" applyAlignment="1"/>
    <xf numFmtId="174" fontId="8" fillId="2" borderId="0" xfId="0" applyNumberFormat="1" applyFont="1" applyFill="1" applyBorder="1" applyAlignment="1"/>
    <xf numFmtId="174" fontId="8" fillId="2" borderId="0" xfId="6" applyNumberFormat="1" applyFont="1" applyFill="1" applyBorder="1" applyAlignment="1">
      <alignment horizontal="right"/>
    </xf>
    <xf numFmtId="174" fontId="8" fillId="2" borderId="0" xfId="6" applyNumberFormat="1" applyFont="1" applyFill="1" applyAlignment="1">
      <alignment horizontal="right"/>
    </xf>
    <xf numFmtId="174" fontId="8" fillId="0" borderId="36" xfId="6" applyNumberFormat="1" applyFont="1" applyFill="1" applyBorder="1" applyAlignment="1">
      <alignment horizontal="right"/>
    </xf>
    <xf numFmtId="174" fontId="8" fillId="0" borderId="46" xfId="6" applyNumberFormat="1" applyFont="1" applyFill="1" applyBorder="1" applyAlignment="1">
      <alignment horizontal="right"/>
    </xf>
    <xf numFmtId="168" fontId="8" fillId="0" borderId="0" xfId="1" applyNumberFormat="1" applyFont="1" applyFill="1" applyAlignment="1">
      <alignment horizontal="left"/>
    </xf>
    <xf numFmtId="168" fontId="8" fillId="0" borderId="0" xfId="1" applyNumberFormat="1" applyFont="1" applyFill="1" applyBorder="1" applyAlignment="1">
      <alignment horizontal="left"/>
    </xf>
    <xf numFmtId="0" fontId="8" fillId="0" borderId="0" xfId="0" applyFont="1" applyAlignment="1">
      <alignment horizontal="left" vertical="top"/>
    </xf>
    <xf numFmtId="0" fontId="8" fillId="0" borderId="0" xfId="0" applyFont="1" applyAlignment="1">
      <alignment horizontal="right"/>
    </xf>
    <xf numFmtId="3" fontId="8" fillId="0" borderId="0" xfId="6" applyNumberFormat="1" applyFont="1" applyFill="1" applyAlignment="1">
      <alignment horizontal="right"/>
    </xf>
    <xf numFmtId="0" fontId="52" fillId="0" borderId="0" xfId="0" applyFont="1" applyAlignment="1">
      <alignment horizontal="right"/>
    </xf>
    <xf numFmtId="3" fontId="33" fillId="0" borderId="0" xfId="6" applyNumberFormat="1" applyFont="1" applyFill="1" applyAlignment="1">
      <alignment horizontal="right"/>
    </xf>
    <xf numFmtId="174" fontId="33" fillId="0" borderId="0" xfId="6" applyNumberFormat="1" applyFont="1" applyFill="1" applyBorder="1" applyAlignment="1">
      <alignment horizontal="right"/>
    </xf>
    <xf numFmtId="0" fontId="0" fillId="0" borderId="0" xfId="0" applyFill="1" applyAlignment="1">
      <alignment horizontal="left"/>
    </xf>
    <xf numFmtId="0" fontId="51" fillId="0" borderId="0" xfId="0" applyFont="1" applyFill="1" applyAlignment="1">
      <alignment horizontal="right"/>
    </xf>
    <xf numFmtId="0" fontId="51" fillId="0" borderId="0" xfId="0" applyFont="1" applyBorder="1" applyAlignment="1">
      <alignment horizontal="left"/>
    </xf>
    <xf numFmtId="0" fontId="0" fillId="0" borderId="0" xfId="0" applyBorder="1" applyAlignment="1">
      <alignment horizontal="left"/>
    </xf>
    <xf numFmtId="0" fontId="8" fillId="0" borderId="35" xfId="0" applyFont="1" applyBorder="1" applyAlignment="1">
      <alignment horizontal="left"/>
    </xf>
    <xf numFmtId="0" fontId="0" fillId="0" borderId="35" xfId="0" applyBorder="1" applyAlignment="1">
      <alignment horizontal="center"/>
    </xf>
    <xf numFmtId="0" fontId="0" fillId="0" borderId="36" xfId="0" applyBorder="1" applyAlignment="1">
      <alignment horizontal="left"/>
    </xf>
    <xf numFmtId="0" fontId="51" fillId="0" borderId="0" xfId="0" applyFont="1" applyBorder="1" applyAlignment="1">
      <alignment horizontal="center"/>
    </xf>
    <xf numFmtId="0" fontId="8" fillId="0" borderId="0" xfId="0" applyFont="1" applyFill="1" applyBorder="1" applyAlignment="1">
      <alignment horizontal="center"/>
    </xf>
    <xf numFmtId="174" fontId="8" fillId="0" borderId="0" xfId="0" applyNumberFormat="1" applyFont="1" applyBorder="1" applyAlignment="1">
      <alignment horizontal="right"/>
    </xf>
    <xf numFmtId="174" fontId="8" fillId="0" borderId="0" xfId="0" applyNumberFormat="1" applyFont="1" applyFill="1" applyAlignment="1">
      <alignment horizontal="right"/>
    </xf>
    <xf numFmtId="174" fontId="8" fillId="2" borderId="0" xfId="0" applyNumberFormat="1" applyFont="1" applyFill="1" applyBorder="1" applyAlignment="1">
      <alignment horizontal="right"/>
    </xf>
    <xf numFmtId="174" fontId="8" fillId="0" borderId="0" xfId="0" applyNumberFormat="1" applyFont="1" applyFill="1" applyBorder="1" applyAlignment="1">
      <alignment horizontal="right"/>
    </xf>
    <xf numFmtId="166" fontId="8" fillId="0" borderId="0" xfId="0" applyNumberFormat="1" applyFont="1" applyFill="1" applyBorder="1" applyAlignment="1"/>
    <xf numFmtId="0" fontId="51" fillId="0" borderId="0" xfId="0" applyFont="1" applyAlignment="1">
      <alignment horizontal="left" vertical="top" wrapText="1"/>
    </xf>
    <xf numFmtId="174" fontId="8" fillId="0" borderId="35" xfId="0" applyNumberFormat="1" applyFont="1" applyBorder="1" applyAlignment="1">
      <alignment horizontal="right"/>
    </xf>
    <xf numFmtId="174" fontId="8" fillId="0" borderId="0" xfId="0" quotePrefix="1" applyNumberFormat="1" applyFont="1" applyAlignment="1">
      <alignment horizontal="right"/>
    </xf>
    <xf numFmtId="174" fontId="51" fillId="0" borderId="0" xfId="0" applyNumberFormat="1" applyFont="1" applyAlignment="1">
      <alignment horizontal="right"/>
    </xf>
    <xf numFmtId="174" fontId="51" fillId="0" borderId="0" xfId="0" applyNumberFormat="1" applyFont="1" applyBorder="1" applyAlignment="1">
      <alignment horizontal="right"/>
    </xf>
    <xf numFmtId="174" fontId="8" fillId="0" borderId="46" xfId="0" applyNumberFormat="1" applyFont="1" applyBorder="1" applyAlignment="1">
      <alignment horizontal="right"/>
    </xf>
    <xf numFmtId="0" fontId="51" fillId="0" borderId="0" xfId="0" applyFont="1" applyAlignment="1">
      <alignment horizontal="right"/>
    </xf>
    <xf numFmtId="0" fontId="8" fillId="0" borderId="35" xfId="0" applyFont="1" applyBorder="1" applyAlignment="1">
      <alignment horizontal="center"/>
    </xf>
    <xf numFmtId="0" fontId="8" fillId="0" borderId="36" xfId="0" applyFont="1" applyFill="1" applyBorder="1" applyAlignment="1">
      <alignment horizontal="center"/>
    </xf>
    <xf numFmtId="3" fontId="8" fillId="0" borderId="0" xfId="0" applyNumberFormat="1" applyFont="1" applyFill="1" applyBorder="1" applyAlignment="1">
      <alignment horizontal="right"/>
    </xf>
    <xf numFmtId="174" fontId="8" fillId="0" borderId="35" xfId="0" applyNumberFormat="1" applyFont="1" applyFill="1" applyBorder="1" applyAlignment="1">
      <alignment horizontal="right"/>
    </xf>
    <xf numFmtId="174" fontId="8" fillId="0" borderId="0" xfId="1" applyNumberFormat="1" applyFont="1" applyFill="1" applyBorder="1" applyAlignment="1">
      <alignment horizontal="center"/>
    </xf>
    <xf numFmtId="174" fontId="8" fillId="0" borderId="0" xfId="1" applyNumberFormat="1" applyFont="1" applyFill="1" applyAlignment="1">
      <alignment horizontal="center"/>
    </xf>
    <xf numFmtId="174" fontId="8" fillId="0" borderId="0" xfId="0" quotePrefix="1" applyNumberFormat="1" applyFont="1" applyFill="1" applyBorder="1" applyAlignment="1">
      <alignment horizontal="right"/>
    </xf>
    <xf numFmtId="174" fontId="8" fillId="0" borderId="46" xfId="0" quotePrefix="1" applyNumberFormat="1" applyFont="1" applyFill="1" applyBorder="1" applyAlignment="1">
      <alignment horizontal="right"/>
    </xf>
    <xf numFmtId="0" fontId="51" fillId="0" borderId="0" xfId="0" applyFont="1"/>
    <xf numFmtId="0" fontId="8" fillId="0" borderId="0" xfId="0" applyFont="1" applyAlignment="1">
      <alignment vertical="center" wrapText="1"/>
    </xf>
    <xf numFmtId="0" fontId="51" fillId="0" borderId="0" xfId="0" applyFont="1" applyAlignment="1">
      <alignment vertical="center" wrapText="1"/>
    </xf>
    <xf numFmtId="174" fontId="8" fillId="0" borderId="46" xfId="0" applyNumberFormat="1" applyFont="1" applyFill="1" applyBorder="1" applyAlignment="1">
      <alignment horizontal="right"/>
    </xf>
    <xf numFmtId="0" fontId="51" fillId="0" borderId="0" xfId="0" applyFont="1" applyAlignment="1"/>
    <xf numFmtId="0" fontId="8" fillId="0" borderId="0" xfId="0" applyFont="1" applyAlignment="1"/>
    <xf numFmtId="0" fontId="8" fillId="0" borderId="35" xfId="0" applyFont="1" applyBorder="1" applyAlignment="1"/>
    <xf numFmtId="49" fontId="51" fillId="0" borderId="0" xfId="0" applyNumberFormat="1" applyFont="1" applyAlignment="1">
      <alignment horizontal="left"/>
    </xf>
    <xf numFmtId="0" fontId="52" fillId="0" borderId="0" xfId="0" applyFont="1" applyAlignment="1">
      <alignment horizontal="center"/>
    </xf>
    <xf numFmtId="15" fontId="51" fillId="0" borderId="0" xfId="0" applyNumberFormat="1" applyFont="1" applyAlignment="1">
      <alignment horizontal="center"/>
    </xf>
    <xf numFmtId="0" fontId="52" fillId="0" borderId="0" xfId="0" applyFont="1" applyAlignment="1"/>
    <xf numFmtId="174" fontId="8" fillId="2" borderId="0" xfId="0" applyNumberFormat="1" applyFont="1" applyFill="1" applyAlignment="1">
      <alignment horizontal="right"/>
    </xf>
    <xf numFmtId="174" fontId="8" fillId="0" borderId="47" xfId="0" applyNumberFormat="1" applyFont="1" applyBorder="1" applyAlignment="1">
      <alignment horizontal="right"/>
    </xf>
    <xf numFmtId="0" fontId="8" fillId="0" borderId="0" xfId="0" applyFont="1" applyBorder="1" applyAlignment="1"/>
    <xf numFmtId="176" fontId="8" fillId="2" borderId="0" xfId="0" applyNumberFormat="1" applyFont="1" applyFill="1" applyBorder="1" applyAlignment="1"/>
    <xf numFmtId="177" fontId="8" fillId="2" borderId="0" xfId="0" applyNumberFormat="1" applyFont="1" applyFill="1" applyAlignment="1">
      <alignment horizontal="right"/>
    </xf>
    <xf numFmtId="174" fontId="8" fillId="0" borderId="0" xfId="0" applyNumberFormat="1" applyFont="1" applyBorder="1" applyAlignment="1"/>
    <xf numFmtId="178" fontId="8" fillId="2" borderId="0" xfId="0" applyNumberFormat="1" applyFont="1" applyFill="1" applyBorder="1" applyAlignment="1"/>
    <xf numFmtId="178" fontId="8" fillId="2" borderId="0" xfId="0" applyNumberFormat="1" applyFont="1" applyFill="1" applyAlignment="1"/>
    <xf numFmtId="178" fontId="8" fillId="2" borderId="0" xfId="0" applyNumberFormat="1" applyFont="1" applyFill="1" applyAlignment="1">
      <alignment horizontal="right"/>
    </xf>
    <xf numFmtId="177" fontId="8" fillId="2" borderId="0" xfId="0" applyNumberFormat="1" applyFont="1" applyFill="1" applyBorder="1" applyAlignment="1"/>
    <xf numFmtId="178" fontId="8" fillId="2" borderId="0" xfId="0" applyNumberFormat="1" applyFont="1" applyFill="1" applyBorder="1" applyAlignment="1">
      <alignment horizontal="right"/>
    </xf>
    <xf numFmtId="174" fontId="52" fillId="0" borderId="0" xfId="0" applyNumberFormat="1" applyFont="1" applyAlignment="1">
      <alignment horizontal="right"/>
    </xf>
    <xf numFmtId="174" fontId="52" fillId="0" borderId="0" xfId="0" applyNumberFormat="1" applyFont="1" applyBorder="1" applyAlignment="1">
      <alignment horizontal="right"/>
    </xf>
    <xf numFmtId="174" fontId="8" fillId="0" borderId="0" xfId="1" applyNumberFormat="1" applyFont="1" applyAlignment="1">
      <alignment horizontal="right"/>
    </xf>
    <xf numFmtId="174" fontId="8" fillId="0" borderId="0" xfId="1" applyNumberFormat="1" applyFont="1" applyBorder="1" applyAlignment="1">
      <alignment horizontal="right"/>
    </xf>
    <xf numFmtId="166" fontId="8" fillId="0" borderId="47" xfId="0" applyNumberFormat="1" applyFont="1" applyFill="1" applyBorder="1" applyAlignment="1"/>
    <xf numFmtId="0" fontId="51" fillId="0" borderId="0" xfId="0" applyFont="1" applyBorder="1" applyAlignment="1"/>
    <xf numFmtId="0" fontId="8" fillId="0" borderId="36" xfId="0" applyFont="1" applyBorder="1" applyAlignment="1"/>
    <xf numFmtId="174" fontId="8" fillId="0" borderId="0" xfId="0" applyNumberFormat="1" applyFont="1" applyAlignment="1"/>
    <xf numFmtId="174" fontId="8" fillId="0" borderId="46" xfId="0" applyNumberFormat="1" applyFont="1" applyBorder="1" applyAlignment="1"/>
    <xf numFmtId="3" fontId="8" fillId="0" borderId="0" xfId="0" applyNumberFormat="1" applyFont="1" applyBorder="1" applyAlignment="1"/>
    <xf numFmtId="0" fontId="8" fillId="0" borderId="0" xfId="0" applyFont="1" applyAlignment="1">
      <alignment horizontal="left" vertical="top" wrapText="1"/>
    </xf>
    <xf numFmtId="0" fontId="8" fillId="0" borderId="0" xfId="0" applyFont="1" applyBorder="1" applyAlignment="1">
      <alignment horizontal="left" vertical="top" wrapText="1"/>
    </xf>
    <xf numFmtId="0" fontId="51" fillId="0" borderId="0" xfId="0" applyFont="1" applyAlignment="1">
      <alignment vertical="center"/>
    </xf>
    <xf numFmtId="0" fontId="51" fillId="0" borderId="0" xfId="0" applyFont="1" applyAlignment="1">
      <alignment horizontal="center" vertical="center" wrapText="1"/>
    </xf>
    <xf numFmtId="0" fontId="51" fillId="0" borderId="0" xfId="0" applyFont="1" applyBorder="1" applyAlignment="1">
      <alignment horizontal="center" vertical="center" wrapText="1"/>
    </xf>
    <xf numFmtId="0" fontId="51" fillId="0" borderId="0" xfId="0" applyFont="1" applyAlignment="1">
      <alignment horizontal="center" vertical="center"/>
    </xf>
    <xf numFmtId="174" fontId="51" fillId="0" borderId="0" xfId="0" applyNumberFormat="1" applyFont="1" applyAlignment="1"/>
    <xf numFmtId="174" fontId="51" fillId="0" borderId="0" xfId="0" applyNumberFormat="1" applyFont="1" applyBorder="1" applyAlignment="1"/>
    <xf numFmtId="174" fontId="8" fillId="0" borderId="0" xfId="1" applyNumberFormat="1" applyFont="1" applyBorder="1" applyAlignment="1"/>
    <xf numFmtId="174" fontId="8" fillId="0" borderId="0" xfId="1" applyNumberFormat="1" applyFont="1" applyAlignment="1"/>
    <xf numFmtId="174" fontId="8" fillId="0" borderId="46" xfId="1" applyNumberFormat="1" applyFont="1" applyBorder="1" applyAlignment="1"/>
    <xf numFmtId="0" fontId="8" fillId="0" borderId="0" xfId="0" applyFont="1" applyFill="1" applyAlignment="1"/>
    <xf numFmtId="0" fontId="8" fillId="0" borderId="0" xfId="0" applyFont="1" applyFill="1" applyAlignment="1">
      <alignment wrapText="1"/>
    </xf>
    <xf numFmtId="166" fontId="8" fillId="0" borderId="0" xfId="0" applyNumberFormat="1" applyFont="1" applyAlignment="1"/>
    <xf numFmtId="166" fontId="8" fillId="0" borderId="46" xfId="0" applyNumberFormat="1" applyFont="1" applyBorder="1" applyAlignment="1"/>
    <xf numFmtId="166" fontId="8" fillId="0" borderId="0" xfId="0" applyNumberFormat="1" applyFont="1" applyBorder="1" applyAlignment="1"/>
    <xf numFmtId="173" fontId="8" fillId="0" borderId="0" xfId="0" applyNumberFormat="1" applyFont="1" applyAlignment="1"/>
    <xf numFmtId="3" fontId="8" fillId="0" borderId="0" xfId="0" applyNumberFormat="1" applyFont="1" applyBorder="1" applyAlignment="1">
      <alignment horizontal="center"/>
    </xf>
    <xf numFmtId="3" fontId="51" fillId="0" borderId="0" xfId="0" applyNumberFormat="1" applyFont="1" applyAlignment="1">
      <alignment horizontal="center"/>
    </xf>
    <xf numFmtId="3" fontId="51" fillId="0" borderId="0" xfId="0" applyNumberFormat="1" applyFont="1" applyBorder="1" applyAlignment="1">
      <alignment horizontal="center"/>
    </xf>
    <xf numFmtId="0" fontId="52" fillId="0" borderId="0" xfId="0" applyFont="1" applyAlignment="1">
      <alignment horizontal="left"/>
    </xf>
    <xf numFmtId="0" fontId="52" fillId="0" borderId="0" xfId="0" applyFont="1" applyBorder="1" applyAlignment="1">
      <alignment horizontal="center"/>
    </xf>
    <xf numFmtId="0" fontId="52" fillId="0" borderId="0" xfId="0" applyFont="1" applyBorder="1" applyAlignment="1">
      <alignment horizontal="right"/>
    </xf>
    <xf numFmtId="0" fontId="8" fillId="0" borderId="0" xfId="0" applyFont="1" applyAlignment="1">
      <alignment horizontal="left" wrapText="1"/>
    </xf>
    <xf numFmtId="166" fontId="0" fillId="0" borderId="35" xfId="0" applyNumberFormat="1" applyBorder="1"/>
    <xf numFmtId="0" fontId="8" fillId="0" borderId="35" xfId="0" applyFont="1" applyBorder="1" applyAlignment="1">
      <alignment horizontal="right"/>
    </xf>
    <xf numFmtId="0" fontId="53" fillId="0" borderId="0" xfId="0" applyNumberFormat="1" applyFont="1" applyFill="1" applyBorder="1" applyAlignment="1" applyProtection="1">
      <alignment horizontal="left" wrapText="1"/>
    </xf>
    <xf numFmtId="0" fontId="0" fillId="0" borderId="0" xfId="0" applyAlignment="1">
      <alignment horizontal="left" wrapText="1"/>
    </xf>
    <xf numFmtId="177" fontId="8" fillId="0" borderId="0" xfId="0" applyNumberFormat="1" applyFont="1" applyFill="1" applyAlignment="1">
      <alignment horizontal="right"/>
    </xf>
    <xf numFmtId="0" fontId="51" fillId="0" borderId="0" xfId="0" applyFont="1" applyAlignment="1">
      <alignment horizontal="left" wrapText="1"/>
    </xf>
    <xf numFmtId="0" fontId="51" fillId="0" borderId="0" xfId="0" applyFont="1" applyFill="1" applyAlignment="1"/>
    <xf numFmtId="49" fontId="51" fillId="0" borderId="0" xfId="0" applyNumberFormat="1" applyFont="1" applyAlignment="1">
      <alignment horizontal="left" vertical="center"/>
    </xf>
    <xf numFmtId="0" fontId="51" fillId="0" borderId="0" xfId="0" applyFont="1" applyAlignment="1">
      <alignment horizontal="left" vertical="center"/>
    </xf>
    <xf numFmtId="174" fontId="8" fillId="0" borderId="36" xfId="0" applyNumberFormat="1" applyFont="1" applyFill="1" applyBorder="1" applyAlignment="1">
      <alignment horizontal="right"/>
    </xf>
    <xf numFmtId="179" fontId="8" fillId="0" borderId="0" xfId="0" applyNumberFormat="1" applyFont="1" applyBorder="1" applyAlignment="1">
      <alignment horizontal="right"/>
    </xf>
    <xf numFmtId="180" fontId="8" fillId="0" borderId="0" xfId="0" applyNumberFormat="1" applyFont="1" applyAlignment="1">
      <alignment horizontal="left"/>
    </xf>
    <xf numFmtId="180" fontId="8" fillId="0" borderId="0" xfId="0" applyNumberFormat="1" applyFont="1" applyBorder="1" applyAlignment="1">
      <alignment horizontal="left"/>
    </xf>
    <xf numFmtId="0" fontId="51" fillId="0" borderId="0" xfId="0" applyFont="1" applyAlignment="1">
      <alignment horizontal="centerContinuous"/>
    </xf>
    <xf numFmtId="0" fontId="51" fillId="0" borderId="36" xfId="0" applyFont="1" applyBorder="1" applyAlignment="1">
      <alignment horizontal="left"/>
    </xf>
    <xf numFmtId="3" fontId="8" fillId="0" borderId="0" xfId="0" applyNumberFormat="1" applyFont="1" applyBorder="1" applyAlignment="1">
      <alignment horizontal="left"/>
    </xf>
    <xf numFmtId="3" fontId="8" fillId="0" borderId="0" xfId="0" applyNumberFormat="1" applyFont="1" applyAlignment="1">
      <alignment horizontal="left"/>
    </xf>
    <xf numFmtId="0" fontId="54" fillId="0" borderId="0" xfId="0" applyFont="1" applyAlignment="1">
      <alignment horizontal="left"/>
    </xf>
    <xf numFmtId="174" fontId="51" fillId="0" borderId="46" xfId="0" applyNumberFormat="1" applyFont="1" applyBorder="1" applyAlignment="1">
      <alignment horizontal="right"/>
    </xf>
    <xf numFmtId="0" fontId="8" fillId="0" borderId="0" xfId="0" applyFont="1" applyBorder="1" applyAlignment="1">
      <alignment horizontal="right"/>
    </xf>
    <xf numFmtId="0" fontId="8" fillId="0" borderId="0" xfId="0" applyFont="1" applyBorder="1"/>
    <xf numFmtId="0" fontId="51" fillId="0" borderId="0" xfId="0" applyFont="1" applyBorder="1" applyAlignment="1">
      <alignment horizontal="center"/>
    </xf>
    <xf numFmtId="0" fontId="51" fillId="0" borderId="0" xfId="0" applyFont="1" applyAlignment="1">
      <alignment horizontal="center"/>
    </xf>
    <xf numFmtId="0" fontId="0" fillId="0" borderId="0" xfId="0" applyAlignment="1">
      <alignment wrapText="1"/>
    </xf>
    <xf numFmtId="0" fontId="8" fillId="0" borderId="0" xfId="0" applyFont="1" applyAlignment="1">
      <alignment horizontal="left" vertical="top" wrapText="1"/>
    </xf>
    <xf numFmtId="0" fontId="8" fillId="0" borderId="0" xfId="0" applyFont="1" applyAlignment="1">
      <alignment horizontal="left" vertical="top"/>
    </xf>
    <xf numFmtId="0" fontId="53" fillId="0" borderId="0" xfId="0" applyNumberFormat="1" applyFont="1" applyFill="1" applyBorder="1" applyAlignment="1" applyProtection="1">
      <alignment horizontal="left" wrapText="1"/>
    </xf>
    <xf numFmtId="0" fontId="0" fillId="0" borderId="0" xfId="0" applyAlignment="1">
      <alignment horizontal="left" wrapText="1"/>
    </xf>
    <xf numFmtId="0" fontId="51" fillId="0" borderId="0" xfId="0" applyFont="1" applyBorder="1" applyAlignment="1">
      <alignment horizontal="center"/>
    </xf>
    <xf numFmtId="0" fontId="51" fillId="0" borderId="0" xfId="0" applyFont="1" applyAlignment="1">
      <alignment horizontal="center"/>
    </xf>
    <xf numFmtId="0" fontId="8" fillId="0" borderId="0" xfId="0" applyFont="1" applyFill="1" applyAlignment="1">
      <alignment wrapText="1"/>
    </xf>
    <xf numFmtId="4" fontId="0" fillId="0" borderId="35" xfId="0" applyNumberFormat="1" applyBorder="1"/>
    <xf numFmtId="0" fontId="31" fillId="0" borderId="0" xfId="0" applyFont="1" applyAlignment="1">
      <alignment horizontal="left"/>
    </xf>
    <xf numFmtId="166" fontId="0" fillId="17" borderId="0" xfId="0" applyNumberFormat="1" applyFill="1"/>
    <xf numFmtId="0" fontId="8" fillId="0" borderId="0" xfId="0" applyFont="1" applyFill="1" applyBorder="1" applyAlignment="1"/>
    <xf numFmtId="174" fontId="8" fillId="0" borderId="0" xfId="0" applyNumberFormat="1" applyFont="1" applyFill="1" applyAlignment="1"/>
    <xf numFmtId="0" fontId="8" fillId="2" borderId="0" xfId="0" applyFont="1" applyFill="1" applyBorder="1" applyAlignment="1"/>
    <xf numFmtId="0" fontId="8" fillId="2" borderId="0" xfId="0" applyFont="1" applyFill="1" applyBorder="1" applyAlignment="1">
      <alignment horizontal="left"/>
    </xf>
    <xf numFmtId="0" fontId="53" fillId="0" borderId="0" xfId="0" applyNumberFormat="1" applyFont="1" applyFill="1" applyBorder="1" applyAlignment="1" applyProtection="1">
      <alignment horizontal="left"/>
    </xf>
    <xf numFmtId="49" fontId="55" fillId="0" borderId="0" xfId="0" applyNumberFormat="1" applyFont="1" applyFill="1" applyBorder="1" applyAlignment="1" applyProtection="1">
      <alignment horizontal="left"/>
    </xf>
    <xf numFmtId="0" fontId="55" fillId="0" borderId="0" xfId="0" applyNumberFormat="1" applyFont="1" applyFill="1" applyBorder="1" applyAlignment="1" applyProtection="1">
      <alignment horizontal="left"/>
    </xf>
    <xf numFmtId="174" fontId="53" fillId="0" borderId="48" xfId="0" applyNumberFormat="1" applyFont="1" applyFill="1" applyBorder="1" applyAlignment="1" applyProtection="1">
      <alignment horizontal="right"/>
    </xf>
    <xf numFmtId="174" fontId="53" fillId="0" borderId="49" xfId="0" applyNumberFormat="1" applyFont="1" applyFill="1" applyBorder="1" applyAlignment="1" applyProtection="1">
      <alignment horizontal="right"/>
    </xf>
    <xf numFmtId="174" fontId="53" fillId="0" borderId="50" xfId="0" applyNumberFormat="1" applyFont="1" applyFill="1" applyBorder="1" applyAlignment="1" applyProtection="1">
      <alignment horizontal="right"/>
    </xf>
    <xf numFmtId="173" fontId="8" fillId="0" borderId="0" xfId="0" applyNumberFormat="1" applyFont="1" applyFill="1" applyBorder="1" applyAlignment="1"/>
    <xf numFmtId="0" fontId="2" fillId="0" borderId="0" xfId="0" applyFont="1" applyFill="1" applyAlignment="1">
      <alignment horizontal="right"/>
    </xf>
    <xf numFmtId="0" fontId="2" fillId="0" borderId="0" xfId="0" applyFont="1" applyAlignment="1">
      <alignment horizontal="left"/>
    </xf>
    <xf numFmtId="0" fontId="0" fillId="0" borderId="0" xfId="0" applyBorder="1" applyAlignment="1">
      <alignment horizontal="right"/>
    </xf>
    <xf numFmtId="4" fontId="0" fillId="0" borderId="0" xfId="0" applyNumberFormat="1"/>
    <xf numFmtId="4" fontId="0" fillId="3" borderId="0" xfId="0" applyNumberFormat="1" applyFill="1"/>
    <xf numFmtId="4" fontId="0" fillId="0" borderId="0" xfId="0" applyNumberFormat="1" applyBorder="1" applyAlignment="1">
      <alignment horizontal="left"/>
    </xf>
    <xf numFmtId="4" fontId="0" fillId="0" borderId="0" xfId="0" applyNumberFormat="1" applyAlignment="1">
      <alignment horizontal="left"/>
    </xf>
    <xf numFmtId="4" fontId="8" fillId="0" borderId="0" xfId="0" applyNumberFormat="1" applyFont="1" applyAlignment="1"/>
    <xf numFmtId="4" fontId="2" fillId="0" borderId="1" xfId="0" applyNumberFormat="1" applyFont="1" applyBorder="1"/>
    <xf numFmtId="173" fontId="0" fillId="0" borderId="0" xfId="0" applyNumberFormat="1"/>
    <xf numFmtId="4" fontId="52" fillId="0" borderId="0" xfId="0" applyNumberFormat="1" applyFont="1" applyAlignment="1">
      <alignment horizontal="right"/>
    </xf>
    <xf numFmtId="0" fontId="23" fillId="4" borderId="0" xfId="0" applyFont="1" applyFill="1" applyAlignment="1">
      <alignment horizontal="left" vertical="top"/>
    </xf>
    <xf numFmtId="3" fontId="9" fillId="7" borderId="5" xfId="0" applyNumberFormat="1" applyFont="1" applyFill="1" applyBorder="1" applyAlignment="1">
      <alignment horizontal="center" vertical="center" wrapText="1"/>
    </xf>
    <xf numFmtId="0" fontId="28" fillId="7" borderId="33" xfId="0" applyFont="1" applyFill="1" applyBorder="1" applyAlignment="1">
      <alignment horizontal="center" vertical="center" wrapText="1"/>
    </xf>
    <xf numFmtId="168" fontId="28" fillId="7" borderId="33" xfId="1" applyNumberFormat="1" applyFont="1" applyFill="1" applyBorder="1" applyAlignment="1">
      <alignment horizontal="center" vertical="center" wrapText="1"/>
    </xf>
    <xf numFmtId="0" fontId="6" fillId="0" borderId="0" xfId="0" applyFont="1" applyAlignment="1">
      <alignment vertical="center"/>
    </xf>
    <xf numFmtId="168" fontId="6" fillId="0" borderId="0" xfId="1" applyNumberFormat="1" applyFont="1" applyAlignment="1">
      <alignment vertical="center"/>
    </xf>
    <xf numFmtId="168" fontId="28" fillId="7" borderId="37" xfId="1" applyNumberFormat="1" applyFont="1" applyFill="1" applyBorder="1" applyAlignment="1">
      <alignment horizontal="center" vertical="center" wrapText="1"/>
    </xf>
    <xf numFmtId="0" fontId="6" fillId="4" borderId="29" xfId="0" applyFont="1" applyFill="1" applyBorder="1" applyAlignment="1">
      <alignment vertical="center"/>
    </xf>
    <xf numFmtId="168" fontId="6" fillId="0" borderId="29" xfId="1" applyNumberFormat="1" applyFont="1" applyBorder="1" applyAlignment="1">
      <alignment vertical="center"/>
    </xf>
    <xf numFmtId="3" fontId="9" fillId="7" borderId="27" xfId="0" applyNumberFormat="1" applyFont="1" applyFill="1" applyBorder="1" applyAlignment="1">
      <alignment horizontal="center" vertical="center" wrapText="1"/>
    </xf>
    <xf numFmtId="0" fontId="51" fillId="0" borderId="0" xfId="0" applyFont="1" applyBorder="1" applyAlignment="1">
      <alignment horizontal="center"/>
    </xf>
    <xf numFmtId="0" fontId="8" fillId="0" borderId="0" xfId="0" applyFont="1" applyFill="1" applyAlignment="1">
      <alignment horizontal="left" vertical="top" wrapText="1"/>
    </xf>
    <xf numFmtId="0" fontId="51" fillId="0" borderId="0" xfId="0" applyFont="1" applyAlignment="1">
      <alignment horizontal="center"/>
    </xf>
    <xf numFmtId="0" fontId="51" fillId="0" borderId="0" xfId="0" applyFont="1" applyAlignment="1">
      <alignment horizontal="left" vertical="top" wrapText="1"/>
    </xf>
    <xf numFmtId="0" fontId="8" fillId="0" borderId="0" xfId="0" applyFont="1" applyAlignment="1">
      <alignment wrapText="1"/>
    </xf>
    <xf numFmtId="0" fontId="0" fillId="0" borderId="0" xfId="0" applyAlignment="1">
      <alignment wrapText="1"/>
    </xf>
    <xf numFmtId="0" fontId="8" fillId="0" borderId="0" xfId="0" applyFont="1" applyAlignment="1">
      <alignment horizontal="left" vertical="top" wrapText="1"/>
    </xf>
    <xf numFmtId="0" fontId="0" fillId="0" borderId="0" xfId="0" applyAlignment="1">
      <alignment horizontal="left" vertical="top" wrapText="1"/>
    </xf>
    <xf numFmtId="0" fontId="53" fillId="0" borderId="0" xfId="0" applyNumberFormat="1" applyFont="1" applyFill="1" applyBorder="1" applyAlignment="1" applyProtection="1">
      <alignment horizontal="left" wrapText="1"/>
    </xf>
    <xf numFmtId="0" fontId="0" fillId="0" borderId="0" xfId="0" applyAlignment="1">
      <alignment horizontal="left" wrapText="1"/>
    </xf>
    <xf numFmtId="3" fontId="9" fillId="7" borderId="13" xfId="0" applyNumberFormat="1" applyFont="1" applyFill="1" applyBorder="1" applyAlignment="1">
      <alignment horizontal="left" vertical="center"/>
    </xf>
    <xf numFmtId="3" fontId="9" fillId="7" borderId="0" xfId="0" applyNumberFormat="1" applyFont="1" applyFill="1" applyBorder="1" applyAlignment="1">
      <alignment horizontal="left" vertical="center"/>
    </xf>
    <xf numFmtId="0" fontId="39" fillId="16" borderId="41" xfId="5" applyFont="1" applyFill="1" applyBorder="1" applyAlignment="1">
      <alignment horizontal="center" wrapText="1"/>
    </xf>
    <xf numFmtId="0" fontId="39" fillId="16" borderId="44" xfId="5" applyFont="1" applyFill="1" applyBorder="1" applyAlignment="1">
      <alignment horizontal="center" wrapText="1"/>
    </xf>
    <xf numFmtId="172" fontId="41" fillId="0" borderId="5" xfId="5" applyNumberFormat="1" applyFont="1" applyBorder="1" applyAlignment="1">
      <alignment horizontal="left"/>
    </xf>
    <xf numFmtId="172" fontId="41" fillId="0" borderId="25" xfId="5" applyNumberFormat="1" applyFont="1" applyBorder="1" applyAlignment="1">
      <alignment horizontal="left"/>
    </xf>
    <xf numFmtId="172" fontId="41" fillId="0" borderId="24" xfId="5" applyNumberFormat="1" applyFont="1" applyBorder="1" applyAlignment="1">
      <alignment horizontal="left"/>
    </xf>
    <xf numFmtId="172" fontId="41" fillId="0" borderId="5" xfId="5" applyNumberFormat="1" applyFont="1" applyBorder="1" applyAlignment="1">
      <alignment horizontal="center"/>
    </xf>
    <xf numFmtId="172" fontId="41" fillId="0" borderId="25" xfId="5" applyNumberFormat="1" applyFont="1" applyBorder="1" applyAlignment="1">
      <alignment horizontal="center"/>
    </xf>
    <xf numFmtId="172" fontId="41" fillId="0" borderId="24" xfId="5" applyNumberFormat="1" applyFont="1" applyBorder="1" applyAlignment="1">
      <alignment horizontal="center"/>
    </xf>
    <xf numFmtId="3" fontId="41" fillId="0" borderId="5" xfId="5" applyNumberFormat="1" applyFont="1" applyBorder="1" applyAlignment="1">
      <alignment horizontal="left"/>
    </xf>
    <xf numFmtId="3" fontId="41" fillId="0" borderId="25" xfId="5" applyNumberFormat="1" applyFont="1" applyBorder="1" applyAlignment="1">
      <alignment horizontal="left"/>
    </xf>
    <xf numFmtId="3" fontId="41" fillId="0" borderId="24" xfId="5" applyNumberFormat="1" applyFont="1" applyBorder="1" applyAlignment="1">
      <alignment horizontal="left"/>
    </xf>
    <xf numFmtId="172" fontId="39" fillId="16" borderId="7" xfId="5" applyNumberFormat="1" applyFont="1" applyFill="1" applyBorder="1" applyAlignment="1">
      <alignment horizontal="center"/>
    </xf>
    <xf numFmtId="172" fontId="39" fillId="16" borderId="36" xfId="5" applyNumberFormat="1" applyFont="1" applyFill="1" applyBorder="1" applyAlignment="1">
      <alignment horizontal="center"/>
    </xf>
    <xf numFmtId="172" fontId="39" fillId="16" borderId="38" xfId="5" applyNumberFormat="1" applyFont="1" applyFill="1" applyBorder="1" applyAlignment="1">
      <alignment horizontal="center"/>
    </xf>
    <xf numFmtId="172" fontId="39" fillId="16" borderId="39" xfId="5" applyNumberFormat="1" applyFont="1" applyFill="1" applyBorder="1" applyAlignment="1">
      <alignment horizontal="center"/>
    </xf>
    <xf numFmtId="172" fontId="39" fillId="16" borderId="40" xfId="5" applyNumberFormat="1" applyFont="1" applyFill="1" applyBorder="1" applyAlignment="1">
      <alignment horizontal="center"/>
    </xf>
    <xf numFmtId="172" fontId="39" fillId="16" borderId="27" xfId="5" applyNumberFormat="1" applyFont="1" applyFill="1" applyBorder="1" applyAlignment="1">
      <alignment horizontal="center"/>
    </xf>
    <xf numFmtId="172" fontId="39" fillId="16" borderId="5" xfId="5" applyNumberFormat="1" applyFont="1" applyFill="1" applyBorder="1" applyAlignment="1">
      <alignment horizontal="center"/>
    </xf>
    <xf numFmtId="172" fontId="39" fillId="16" borderId="25" xfId="5" applyNumberFormat="1" applyFont="1" applyFill="1" applyBorder="1" applyAlignment="1">
      <alignment horizontal="center"/>
    </xf>
    <xf numFmtId="172" fontId="39" fillId="16" borderId="24" xfId="5" applyNumberFormat="1" applyFont="1" applyFill="1" applyBorder="1" applyAlignment="1">
      <alignment horizontal="center"/>
    </xf>
    <xf numFmtId="3" fontId="39" fillId="16" borderId="5" xfId="5" applyNumberFormat="1" applyFont="1" applyFill="1" applyBorder="1" applyAlignment="1">
      <alignment horizontal="center"/>
    </xf>
    <xf numFmtId="3" fontId="39" fillId="16" borderId="25" xfId="5" applyNumberFormat="1" applyFont="1" applyFill="1" applyBorder="1" applyAlignment="1">
      <alignment horizontal="center"/>
    </xf>
    <xf numFmtId="3" fontId="39" fillId="16" borderId="24" xfId="5" applyNumberFormat="1" applyFont="1" applyFill="1" applyBorder="1" applyAlignment="1">
      <alignment horizontal="center"/>
    </xf>
    <xf numFmtId="0" fontId="18" fillId="11" borderId="6" xfId="0" applyFont="1" applyFill="1" applyBorder="1" applyAlignment="1">
      <alignment horizontal="center" vertical="center" textRotation="255"/>
    </xf>
    <xf numFmtId="0" fontId="20" fillId="11" borderId="12" xfId="0" applyFont="1" applyFill="1" applyBorder="1" applyAlignment="1">
      <alignment horizontal="center" vertical="center" textRotation="255"/>
    </xf>
    <xf numFmtId="0" fontId="20" fillId="11" borderId="8" xfId="0" applyFont="1" applyFill="1" applyBorder="1" applyAlignment="1">
      <alignment horizontal="center" vertical="center" textRotation="255"/>
    </xf>
    <xf numFmtId="0" fontId="18" fillId="11" borderId="4" xfId="0" applyFont="1" applyFill="1" applyBorder="1" applyAlignment="1">
      <alignment horizontal="center" vertical="center" textRotation="255"/>
    </xf>
    <xf numFmtId="0" fontId="20" fillId="11" borderId="4" xfId="0" applyFont="1" applyFill="1" applyBorder="1" applyAlignment="1">
      <alignment horizontal="center" vertical="center" textRotation="255"/>
    </xf>
    <xf numFmtId="0" fontId="18" fillId="11" borderId="26" xfId="0" applyFont="1" applyFill="1" applyBorder="1" applyAlignment="1">
      <alignment horizontal="center" vertical="center" textRotation="255"/>
    </xf>
    <xf numFmtId="0" fontId="17" fillId="0" borderId="12" xfId="0" applyFont="1" applyBorder="1" applyAlignment="1">
      <alignment horizontal="center" vertical="center" textRotation="255"/>
    </xf>
    <xf numFmtId="0" fontId="17" fillId="0" borderId="8" xfId="0" applyFont="1" applyBorder="1" applyAlignment="1">
      <alignment horizontal="center" vertical="center" textRotation="255"/>
    </xf>
  </cellXfs>
  <cellStyles count="7">
    <cellStyle name="Comma" xfId="1" builtinId="3"/>
    <cellStyle name="Comma 2 2 2" xfId="2" xr:uid="{00000000-0005-0000-0000-000001000000}"/>
    <cellStyle name="Comma 6" xfId="3" xr:uid="{00000000-0005-0000-0000-000002000000}"/>
    <cellStyle name="Currency" xfId="6" builtinId="4"/>
    <cellStyle name="Normal" xfId="0" builtinId="0"/>
    <cellStyle name="Normal 2 2 2" xfId="5" xr:uid="{00000000-0005-0000-0000-000005000000}"/>
    <cellStyle name="Percent" xfId="4" builtinId="5"/>
  </cellStyles>
  <dxfs count="0"/>
  <tableStyles count="0" defaultTableStyle="TableStyleMedium2" defaultPivotStyle="PivotStyleLight16"/>
  <colors>
    <mruColors>
      <color rgb="FFFFFFCC"/>
      <color rgb="FFCCFFCC"/>
      <color rgb="FFCCFFFF"/>
      <color rgb="FFEDEDED"/>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ogle.com/url?sa=i&amp;rct=j&amp;q=&amp;esrc=s&amp;source=imgres&amp;cd=&amp;cad=rja&amp;uact=8&amp;ved=2ahUKEwiN4aWBmPTmAhUhA2MBHVCFDL0QjRx6BAgBEAQ&amp;url=https%3A%2F%2Fwww.facebook.com%2Fsci.ntds%2F&amp;psig=AOvVaw1EyEFeIhlKBRPY07GXjU7a&amp;ust=1578579191655729"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ogle.com/url?sa=i&amp;rct=j&amp;q=&amp;esrc=s&amp;source=imgres&amp;cd=&amp;cad=rja&amp;uact=8&amp;ved=2ahUKEwiN4aWBmPTmAhUhA2MBHVCFDL0QjRx6BAgBEAQ&amp;url=https%3A%2F%2Fwww.facebook.com%2Fsci.ntds%2F&amp;psig=AOvVaw1EyEFeIhlKBRPY07GXjU7a&amp;ust=1578579191655729"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2</xdr:row>
      <xdr:rowOff>76200</xdr:rowOff>
    </xdr:from>
    <xdr:to>
      <xdr:col>3</xdr:col>
      <xdr:colOff>809625</xdr:colOff>
      <xdr:row>5</xdr:row>
      <xdr:rowOff>95250</xdr:rowOff>
    </xdr:to>
    <xdr:pic>
      <xdr:nvPicPr>
        <xdr:cNvPr id="2" name="Picture 1" descr="Related image">
          <a:hlinkClick xmlns:r="http://schemas.openxmlformats.org/officeDocument/2006/relationships" r:id="rId1" tgtFrame="&quot;_blank&quot;"/>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9700" y="76200"/>
          <a:ext cx="781050" cy="8191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781050</xdr:colOff>
      <xdr:row>5</xdr:row>
      <xdr:rowOff>219075</xdr:rowOff>
    </xdr:to>
    <xdr:pic>
      <xdr:nvPicPr>
        <xdr:cNvPr id="3" name="Picture 2" descr="Related image">
          <a:hlinkClick xmlns:r="http://schemas.openxmlformats.org/officeDocument/2006/relationships" r:id="rId1" tgtFrame="&quot;_blank&quot;"/>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4350" y="0"/>
          <a:ext cx="781050" cy="8191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838200</xdr:colOff>
      <xdr:row>115</xdr:row>
      <xdr:rowOff>171450</xdr:rowOff>
    </xdr:from>
    <xdr:to>
      <xdr:col>13</xdr:col>
      <xdr:colOff>67396</xdr:colOff>
      <xdr:row>118</xdr:row>
      <xdr:rowOff>123898</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7058025" y="19078575"/>
          <a:ext cx="5163271" cy="523948"/>
        </a:xfrm>
        <a:prstGeom prst="rect">
          <a:avLst/>
        </a:prstGeom>
      </xdr:spPr>
    </xdr:pic>
    <xdr:clientData/>
  </xdr:twoCellAnchor>
  <xdr:twoCellAnchor editAs="oneCell">
    <xdr:from>
      <xdr:col>7</xdr:col>
      <xdr:colOff>28575</xdr:colOff>
      <xdr:row>118</xdr:row>
      <xdr:rowOff>152400</xdr:rowOff>
    </xdr:from>
    <xdr:to>
      <xdr:col>13</xdr:col>
      <xdr:colOff>105496</xdr:colOff>
      <xdr:row>123</xdr:row>
      <xdr:rowOff>28691</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a:stretch>
          <a:fillRect/>
        </a:stretch>
      </xdr:blipFill>
      <xdr:spPr>
        <a:xfrm>
          <a:off x="7096125" y="19631025"/>
          <a:ext cx="5163271" cy="828791"/>
        </a:xfrm>
        <a:prstGeom prst="rect">
          <a:avLst/>
        </a:prstGeom>
      </xdr:spPr>
    </xdr:pic>
    <xdr:clientData/>
  </xdr:twoCellAnchor>
  <xdr:twoCellAnchor editAs="oneCell">
    <xdr:from>
      <xdr:col>7</xdr:col>
      <xdr:colOff>114300</xdr:colOff>
      <xdr:row>122</xdr:row>
      <xdr:rowOff>114301</xdr:rowOff>
    </xdr:from>
    <xdr:to>
      <xdr:col>17</xdr:col>
      <xdr:colOff>229701</xdr:colOff>
      <xdr:row>128</xdr:row>
      <xdr:rowOff>133351</xdr:rowOff>
    </xdr:to>
    <xdr:pic>
      <xdr:nvPicPr>
        <xdr:cNvPr id="4" name="Picture 3">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3"/>
        <a:stretch>
          <a:fillRect/>
        </a:stretch>
      </xdr:blipFill>
      <xdr:spPr>
        <a:xfrm>
          <a:off x="7181850" y="20545426"/>
          <a:ext cx="8354526" cy="1162050"/>
        </a:xfrm>
        <a:prstGeom prst="rect">
          <a:avLst/>
        </a:prstGeom>
      </xdr:spPr>
    </xdr:pic>
    <xdr:clientData/>
  </xdr:twoCellAnchor>
  <xdr:twoCellAnchor editAs="oneCell">
    <xdr:from>
      <xdr:col>5</xdr:col>
      <xdr:colOff>0</xdr:colOff>
      <xdr:row>175</xdr:row>
      <xdr:rowOff>0</xdr:rowOff>
    </xdr:from>
    <xdr:to>
      <xdr:col>14</xdr:col>
      <xdr:colOff>227618</xdr:colOff>
      <xdr:row>191</xdr:row>
      <xdr:rowOff>9143</xdr:rowOff>
    </xdr:to>
    <xdr:pic>
      <xdr:nvPicPr>
        <xdr:cNvPr id="5" name="Picture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4"/>
        <a:stretch>
          <a:fillRect/>
        </a:stretch>
      </xdr:blipFill>
      <xdr:spPr>
        <a:xfrm>
          <a:off x="5372100" y="25974675"/>
          <a:ext cx="7857143" cy="30571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cifoundation.sharepoint.com/SmartView/Files/04%20Jul20/SCIF_Management_Accounts_Jul20_21.08.20%20(JO%20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ANACS"/>
      <sheetName val=" Program Costs"/>
      <sheetName val="Rolled over budget"/>
      <sheetName val="Management Costs "/>
      <sheetName val="Consultancy &amp; Prof Fees"/>
      <sheetName val="Parameters"/>
      <sheetName val="TB"/>
      <sheetName val="P&amp;L by Award"/>
      <sheetName val="Prog costs"/>
      <sheetName val="Cost Centres"/>
    </sheetNames>
    <sheetDataSet>
      <sheetData sheetId="0"/>
      <sheetData sheetId="1"/>
      <sheetData sheetId="2"/>
      <sheetData sheetId="3"/>
      <sheetData sheetId="4"/>
      <sheetData sheetId="5"/>
      <sheetData sheetId="6">
        <row r="3">
          <cell r="B3">
            <v>1</v>
          </cell>
        </row>
        <row r="5">
          <cell r="B5" t="str">
            <v>2021.00</v>
          </cell>
        </row>
        <row r="6">
          <cell r="B6" t="str">
            <v>2021.04</v>
          </cell>
        </row>
        <row r="8">
          <cell r="B8" t="str">
            <v>2021.00</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S63"/>
  <sheetViews>
    <sheetView topLeftCell="B13" zoomScaleNormal="100" workbookViewId="0">
      <selection activeCell="J21" sqref="J21"/>
    </sheetView>
  </sheetViews>
  <sheetFormatPr baseColWidth="10" defaultColWidth="9.1640625" defaultRowHeight="15" customHeight="1" outlineLevelRow="1" outlineLevelCol="1" x14ac:dyDescent="0.15"/>
  <cols>
    <col min="1" max="1" width="9.1640625" style="283" hidden="1" customWidth="1" outlineLevel="1"/>
    <col min="2" max="2" width="6.5" style="283" customWidth="1" collapsed="1"/>
    <col min="3" max="3" width="24.6640625" style="283" bestFit="1" customWidth="1"/>
    <col min="4" max="4" width="4.1640625" style="283" customWidth="1"/>
    <col min="5" max="5" width="9" style="284" customWidth="1"/>
    <col min="6" max="6" width="11.6640625" style="285" customWidth="1"/>
    <col min="7" max="7" width="1.6640625" style="286" customWidth="1"/>
    <col min="8" max="8" width="11.6640625" style="285" customWidth="1"/>
    <col min="9" max="9" width="1.6640625" style="286" customWidth="1"/>
    <col min="10" max="10" width="11.6640625" style="285" customWidth="1"/>
    <col min="11" max="11" width="2.6640625" style="286" customWidth="1"/>
    <col min="12" max="12" width="11.6640625" style="285" customWidth="1"/>
    <col min="13" max="13" width="1.6640625" style="286" customWidth="1"/>
    <col min="14" max="14" width="11.6640625" style="285" customWidth="1"/>
    <col min="15" max="15" width="1.6640625" style="286" customWidth="1"/>
    <col min="16" max="16" width="11.6640625" style="285" customWidth="1"/>
    <col min="17" max="17" width="9.1640625" style="283" customWidth="1"/>
    <col min="18" max="18" width="13.1640625" style="283" bestFit="1" customWidth="1"/>
    <col min="19" max="19" width="17.6640625" style="283" bestFit="1" customWidth="1"/>
    <col min="20" max="16384" width="9.1640625" style="283"/>
  </cols>
  <sheetData>
    <row r="1" spans="2:16" ht="15" customHeight="1" x14ac:dyDescent="0.15">
      <c r="B1" s="279" t="s">
        <v>528</v>
      </c>
      <c r="C1" s="279"/>
      <c r="D1" s="279"/>
      <c r="E1" s="280"/>
      <c r="F1" s="281"/>
      <c r="G1" s="282"/>
      <c r="H1" s="281"/>
      <c r="I1" s="282"/>
      <c r="J1" s="281"/>
      <c r="K1" s="282"/>
      <c r="L1" s="281"/>
      <c r="M1" s="282"/>
      <c r="N1" s="281"/>
      <c r="O1" s="282"/>
      <c r="P1" s="281"/>
    </row>
    <row r="2" spans="2:16" ht="15" customHeight="1" x14ac:dyDescent="0.15">
      <c r="B2" s="279"/>
    </row>
    <row r="3" spans="2:16" ht="15" customHeight="1" x14ac:dyDescent="0.15">
      <c r="B3" s="279" t="s">
        <v>529</v>
      </c>
      <c r="C3" s="279"/>
      <c r="D3" s="279"/>
      <c r="E3" s="280"/>
      <c r="F3" s="281"/>
      <c r="G3" s="282"/>
      <c r="H3" s="281"/>
      <c r="I3" s="282"/>
      <c r="J3" s="281"/>
      <c r="K3" s="282"/>
      <c r="L3" s="281"/>
      <c r="M3" s="282"/>
      <c r="N3" s="281"/>
      <c r="O3" s="282"/>
      <c r="P3" s="281"/>
    </row>
    <row r="4" spans="2:16" ht="15" customHeight="1" x14ac:dyDescent="0.15">
      <c r="B4" s="279" t="s">
        <v>530</v>
      </c>
      <c r="C4" s="279"/>
      <c r="D4" s="279"/>
      <c r="E4" s="280"/>
      <c r="F4" s="281"/>
      <c r="G4" s="282"/>
      <c r="H4" s="281"/>
      <c r="I4" s="282"/>
      <c r="J4" s="281"/>
      <c r="K4" s="282"/>
      <c r="L4" s="281"/>
      <c r="M4" s="282"/>
      <c r="N4" s="281"/>
      <c r="O4" s="282"/>
      <c r="P4" s="281"/>
    </row>
    <row r="5" spans="2:16" ht="15" customHeight="1" x14ac:dyDescent="0.15">
      <c r="B5" s="279"/>
    </row>
    <row r="6" spans="2:16" ht="15" customHeight="1" x14ac:dyDescent="0.15">
      <c r="B6" s="279" t="s">
        <v>692</v>
      </c>
      <c r="C6" s="279"/>
      <c r="D6" s="279"/>
      <c r="E6" s="280"/>
      <c r="F6" s="281"/>
      <c r="G6" s="282"/>
      <c r="H6" s="281"/>
      <c r="I6" s="282"/>
      <c r="J6" s="281"/>
      <c r="K6" s="282"/>
      <c r="L6" s="281"/>
      <c r="M6" s="282"/>
      <c r="N6" s="281"/>
      <c r="O6" s="282"/>
      <c r="P6" s="281"/>
    </row>
    <row r="7" spans="2:16" ht="15" customHeight="1" x14ac:dyDescent="0.15">
      <c r="B7" s="287"/>
      <c r="C7" s="287"/>
      <c r="D7" s="287"/>
      <c r="E7" s="288"/>
      <c r="F7" s="286"/>
      <c r="H7" s="286"/>
      <c r="J7" s="286"/>
      <c r="L7" s="286"/>
      <c r="N7" s="286"/>
      <c r="P7" s="286"/>
    </row>
    <row r="8" spans="2:16" ht="15" customHeight="1" x14ac:dyDescent="0.15">
      <c r="B8" s="289"/>
      <c r="C8" s="289"/>
      <c r="D8" s="289"/>
      <c r="E8" s="290"/>
      <c r="F8" s="291"/>
      <c r="G8" s="291"/>
      <c r="H8" s="291"/>
      <c r="I8" s="291"/>
      <c r="J8" s="291"/>
      <c r="K8" s="291"/>
      <c r="L8" s="291"/>
      <c r="M8" s="291"/>
      <c r="N8" s="291"/>
      <c r="O8" s="291"/>
      <c r="P8" s="291"/>
    </row>
    <row r="9" spans="2:16" ht="15" customHeight="1" x14ac:dyDescent="0.15">
      <c r="B9" s="287"/>
      <c r="C9" s="287"/>
      <c r="D9" s="287"/>
      <c r="E9" s="288"/>
      <c r="F9" s="286"/>
      <c r="H9" s="292">
        <v>2021</v>
      </c>
      <c r="J9" s="286"/>
      <c r="L9" s="286"/>
      <c r="N9" s="292">
        <v>2020</v>
      </c>
      <c r="P9" s="286"/>
    </row>
    <row r="10" spans="2:16" ht="15" customHeight="1" x14ac:dyDescent="0.15">
      <c r="B10" s="279"/>
      <c r="C10" s="279"/>
      <c r="D10" s="279"/>
      <c r="E10" s="280"/>
      <c r="F10" s="292" t="s">
        <v>280</v>
      </c>
      <c r="G10" s="293"/>
      <c r="H10" s="292" t="s">
        <v>362</v>
      </c>
      <c r="I10" s="293"/>
      <c r="J10" s="292" t="s">
        <v>531</v>
      </c>
      <c r="K10" s="293"/>
      <c r="L10" s="292" t="s">
        <v>280</v>
      </c>
      <c r="M10" s="293"/>
      <c r="N10" s="292" t="s">
        <v>362</v>
      </c>
      <c r="O10" s="293"/>
      <c r="P10" s="292" t="s">
        <v>531</v>
      </c>
    </row>
    <row r="11" spans="2:16" ht="15" customHeight="1" x14ac:dyDescent="0.15">
      <c r="B11" s="279"/>
      <c r="C11" s="279"/>
      <c r="D11" s="279"/>
      <c r="E11" s="280" t="s">
        <v>532</v>
      </c>
      <c r="F11" s="292" t="s">
        <v>533</v>
      </c>
      <c r="G11" s="293"/>
      <c r="H11" s="292" t="s">
        <v>533</v>
      </c>
      <c r="I11" s="293"/>
      <c r="J11" s="292" t="s">
        <v>690</v>
      </c>
      <c r="K11" s="293"/>
      <c r="L11" s="292" t="s">
        <v>533</v>
      </c>
      <c r="M11" s="293"/>
      <c r="N11" s="292" t="s">
        <v>533</v>
      </c>
      <c r="O11" s="293"/>
      <c r="P11" s="292" t="s">
        <v>534</v>
      </c>
    </row>
    <row r="12" spans="2:16" ht="15" customHeight="1" x14ac:dyDescent="0.15">
      <c r="B12" s="279"/>
      <c r="C12" s="279"/>
      <c r="D12" s="279"/>
      <c r="E12" s="280"/>
      <c r="F12" s="292"/>
      <c r="G12" s="293"/>
      <c r="H12" s="292"/>
      <c r="I12" s="293"/>
      <c r="J12" s="294">
        <v>44286</v>
      </c>
      <c r="K12" s="293"/>
      <c r="L12" s="292"/>
      <c r="M12" s="293"/>
      <c r="N12" s="292"/>
      <c r="O12" s="293"/>
      <c r="P12" s="294">
        <v>43921</v>
      </c>
    </row>
    <row r="13" spans="2:16" ht="15" customHeight="1" x14ac:dyDescent="0.15">
      <c r="B13" s="279"/>
      <c r="C13" s="279"/>
      <c r="D13" s="279"/>
      <c r="E13" s="280"/>
      <c r="F13" s="292"/>
      <c r="G13" s="293"/>
      <c r="H13" s="292"/>
      <c r="I13" s="293"/>
      <c r="J13" s="292"/>
      <c r="K13" s="293"/>
      <c r="L13" s="292"/>
      <c r="M13" s="293"/>
      <c r="N13" s="292"/>
      <c r="O13" s="293"/>
      <c r="P13" s="292"/>
    </row>
    <row r="14" spans="2:16" ht="15" customHeight="1" x14ac:dyDescent="0.15">
      <c r="B14" s="279"/>
      <c r="C14" s="279"/>
      <c r="D14" s="279"/>
      <c r="E14" s="280"/>
      <c r="F14" s="292" t="s">
        <v>363</v>
      </c>
      <c r="G14" s="293"/>
      <c r="H14" s="292" t="s">
        <v>363</v>
      </c>
      <c r="I14" s="293"/>
      <c r="J14" s="292" t="s">
        <v>363</v>
      </c>
      <c r="K14" s="293"/>
      <c r="L14" s="292" t="s">
        <v>363</v>
      </c>
      <c r="M14" s="293"/>
      <c r="N14" s="292" t="s">
        <v>363</v>
      </c>
      <c r="O14" s="293"/>
      <c r="P14" s="292" t="s">
        <v>363</v>
      </c>
    </row>
    <row r="15" spans="2:16" ht="15" customHeight="1" x14ac:dyDescent="0.15">
      <c r="B15" s="279" t="s">
        <v>535</v>
      </c>
      <c r="C15" s="279"/>
      <c r="D15" s="279"/>
    </row>
    <row r="16" spans="2:16" ht="3.75" customHeight="1" x14ac:dyDescent="0.15"/>
    <row r="17" spans="1:19" ht="15" customHeight="1" x14ac:dyDescent="0.15">
      <c r="B17" s="283" t="s">
        <v>536</v>
      </c>
      <c r="E17" s="295">
        <v>2</v>
      </c>
      <c r="F17" s="296">
        <f>'Note 2, 3, 4, 5'!D15</f>
        <v>4139610.21</v>
      </c>
      <c r="G17" s="297"/>
      <c r="H17" s="296">
        <f>'Note 2, 3, 4, 5'!F15</f>
        <v>0</v>
      </c>
      <c r="I17" s="297"/>
      <c r="J17" s="296">
        <f>SUM(F17:H17)</f>
        <v>4139610.21</v>
      </c>
      <c r="K17" s="297"/>
      <c r="L17" s="296">
        <f>'Note 2, 3, 4, 5'!J15</f>
        <v>3141703.88</v>
      </c>
      <c r="M17" s="297"/>
      <c r="N17" s="296">
        <f>'Note 2, 3, 4, 5'!L15</f>
        <v>0</v>
      </c>
      <c r="O17" s="297"/>
      <c r="P17" s="296">
        <f>SUM(L17:N17)</f>
        <v>3141703.88</v>
      </c>
    </row>
    <row r="18" spans="1:19" ht="7.5" customHeight="1" x14ac:dyDescent="0.15">
      <c r="E18" s="295"/>
      <c r="F18" s="296"/>
      <c r="G18" s="297"/>
      <c r="H18" s="296"/>
      <c r="I18" s="297"/>
      <c r="J18" s="296"/>
      <c r="K18" s="297"/>
      <c r="L18" s="296"/>
      <c r="M18" s="297"/>
      <c r="N18" s="296"/>
      <c r="O18" s="297"/>
      <c r="P18" s="296"/>
    </row>
    <row r="19" spans="1:19" ht="15" customHeight="1" x14ac:dyDescent="0.15">
      <c r="B19" s="283" t="s">
        <v>537</v>
      </c>
      <c r="E19" s="295">
        <v>3</v>
      </c>
      <c r="F19" s="296">
        <f>'Note 2, 3, 4, 5'!D30</f>
        <v>0</v>
      </c>
      <c r="G19" s="297"/>
      <c r="H19" s="296">
        <f>'Note 2, 3, 4, 5'!F30</f>
        <v>4464742.37</v>
      </c>
      <c r="I19" s="297"/>
      <c r="J19" s="296">
        <f>SUM(F19:H19)</f>
        <v>4464742.37</v>
      </c>
      <c r="K19" s="297"/>
      <c r="L19" s="296">
        <f>'Note 2, 3, 4, 5'!J30</f>
        <v>0</v>
      </c>
      <c r="M19" s="297"/>
      <c r="N19" s="296">
        <f>'Note 2, 3, 4, 5'!L30</f>
        <v>3582804.1499999994</v>
      </c>
      <c r="O19" s="297"/>
      <c r="P19" s="296">
        <f>SUM(L19:N19)</f>
        <v>3582804.1499999994</v>
      </c>
    </row>
    <row r="20" spans="1:19" ht="7.5" customHeight="1" x14ac:dyDescent="0.15">
      <c r="E20" s="295"/>
      <c r="F20" s="296"/>
      <c r="G20" s="297"/>
      <c r="H20" s="296"/>
      <c r="I20" s="297"/>
      <c r="J20" s="296"/>
      <c r="K20" s="297"/>
      <c r="L20" s="296"/>
      <c r="M20" s="297"/>
      <c r="N20" s="296"/>
      <c r="O20" s="297"/>
      <c r="P20" s="296"/>
    </row>
    <row r="21" spans="1:19" ht="15" customHeight="1" x14ac:dyDescent="0.15">
      <c r="B21" s="283" t="s">
        <v>538</v>
      </c>
      <c r="E21" s="295">
        <v>4</v>
      </c>
      <c r="F21" s="296">
        <f>'Note 2, 3, 4, 5'!D39</f>
        <v>27858.6</v>
      </c>
      <c r="G21" s="297"/>
      <c r="H21" s="296">
        <f>'Note 2, 3, 4, 5'!F39</f>
        <v>0</v>
      </c>
      <c r="I21" s="297"/>
      <c r="J21" s="296">
        <f>SUM(F21:H21)</f>
        <v>27858.6</v>
      </c>
      <c r="K21" s="297"/>
      <c r="L21" s="296">
        <f>'Note 2, 3, 4, 5'!J39</f>
        <v>11024.2</v>
      </c>
      <c r="M21" s="297"/>
      <c r="N21" s="296">
        <f>'Note 2, 3, 4, 5'!L39</f>
        <v>0</v>
      </c>
      <c r="O21" s="297"/>
      <c r="P21" s="296">
        <f>SUM(L21:N21)</f>
        <v>11024.2</v>
      </c>
    </row>
    <row r="22" spans="1:19" ht="15" customHeight="1" x14ac:dyDescent="0.15">
      <c r="F22" s="296"/>
      <c r="G22" s="297"/>
      <c r="H22" s="296"/>
      <c r="I22" s="297"/>
      <c r="J22" s="296"/>
      <c r="K22" s="297"/>
      <c r="L22" s="296"/>
      <c r="M22" s="297"/>
      <c r="N22" s="296"/>
      <c r="O22" s="297"/>
      <c r="P22" s="296"/>
    </row>
    <row r="23" spans="1:19" ht="15" customHeight="1" x14ac:dyDescent="0.15">
      <c r="A23" s="305" t="s">
        <v>719</v>
      </c>
      <c r="B23" s="279" t="s">
        <v>539</v>
      </c>
      <c r="C23" s="279"/>
      <c r="D23" s="279"/>
      <c r="E23" s="280"/>
      <c r="F23" s="298">
        <f>SUM(F17:F21)</f>
        <v>4167468.81</v>
      </c>
      <c r="G23" s="297"/>
      <c r="H23" s="298">
        <f>SUM(H17:H21)</f>
        <v>4464742.37</v>
      </c>
      <c r="I23" s="297"/>
      <c r="J23" s="298">
        <f>SUM(J17:J21)</f>
        <v>8632211.1799999997</v>
      </c>
      <c r="K23" s="297"/>
      <c r="L23" s="298">
        <f>SUM(L17:L21)</f>
        <v>3152728.08</v>
      </c>
      <c r="M23" s="297"/>
      <c r="N23" s="298">
        <f>SUM(N17:N21)</f>
        <v>3582804.1499999994</v>
      </c>
      <c r="O23" s="297"/>
      <c r="P23" s="298">
        <f>SUM(P17:P21)</f>
        <v>6735532.2299999995</v>
      </c>
      <c r="R23" s="299">
        <f>VLOOKUP(A23,TB!I:L,4,FALSE)+J23</f>
        <v>0</v>
      </c>
      <c r="S23" s="300"/>
    </row>
    <row r="24" spans="1:19" ht="7.5" customHeight="1" x14ac:dyDescent="0.15">
      <c r="F24" s="296"/>
      <c r="G24" s="297"/>
      <c r="H24" s="296"/>
      <c r="I24" s="297"/>
      <c r="J24" s="296"/>
      <c r="K24" s="297"/>
      <c r="L24" s="296"/>
      <c r="M24" s="297"/>
      <c r="N24" s="296"/>
      <c r="O24" s="297"/>
      <c r="P24" s="296"/>
    </row>
    <row r="25" spans="1:19" ht="15" customHeight="1" x14ac:dyDescent="0.15">
      <c r="B25" s="279" t="s">
        <v>540</v>
      </c>
      <c r="C25" s="279"/>
      <c r="D25" s="279"/>
      <c r="E25" s="280"/>
      <c r="F25" s="296"/>
      <c r="G25" s="297"/>
      <c r="H25" s="296"/>
      <c r="I25" s="297"/>
      <c r="J25" s="296"/>
      <c r="K25" s="297"/>
      <c r="L25" s="296"/>
      <c r="M25" s="297"/>
      <c r="N25" s="296"/>
      <c r="O25" s="297"/>
      <c r="P25" s="296"/>
    </row>
    <row r="26" spans="1:19" ht="5.25" customHeight="1" x14ac:dyDescent="0.15">
      <c r="B26" s="279"/>
      <c r="C26" s="279"/>
      <c r="D26" s="279"/>
      <c r="E26" s="280"/>
      <c r="F26" s="296"/>
      <c r="G26" s="297"/>
      <c r="H26" s="296"/>
      <c r="I26" s="297"/>
      <c r="J26" s="296"/>
      <c r="K26" s="297"/>
      <c r="L26" s="296"/>
      <c r="M26" s="297"/>
      <c r="N26" s="296"/>
      <c r="O26" s="297"/>
      <c r="P26" s="296"/>
    </row>
    <row r="27" spans="1:19" ht="15" customHeight="1" x14ac:dyDescent="0.15">
      <c r="B27" s="283" t="s">
        <v>541</v>
      </c>
      <c r="E27" s="295">
        <v>6</v>
      </c>
      <c r="F27" s="296">
        <f>'Note 6 (1)'!L12-H27</f>
        <v>206580.26</v>
      </c>
      <c r="G27" s="297"/>
      <c r="H27" s="296">
        <f>'Cost Centres'!AF97</f>
        <v>23900.270000000004</v>
      </c>
      <c r="I27" s="297"/>
      <c r="J27" s="296">
        <f>SUM(F27:H27)</f>
        <v>230480.53000000003</v>
      </c>
      <c r="K27" s="297"/>
      <c r="L27" s="296">
        <f>'Note 6 (1)'!L21-N27</f>
        <v>110068.84000000001</v>
      </c>
      <c r="M27" s="297"/>
      <c r="N27" s="296">
        <v>33202.36</v>
      </c>
      <c r="O27" s="297"/>
      <c r="P27" s="296">
        <f>SUM(L27:N27)</f>
        <v>143271.20000000001</v>
      </c>
      <c r="S27" s="301"/>
    </row>
    <row r="28" spans="1:19" ht="15" customHeight="1" x14ac:dyDescent="0.15">
      <c r="E28" s="292"/>
      <c r="F28" s="296"/>
      <c r="G28" s="297"/>
      <c r="H28" s="296"/>
      <c r="I28" s="297"/>
      <c r="J28" s="296"/>
      <c r="K28" s="297"/>
      <c r="L28" s="296"/>
      <c r="M28" s="297"/>
      <c r="N28" s="296"/>
      <c r="O28" s="297"/>
      <c r="P28" s="296"/>
    </row>
    <row r="29" spans="1:19" ht="15" customHeight="1" x14ac:dyDescent="0.15">
      <c r="B29" s="283" t="s">
        <v>537</v>
      </c>
      <c r="E29" s="295"/>
      <c r="F29" s="296"/>
      <c r="G29" s="297"/>
      <c r="H29" s="296"/>
      <c r="I29" s="297"/>
      <c r="J29" s="296"/>
      <c r="K29" s="297"/>
      <c r="L29" s="296"/>
      <c r="M29" s="297"/>
      <c r="N29" s="296"/>
      <c r="O29" s="297"/>
      <c r="P29" s="296"/>
    </row>
    <row r="30" spans="1:19" ht="15" customHeight="1" x14ac:dyDescent="0.15">
      <c r="C30" s="283" t="s">
        <v>542</v>
      </c>
      <c r="E30" s="295">
        <v>6</v>
      </c>
      <c r="F30" s="296">
        <f>'Note 6 (2)'!D43</f>
        <v>3342050.2</v>
      </c>
      <c r="G30" s="297"/>
      <c r="H30" s="296">
        <f>'Note 6 (2)'!F43</f>
        <v>3236589.24</v>
      </c>
      <c r="I30" s="297"/>
      <c r="J30" s="296">
        <f>SUM(F30:H30)</f>
        <v>6578639.4400000004</v>
      </c>
      <c r="K30" s="297"/>
      <c r="L30" s="296">
        <f>'Note 6 (2)'!J43</f>
        <v>3032164.2800000003</v>
      </c>
      <c r="M30" s="297"/>
      <c r="N30" s="296">
        <f>'Note 6 (2)'!L43</f>
        <v>2375113.5</v>
      </c>
      <c r="O30" s="297"/>
      <c r="P30" s="296">
        <f>SUM(L30:N30)</f>
        <v>5407277.7800000003</v>
      </c>
      <c r="S30" s="302"/>
    </row>
    <row r="31" spans="1:19" ht="15" customHeight="1" x14ac:dyDescent="0.15">
      <c r="C31" s="283" t="s">
        <v>211</v>
      </c>
      <c r="E31" s="295">
        <v>6</v>
      </c>
      <c r="F31" s="296">
        <f>'Note 6 (1)'!L14-H31</f>
        <v>1304305.9699999997</v>
      </c>
      <c r="G31" s="297"/>
      <c r="H31" s="296">
        <f>'Cost Centres'!AE97-H27</f>
        <v>888372.62</v>
      </c>
      <c r="I31" s="297"/>
      <c r="J31" s="296">
        <f>SUM(F31:H31)</f>
        <v>2192678.59</v>
      </c>
      <c r="K31" s="297"/>
      <c r="L31" s="296">
        <f>'Note 6 (1)'!L23-N31</f>
        <v>817464.04000000015</v>
      </c>
      <c r="M31" s="297"/>
      <c r="N31" s="296">
        <v>861911.19999999984</v>
      </c>
      <c r="O31" s="297"/>
      <c r="P31" s="296">
        <f>SUM(L31:N31)</f>
        <v>1679375.24</v>
      </c>
      <c r="R31" s="303"/>
      <c r="S31" s="301"/>
    </row>
    <row r="32" spans="1:19" ht="5.25" customHeight="1" x14ac:dyDescent="0.15">
      <c r="E32" s="295"/>
      <c r="F32" s="296"/>
      <c r="G32" s="297"/>
      <c r="H32" s="296"/>
      <c r="I32" s="297"/>
      <c r="J32" s="296"/>
      <c r="K32" s="297"/>
      <c r="L32" s="296"/>
      <c r="M32" s="297"/>
      <c r="N32" s="296"/>
      <c r="O32" s="297"/>
      <c r="P32" s="296"/>
    </row>
    <row r="33" spans="1:19" ht="15" customHeight="1" x14ac:dyDescent="0.15">
      <c r="A33" s="305" t="s">
        <v>720</v>
      </c>
      <c r="B33" s="279" t="s">
        <v>543</v>
      </c>
      <c r="C33" s="279"/>
      <c r="D33" s="279"/>
      <c r="E33" s="295">
        <v>6</v>
      </c>
      <c r="F33" s="298">
        <f>SUM(F27:F31)</f>
        <v>4852936.43</v>
      </c>
      <c r="G33" s="297"/>
      <c r="H33" s="298">
        <f>SUM(H27:H31)</f>
        <v>4148862.1300000004</v>
      </c>
      <c r="I33" s="297"/>
      <c r="J33" s="298">
        <f>SUM(J27:J31)</f>
        <v>9001798.5600000005</v>
      </c>
      <c r="K33" s="297"/>
      <c r="L33" s="298">
        <f>SUM(L27:L31)</f>
        <v>3959697.16</v>
      </c>
      <c r="M33" s="297"/>
      <c r="N33" s="298">
        <f>SUM(N27:N31)</f>
        <v>3270227.0599999996</v>
      </c>
      <c r="O33" s="297"/>
      <c r="P33" s="298">
        <f>SUM(P27:P31)</f>
        <v>7229924.2200000007</v>
      </c>
      <c r="R33" s="299">
        <f>VLOOKUP(A33,TB!I:L,4,FALSE)-J33</f>
        <v>0</v>
      </c>
      <c r="S33" s="304"/>
    </row>
    <row r="34" spans="1:19" ht="9.75" customHeight="1" x14ac:dyDescent="0.15">
      <c r="B34" s="279"/>
      <c r="C34" s="279"/>
      <c r="D34" s="279"/>
      <c r="F34" s="296"/>
      <c r="G34" s="297"/>
      <c r="H34" s="296"/>
      <c r="I34" s="297"/>
      <c r="J34" s="296"/>
      <c r="K34" s="297"/>
      <c r="L34" s="296"/>
      <c r="M34" s="297"/>
      <c r="N34" s="296"/>
      <c r="O34" s="297"/>
      <c r="P34" s="296"/>
    </row>
    <row r="35" spans="1:19" ht="15" customHeight="1" x14ac:dyDescent="0.15">
      <c r="B35" s="279" t="s">
        <v>544</v>
      </c>
      <c r="E35" s="295"/>
      <c r="F35" s="283"/>
      <c r="G35" s="297"/>
      <c r="H35" s="283"/>
      <c r="I35" s="297"/>
      <c r="J35" s="283"/>
      <c r="K35" s="297"/>
      <c r="L35" s="283"/>
      <c r="M35" s="297"/>
      <c r="N35" s="283"/>
      <c r="O35" s="297"/>
      <c r="P35" s="283"/>
    </row>
    <row r="36" spans="1:19" ht="15" customHeight="1" x14ac:dyDescent="0.15">
      <c r="B36" s="279" t="s">
        <v>545</v>
      </c>
      <c r="F36" s="298">
        <f>F23-F33</f>
        <v>-685467.61999999965</v>
      </c>
      <c r="G36" s="297"/>
      <c r="H36" s="298">
        <f>H23-H33</f>
        <v>315880.23999999976</v>
      </c>
      <c r="I36" s="297"/>
      <c r="J36" s="298">
        <f>J23-J33</f>
        <v>-369587.38000000082</v>
      </c>
      <c r="K36" s="297"/>
      <c r="L36" s="298">
        <f>L23-L33</f>
        <v>-806969.08000000007</v>
      </c>
      <c r="M36" s="297"/>
      <c r="N36" s="298">
        <f>N23-N33</f>
        <v>312577.08999999985</v>
      </c>
      <c r="O36" s="297"/>
      <c r="P36" s="298">
        <f>P23-P33</f>
        <v>-494391.99000000115</v>
      </c>
    </row>
    <row r="37" spans="1:19" ht="15" customHeight="1" x14ac:dyDescent="0.15">
      <c r="B37" s="279"/>
      <c r="F37" s="296"/>
      <c r="G37" s="297"/>
      <c r="H37" s="296"/>
      <c r="I37" s="297"/>
      <c r="J37" s="296"/>
      <c r="K37" s="297"/>
      <c r="L37" s="296"/>
      <c r="M37" s="297"/>
      <c r="N37" s="296"/>
      <c r="O37" s="297"/>
      <c r="P37" s="296"/>
    </row>
    <row r="38" spans="1:19" ht="15" hidden="1" customHeight="1" outlineLevel="1" x14ac:dyDescent="0.15">
      <c r="A38" s="305">
        <v>7900</v>
      </c>
      <c r="B38" s="306" t="str">
        <f>VLOOKUP($A38,TB!$A:$E,3,FALSE)</f>
        <v>Exceptional Income &amp; Costs</v>
      </c>
      <c r="C38" s="306"/>
      <c r="D38" s="307"/>
      <c r="E38" s="306"/>
      <c r="F38" s="308">
        <v>0</v>
      </c>
      <c r="G38" s="309"/>
      <c r="H38" s="310"/>
      <c r="I38" s="309"/>
      <c r="J38" s="310"/>
      <c r="K38" s="297"/>
      <c r="L38" s="308">
        <v>3647120.07</v>
      </c>
      <c r="M38" s="309"/>
      <c r="N38" s="310"/>
      <c r="O38" s="309"/>
      <c r="P38" s="310"/>
    </row>
    <row r="39" spans="1:19" ht="15" hidden="1" customHeight="1" outlineLevel="1" x14ac:dyDescent="0.15">
      <c r="A39" s="305">
        <v>3100</v>
      </c>
      <c r="B39" s="306" t="str">
        <f>VLOOKUP($A39,TB!$A:$E,3,FALSE)</f>
        <v>Designated Funds</v>
      </c>
      <c r="C39" s="306"/>
      <c r="D39" s="307"/>
      <c r="E39" s="306"/>
      <c r="F39" s="308">
        <v>0</v>
      </c>
      <c r="G39" s="309"/>
      <c r="H39" s="310"/>
      <c r="I39" s="309"/>
      <c r="J39" s="310"/>
      <c r="K39" s="297"/>
      <c r="L39" s="308">
        <v>17671179.93</v>
      </c>
      <c r="M39" s="309"/>
      <c r="N39" s="310"/>
      <c r="O39" s="309"/>
      <c r="P39" s="310"/>
    </row>
    <row r="40" spans="1:19" ht="15" customHeight="1" collapsed="1" x14ac:dyDescent="0.15">
      <c r="B40" s="283" t="s">
        <v>526</v>
      </c>
      <c r="E40" s="284" t="s">
        <v>546</v>
      </c>
      <c r="F40" s="296">
        <f>SUM(F38:F39)</f>
        <v>0</v>
      </c>
      <c r="G40" s="296"/>
      <c r="H40" s="296">
        <v>0</v>
      </c>
      <c r="I40" s="297"/>
      <c r="J40" s="296">
        <f>SUM(F40:H40)</f>
        <v>0</v>
      </c>
      <c r="K40" s="297"/>
      <c r="L40" s="296">
        <f>SUM(L38:L39)</f>
        <v>21318300</v>
      </c>
      <c r="M40" s="297"/>
      <c r="N40" s="296">
        <v>0</v>
      </c>
      <c r="O40" s="297"/>
      <c r="P40" s="296">
        <f>SUM(L40:N40)</f>
        <v>21318300</v>
      </c>
    </row>
    <row r="41" spans="1:19" ht="15" customHeight="1" x14ac:dyDescent="0.15">
      <c r="B41" s="279"/>
      <c r="C41" s="279"/>
      <c r="D41" s="279"/>
      <c r="F41" s="296"/>
      <c r="G41" s="297"/>
      <c r="H41" s="296"/>
      <c r="I41" s="297"/>
      <c r="J41" s="296"/>
      <c r="K41" s="297"/>
      <c r="L41" s="296"/>
      <c r="M41" s="297"/>
      <c r="N41" s="296"/>
      <c r="O41" s="297"/>
      <c r="P41" s="296"/>
    </row>
    <row r="42" spans="1:19" ht="15" customHeight="1" x14ac:dyDescent="0.15">
      <c r="A42" s="305" t="s">
        <v>721</v>
      </c>
      <c r="B42" s="279" t="s">
        <v>547</v>
      </c>
      <c r="C42" s="279"/>
      <c r="D42" s="279"/>
      <c r="F42" s="311">
        <f>F36+F40</f>
        <v>-685467.61999999965</v>
      </c>
      <c r="G42" s="297"/>
      <c r="H42" s="311">
        <f>H36+H40</f>
        <v>315880.23999999976</v>
      </c>
      <c r="I42" s="297"/>
      <c r="J42" s="311">
        <f>J36+J40</f>
        <v>-369587.38000000082</v>
      </c>
      <c r="K42" s="297"/>
      <c r="L42" s="311">
        <f>L36+L40</f>
        <v>20511330.920000002</v>
      </c>
      <c r="M42" s="297"/>
      <c r="N42" s="311">
        <f>N36+N40</f>
        <v>312577.08999999985</v>
      </c>
      <c r="O42" s="297"/>
      <c r="P42" s="311">
        <f>P36+P40</f>
        <v>20823908.009999998</v>
      </c>
      <c r="R42" s="299">
        <f>VLOOKUP(A42,TB!I:L,4,FALSE)+J42</f>
        <v>-1.862645149230957E-9</v>
      </c>
    </row>
    <row r="43" spans="1:19" ht="15" customHeight="1" x14ac:dyDescent="0.15">
      <c r="F43" s="296"/>
      <c r="G43" s="297"/>
      <c r="H43" s="296"/>
      <c r="I43" s="297"/>
      <c r="J43" s="296"/>
      <c r="K43" s="297"/>
      <c r="L43" s="296"/>
      <c r="M43" s="297"/>
      <c r="N43" s="296"/>
      <c r="O43" s="297"/>
      <c r="P43" s="296"/>
    </row>
    <row r="44" spans="1:19" ht="15" customHeight="1" x14ac:dyDescent="0.15">
      <c r="B44" s="283" t="s">
        <v>548</v>
      </c>
      <c r="F44" s="296">
        <f>-H44</f>
        <v>315880.23999999976</v>
      </c>
      <c r="G44" s="297" t="s">
        <v>319</v>
      </c>
      <c r="H44" s="296">
        <f>-H42</f>
        <v>-315880.23999999976</v>
      </c>
      <c r="I44" s="297"/>
      <c r="J44" s="296">
        <f>SUM(F44:H44)</f>
        <v>0</v>
      </c>
      <c r="K44" s="297"/>
      <c r="L44" s="296">
        <f>-N44</f>
        <v>312577.08999999985</v>
      </c>
      <c r="M44" s="297" t="s">
        <v>319</v>
      </c>
      <c r="N44" s="296">
        <f>-N42</f>
        <v>-312577.08999999985</v>
      </c>
      <c r="O44" s="297"/>
      <c r="P44" s="296">
        <f>SUM(L44:N44)</f>
        <v>0</v>
      </c>
    </row>
    <row r="45" spans="1:19" ht="15" customHeight="1" x14ac:dyDescent="0.15">
      <c r="F45" s="296"/>
      <c r="G45" s="297"/>
      <c r="H45" s="296"/>
      <c r="I45" s="297"/>
      <c r="J45" s="296"/>
      <c r="K45" s="297"/>
      <c r="L45" s="296"/>
      <c r="M45" s="297"/>
      <c r="N45" s="296"/>
      <c r="O45" s="297"/>
      <c r="P45" s="296"/>
    </row>
    <row r="46" spans="1:19" ht="15" customHeight="1" x14ac:dyDescent="0.15">
      <c r="B46" s="279" t="s">
        <v>549</v>
      </c>
      <c r="C46" s="279"/>
      <c r="D46" s="279"/>
      <c r="F46" s="311">
        <f>SUM(F42:F44)</f>
        <v>-369587.37999999989</v>
      </c>
      <c r="G46" s="297"/>
      <c r="H46" s="311">
        <f>SUM(H42:H44)</f>
        <v>0</v>
      </c>
      <c r="I46" s="297"/>
      <c r="J46" s="311">
        <f>SUM(J42:J44)</f>
        <v>-369587.38000000082</v>
      </c>
      <c r="K46" s="297"/>
      <c r="L46" s="311">
        <f>SUM(L42:L44)</f>
        <v>20823908.010000002</v>
      </c>
      <c r="M46" s="297"/>
      <c r="N46" s="311">
        <f>SUM(N42:N44)</f>
        <v>0</v>
      </c>
      <c r="O46" s="297"/>
      <c r="P46" s="311">
        <f>SUM(P42:P44)</f>
        <v>20823908.009999998</v>
      </c>
    </row>
    <row r="47" spans="1:19" ht="15" customHeight="1" x14ac:dyDescent="0.15">
      <c r="B47" s="279"/>
      <c r="C47" s="279"/>
      <c r="D47" s="279"/>
      <c r="F47" s="297"/>
      <c r="G47" s="297"/>
      <c r="H47" s="297"/>
      <c r="I47" s="297"/>
      <c r="J47" s="297"/>
      <c r="K47" s="297"/>
      <c r="L47" s="297"/>
      <c r="M47" s="297"/>
      <c r="N47" s="297"/>
      <c r="O47" s="297"/>
      <c r="P47" s="297"/>
    </row>
    <row r="48" spans="1:19" ht="15" customHeight="1" x14ac:dyDescent="0.15">
      <c r="B48" s="279" t="s">
        <v>550</v>
      </c>
      <c r="C48" s="279"/>
      <c r="D48" s="279"/>
      <c r="F48" s="296"/>
      <c r="G48" s="297"/>
      <c r="H48" s="296"/>
      <c r="I48" s="297"/>
      <c r="J48" s="296"/>
      <c r="K48" s="297"/>
      <c r="L48" s="296"/>
      <c r="M48" s="297"/>
      <c r="N48" s="296"/>
      <c r="O48" s="297"/>
      <c r="P48" s="296"/>
    </row>
    <row r="49" spans="1:19" ht="5.25" customHeight="1" x14ac:dyDescent="0.15">
      <c r="B49" s="279"/>
      <c r="C49" s="279"/>
      <c r="D49" s="279"/>
      <c r="F49" s="296"/>
      <c r="G49" s="297"/>
      <c r="H49" s="296"/>
      <c r="I49" s="297"/>
      <c r="J49" s="296"/>
      <c r="K49" s="297"/>
      <c r="L49" s="296"/>
      <c r="M49" s="297"/>
      <c r="N49" s="296"/>
      <c r="O49" s="297"/>
      <c r="P49" s="296"/>
    </row>
    <row r="50" spans="1:19" ht="15" customHeight="1" x14ac:dyDescent="0.15">
      <c r="B50" s="283" t="s">
        <v>551</v>
      </c>
      <c r="F50" s="296">
        <f>L52</f>
        <v>20823908.010000002</v>
      </c>
      <c r="G50" s="297"/>
      <c r="H50" s="296">
        <f>N52</f>
        <v>0</v>
      </c>
      <c r="I50" s="297"/>
      <c r="J50" s="296">
        <f>SUM(F50:H50)</f>
        <v>20823908.010000002</v>
      </c>
      <c r="K50" s="297"/>
      <c r="L50" s="296">
        <v>0</v>
      </c>
      <c r="M50" s="297"/>
      <c r="N50" s="296">
        <v>0</v>
      </c>
      <c r="O50" s="297"/>
      <c r="P50" s="296">
        <v>0</v>
      </c>
    </row>
    <row r="51" spans="1:19" ht="8.25" customHeight="1" x14ac:dyDescent="0.15">
      <c r="F51" s="296"/>
      <c r="G51" s="297"/>
      <c r="H51" s="296"/>
      <c r="I51" s="297"/>
      <c r="J51" s="296"/>
      <c r="K51" s="297"/>
      <c r="L51" s="296"/>
      <c r="M51" s="297"/>
      <c r="N51" s="296"/>
      <c r="O51" s="297"/>
      <c r="P51" s="296"/>
    </row>
    <row r="52" spans="1:19" ht="15" customHeight="1" thickBot="1" x14ac:dyDescent="0.2">
      <c r="A52" s="305" t="s">
        <v>722</v>
      </c>
      <c r="B52" s="279" t="s">
        <v>552</v>
      </c>
      <c r="C52" s="279"/>
      <c r="D52" s="279"/>
      <c r="E52" s="280"/>
      <c r="F52" s="312">
        <f>SUM(F46:F50)</f>
        <v>20454320.630000003</v>
      </c>
      <c r="G52" s="297"/>
      <c r="H52" s="312">
        <f>SUM(H46:H50)</f>
        <v>0</v>
      </c>
      <c r="I52" s="297"/>
      <c r="J52" s="312">
        <f>SUM(J46:J50)</f>
        <v>20454320.630000003</v>
      </c>
      <c r="K52" s="297"/>
      <c r="L52" s="312">
        <f>SUM(L46:L50)</f>
        <v>20823908.010000002</v>
      </c>
      <c r="M52" s="297"/>
      <c r="N52" s="312">
        <f>SUM(N46:N50)</f>
        <v>0</v>
      </c>
      <c r="O52" s="297"/>
      <c r="P52" s="312">
        <f>SUM(P46:P50)</f>
        <v>20823908.009999998</v>
      </c>
      <c r="R52" s="299">
        <f>VLOOKUP(A52,TB!I:L,4,FALSE)+J52</f>
        <v>0</v>
      </c>
      <c r="S52" s="300"/>
    </row>
    <row r="53" spans="1:19" ht="15" customHeight="1" thickTop="1" x14ac:dyDescent="0.15">
      <c r="F53" s="313"/>
      <c r="G53" s="314"/>
      <c r="H53" s="313"/>
      <c r="I53" s="314"/>
      <c r="J53" s="313"/>
      <c r="K53" s="314"/>
      <c r="L53" s="313"/>
      <c r="M53" s="314"/>
      <c r="N53" s="313"/>
      <c r="O53" s="314"/>
      <c r="P53" s="313"/>
    </row>
    <row r="54" spans="1:19" ht="15" customHeight="1" x14ac:dyDescent="0.15">
      <c r="B54" s="315" t="s">
        <v>553</v>
      </c>
      <c r="C54" s="315"/>
      <c r="D54" s="315"/>
      <c r="E54" s="315"/>
      <c r="F54" s="315"/>
      <c r="G54" s="315"/>
      <c r="H54" s="315"/>
      <c r="I54" s="315"/>
      <c r="J54" s="315"/>
      <c r="K54" s="315"/>
      <c r="L54" s="315"/>
      <c r="M54" s="315"/>
      <c r="N54" s="315"/>
      <c r="O54" s="315"/>
      <c r="P54" s="315"/>
    </row>
    <row r="55" spans="1:19" ht="15" customHeight="1" x14ac:dyDescent="0.15">
      <c r="B55" s="283" t="s">
        <v>554</v>
      </c>
    </row>
    <row r="59" spans="1:19" ht="15" customHeight="1" x14ac:dyDescent="0.15">
      <c r="E59" s="316" t="s">
        <v>555</v>
      </c>
      <c r="F59" s="317">
        <f>-'P&amp;L by Award'!AL101+F44+F50</f>
        <v>20454320.629999999</v>
      </c>
      <c r="G59" s="297"/>
      <c r="H59" s="317">
        <f>-'P&amp;L by Award'!AM101+H44</f>
        <v>9.3132257461547852E-10</v>
      </c>
      <c r="I59" s="297"/>
      <c r="J59" s="317">
        <f>-'P&amp;L by Award'!AJ101+J50+F39</f>
        <v>20454320.629999999</v>
      </c>
      <c r="L59" s="317">
        <v>20823907.710000001</v>
      </c>
      <c r="M59" s="297"/>
      <c r="N59" s="317">
        <v>0.29999999888241291</v>
      </c>
      <c r="O59" s="297"/>
      <c r="P59" s="317">
        <v>20823908.009999998</v>
      </c>
    </row>
    <row r="60" spans="1:19" ht="15" customHeight="1" x14ac:dyDescent="0.15">
      <c r="E60" s="318" t="s">
        <v>395</v>
      </c>
      <c r="F60" s="299">
        <f>F$52-F59</f>
        <v>0</v>
      </c>
      <c r="G60" s="299"/>
      <c r="H60" s="299">
        <f>H$52-H59</f>
        <v>-9.3132257461547852E-10</v>
      </c>
      <c r="I60" s="299"/>
      <c r="J60" s="299">
        <f>J$52-J59</f>
        <v>0</v>
      </c>
      <c r="L60" s="299">
        <f>L$52-L59</f>
        <v>0.30000000074505806</v>
      </c>
      <c r="M60" s="299"/>
      <c r="N60" s="299">
        <f>N$52-N59</f>
        <v>-0.29999999888241291</v>
      </c>
      <c r="O60" s="299"/>
      <c r="P60" s="299">
        <f>P$52-P59</f>
        <v>0</v>
      </c>
    </row>
    <row r="62" spans="1:19" ht="15" customHeight="1" x14ac:dyDescent="0.15">
      <c r="E62" s="316" t="s">
        <v>556</v>
      </c>
      <c r="F62" s="319">
        <v>20454320.630000003</v>
      </c>
      <c r="G62" s="320"/>
      <c r="H62" s="319">
        <v>0</v>
      </c>
      <c r="I62" s="320"/>
      <c r="J62" s="319">
        <v>20454320.630000003</v>
      </c>
      <c r="L62" s="319">
        <f>20807908.01+16000</f>
        <v>20823908.010000002</v>
      </c>
      <c r="M62" s="320"/>
      <c r="N62" s="319">
        <v>0</v>
      </c>
      <c r="O62" s="320"/>
      <c r="P62" s="319">
        <f>20807908.01+16000</f>
        <v>20823908.010000002</v>
      </c>
    </row>
    <row r="63" spans="1:19" ht="15" customHeight="1" x14ac:dyDescent="0.15">
      <c r="E63" s="318" t="s">
        <v>395</v>
      </c>
      <c r="F63" s="299">
        <f>F$52-F62</f>
        <v>0</v>
      </c>
      <c r="G63" s="299"/>
      <c r="H63" s="299">
        <f>H$52-H62</f>
        <v>0</v>
      </c>
      <c r="I63" s="299"/>
      <c r="J63" s="299">
        <f>J$52-J62</f>
        <v>0</v>
      </c>
      <c r="L63" s="299">
        <f>L$52-L62</f>
        <v>0</v>
      </c>
      <c r="M63" s="299"/>
      <c r="N63" s="299">
        <f>N$52-N62</f>
        <v>0</v>
      </c>
      <c r="O63" s="299"/>
      <c r="P63" s="299">
        <f>P$52-P62</f>
        <v>0</v>
      </c>
    </row>
  </sheetData>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48"/>
  <sheetViews>
    <sheetView tabSelected="1" topLeftCell="C3" zoomScaleNormal="100" workbookViewId="0">
      <pane xSplit="2" ySplit="5" topLeftCell="E8" activePane="bottomRight" state="frozen"/>
      <selection activeCell="C3" sqref="C3"/>
      <selection pane="topRight" activeCell="E3" sqref="E3"/>
      <selection pane="bottomLeft" activeCell="C8" sqref="C8"/>
      <selection pane="bottomRight" activeCell="N43" sqref="N43"/>
    </sheetView>
  </sheetViews>
  <sheetFormatPr baseColWidth="10" defaultColWidth="9.1640625" defaultRowHeight="14" outlineLevelRow="1" outlineLevelCol="1" x14ac:dyDescent="0.15"/>
  <cols>
    <col min="1" max="1" width="6.6640625" style="51" hidden="1" customWidth="1" outlineLevel="1"/>
    <col min="2" max="2" width="4.6640625" style="51" hidden="1" customWidth="1" outlineLevel="1"/>
    <col min="3" max="3" width="2.5" style="55" customWidth="1" collapsed="1"/>
    <col min="4" max="4" width="40" style="113" customWidth="1"/>
    <col min="5" max="5" width="2.6640625" style="113" customWidth="1"/>
    <col min="6" max="6" width="11.6640625" style="198" customWidth="1"/>
    <col min="7" max="8" width="12.6640625" style="198" customWidth="1"/>
    <col min="9" max="9" width="7.6640625" style="198" customWidth="1"/>
    <col min="10" max="10" width="2.6640625" style="113" customWidth="1"/>
    <col min="11" max="13" width="11.6640625" style="113" customWidth="1"/>
    <col min="14" max="14" width="12.6640625" style="113" customWidth="1"/>
    <col min="15" max="16" width="11.6640625" style="113" customWidth="1"/>
    <col min="17" max="16384" width="9.1640625" style="113"/>
  </cols>
  <sheetData>
    <row r="1" spans="1:16" hidden="1" outlineLevel="1" x14ac:dyDescent="0.15">
      <c r="K1" s="78"/>
      <c r="L1" s="78"/>
      <c r="M1" s="78"/>
      <c r="O1" s="78" t="s">
        <v>274</v>
      </c>
    </row>
    <row r="2" spans="1:16" hidden="1" outlineLevel="1" x14ac:dyDescent="0.15">
      <c r="K2" s="78"/>
      <c r="L2" s="78"/>
      <c r="M2" s="78"/>
      <c r="O2" s="228">
        <f>HLOOKUP(O1,'P&amp;L by Award'!2:3,2,FALSE)</f>
        <v>28</v>
      </c>
    </row>
    <row r="3" spans="1:16" ht="21" customHeight="1" collapsed="1" x14ac:dyDescent="0.2">
      <c r="C3" s="49"/>
      <c r="D3" s="115" t="s">
        <v>359</v>
      </c>
      <c r="E3" s="45"/>
      <c r="F3" s="45"/>
      <c r="G3" s="46"/>
      <c r="H3" s="46"/>
      <c r="I3" s="46"/>
      <c r="J3" s="45"/>
      <c r="K3" s="116"/>
      <c r="L3" s="116"/>
      <c r="M3" s="116"/>
      <c r="N3" s="116"/>
      <c r="O3" s="116"/>
      <c r="P3" s="116"/>
    </row>
    <row r="4" spans="1:16" ht="21" customHeight="1" x14ac:dyDescent="0.2">
      <c r="C4" s="49"/>
      <c r="D4" s="115" t="s">
        <v>361</v>
      </c>
      <c r="E4" s="45"/>
      <c r="F4" s="45"/>
      <c r="G4" s="46"/>
      <c r="H4" s="46"/>
      <c r="I4" s="46"/>
      <c r="J4" s="45"/>
      <c r="K4" s="116"/>
      <c r="L4" s="116"/>
      <c r="M4" s="116"/>
      <c r="N4" s="116"/>
      <c r="O4" s="116"/>
      <c r="P4" s="116"/>
    </row>
    <row r="5" spans="1:16" ht="21" customHeight="1" x14ac:dyDescent="0.2">
      <c r="C5" s="49"/>
      <c r="D5" s="115" t="str">
        <f>"For the Year to "&amp;Parameters!$B$14</f>
        <v>For the Year to 31 March 2021</v>
      </c>
      <c r="E5" s="46"/>
      <c r="F5" s="46"/>
      <c r="G5" s="45"/>
      <c r="H5" s="45"/>
      <c r="I5" s="45"/>
      <c r="J5" s="46"/>
      <c r="K5" s="116"/>
      <c r="L5" s="116"/>
      <c r="M5" s="116"/>
      <c r="N5" s="116"/>
      <c r="O5" s="116"/>
      <c r="P5" s="116"/>
    </row>
    <row r="6" spans="1:16" ht="15" customHeight="1" x14ac:dyDescent="0.15">
      <c r="C6" s="49"/>
      <c r="D6" s="47"/>
      <c r="E6" s="49"/>
      <c r="F6" s="48"/>
      <c r="G6" s="46"/>
      <c r="H6" s="48"/>
      <c r="I6" s="48"/>
      <c r="J6" s="49"/>
      <c r="K6" s="60" t="s">
        <v>760</v>
      </c>
      <c r="L6" s="60"/>
      <c r="M6" s="60"/>
      <c r="N6" s="60"/>
      <c r="O6" s="60"/>
      <c r="P6" s="60"/>
    </row>
    <row r="7" spans="1:16" s="199" customFormat="1" ht="45" customHeight="1" x14ac:dyDescent="0.15">
      <c r="A7" s="194"/>
      <c r="B7" s="194"/>
      <c r="C7" s="50"/>
      <c r="D7" s="192"/>
      <c r="E7" s="50"/>
      <c r="F7" s="192" t="s">
        <v>444</v>
      </c>
      <c r="G7" s="225" t="s">
        <v>284</v>
      </c>
      <c r="H7" s="230" t="s">
        <v>471</v>
      </c>
      <c r="I7" s="191" t="s">
        <v>326</v>
      </c>
      <c r="J7" s="50"/>
      <c r="K7" s="174" t="s">
        <v>350</v>
      </c>
      <c r="L7" s="174" t="s">
        <v>353</v>
      </c>
      <c r="M7" s="174" t="s">
        <v>352</v>
      </c>
      <c r="N7" s="177" t="s">
        <v>211</v>
      </c>
      <c r="O7" s="174" t="s">
        <v>280</v>
      </c>
      <c r="P7" s="177" t="s">
        <v>284</v>
      </c>
    </row>
    <row r="8" spans="1:16" ht="15" customHeight="1" x14ac:dyDescent="0.15">
      <c r="C8" s="49"/>
      <c r="D8" s="49"/>
      <c r="E8" s="49"/>
      <c r="F8" s="168" t="s">
        <v>363</v>
      </c>
      <c r="G8" s="168" t="s">
        <v>363</v>
      </c>
      <c r="H8" s="168" t="s">
        <v>363</v>
      </c>
      <c r="I8" s="49"/>
      <c r="J8" s="49"/>
      <c r="K8" s="168" t="s">
        <v>363</v>
      </c>
      <c r="L8" s="168" t="s">
        <v>363</v>
      </c>
      <c r="M8" s="168" t="s">
        <v>363</v>
      </c>
      <c r="N8" s="168" t="s">
        <v>363</v>
      </c>
      <c r="O8" s="168" t="s">
        <v>363</v>
      </c>
      <c r="P8" s="168" t="s">
        <v>363</v>
      </c>
    </row>
    <row r="9" spans="1:16" ht="30" customHeight="1" x14ac:dyDescent="0.15">
      <c r="A9" s="82"/>
      <c r="B9" s="83"/>
      <c r="C9" s="49"/>
      <c r="D9" s="122" t="s">
        <v>32</v>
      </c>
      <c r="E9" s="49"/>
      <c r="F9" s="154">
        <v>3094000</v>
      </c>
      <c r="G9" s="210">
        <v>4138963.7</v>
      </c>
      <c r="H9" s="163">
        <v>1044963.7000000002</v>
      </c>
      <c r="I9" s="130">
        <v>0.33773875242404661</v>
      </c>
      <c r="J9" s="49"/>
      <c r="K9" s="154">
        <v>0</v>
      </c>
      <c r="L9" s="154">
        <v>0</v>
      </c>
      <c r="M9" s="154">
        <v>0</v>
      </c>
      <c r="N9" s="154">
        <v>0</v>
      </c>
      <c r="O9" s="154">
        <v>4138963.7</v>
      </c>
      <c r="P9" s="173">
        <f>SUM(K9:M9,N9:O9)</f>
        <v>4138963.7</v>
      </c>
    </row>
    <row r="10" spans="1:16" ht="30" customHeight="1" x14ac:dyDescent="0.15">
      <c r="C10" s="49"/>
      <c r="D10" s="123" t="s">
        <v>314</v>
      </c>
      <c r="E10" s="49"/>
      <c r="F10" s="154">
        <v>7974007</v>
      </c>
      <c r="G10" s="210">
        <v>4465388.8800000008</v>
      </c>
      <c r="H10" s="163">
        <v>-3508618.1199999992</v>
      </c>
      <c r="I10" s="130">
        <v>-0.44000690242684753</v>
      </c>
      <c r="J10" s="49"/>
      <c r="K10" s="154">
        <v>4108854.9899999998</v>
      </c>
      <c r="L10" s="154">
        <v>-33819.839999999997</v>
      </c>
      <c r="M10" s="154">
        <v>24313.919999999998</v>
      </c>
      <c r="N10" s="154">
        <v>365393.30000000005</v>
      </c>
      <c r="O10" s="154">
        <v>646.51</v>
      </c>
      <c r="P10" s="173">
        <f>SUM(K10:M10,N10:O10)</f>
        <v>4465388.88</v>
      </c>
    </row>
    <row r="11" spans="1:16" ht="30" customHeight="1" x14ac:dyDescent="0.15">
      <c r="A11" s="83">
        <v>4100</v>
      </c>
      <c r="B11" s="83">
        <f>'Cost Centres'!O$2</f>
        <v>15</v>
      </c>
      <c r="C11" s="49"/>
      <c r="D11" s="123" t="s">
        <v>502</v>
      </c>
      <c r="E11" s="49"/>
      <c r="F11" s="154">
        <v>0</v>
      </c>
      <c r="G11" s="210">
        <v>27858.6</v>
      </c>
      <c r="H11" s="163">
        <v>27858.6</v>
      </c>
      <c r="I11" s="130" t="s">
        <v>758</v>
      </c>
      <c r="J11" s="49"/>
      <c r="K11" s="154">
        <v>0</v>
      </c>
      <c r="L11" s="154">
        <v>0</v>
      </c>
      <c r="M11" s="154">
        <v>0</v>
      </c>
      <c r="N11" s="154">
        <v>0</v>
      </c>
      <c r="O11" s="154">
        <v>27858.6</v>
      </c>
      <c r="P11" s="173">
        <f>SUM(K11:M11,N11:O11)</f>
        <v>27858.6</v>
      </c>
    </row>
    <row r="12" spans="1:16" ht="20" customHeight="1" thickBot="1" x14ac:dyDescent="0.2">
      <c r="C12" s="49"/>
      <c r="D12" s="121" t="s">
        <v>312</v>
      </c>
      <c r="E12" s="53"/>
      <c r="F12" s="54">
        <f>SUM(F9,F10,F11)</f>
        <v>11068007</v>
      </c>
      <c r="G12" s="54">
        <f>SUM(G9,G10,G11)</f>
        <v>8632211.1800000016</v>
      </c>
      <c r="H12" s="54">
        <f>SUM(H9,H10,H11)</f>
        <v>-2435795.8199999989</v>
      </c>
      <c r="I12" s="57">
        <f>IF(F12=0,"-",H12/F12)</f>
        <v>-0.22007537761766854</v>
      </c>
      <c r="J12" s="53"/>
      <c r="K12" s="54">
        <f t="shared" ref="K12:P12" si="0">SUM(K9,K10,K11)</f>
        <v>4108854.9899999998</v>
      </c>
      <c r="L12" s="54">
        <f t="shared" si="0"/>
        <v>-33819.839999999997</v>
      </c>
      <c r="M12" s="54">
        <f t="shared" si="0"/>
        <v>24313.919999999998</v>
      </c>
      <c r="N12" s="54">
        <f t="shared" si="0"/>
        <v>365393.30000000005</v>
      </c>
      <c r="O12" s="54">
        <f t="shared" si="0"/>
        <v>4167468.81</v>
      </c>
      <c r="P12" s="54">
        <f t="shared" si="0"/>
        <v>8632211.1799999997</v>
      </c>
    </row>
    <row r="13" spans="1:16" ht="15" customHeight="1" x14ac:dyDescent="0.15">
      <c r="C13" s="49"/>
      <c r="D13" s="49"/>
      <c r="E13" s="49"/>
      <c r="F13" s="49"/>
      <c r="G13" s="49"/>
      <c r="H13" s="49"/>
      <c r="I13" s="49"/>
      <c r="J13" s="49"/>
      <c r="K13" s="201"/>
      <c r="L13" s="201"/>
      <c r="M13" s="201"/>
      <c r="N13" s="201"/>
      <c r="O13" s="201"/>
      <c r="P13" s="201"/>
    </row>
    <row r="14" spans="1:16" ht="30" customHeight="1" x14ac:dyDescent="0.15">
      <c r="C14" s="49"/>
      <c r="D14" s="124" t="s">
        <v>281</v>
      </c>
      <c r="E14" s="49"/>
      <c r="F14" s="154">
        <v>13369709.976923076</v>
      </c>
      <c r="G14" s="210">
        <v>6520727.9699999997</v>
      </c>
      <c r="H14" s="163">
        <v>6848982.0069230767</v>
      </c>
      <c r="I14" s="130">
        <v>0.51227603431524182</v>
      </c>
      <c r="J14" s="49"/>
      <c r="K14" s="154">
        <v>3149624.59</v>
      </c>
      <c r="L14" s="154">
        <v>-62867.8</v>
      </c>
      <c r="M14" s="154">
        <v>18735.349999999999</v>
      </c>
      <c r="N14" s="154">
        <v>185834.43</v>
      </c>
      <c r="O14" s="154">
        <v>3229401.4</v>
      </c>
      <c r="P14" s="173">
        <f>SUM(K14:M14,N14:O14)</f>
        <v>6520727.9700000007</v>
      </c>
    </row>
    <row r="15" spans="1:16" ht="30" customHeight="1" x14ac:dyDescent="0.15">
      <c r="C15" s="49"/>
      <c r="D15" s="212" t="s">
        <v>451</v>
      </c>
      <c r="E15" s="49"/>
      <c r="F15" s="213">
        <v>333683.69230769231</v>
      </c>
      <c r="G15" s="210">
        <v>132047.43</v>
      </c>
      <c r="H15" s="163">
        <v>201636.26230769232</v>
      </c>
      <c r="I15" s="130">
        <v>0.60427364883556245</v>
      </c>
      <c r="J15" s="49"/>
      <c r="K15" s="154">
        <v>0</v>
      </c>
      <c r="L15" s="213">
        <v>0</v>
      </c>
      <c r="M15" s="213">
        <v>0</v>
      </c>
      <c r="N15" s="154">
        <v>0</v>
      </c>
      <c r="O15" s="213">
        <v>132047.43</v>
      </c>
      <c r="P15" s="173">
        <f>SUM(K15:M15,N15:O15)</f>
        <v>132047.43</v>
      </c>
    </row>
    <row r="16" spans="1:16" ht="30" customHeight="1" x14ac:dyDescent="0.15">
      <c r="C16" s="49"/>
      <c r="D16" s="124" t="s">
        <v>315</v>
      </c>
      <c r="E16" s="49"/>
      <c r="F16" s="154">
        <v>2634435.4085000004</v>
      </c>
      <c r="G16" s="210">
        <v>2327896.2300000004</v>
      </c>
      <c r="H16" s="163">
        <v>306539.17849999992</v>
      </c>
      <c r="I16" s="130">
        <v>0.11635858579449392</v>
      </c>
      <c r="J16" s="49"/>
      <c r="K16" s="154">
        <v>677263.35</v>
      </c>
      <c r="L16" s="154">
        <v>34171.439999999995</v>
      </c>
      <c r="M16" s="154">
        <v>5383.51</v>
      </c>
      <c r="N16" s="154">
        <v>135711.19</v>
      </c>
      <c r="O16" s="154">
        <v>1475366.74</v>
      </c>
      <c r="P16" s="173">
        <f>SUM(K16:M16,N16:O16)</f>
        <v>2327896.23</v>
      </c>
    </row>
    <row r="17" spans="1:17" ht="30" customHeight="1" x14ac:dyDescent="0.15">
      <c r="A17" s="80"/>
      <c r="B17" s="80"/>
      <c r="C17" s="49"/>
      <c r="D17" s="63" t="s">
        <v>316</v>
      </c>
      <c r="E17" s="49"/>
      <c r="F17" s="154">
        <v>0</v>
      </c>
      <c r="G17" s="210">
        <v>21126.93</v>
      </c>
      <c r="H17" s="163">
        <v>-21126.93</v>
      </c>
      <c r="I17" s="130" t="s">
        <v>758</v>
      </c>
      <c r="J17" s="49"/>
      <c r="K17" s="154">
        <v>0</v>
      </c>
      <c r="L17" s="154">
        <v>4203</v>
      </c>
      <c r="M17" s="154">
        <v>414.55</v>
      </c>
      <c r="N17" s="154">
        <v>388.52</v>
      </c>
      <c r="O17" s="154">
        <v>16120.860000000002</v>
      </c>
      <c r="P17" s="173">
        <f>SUM(K17:O17)</f>
        <v>21126.93</v>
      </c>
    </row>
    <row r="18" spans="1:17" ht="20" customHeight="1" thickBot="1" x14ac:dyDescent="0.2">
      <c r="C18" s="49"/>
      <c r="D18" s="56" t="s">
        <v>317</v>
      </c>
      <c r="E18" s="53"/>
      <c r="F18" s="52">
        <f>SUM(F14:F16,F17)</f>
        <v>16337829.077730769</v>
      </c>
      <c r="G18" s="52">
        <f>SUM(G14:G16,G17)</f>
        <v>9001798.5599999987</v>
      </c>
      <c r="H18" s="52">
        <f>SUM(H14:H16,H17)</f>
        <v>7336030.5177307688</v>
      </c>
      <c r="I18" s="57">
        <f>IF(F18=0,"-",H18/F18)</f>
        <v>0.4490211326626084</v>
      </c>
      <c r="J18" s="53"/>
      <c r="K18" s="52">
        <f t="shared" ref="K18:P18" si="1">SUM(K14:K16,K17)</f>
        <v>3826887.94</v>
      </c>
      <c r="L18" s="52">
        <f t="shared" si="1"/>
        <v>-24493.360000000008</v>
      </c>
      <c r="M18" s="52">
        <f t="shared" si="1"/>
        <v>24533.41</v>
      </c>
      <c r="N18" s="52">
        <f t="shared" si="1"/>
        <v>321934.14</v>
      </c>
      <c r="O18" s="52">
        <f t="shared" si="1"/>
        <v>4852936.4300000006</v>
      </c>
      <c r="P18" s="52">
        <f t="shared" si="1"/>
        <v>9001798.5600000005</v>
      </c>
    </row>
    <row r="19" spans="1:17" ht="15" customHeight="1" x14ac:dyDescent="0.15">
      <c r="C19" s="49"/>
      <c r="D19" s="49"/>
      <c r="E19" s="49"/>
      <c r="F19" s="49"/>
      <c r="G19" s="49"/>
      <c r="H19" s="49"/>
      <c r="I19" s="49"/>
      <c r="J19" s="49"/>
      <c r="K19" s="201"/>
      <c r="L19" s="201"/>
      <c r="M19" s="201"/>
      <c r="N19" s="201"/>
      <c r="O19" s="201"/>
      <c r="P19" s="201"/>
    </row>
    <row r="20" spans="1:17" ht="20" customHeight="1" thickBot="1" x14ac:dyDescent="0.2">
      <c r="C20" s="49"/>
      <c r="D20" s="58" t="s">
        <v>318</v>
      </c>
      <c r="E20" s="53"/>
      <c r="F20" s="52">
        <f>F12-F18</f>
        <v>-5269822.0777307693</v>
      </c>
      <c r="G20" s="52">
        <f>G12-G18</f>
        <v>-369587.37999999709</v>
      </c>
      <c r="H20" s="52">
        <f>H12+H18</f>
        <v>4900234.6977307703</v>
      </c>
      <c r="I20" s="57">
        <f>IF(F20=0,"-",-H20/F20)</f>
        <v>0.92986719958501018</v>
      </c>
      <c r="J20" s="53"/>
      <c r="K20" s="52">
        <f t="shared" ref="K20:P20" si="2">K12-K18</f>
        <v>281967.04999999981</v>
      </c>
      <c r="L20" s="52">
        <f t="shared" si="2"/>
        <v>-9326.4799999999886</v>
      </c>
      <c r="M20" s="52">
        <f t="shared" si="2"/>
        <v>-219.4900000000016</v>
      </c>
      <c r="N20" s="52">
        <f t="shared" si="2"/>
        <v>43459.160000000033</v>
      </c>
      <c r="O20" s="52">
        <f t="shared" si="2"/>
        <v>-685467.62000000058</v>
      </c>
      <c r="P20" s="52">
        <f t="shared" si="2"/>
        <v>-369587.38000000082</v>
      </c>
    </row>
    <row r="21" spans="1:17" x14ac:dyDescent="0.15">
      <c r="C21" s="49"/>
      <c r="D21" s="49"/>
      <c r="E21" s="49"/>
      <c r="F21" s="59"/>
      <c r="G21" s="59"/>
      <c r="H21" s="59"/>
      <c r="I21" s="59"/>
      <c r="J21" s="49"/>
      <c r="K21" s="49"/>
      <c r="L21" s="49"/>
      <c r="M21" s="49"/>
      <c r="N21" s="49"/>
      <c r="O21" s="49"/>
      <c r="P21" s="49"/>
    </row>
    <row r="22" spans="1:17" x14ac:dyDescent="0.15">
      <c r="C22" s="49"/>
      <c r="D22" s="49"/>
      <c r="E22" s="49"/>
      <c r="F22" s="59"/>
      <c r="G22" s="59"/>
      <c r="H22" s="59"/>
      <c r="I22" s="59"/>
      <c r="J22" s="49"/>
      <c r="K22" s="49"/>
      <c r="L22" s="49"/>
      <c r="M22" s="49"/>
      <c r="N22" s="49"/>
      <c r="O22" s="49"/>
      <c r="P22" s="49"/>
    </row>
    <row r="23" spans="1:17" x14ac:dyDescent="0.15">
      <c r="C23" s="49"/>
      <c r="D23" s="49"/>
      <c r="E23" s="49"/>
      <c r="F23" s="48"/>
      <c r="G23" s="48"/>
      <c r="H23" s="48"/>
      <c r="I23" s="48"/>
      <c r="J23" s="49"/>
      <c r="K23" s="49"/>
      <c r="L23" s="49"/>
      <c r="M23" s="49"/>
      <c r="N23" s="49"/>
      <c r="O23" s="49"/>
      <c r="P23" s="49"/>
    </row>
    <row r="24" spans="1:17" ht="21" customHeight="1" x14ac:dyDescent="0.2">
      <c r="C24" s="49"/>
      <c r="D24" s="462" t="str">
        <f>"Balance Sheet as at "&amp;Parameters!$B$14</f>
        <v>Balance Sheet as at 31 March 2021</v>
      </c>
      <c r="E24" s="45"/>
      <c r="F24" s="46"/>
      <c r="G24" s="46"/>
      <c r="H24" s="46"/>
      <c r="I24" s="46"/>
      <c r="J24" s="45"/>
      <c r="K24" s="115" t="s">
        <v>761</v>
      </c>
      <c r="L24" s="45"/>
      <c r="M24" s="45"/>
      <c r="N24" s="45"/>
      <c r="O24" s="45"/>
      <c r="P24" s="45"/>
    </row>
    <row r="25" spans="1:17" ht="7" customHeight="1" x14ac:dyDescent="0.15">
      <c r="C25" s="49"/>
      <c r="D25" s="49"/>
      <c r="E25" s="49"/>
      <c r="F25" s="48"/>
      <c r="G25" s="48"/>
      <c r="H25" s="48"/>
      <c r="I25" s="48"/>
      <c r="J25" s="49"/>
      <c r="K25" s="49"/>
      <c r="L25" s="49"/>
      <c r="M25" s="49"/>
      <c r="N25" s="49"/>
      <c r="O25" s="49"/>
      <c r="P25" s="49"/>
    </row>
    <row r="26" spans="1:17" ht="40.5" customHeight="1" x14ac:dyDescent="0.15">
      <c r="C26" s="49"/>
      <c r="D26" s="192"/>
      <c r="E26" s="49"/>
      <c r="F26" s="178" t="s">
        <v>759</v>
      </c>
      <c r="G26" s="113"/>
      <c r="H26" s="273"/>
      <c r="I26" s="273"/>
      <c r="J26" s="273"/>
      <c r="K26" s="463"/>
      <c r="L26" s="471"/>
      <c r="M26" s="464" t="s">
        <v>510</v>
      </c>
      <c r="N26" s="464" t="s">
        <v>512</v>
      </c>
      <c r="O26" s="464" t="s">
        <v>511</v>
      </c>
      <c r="P26" s="464" t="s">
        <v>284</v>
      </c>
      <c r="Q26" s="49"/>
    </row>
    <row r="27" spans="1:17" ht="25" customHeight="1" x14ac:dyDescent="0.15">
      <c r="A27" s="83" t="s">
        <v>499</v>
      </c>
      <c r="B27" s="80"/>
      <c r="C27" s="49"/>
      <c r="D27" s="122" t="s">
        <v>500</v>
      </c>
      <c r="E27" s="53"/>
      <c r="F27" s="210">
        <v>2980938</v>
      </c>
      <c r="G27" s="113"/>
      <c r="H27" s="273"/>
      <c r="I27" s="273"/>
      <c r="J27" s="273"/>
      <c r="K27" s="122" t="s">
        <v>312</v>
      </c>
      <c r="L27" s="212"/>
      <c r="M27" s="470">
        <f>SUM(K12:N12)</f>
        <v>4464742.37</v>
      </c>
      <c r="N27" s="470"/>
      <c r="O27" s="470">
        <f>O12</f>
        <v>4167468.81</v>
      </c>
      <c r="P27" s="470">
        <f>SUM(M27:O27)</f>
        <v>8632211.1799999997</v>
      </c>
    </row>
    <row r="28" spans="1:17" ht="25" customHeight="1" x14ac:dyDescent="0.15">
      <c r="A28" s="83" t="s">
        <v>344</v>
      </c>
      <c r="B28" s="80"/>
      <c r="C28" s="49"/>
      <c r="D28" s="122" t="s">
        <v>320</v>
      </c>
      <c r="E28" s="53"/>
      <c r="F28" s="210">
        <v>15582751.82</v>
      </c>
      <c r="G28" s="113"/>
      <c r="H28" s="273"/>
      <c r="I28" s="273"/>
      <c r="J28" s="273"/>
      <c r="K28" s="122" t="s">
        <v>313</v>
      </c>
      <c r="L28" s="212"/>
      <c r="M28" s="470">
        <f>-SUM(K18:N18)</f>
        <v>-4148862.1300000004</v>
      </c>
      <c r="N28" s="470"/>
      <c r="O28" s="470">
        <f>-O18</f>
        <v>-4852936.4300000006</v>
      </c>
      <c r="P28" s="470">
        <f t="shared" ref="P28:P33" si="3">SUM(M28:O28)</f>
        <v>-9001798.5600000005</v>
      </c>
    </row>
    <row r="29" spans="1:17" ht="15" hidden="1" customHeight="1" outlineLevel="1" x14ac:dyDescent="0.15">
      <c r="A29" s="200" t="str">
        <f>IF(TRUE,"140TDD","LI(4,0)")</f>
        <v>140TDD</v>
      </c>
      <c r="B29" s="80"/>
      <c r="C29" s="49"/>
      <c r="D29" s="125" t="str">
        <f>VLOOKUP($A29,TB!$I$5:$L$56,2,FALSE)</f>
        <v>Debtors - Trade Debtors</v>
      </c>
      <c r="E29" s="50"/>
      <c r="F29" s="197">
        <v>146885.07</v>
      </c>
      <c r="G29" s="113"/>
      <c r="H29" s="273"/>
      <c r="I29" s="273"/>
      <c r="J29" s="273"/>
      <c r="K29" s="466"/>
      <c r="L29" s="466"/>
      <c r="M29" s="467"/>
      <c r="N29" s="467"/>
      <c r="O29" s="467"/>
      <c r="P29" s="467">
        <f t="shared" si="3"/>
        <v>0</v>
      </c>
    </row>
    <row r="30" spans="1:17" ht="15" hidden="1" customHeight="1" outlineLevel="1" x14ac:dyDescent="0.15">
      <c r="A30" s="200" t="str">
        <f>IF(TRUE,"145PRE","LI(5,0)")</f>
        <v>145PRE</v>
      </c>
      <c r="B30" s="80"/>
      <c r="C30" s="49"/>
      <c r="D30" s="129" t="str">
        <f>VLOOKUP($A30,TB!$I$5:$L$56,2,FALSE)</f>
        <v>Debtors - Prepayments &amp; Acc'd Income</v>
      </c>
      <c r="E30" s="50"/>
      <c r="F30" s="197">
        <v>2145098.84</v>
      </c>
      <c r="G30" s="113"/>
      <c r="H30" s="273"/>
      <c r="I30" s="273"/>
      <c r="J30" s="273"/>
      <c r="K30" s="466"/>
      <c r="L30" s="466"/>
      <c r="M30" s="467"/>
      <c r="N30" s="467"/>
      <c r="O30" s="467"/>
      <c r="P30" s="467">
        <f t="shared" si="3"/>
        <v>0</v>
      </c>
    </row>
    <row r="31" spans="1:17" ht="15" hidden="1" customHeight="1" outlineLevel="1" x14ac:dyDescent="0.15">
      <c r="A31" s="200" t="str">
        <f>IF(TRUE,"150ODS","LI(6,0)")</f>
        <v>150ODS</v>
      </c>
      <c r="B31" s="80"/>
      <c r="C31" s="49"/>
      <c r="D31" s="129" t="str">
        <f>VLOOKUP($A31,TB!$I$5:$L$56,2,FALSE)</f>
        <v>Other Debtors</v>
      </c>
      <c r="E31" s="50"/>
      <c r="F31" s="197">
        <v>0</v>
      </c>
      <c r="G31" s="113"/>
      <c r="H31" s="273"/>
      <c r="I31" s="273"/>
      <c r="J31" s="273"/>
      <c r="K31" s="466"/>
      <c r="L31" s="466"/>
      <c r="M31" s="467"/>
      <c r="N31" s="467"/>
      <c r="O31" s="467"/>
      <c r="P31" s="467">
        <f t="shared" si="3"/>
        <v>0</v>
      </c>
    </row>
    <row r="32" spans="1:17" ht="15" hidden="1" customHeight="1" outlineLevel="1" x14ac:dyDescent="0.15">
      <c r="A32" s="200"/>
      <c r="B32" s="80"/>
      <c r="C32" s="49"/>
      <c r="D32" s="126" t="s">
        <v>349</v>
      </c>
      <c r="E32" s="50"/>
      <c r="F32" s="197">
        <v>0</v>
      </c>
      <c r="G32" s="113"/>
      <c r="H32" s="273"/>
      <c r="I32" s="273"/>
      <c r="J32" s="273"/>
      <c r="K32" s="466"/>
      <c r="L32" s="466"/>
      <c r="M32" s="467"/>
      <c r="N32" s="467"/>
      <c r="O32" s="467"/>
      <c r="P32" s="467">
        <f t="shared" si="3"/>
        <v>0</v>
      </c>
    </row>
    <row r="33" spans="1:16" ht="25" customHeight="1" collapsed="1" x14ac:dyDescent="0.15">
      <c r="C33" s="49"/>
      <c r="D33" s="122" t="s">
        <v>321</v>
      </c>
      <c r="E33" s="53"/>
      <c r="F33" s="210">
        <v>2291983.9099999997</v>
      </c>
      <c r="G33" s="113"/>
      <c r="H33" s="273"/>
      <c r="I33" s="273"/>
      <c r="J33" s="273"/>
      <c r="K33" s="482" t="s">
        <v>318</v>
      </c>
      <c r="L33" s="483"/>
      <c r="M33" s="465">
        <f>SUM(M27:M28)</f>
        <v>315880.23999999976</v>
      </c>
      <c r="N33" s="465">
        <f t="shared" ref="N33:O33" si="4">SUM(N27:N28)</f>
        <v>0</v>
      </c>
      <c r="O33" s="465">
        <f t="shared" si="4"/>
        <v>-685467.62000000058</v>
      </c>
      <c r="P33" s="465">
        <f t="shared" si="3"/>
        <v>-369587.38000000082</v>
      </c>
    </row>
    <row r="34" spans="1:16" ht="15" hidden="1" customHeight="1" outlineLevel="1" x14ac:dyDescent="0.15">
      <c r="A34" s="200" t="s">
        <v>345</v>
      </c>
      <c r="B34" s="80"/>
      <c r="C34" s="49"/>
      <c r="D34" s="125" t="str">
        <f>VLOOKUP($A34,TB!$I$5:$L$56,2,FALSE)</f>
        <v>Creditors - Trade Creditors</v>
      </c>
      <c r="E34" s="50"/>
      <c r="F34" s="197">
        <v>-46508.77</v>
      </c>
      <c r="G34" s="113"/>
      <c r="H34" s="273"/>
      <c r="I34" s="273"/>
      <c r="J34" s="273"/>
      <c r="K34" s="466"/>
      <c r="L34" s="466"/>
      <c r="M34" s="467"/>
      <c r="N34" s="467"/>
      <c r="O34" s="467"/>
      <c r="P34" s="467"/>
    </row>
    <row r="35" spans="1:16" ht="15" hidden="1" customHeight="1" outlineLevel="1" x14ac:dyDescent="0.15">
      <c r="A35" s="200" t="s">
        <v>346</v>
      </c>
      <c r="B35" s="80"/>
      <c r="C35" s="49"/>
      <c r="D35" s="129" t="str">
        <f>VLOOKUP($A35,TB!$I$5:$L$56,2,FALSE)</f>
        <v>Creditors - VAT</v>
      </c>
      <c r="E35" s="50"/>
      <c r="F35" s="197">
        <v>-23680.9</v>
      </c>
      <c r="G35" s="113"/>
      <c r="H35" s="273"/>
      <c r="I35" s="273"/>
      <c r="J35" s="273"/>
      <c r="K35" s="466"/>
      <c r="L35" s="466"/>
      <c r="M35" s="467"/>
      <c r="N35" s="467"/>
      <c r="O35" s="467"/>
      <c r="P35" s="467"/>
    </row>
    <row r="36" spans="1:16" ht="15" hidden="1" customHeight="1" outlineLevel="1" x14ac:dyDescent="0.15">
      <c r="A36" s="200" t="s">
        <v>347</v>
      </c>
      <c r="B36" s="80"/>
      <c r="C36" s="49"/>
      <c r="D36" s="129" t="str">
        <f>VLOOKUP($A36,TB!$I$5:$L$56,2,FALSE)</f>
        <v>Creditors - Social Security</v>
      </c>
      <c r="E36" s="50"/>
      <c r="F36" s="197">
        <v>-44376.44</v>
      </c>
      <c r="G36" s="113"/>
      <c r="H36" s="273"/>
      <c r="I36" s="273"/>
      <c r="J36" s="273"/>
      <c r="K36" s="466"/>
      <c r="L36" s="466"/>
      <c r="M36" s="467"/>
      <c r="N36" s="467"/>
      <c r="O36" s="467"/>
      <c r="P36" s="467"/>
    </row>
    <row r="37" spans="1:16" ht="15" hidden="1" customHeight="1" outlineLevel="1" x14ac:dyDescent="0.15">
      <c r="A37" s="200" t="s">
        <v>348</v>
      </c>
      <c r="B37" s="80"/>
      <c r="C37" s="49"/>
      <c r="D37" s="129" t="str">
        <f>VLOOKUP($A37,TB!$I$5:$L$56,2,FALSE)</f>
        <v>Creditors - Accruals</v>
      </c>
      <c r="E37" s="50"/>
      <c r="F37" s="197">
        <v>-286786.99</v>
      </c>
      <c r="G37" s="113"/>
      <c r="H37" s="273"/>
      <c r="I37" s="273"/>
      <c r="J37" s="273"/>
      <c r="K37" s="466"/>
      <c r="L37" s="466"/>
      <c r="M37" s="467"/>
      <c r="N37" s="467"/>
      <c r="O37" s="467"/>
      <c r="P37" s="467"/>
    </row>
    <row r="38" spans="1:16" ht="15" hidden="1" customHeight="1" outlineLevel="1" x14ac:dyDescent="0.15">
      <c r="A38" s="200" t="s">
        <v>494</v>
      </c>
      <c r="B38" s="80"/>
      <c r="C38" s="49"/>
      <c r="D38" s="129" t="str">
        <f>VLOOKUP($A38,TB!$I$5:$L$56,2,FALSE)</f>
        <v>Creditors - Other (Wages)</v>
      </c>
      <c r="E38" s="50"/>
      <c r="F38" s="197">
        <v>0</v>
      </c>
      <c r="G38" s="113"/>
      <c r="H38" s="273"/>
      <c r="I38" s="273"/>
      <c r="J38" s="273"/>
      <c r="K38" s="466"/>
      <c r="L38" s="466"/>
      <c r="M38" s="467"/>
      <c r="N38" s="467"/>
      <c r="O38" s="467"/>
      <c r="P38" s="467"/>
    </row>
    <row r="39" spans="1:16" ht="25" customHeight="1" collapsed="1" x14ac:dyDescent="0.15">
      <c r="C39" s="49"/>
      <c r="D39" s="122" t="s">
        <v>322</v>
      </c>
      <c r="E39" s="53"/>
      <c r="F39" s="210">
        <v>-401353.1</v>
      </c>
      <c r="G39" s="113"/>
      <c r="H39" s="273"/>
      <c r="I39" s="273"/>
      <c r="J39" s="273"/>
      <c r="K39" s="469" t="s">
        <v>762</v>
      </c>
      <c r="L39" s="212"/>
      <c r="M39" s="470">
        <v>-315880.23999999976</v>
      </c>
      <c r="N39" s="470">
        <v>-2799800.5700000012</v>
      </c>
      <c r="O39" s="470">
        <f>-SUM(M39:N39)</f>
        <v>3115680.810000001</v>
      </c>
      <c r="P39" s="470">
        <f>SUM(M39:O39)</f>
        <v>0</v>
      </c>
    </row>
    <row r="40" spans="1:16" ht="25" customHeight="1" x14ac:dyDescent="0.15">
      <c r="C40" s="49"/>
      <c r="D40" s="122" t="s">
        <v>323</v>
      </c>
      <c r="E40" s="53"/>
      <c r="F40" s="210">
        <v>0</v>
      </c>
      <c r="G40" s="113"/>
      <c r="H40" s="273"/>
      <c r="I40" s="273"/>
      <c r="J40" s="273"/>
      <c r="K40" s="469" t="s">
        <v>763</v>
      </c>
      <c r="L40" s="212"/>
      <c r="M40" s="470"/>
      <c r="N40" s="470">
        <v>17671179.93</v>
      </c>
      <c r="O40" s="470">
        <v>3152728.0800000019</v>
      </c>
      <c r="P40" s="470">
        <f>SUM(M40:O40)</f>
        <v>20823908.010000002</v>
      </c>
    </row>
    <row r="41" spans="1:16" ht="20" customHeight="1" thickBot="1" x14ac:dyDescent="0.2">
      <c r="C41" s="49"/>
      <c r="D41" s="61" t="s">
        <v>306</v>
      </c>
      <c r="E41" s="49"/>
      <c r="F41" s="232">
        <v>20454320.629999999</v>
      </c>
      <c r="G41" s="113"/>
      <c r="H41" s="273"/>
      <c r="I41" s="273"/>
      <c r="J41" s="273"/>
      <c r="K41" s="482" t="s">
        <v>764</v>
      </c>
      <c r="L41" s="483"/>
      <c r="M41" s="468">
        <f>SUM(M33:M40)</f>
        <v>0</v>
      </c>
      <c r="N41" s="468">
        <f t="shared" ref="N41:P41" si="5">SUM(N33:N40)</f>
        <v>14871379.359999999</v>
      </c>
      <c r="O41" s="468">
        <f t="shared" si="5"/>
        <v>5582941.2700000023</v>
      </c>
      <c r="P41" s="468">
        <f t="shared" si="5"/>
        <v>20454320.630000003</v>
      </c>
    </row>
    <row r="42" spans="1:16" x14ac:dyDescent="0.15">
      <c r="C42" s="49"/>
      <c r="D42" s="49"/>
      <c r="E42" s="49"/>
      <c r="F42" s="48"/>
      <c r="G42" s="113"/>
      <c r="H42" s="273"/>
      <c r="I42" s="273"/>
      <c r="J42" s="273"/>
      <c r="K42" s="273"/>
      <c r="L42" s="273"/>
      <c r="M42" s="273"/>
      <c r="N42" s="273"/>
      <c r="O42" s="273"/>
      <c r="P42" s="273"/>
    </row>
    <row r="43" spans="1:16" ht="25" customHeight="1" x14ac:dyDescent="0.15">
      <c r="A43" s="200" t="str">
        <f>IF(TRUE,"300RES","LI(0,0)")</f>
        <v>300RES</v>
      </c>
      <c r="C43" s="49"/>
      <c r="D43" s="122" t="s">
        <v>324</v>
      </c>
      <c r="E43" s="53"/>
      <c r="F43" s="210">
        <v>20823908.010000002</v>
      </c>
      <c r="G43" s="113"/>
      <c r="H43" s="273"/>
      <c r="I43" s="273"/>
      <c r="J43" s="273"/>
      <c r="K43" s="273"/>
      <c r="L43" s="273"/>
      <c r="M43" s="273"/>
      <c r="N43" s="273"/>
      <c r="O43" s="273"/>
      <c r="P43" s="273"/>
    </row>
    <row r="44" spans="1:16" ht="25" customHeight="1" x14ac:dyDescent="0.15">
      <c r="C44" s="49"/>
      <c r="D44" s="122" t="s">
        <v>318</v>
      </c>
      <c r="E44" s="53"/>
      <c r="F44" s="210">
        <v>-369587.37999999709</v>
      </c>
      <c r="G44" s="113"/>
      <c r="H44" s="273"/>
      <c r="I44" s="273"/>
      <c r="J44" s="273"/>
      <c r="K44" s="273"/>
      <c r="L44" s="273"/>
      <c r="M44" s="273"/>
      <c r="N44" s="273"/>
      <c r="O44" s="273"/>
      <c r="P44" s="273"/>
    </row>
    <row r="45" spans="1:16" ht="25" customHeight="1" x14ac:dyDescent="0.15">
      <c r="A45" s="77">
        <v>4000</v>
      </c>
      <c r="C45" s="49"/>
      <c r="D45" s="122" t="s">
        <v>509</v>
      </c>
      <c r="E45" s="53"/>
      <c r="F45" s="272"/>
      <c r="G45" s="113"/>
      <c r="H45" s="273"/>
      <c r="I45" s="273"/>
      <c r="J45" s="273"/>
      <c r="K45" s="273"/>
      <c r="L45" s="273"/>
      <c r="M45" s="273"/>
      <c r="N45" s="273"/>
      <c r="O45" s="273"/>
      <c r="P45" s="273"/>
    </row>
    <row r="46" spans="1:16" ht="20" customHeight="1" thickBot="1" x14ac:dyDescent="0.2">
      <c r="C46" s="49"/>
      <c r="D46" s="61" t="s">
        <v>325</v>
      </c>
      <c r="E46" s="49"/>
      <c r="F46" s="52">
        <v>20454320.630000003</v>
      </c>
      <c r="G46" s="113"/>
      <c r="H46" s="273"/>
      <c r="I46" s="273"/>
      <c r="J46" s="273"/>
      <c r="K46" s="273"/>
      <c r="L46" s="273"/>
      <c r="M46" s="273"/>
      <c r="N46" s="273"/>
      <c r="O46" s="273"/>
      <c r="P46" s="273"/>
    </row>
    <row r="47" spans="1:16" ht="15.75" customHeight="1" x14ac:dyDescent="0.15">
      <c r="C47" s="49"/>
      <c r="D47" s="49"/>
      <c r="E47" s="49"/>
      <c r="F47" s="48"/>
      <c r="G47" s="113"/>
      <c r="H47" s="273"/>
      <c r="I47" s="273"/>
      <c r="J47" s="273"/>
      <c r="K47" s="273"/>
      <c r="L47" s="273"/>
      <c r="M47" s="273"/>
      <c r="N47" s="273"/>
      <c r="O47" s="273"/>
      <c r="P47" s="273"/>
    </row>
    <row r="48" spans="1:16" x14ac:dyDescent="0.15">
      <c r="C48" s="49"/>
      <c r="D48" s="49"/>
      <c r="E48" s="49"/>
      <c r="F48" s="48"/>
      <c r="G48" s="87"/>
      <c r="H48" s="273"/>
      <c r="I48" s="273"/>
      <c r="J48" s="273"/>
      <c r="K48" s="273"/>
      <c r="L48" s="273"/>
      <c r="M48" s="273"/>
      <c r="N48" s="273"/>
      <c r="O48" s="273"/>
      <c r="P48" s="273"/>
    </row>
  </sheetData>
  <mergeCells count="2">
    <mergeCell ref="K33:L33"/>
    <mergeCell ref="K41:L41"/>
  </mergeCells>
  <printOptions horizontalCentered="1"/>
  <pageMargins left="0.35433070866141736" right="0.35433070866141736" top="0.36" bottom="0.23" header="0.31496062992125984" footer="0.16"/>
  <pageSetup paperSize="9" scale="32" orientation="landscape" r:id="rId1"/>
  <ignoredErrors>
    <ignoredError sqref="N18 N13:P13 K13:M13 K18:M18"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pageSetUpPr fitToPage="1"/>
  </sheetPr>
  <dimension ref="A1:AF5"/>
  <sheetViews>
    <sheetView workbookViewId="0">
      <selection activeCell="E16" sqref="E16"/>
    </sheetView>
  </sheetViews>
  <sheetFormatPr baseColWidth="10" defaultColWidth="8.83203125" defaultRowHeight="15" x14ac:dyDescent="0.2"/>
  <cols>
    <col min="1" max="1" width="40.83203125" customWidth="1"/>
    <col min="2" max="2" width="11.6640625" customWidth="1"/>
    <col min="3" max="3" width="10.5" customWidth="1"/>
    <col min="4" max="4" width="9.83203125" customWidth="1"/>
    <col min="6" max="6" width="1" customWidth="1"/>
    <col min="7" max="7" width="12.5" customWidth="1"/>
    <col min="10" max="10" width="1.1640625" customWidth="1"/>
    <col min="14" max="14" width="0.83203125" customWidth="1"/>
    <col min="15" max="15" width="13.5" bestFit="1" customWidth="1"/>
    <col min="16" max="16" width="0.6640625" customWidth="1"/>
    <col min="20" max="20" width="0.6640625" customWidth="1"/>
    <col min="21" max="21" width="14.33203125" customWidth="1"/>
    <col min="25" max="25" width="1.1640625" customWidth="1"/>
    <col min="26" max="26" width="10.1640625" customWidth="1"/>
    <col min="27" max="27" width="10.5" customWidth="1"/>
    <col min="30" max="31" width="0.6640625" customWidth="1"/>
  </cols>
  <sheetData>
    <row r="1" spans="1:32" ht="19" x14ac:dyDescent="0.25">
      <c r="A1" s="233" t="str">
        <f>CONCATENATE("SCIF Management Accounts: ",AF1)</f>
        <v>SCIF Management Accounts: July</v>
      </c>
      <c r="B1" s="234"/>
      <c r="C1" s="234"/>
      <c r="D1" s="234"/>
      <c r="E1" s="234"/>
      <c r="F1" s="234"/>
      <c r="G1" s="234"/>
      <c r="H1" s="234"/>
      <c r="I1" s="234"/>
      <c r="J1" s="234"/>
      <c r="K1" s="234"/>
      <c r="L1" s="234"/>
      <c r="M1" s="234"/>
      <c r="N1" s="234"/>
      <c r="O1" s="235"/>
      <c r="P1" s="235"/>
      <c r="Q1" s="235"/>
      <c r="R1" s="235"/>
      <c r="S1" s="235"/>
      <c r="T1" s="235"/>
      <c r="U1" s="235"/>
      <c r="V1" s="235"/>
      <c r="W1" s="235"/>
      <c r="X1" s="235"/>
      <c r="Y1" s="235"/>
      <c r="Z1" s="236"/>
      <c r="AA1" s="236"/>
      <c r="AB1" s="236"/>
      <c r="AC1" s="235"/>
      <c r="AF1" s="237" t="s">
        <v>472</v>
      </c>
    </row>
    <row r="2" spans="1:32" ht="20" thickBot="1" x14ac:dyDescent="0.3">
      <c r="A2" s="238"/>
      <c r="B2" s="486" t="s">
        <v>473</v>
      </c>
      <c r="C2" s="487"/>
      <c r="D2" s="487"/>
      <c r="E2" s="488"/>
      <c r="F2" s="235"/>
      <c r="G2" s="239"/>
      <c r="H2" s="239"/>
      <c r="I2" s="239"/>
      <c r="J2" s="235"/>
      <c r="K2" s="239"/>
      <c r="L2" s="239"/>
      <c r="M2" s="239"/>
      <c r="N2" s="235"/>
      <c r="O2" s="235"/>
      <c r="P2" s="235"/>
      <c r="Q2" s="235"/>
      <c r="R2" s="235"/>
      <c r="S2" s="235"/>
      <c r="T2" s="235"/>
      <c r="U2" s="489" t="s">
        <v>474</v>
      </c>
      <c r="V2" s="490"/>
      <c r="W2" s="490"/>
      <c r="X2" s="491"/>
      <c r="Y2" s="235"/>
      <c r="Z2" s="492" t="s">
        <v>475</v>
      </c>
      <c r="AA2" s="493"/>
      <c r="AB2" s="493"/>
      <c r="AC2" s="494"/>
    </row>
    <row r="3" spans="1:32" ht="20.25" customHeight="1" x14ac:dyDescent="0.2">
      <c r="A3" s="240"/>
      <c r="B3" s="495" t="str">
        <f>CONCATENATE("Actual: ",AF1)</f>
        <v>Actual: July</v>
      </c>
      <c r="C3" s="496"/>
      <c r="D3" s="496"/>
      <c r="E3" s="241" t="s">
        <v>284</v>
      </c>
      <c r="F3" s="239"/>
      <c r="G3" s="497" t="s">
        <v>210</v>
      </c>
      <c r="H3" s="498"/>
      <c r="I3" s="499"/>
      <c r="J3" s="239"/>
      <c r="K3" s="495" t="s">
        <v>210</v>
      </c>
      <c r="L3" s="496"/>
      <c r="M3" s="500"/>
      <c r="N3" s="235"/>
      <c r="O3" s="242" t="s">
        <v>476</v>
      </c>
      <c r="P3" s="239"/>
      <c r="Q3" s="495" t="s">
        <v>210</v>
      </c>
      <c r="R3" s="496"/>
      <c r="S3" s="500"/>
      <c r="T3" s="235"/>
      <c r="U3" s="501" t="s">
        <v>477</v>
      </c>
      <c r="V3" s="502"/>
      <c r="W3" s="502"/>
      <c r="X3" s="503"/>
      <c r="Y3" s="235"/>
      <c r="Z3" s="504" t="s">
        <v>449</v>
      </c>
      <c r="AA3" s="505"/>
      <c r="AB3" s="505"/>
      <c r="AC3" s="506"/>
    </row>
    <row r="4" spans="1:32" ht="21" customHeight="1" x14ac:dyDescent="0.2">
      <c r="A4" s="243"/>
      <c r="B4" s="244" t="s">
        <v>478</v>
      </c>
      <c r="C4" s="245" t="s">
        <v>280</v>
      </c>
      <c r="D4" s="245" t="s">
        <v>362</v>
      </c>
      <c r="E4" s="246" t="s">
        <v>479</v>
      </c>
      <c r="F4" s="247"/>
      <c r="G4" s="484" t="s">
        <v>480</v>
      </c>
      <c r="H4" s="245" t="s">
        <v>481</v>
      </c>
      <c r="I4" s="248" t="s">
        <v>481</v>
      </c>
      <c r="J4" s="247"/>
      <c r="K4" s="484" t="s">
        <v>482</v>
      </c>
      <c r="L4" s="245" t="s">
        <v>481</v>
      </c>
      <c r="M4" s="246" t="s">
        <v>481</v>
      </c>
      <c r="N4" s="247"/>
      <c r="O4" s="249" t="s">
        <v>10</v>
      </c>
      <c r="P4" s="247"/>
      <c r="Q4" s="250" t="s">
        <v>483</v>
      </c>
      <c r="R4" s="245" t="s">
        <v>481</v>
      </c>
      <c r="S4" s="246" t="s">
        <v>481</v>
      </c>
      <c r="T4" s="247"/>
      <c r="U4" s="244" t="s">
        <v>478</v>
      </c>
      <c r="V4" s="245" t="s">
        <v>280</v>
      </c>
      <c r="W4" s="245" t="s">
        <v>362</v>
      </c>
      <c r="X4" s="251" t="s">
        <v>284</v>
      </c>
      <c r="Y4" s="235"/>
      <c r="Z4" s="252" t="s">
        <v>478</v>
      </c>
      <c r="AA4" s="253" t="s">
        <v>280</v>
      </c>
      <c r="AB4" s="253" t="s">
        <v>362</v>
      </c>
      <c r="AC4" s="254" t="s">
        <v>284</v>
      </c>
    </row>
    <row r="5" spans="1:32" x14ac:dyDescent="0.2">
      <c r="A5" s="255"/>
      <c r="B5" s="256" t="s">
        <v>363</v>
      </c>
      <c r="C5" s="257" t="s">
        <v>363</v>
      </c>
      <c r="D5" s="257" t="s">
        <v>363</v>
      </c>
      <c r="E5" s="258" t="s">
        <v>363</v>
      </c>
      <c r="F5" s="239"/>
      <c r="G5" s="485"/>
      <c r="H5" s="257" t="s">
        <v>363</v>
      </c>
      <c r="I5" s="259" t="s">
        <v>443</v>
      </c>
      <c r="J5" s="239"/>
      <c r="K5" s="485" t="s">
        <v>363</v>
      </c>
      <c r="L5" s="257" t="s">
        <v>363</v>
      </c>
      <c r="M5" s="258" t="s">
        <v>443</v>
      </c>
      <c r="N5" s="235"/>
      <c r="O5" s="260" t="s">
        <v>363</v>
      </c>
      <c r="P5" s="239"/>
      <c r="Q5" s="256" t="s">
        <v>363</v>
      </c>
      <c r="R5" s="257" t="s">
        <v>363</v>
      </c>
      <c r="S5" s="258" t="s">
        <v>443</v>
      </c>
      <c r="T5" s="235"/>
      <c r="U5" s="261" t="s">
        <v>363</v>
      </c>
      <c r="V5" s="262"/>
      <c r="W5" s="262" t="s">
        <v>363</v>
      </c>
      <c r="X5" s="263" t="s">
        <v>363</v>
      </c>
      <c r="Y5" s="235"/>
      <c r="Z5" s="264" t="s">
        <v>363</v>
      </c>
      <c r="AA5" s="265" t="s">
        <v>363</v>
      </c>
      <c r="AB5" s="265" t="s">
        <v>363</v>
      </c>
      <c r="AC5" s="260" t="s">
        <v>363</v>
      </c>
    </row>
  </sheetData>
  <mergeCells count="11">
    <mergeCell ref="G4:G5"/>
    <mergeCell ref="K4:K5"/>
    <mergeCell ref="B2:E2"/>
    <mergeCell ref="U2:X2"/>
    <mergeCell ref="Z2:AC2"/>
    <mergeCell ref="B3:D3"/>
    <mergeCell ref="G3:I3"/>
    <mergeCell ref="K3:M3"/>
    <mergeCell ref="Q3:S3"/>
    <mergeCell ref="U3:X3"/>
    <mergeCell ref="Z3:AC3"/>
  </mergeCells>
  <pageMargins left="0.70866141732283472" right="0.70866141732283472" top="0.74803149606299213" bottom="0.74803149606299213" header="0.31496062992125984" footer="0.31496062992125984"/>
  <pageSetup paperSize="9" scale="47" orientation="landscape" horizontalDpi="4294967293"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VX103"/>
  <sheetViews>
    <sheetView zoomScaleNormal="100" workbookViewId="0">
      <pane xSplit="5" ySplit="7" topLeftCell="F8" activePane="bottomRight" state="frozen"/>
      <selection activeCell="C24" sqref="C24:C25"/>
      <selection pane="topRight" activeCell="C24" sqref="C24:C25"/>
      <selection pane="bottomLeft" activeCell="C24" sqref="C24:C25"/>
      <selection pane="bottomRight" activeCell="I26" sqref="I26"/>
    </sheetView>
  </sheetViews>
  <sheetFormatPr baseColWidth="10" defaultColWidth="9.1640625" defaultRowHeight="14" outlineLevelRow="1" outlineLevelCol="1" x14ac:dyDescent="0.15"/>
  <cols>
    <col min="1" max="1" width="6.6640625" style="51" hidden="1" customWidth="1" outlineLevel="1"/>
    <col min="2" max="2" width="4.6640625" style="51" hidden="1" customWidth="1" outlineLevel="1"/>
    <col min="3" max="3" width="2.6640625" style="51" customWidth="1" collapsed="1"/>
    <col min="4" max="4" width="4.33203125" style="51" customWidth="1"/>
    <col min="5" max="5" width="21" style="51" customWidth="1"/>
    <col min="6" max="7" width="2.6640625" style="62" customWidth="1"/>
    <col min="8" max="8" width="11.6640625" style="51" customWidth="1"/>
    <col min="9" max="10" width="12.6640625" style="51" customWidth="1"/>
    <col min="11" max="11" width="8.6640625" style="51" customWidth="1"/>
    <col min="12" max="12" width="2.6640625" style="62" customWidth="1"/>
    <col min="13" max="13" width="2.6640625" style="113" customWidth="1"/>
    <col min="14" max="19" width="11.6640625" style="51" customWidth="1"/>
    <col min="20" max="20" width="10" style="55" customWidth="1"/>
    <col min="21" max="16384" width="9.1640625" style="51"/>
  </cols>
  <sheetData>
    <row r="1" spans="1:16144" hidden="1" outlineLevel="1" x14ac:dyDescent="0.15">
      <c r="N1" s="78"/>
      <c r="O1" s="78"/>
      <c r="P1" s="78"/>
      <c r="Q1" s="78"/>
      <c r="R1" s="78"/>
    </row>
    <row r="2" spans="1:16144" hidden="1" outlineLevel="1" x14ac:dyDescent="0.15">
      <c r="N2" s="78"/>
      <c r="O2" s="78"/>
      <c r="P2" s="78"/>
      <c r="Q2" s="78"/>
      <c r="R2" s="78"/>
    </row>
    <row r="3" spans="1:16144" ht="16" collapsed="1" x14ac:dyDescent="0.2">
      <c r="C3" s="45"/>
      <c r="D3" s="49"/>
      <c r="E3" s="115" t="s">
        <v>359</v>
      </c>
      <c r="F3" s="45"/>
      <c r="G3" s="45"/>
      <c r="H3" s="45"/>
      <c r="I3" s="45"/>
      <c r="J3" s="45"/>
      <c r="K3" s="45"/>
      <c r="L3" s="45"/>
      <c r="M3" s="116"/>
      <c r="N3" s="45"/>
      <c r="O3" s="45"/>
      <c r="P3" s="45"/>
      <c r="Q3" s="45"/>
      <c r="R3" s="45"/>
      <c r="S3" s="45"/>
      <c r="T3" s="45" t="s">
        <v>319</v>
      </c>
    </row>
    <row r="4" spans="1:16144" ht="15.75" customHeight="1" x14ac:dyDescent="0.2">
      <c r="C4" s="45"/>
      <c r="D4" s="49"/>
      <c r="E4" s="115" t="s">
        <v>25</v>
      </c>
      <c r="F4" s="45"/>
      <c r="G4" s="45"/>
      <c r="H4" s="45"/>
      <c r="I4" s="45"/>
      <c r="J4" s="45"/>
      <c r="K4" s="45"/>
      <c r="L4" s="45"/>
      <c r="M4" s="116"/>
      <c r="N4" s="45"/>
      <c r="O4" s="45"/>
      <c r="P4" s="45"/>
      <c r="Q4" s="45"/>
      <c r="R4" s="45"/>
      <c r="S4" s="45"/>
      <c r="T4" s="45" t="s">
        <v>319</v>
      </c>
    </row>
    <row r="5" spans="1:16144" ht="15.75" customHeight="1" x14ac:dyDescent="0.2">
      <c r="C5" s="45"/>
      <c r="D5" s="49"/>
      <c r="E5" s="115" t="str">
        <f>"For the Year to "&amp;Parameters!$B$14</f>
        <v>For the Year to 31 March 2021</v>
      </c>
      <c r="F5" s="45"/>
      <c r="G5" s="45"/>
      <c r="H5" s="45"/>
      <c r="I5" s="45"/>
      <c r="J5" s="45"/>
      <c r="K5" s="45"/>
      <c r="L5" s="45"/>
      <c r="M5" s="116"/>
      <c r="N5" s="60"/>
      <c r="O5" s="45"/>
      <c r="P5" s="45"/>
      <c r="Q5" s="45"/>
      <c r="R5" s="45"/>
      <c r="S5" s="45"/>
      <c r="T5" s="45" t="s">
        <v>319</v>
      </c>
    </row>
    <row r="6" spans="1:16144" s="55" customFormat="1" ht="21" customHeight="1" x14ac:dyDescent="0.15">
      <c r="C6" s="49"/>
      <c r="D6" s="49"/>
      <c r="E6" s="88"/>
      <c r="F6" s="62"/>
      <c r="G6" s="62"/>
      <c r="H6" s="89"/>
      <c r="I6" s="90" t="s">
        <v>319</v>
      </c>
      <c r="J6" s="49"/>
      <c r="K6" s="49"/>
      <c r="L6" s="62"/>
      <c r="M6" s="49"/>
      <c r="N6" s="60" t="s">
        <v>525</v>
      </c>
      <c r="O6" s="45"/>
      <c r="P6" s="45"/>
      <c r="Q6" s="45"/>
      <c r="R6" s="45"/>
      <c r="S6" s="45"/>
      <c r="T6" s="45" t="s">
        <v>319</v>
      </c>
    </row>
    <row r="7" spans="1:16144" ht="45" customHeight="1" x14ac:dyDescent="0.15">
      <c r="C7" s="91"/>
      <c r="D7" s="193"/>
      <c r="E7" s="151" t="s">
        <v>297</v>
      </c>
      <c r="H7" s="150" t="s">
        <v>449</v>
      </c>
      <c r="I7" s="225" t="s">
        <v>756</v>
      </c>
      <c r="J7" s="230" t="s">
        <v>757</v>
      </c>
      <c r="K7" s="152" t="s">
        <v>326</v>
      </c>
      <c r="M7" s="176"/>
      <c r="N7" s="174" t="s">
        <v>350</v>
      </c>
      <c r="O7" s="174" t="s">
        <v>353</v>
      </c>
      <c r="P7" s="174" t="s">
        <v>352</v>
      </c>
      <c r="Q7" s="177" t="s">
        <v>211</v>
      </c>
      <c r="R7" s="174" t="s">
        <v>280</v>
      </c>
      <c r="S7" s="177" t="s">
        <v>284</v>
      </c>
      <c r="T7" s="185"/>
    </row>
    <row r="8" spans="1:16144" ht="15" customHeight="1" x14ac:dyDescent="0.15">
      <c r="C8" s="50"/>
      <c r="E8" s="92"/>
      <c r="F8" s="64"/>
      <c r="G8" s="64"/>
      <c r="H8" s="172" t="s">
        <v>363</v>
      </c>
      <c r="I8" s="172" t="s">
        <v>363</v>
      </c>
      <c r="J8" s="172" t="s">
        <v>363</v>
      </c>
      <c r="K8" s="175" t="s">
        <v>443</v>
      </c>
      <c r="L8" s="64"/>
      <c r="M8" s="87"/>
      <c r="N8" s="172" t="s">
        <v>363</v>
      </c>
      <c r="O8" s="172" t="s">
        <v>363</v>
      </c>
      <c r="P8" s="172" t="s">
        <v>363</v>
      </c>
      <c r="Q8" s="179" t="s">
        <v>363</v>
      </c>
      <c r="R8" s="172" t="s">
        <v>363</v>
      </c>
      <c r="S8" s="172" t="s">
        <v>363</v>
      </c>
      <c r="T8" s="186"/>
    </row>
    <row r="9" spans="1:16144" ht="35" customHeight="1" x14ac:dyDescent="0.15">
      <c r="A9" s="133" t="s">
        <v>217</v>
      </c>
      <c r="B9" s="188">
        <f>'Prog costs'!AB$4</f>
        <v>28</v>
      </c>
      <c r="C9" s="93"/>
      <c r="D9" s="510" t="s">
        <v>328</v>
      </c>
      <c r="E9" s="94" t="s">
        <v>218</v>
      </c>
      <c r="F9" s="95"/>
      <c r="G9" s="95"/>
      <c r="H9" s="154">
        <f>1543179+67306</f>
        <v>1610485</v>
      </c>
      <c r="I9" s="164">
        <v>1136039.6599999999</v>
      </c>
      <c r="J9" s="163">
        <f>H9-I9</f>
        <v>474445.34000000008</v>
      </c>
      <c r="K9" s="130">
        <f>IF(H9=0,"-",J9/H9)</f>
        <v>0.29459780128346436</v>
      </c>
      <c r="L9" s="95"/>
      <c r="M9" s="87"/>
      <c r="N9" s="154">
        <v>1136039.6599999999</v>
      </c>
      <c r="O9" s="154">
        <v>0</v>
      </c>
      <c r="P9" s="154">
        <v>0</v>
      </c>
      <c r="Q9" s="154">
        <v>0</v>
      </c>
      <c r="R9" s="154">
        <v>0</v>
      </c>
      <c r="S9" s="155">
        <f>SUM(N9:P9,Q9:R9)</f>
        <v>1136039.6599999999</v>
      </c>
      <c r="T9" s="187"/>
    </row>
    <row r="10" spans="1:16144" ht="35" customHeight="1" x14ac:dyDescent="0.15">
      <c r="A10" s="133" t="s">
        <v>219</v>
      </c>
      <c r="B10" s="188">
        <f>'Prog costs'!AB$4</f>
        <v>28</v>
      </c>
      <c r="C10" s="93"/>
      <c r="D10" s="511"/>
      <c r="E10" s="96" t="s">
        <v>220</v>
      </c>
      <c r="F10" s="95"/>
      <c r="G10" s="95"/>
      <c r="H10" s="154">
        <f>1876730+39566</f>
        <v>1916296</v>
      </c>
      <c r="I10" s="164">
        <v>1638356.86</v>
      </c>
      <c r="J10" s="163">
        <f>H10-I10</f>
        <v>277939.1399999999</v>
      </c>
      <c r="K10" s="130">
        <f>IF(H10=0,"-",J10/H10)</f>
        <v>0.14503977464859286</v>
      </c>
      <c r="L10" s="95"/>
      <c r="M10" s="87"/>
      <c r="N10" s="154">
        <v>1638356.86</v>
      </c>
      <c r="O10" s="154">
        <v>0</v>
      </c>
      <c r="P10" s="154">
        <v>0</v>
      </c>
      <c r="Q10" s="154">
        <v>0</v>
      </c>
      <c r="R10" s="154">
        <v>0</v>
      </c>
      <c r="S10" s="155">
        <f>SUM(N10:P10,Q10:R10)</f>
        <v>1638356.86</v>
      </c>
      <c r="T10" s="18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7"/>
      <c r="GM10" s="97"/>
      <c r="GN10" s="97"/>
      <c r="GO10" s="97"/>
      <c r="GP10" s="97"/>
      <c r="GQ10" s="97"/>
      <c r="GR10" s="97"/>
      <c r="GS10" s="97"/>
      <c r="GT10" s="97"/>
      <c r="GU10" s="97"/>
      <c r="GV10" s="97"/>
      <c r="GW10" s="97"/>
      <c r="GX10" s="97"/>
      <c r="GY10" s="97"/>
      <c r="GZ10" s="97"/>
      <c r="HA10" s="97"/>
      <c r="HB10" s="97"/>
      <c r="HC10" s="97"/>
      <c r="HD10" s="97"/>
      <c r="HE10" s="97"/>
      <c r="HF10" s="97"/>
      <c r="HG10" s="97"/>
      <c r="HH10" s="97"/>
      <c r="HI10" s="97"/>
      <c r="HJ10" s="97"/>
      <c r="HK10" s="97"/>
      <c r="HL10" s="97"/>
      <c r="HM10" s="97"/>
      <c r="HN10" s="97"/>
      <c r="HO10" s="97"/>
      <c r="HP10" s="97"/>
      <c r="HQ10" s="97"/>
      <c r="HR10" s="97"/>
      <c r="HS10" s="97"/>
      <c r="HT10" s="97"/>
      <c r="HU10" s="97"/>
      <c r="HV10" s="97"/>
      <c r="HW10" s="97"/>
      <c r="HX10" s="97"/>
      <c r="HY10" s="97"/>
      <c r="HZ10" s="97"/>
      <c r="IA10" s="97"/>
      <c r="IB10" s="97"/>
      <c r="IC10" s="97"/>
      <c r="ID10" s="97"/>
      <c r="IE10" s="97"/>
      <c r="IF10" s="97"/>
      <c r="IG10" s="97"/>
      <c r="IH10" s="97"/>
      <c r="II10" s="97"/>
      <c r="IJ10" s="97"/>
      <c r="IK10" s="97"/>
      <c r="IL10" s="97"/>
      <c r="IM10" s="97"/>
      <c r="IN10" s="97"/>
      <c r="IO10" s="97"/>
      <c r="IP10" s="97"/>
      <c r="IQ10" s="97"/>
      <c r="IR10" s="97"/>
      <c r="IS10" s="97"/>
      <c r="IT10" s="97"/>
      <c r="IU10" s="97"/>
      <c r="IV10" s="97"/>
      <c r="IW10" s="97"/>
      <c r="IX10" s="97"/>
      <c r="IY10" s="97"/>
      <c r="IZ10" s="97"/>
      <c r="JA10" s="97"/>
      <c r="JB10" s="97"/>
      <c r="JC10" s="97"/>
      <c r="JD10" s="97"/>
      <c r="JE10" s="97"/>
      <c r="JF10" s="97"/>
      <c r="JG10" s="97"/>
      <c r="JH10" s="97"/>
      <c r="JI10" s="97"/>
      <c r="JJ10" s="97"/>
      <c r="JK10" s="97"/>
      <c r="JL10" s="97"/>
      <c r="JM10" s="97"/>
      <c r="JN10" s="97"/>
      <c r="JO10" s="97"/>
      <c r="JP10" s="97"/>
      <c r="JQ10" s="97"/>
      <c r="JR10" s="97"/>
      <c r="JS10" s="97"/>
      <c r="JT10" s="97"/>
      <c r="JU10" s="97"/>
      <c r="JV10" s="97"/>
      <c r="JW10" s="97"/>
      <c r="JX10" s="97"/>
      <c r="JY10" s="97"/>
      <c r="JZ10" s="97"/>
      <c r="KA10" s="97"/>
      <c r="KB10" s="97"/>
      <c r="KC10" s="97"/>
      <c r="KD10" s="97"/>
      <c r="KE10" s="97"/>
      <c r="KF10" s="97"/>
      <c r="KG10" s="97"/>
      <c r="KH10" s="97"/>
      <c r="KI10" s="97"/>
      <c r="KJ10" s="97"/>
      <c r="KK10" s="97"/>
      <c r="KL10" s="97"/>
      <c r="KM10" s="97"/>
      <c r="KN10" s="97"/>
      <c r="KO10" s="97"/>
      <c r="KP10" s="97"/>
      <c r="KQ10" s="97"/>
      <c r="KR10" s="97"/>
      <c r="KS10" s="97"/>
      <c r="KT10" s="97"/>
      <c r="KU10" s="97"/>
      <c r="KV10" s="97"/>
      <c r="KW10" s="97"/>
      <c r="KX10" s="97"/>
      <c r="KY10" s="97"/>
      <c r="KZ10" s="97"/>
      <c r="LA10" s="97"/>
      <c r="LB10" s="97"/>
      <c r="LC10" s="97"/>
      <c r="LD10" s="97"/>
      <c r="LE10" s="97"/>
      <c r="LF10" s="97"/>
      <c r="LG10" s="97"/>
      <c r="LH10" s="97"/>
      <c r="LI10" s="97"/>
      <c r="LJ10" s="97"/>
      <c r="LK10" s="97"/>
      <c r="LL10" s="97"/>
      <c r="LM10" s="97"/>
      <c r="LN10" s="97"/>
      <c r="LO10" s="97"/>
      <c r="LP10" s="97"/>
      <c r="LQ10" s="97"/>
      <c r="LR10" s="97"/>
      <c r="LS10" s="97"/>
      <c r="LT10" s="97"/>
      <c r="LU10" s="97"/>
      <c r="LV10" s="97"/>
      <c r="LW10" s="97"/>
      <c r="LX10" s="97"/>
      <c r="LY10" s="97"/>
      <c r="LZ10" s="97"/>
      <c r="MA10" s="97"/>
      <c r="MB10" s="97"/>
      <c r="MC10" s="97"/>
      <c r="MD10" s="97"/>
      <c r="ME10" s="97"/>
      <c r="MF10" s="97"/>
      <c r="MG10" s="97"/>
      <c r="MH10" s="97"/>
      <c r="MI10" s="97"/>
      <c r="MJ10" s="97"/>
      <c r="MK10" s="97"/>
      <c r="ML10" s="97"/>
      <c r="MM10" s="97"/>
      <c r="MN10" s="97"/>
      <c r="MO10" s="97"/>
      <c r="MP10" s="97"/>
      <c r="MQ10" s="97"/>
      <c r="MR10" s="97"/>
      <c r="MS10" s="97"/>
      <c r="MT10" s="97"/>
      <c r="MU10" s="97"/>
      <c r="MV10" s="97"/>
      <c r="MW10" s="97"/>
      <c r="MX10" s="97"/>
      <c r="MY10" s="97"/>
      <c r="MZ10" s="97"/>
      <c r="NA10" s="97"/>
      <c r="NB10" s="97"/>
      <c r="NC10" s="97"/>
      <c r="ND10" s="97"/>
      <c r="NE10" s="97"/>
      <c r="NF10" s="97"/>
      <c r="NG10" s="97"/>
      <c r="NH10" s="97"/>
      <c r="NI10" s="97"/>
      <c r="NJ10" s="97"/>
      <c r="NK10" s="97"/>
      <c r="NL10" s="97"/>
      <c r="NM10" s="97"/>
      <c r="NN10" s="97"/>
      <c r="NO10" s="97"/>
      <c r="NP10" s="97"/>
      <c r="NQ10" s="97"/>
      <c r="NR10" s="97"/>
      <c r="NS10" s="97"/>
      <c r="NT10" s="97"/>
      <c r="NU10" s="97"/>
      <c r="NV10" s="97"/>
      <c r="NW10" s="97"/>
      <c r="NX10" s="97"/>
      <c r="NY10" s="97"/>
      <c r="NZ10" s="97"/>
      <c r="OA10" s="97"/>
      <c r="OB10" s="97"/>
      <c r="OC10" s="97"/>
      <c r="OD10" s="97"/>
      <c r="OE10" s="97"/>
      <c r="OF10" s="97"/>
      <c r="OG10" s="97"/>
      <c r="OH10" s="97"/>
      <c r="OI10" s="97"/>
      <c r="OJ10" s="97"/>
      <c r="OK10" s="97"/>
      <c r="OL10" s="97"/>
      <c r="OM10" s="97"/>
      <c r="ON10" s="97"/>
      <c r="OO10" s="97"/>
      <c r="OP10" s="97"/>
      <c r="OQ10" s="97"/>
      <c r="OR10" s="97"/>
      <c r="OS10" s="97"/>
      <c r="OT10" s="97"/>
      <c r="OU10" s="97"/>
      <c r="OV10" s="97"/>
      <c r="OW10" s="97"/>
      <c r="OX10" s="97"/>
      <c r="OY10" s="97"/>
      <c r="OZ10" s="97"/>
      <c r="PA10" s="97"/>
      <c r="PB10" s="97"/>
      <c r="PC10" s="97"/>
      <c r="PD10" s="97"/>
      <c r="PE10" s="97"/>
      <c r="PF10" s="97"/>
      <c r="PG10" s="97"/>
      <c r="PH10" s="97"/>
      <c r="PI10" s="97"/>
      <c r="PJ10" s="97"/>
      <c r="PK10" s="97"/>
      <c r="PL10" s="97"/>
      <c r="PM10" s="97"/>
      <c r="PN10" s="97"/>
      <c r="PO10" s="97"/>
      <c r="PP10" s="97"/>
      <c r="PQ10" s="97"/>
      <c r="PR10" s="97"/>
      <c r="PS10" s="97"/>
      <c r="PT10" s="97"/>
      <c r="PU10" s="97"/>
      <c r="PV10" s="97"/>
      <c r="PW10" s="97"/>
      <c r="PX10" s="97"/>
      <c r="PY10" s="97"/>
      <c r="PZ10" s="97"/>
      <c r="QA10" s="97"/>
      <c r="QB10" s="97"/>
      <c r="QC10" s="97"/>
      <c r="QD10" s="97"/>
      <c r="QE10" s="97"/>
      <c r="QF10" s="97"/>
      <c r="QG10" s="97"/>
      <c r="QH10" s="97"/>
      <c r="QI10" s="97"/>
      <c r="QJ10" s="97"/>
      <c r="QK10" s="97"/>
      <c r="QL10" s="97"/>
      <c r="QM10" s="97"/>
      <c r="QN10" s="97"/>
      <c r="QO10" s="97"/>
      <c r="QP10" s="97"/>
      <c r="QQ10" s="97"/>
      <c r="QR10" s="97"/>
      <c r="QS10" s="97"/>
      <c r="QT10" s="97"/>
      <c r="QU10" s="97"/>
      <c r="QV10" s="97"/>
      <c r="QW10" s="97"/>
      <c r="QX10" s="97"/>
      <c r="QY10" s="97"/>
      <c r="QZ10" s="97"/>
      <c r="RA10" s="97"/>
      <c r="RB10" s="97"/>
      <c r="RC10" s="97"/>
      <c r="RD10" s="97"/>
      <c r="RE10" s="97"/>
      <c r="RF10" s="97"/>
      <c r="RG10" s="97"/>
      <c r="RH10" s="97"/>
      <c r="RI10" s="97"/>
      <c r="RJ10" s="97"/>
      <c r="RK10" s="97"/>
      <c r="RL10" s="97"/>
      <c r="RM10" s="97"/>
      <c r="RN10" s="97"/>
      <c r="RO10" s="97"/>
      <c r="RP10" s="97"/>
      <c r="RQ10" s="97"/>
      <c r="RR10" s="97"/>
      <c r="RS10" s="97"/>
      <c r="RT10" s="97"/>
      <c r="RU10" s="97"/>
      <c r="RV10" s="97"/>
      <c r="RW10" s="97"/>
      <c r="RX10" s="97"/>
      <c r="RY10" s="97"/>
      <c r="RZ10" s="97"/>
      <c r="SA10" s="97"/>
      <c r="SB10" s="97"/>
      <c r="SC10" s="97"/>
      <c r="SD10" s="97"/>
      <c r="SE10" s="97"/>
      <c r="SF10" s="97"/>
      <c r="SG10" s="97"/>
      <c r="SH10" s="97"/>
      <c r="SI10" s="97"/>
      <c r="SJ10" s="97"/>
      <c r="SK10" s="97"/>
      <c r="SL10" s="97"/>
      <c r="SM10" s="97"/>
      <c r="SN10" s="97"/>
      <c r="SO10" s="97"/>
      <c r="SP10" s="97"/>
      <c r="SQ10" s="97"/>
      <c r="SR10" s="97"/>
      <c r="SS10" s="97"/>
      <c r="ST10" s="97"/>
      <c r="SU10" s="97"/>
      <c r="SV10" s="97"/>
      <c r="SW10" s="97"/>
      <c r="SX10" s="97"/>
      <c r="SY10" s="97"/>
      <c r="SZ10" s="97"/>
      <c r="TA10" s="97"/>
      <c r="TB10" s="97"/>
      <c r="TC10" s="97"/>
      <c r="TD10" s="97"/>
      <c r="TE10" s="97"/>
      <c r="TF10" s="97"/>
      <c r="TG10" s="97"/>
      <c r="TH10" s="97"/>
      <c r="TI10" s="97"/>
      <c r="TJ10" s="97"/>
      <c r="TK10" s="97"/>
      <c r="TL10" s="97"/>
      <c r="TM10" s="97"/>
      <c r="TN10" s="97"/>
      <c r="TO10" s="97"/>
      <c r="TP10" s="97"/>
      <c r="TQ10" s="97"/>
      <c r="TR10" s="97"/>
      <c r="TS10" s="97"/>
      <c r="TT10" s="97"/>
      <c r="TU10" s="97"/>
      <c r="TV10" s="97"/>
      <c r="TW10" s="97"/>
      <c r="TX10" s="97"/>
      <c r="TY10" s="97"/>
      <c r="TZ10" s="97"/>
      <c r="UA10" s="97"/>
      <c r="UB10" s="97"/>
      <c r="UC10" s="97"/>
      <c r="UD10" s="97"/>
      <c r="UE10" s="97"/>
      <c r="UF10" s="97"/>
      <c r="UG10" s="97"/>
      <c r="UH10" s="97"/>
      <c r="UI10" s="97"/>
      <c r="UJ10" s="97"/>
      <c r="UK10" s="97"/>
      <c r="UL10" s="97"/>
      <c r="UM10" s="97"/>
      <c r="UN10" s="97"/>
      <c r="UO10" s="97"/>
      <c r="UP10" s="97"/>
      <c r="UQ10" s="97"/>
      <c r="UR10" s="97"/>
      <c r="US10" s="97"/>
      <c r="UT10" s="97"/>
      <c r="UU10" s="97"/>
      <c r="UV10" s="97"/>
      <c r="UW10" s="97"/>
      <c r="UX10" s="97"/>
      <c r="UY10" s="97"/>
      <c r="UZ10" s="97"/>
      <c r="VA10" s="97"/>
      <c r="VB10" s="97"/>
      <c r="VC10" s="97"/>
      <c r="VD10" s="97"/>
      <c r="VE10" s="97"/>
      <c r="VF10" s="97"/>
      <c r="VG10" s="97"/>
      <c r="VH10" s="97"/>
      <c r="VI10" s="97"/>
      <c r="VJ10" s="97"/>
      <c r="VK10" s="97"/>
      <c r="VL10" s="97"/>
      <c r="VM10" s="97"/>
      <c r="VN10" s="97"/>
      <c r="VO10" s="97"/>
      <c r="VP10" s="97"/>
      <c r="VQ10" s="97"/>
      <c r="VR10" s="97"/>
      <c r="VS10" s="97"/>
      <c r="VT10" s="97"/>
      <c r="VU10" s="97"/>
      <c r="VV10" s="97"/>
      <c r="VW10" s="97"/>
      <c r="VX10" s="97"/>
      <c r="VY10" s="97"/>
      <c r="VZ10" s="97"/>
      <c r="WA10" s="97"/>
      <c r="WB10" s="97"/>
      <c r="WC10" s="97"/>
      <c r="WD10" s="97"/>
      <c r="WE10" s="97"/>
      <c r="WF10" s="97"/>
      <c r="WG10" s="97"/>
      <c r="WH10" s="97"/>
      <c r="WI10" s="97"/>
      <c r="WJ10" s="97"/>
      <c r="WK10" s="97"/>
      <c r="WL10" s="97"/>
      <c r="WM10" s="97"/>
      <c r="WN10" s="97"/>
      <c r="WO10" s="97"/>
      <c r="WP10" s="97"/>
      <c r="WQ10" s="97"/>
      <c r="WR10" s="97"/>
      <c r="WS10" s="97"/>
      <c r="WT10" s="97"/>
      <c r="WU10" s="97"/>
      <c r="WV10" s="97"/>
      <c r="WW10" s="97"/>
      <c r="WX10" s="97"/>
      <c r="WY10" s="97"/>
      <c r="WZ10" s="97"/>
      <c r="XA10" s="97"/>
      <c r="XB10" s="97"/>
      <c r="XC10" s="97"/>
      <c r="XD10" s="97"/>
      <c r="XE10" s="97"/>
      <c r="XF10" s="97"/>
      <c r="XG10" s="97"/>
      <c r="XH10" s="97"/>
      <c r="XI10" s="97"/>
      <c r="XJ10" s="97"/>
      <c r="XK10" s="97"/>
      <c r="XL10" s="97"/>
      <c r="XM10" s="97"/>
      <c r="XN10" s="97"/>
      <c r="XO10" s="97"/>
      <c r="XP10" s="97"/>
      <c r="XQ10" s="97"/>
      <c r="XR10" s="97"/>
      <c r="XS10" s="97"/>
      <c r="XT10" s="97"/>
      <c r="XU10" s="97"/>
      <c r="XV10" s="97"/>
      <c r="XW10" s="97"/>
      <c r="XX10" s="97"/>
      <c r="XY10" s="97"/>
      <c r="XZ10" s="97"/>
      <c r="YA10" s="97"/>
      <c r="YB10" s="97"/>
      <c r="YC10" s="97"/>
      <c r="YD10" s="97"/>
      <c r="YE10" s="97"/>
      <c r="YF10" s="97"/>
      <c r="YG10" s="97"/>
      <c r="YH10" s="97"/>
      <c r="YI10" s="97"/>
      <c r="YJ10" s="97"/>
      <c r="YK10" s="97"/>
      <c r="YL10" s="97"/>
      <c r="YM10" s="97"/>
      <c r="YN10" s="97"/>
      <c r="YO10" s="97"/>
      <c r="YP10" s="97"/>
      <c r="YQ10" s="97"/>
      <c r="YR10" s="97"/>
      <c r="YS10" s="97"/>
      <c r="YT10" s="97"/>
      <c r="YU10" s="97"/>
      <c r="YV10" s="97"/>
      <c r="YW10" s="97"/>
      <c r="YX10" s="97"/>
      <c r="YY10" s="97"/>
      <c r="YZ10" s="97"/>
      <c r="ZA10" s="97"/>
      <c r="ZB10" s="97"/>
      <c r="ZC10" s="97"/>
      <c r="ZD10" s="97"/>
      <c r="ZE10" s="97"/>
      <c r="ZF10" s="97"/>
      <c r="ZG10" s="97"/>
      <c r="ZH10" s="97"/>
      <c r="ZI10" s="97"/>
      <c r="ZJ10" s="97"/>
      <c r="ZK10" s="97"/>
      <c r="ZL10" s="97"/>
      <c r="ZM10" s="97"/>
      <c r="ZN10" s="97"/>
      <c r="ZO10" s="97"/>
      <c r="ZP10" s="97"/>
      <c r="ZQ10" s="97"/>
      <c r="ZR10" s="97"/>
      <c r="ZS10" s="97"/>
      <c r="ZT10" s="97"/>
      <c r="ZU10" s="97"/>
      <c r="ZV10" s="97"/>
      <c r="ZW10" s="97"/>
      <c r="ZX10" s="97"/>
      <c r="ZY10" s="97"/>
      <c r="ZZ10" s="97"/>
      <c r="AAA10" s="97"/>
      <c r="AAB10" s="97"/>
      <c r="AAC10" s="97"/>
      <c r="AAD10" s="97"/>
      <c r="AAE10" s="97"/>
      <c r="AAF10" s="97"/>
      <c r="AAG10" s="97"/>
      <c r="AAH10" s="97"/>
      <c r="AAI10" s="97"/>
      <c r="AAJ10" s="97"/>
      <c r="AAK10" s="97"/>
      <c r="AAL10" s="97"/>
      <c r="AAM10" s="97"/>
      <c r="AAN10" s="97"/>
      <c r="AAO10" s="97"/>
      <c r="AAP10" s="97"/>
      <c r="AAQ10" s="97"/>
      <c r="AAR10" s="97"/>
      <c r="AAS10" s="97"/>
      <c r="AAT10" s="97"/>
      <c r="AAU10" s="97"/>
      <c r="AAV10" s="97"/>
      <c r="AAW10" s="97"/>
      <c r="AAX10" s="97"/>
      <c r="AAY10" s="97"/>
      <c r="AAZ10" s="97"/>
      <c r="ABA10" s="97"/>
      <c r="ABB10" s="97"/>
      <c r="ABC10" s="97"/>
      <c r="ABD10" s="97"/>
      <c r="ABE10" s="97"/>
      <c r="ABF10" s="97"/>
      <c r="ABG10" s="97"/>
      <c r="ABH10" s="97"/>
      <c r="ABI10" s="97"/>
      <c r="ABJ10" s="97"/>
      <c r="ABK10" s="97"/>
      <c r="ABL10" s="97"/>
      <c r="ABM10" s="97"/>
      <c r="ABN10" s="97"/>
      <c r="ABO10" s="97"/>
      <c r="ABP10" s="97"/>
      <c r="ABQ10" s="97"/>
      <c r="ABR10" s="97"/>
      <c r="ABS10" s="97"/>
      <c r="ABT10" s="97"/>
      <c r="ABU10" s="97"/>
      <c r="ABV10" s="97"/>
      <c r="ABW10" s="97"/>
      <c r="ABX10" s="97"/>
      <c r="ABY10" s="97"/>
      <c r="ABZ10" s="97"/>
      <c r="ACA10" s="97"/>
      <c r="ACB10" s="97"/>
      <c r="ACC10" s="97"/>
      <c r="ACD10" s="97"/>
      <c r="ACE10" s="97"/>
      <c r="ACF10" s="97"/>
      <c r="ACG10" s="97"/>
      <c r="ACH10" s="97"/>
      <c r="ACI10" s="97"/>
      <c r="ACJ10" s="97"/>
      <c r="ACK10" s="97"/>
      <c r="ACL10" s="97"/>
      <c r="ACM10" s="97"/>
      <c r="ACN10" s="97"/>
      <c r="ACO10" s="97"/>
      <c r="ACP10" s="97"/>
      <c r="ACQ10" s="97"/>
      <c r="ACR10" s="97"/>
      <c r="ACS10" s="97"/>
      <c r="ACT10" s="97"/>
      <c r="ACU10" s="97"/>
      <c r="ACV10" s="97"/>
      <c r="ACW10" s="97"/>
      <c r="ACX10" s="97"/>
      <c r="ACY10" s="97"/>
      <c r="ACZ10" s="97"/>
      <c r="ADA10" s="97"/>
      <c r="ADB10" s="97"/>
      <c r="ADC10" s="97"/>
      <c r="ADD10" s="97"/>
      <c r="ADE10" s="97"/>
      <c r="ADF10" s="97"/>
      <c r="ADG10" s="97"/>
      <c r="ADH10" s="97"/>
      <c r="ADI10" s="97"/>
      <c r="ADJ10" s="97"/>
      <c r="ADK10" s="97"/>
      <c r="ADL10" s="97"/>
      <c r="ADM10" s="97"/>
      <c r="ADN10" s="97"/>
      <c r="ADO10" s="97"/>
      <c r="ADP10" s="97"/>
      <c r="ADQ10" s="97"/>
      <c r="ADR10" s="97"/>
      <c r="ADS10" s="97"/>
      <c r="ADT10" s="97"/>
      <c r="ADU10" s="97"/>
      <c r="ADV10" s="97"/>
      <c r="ADW10" s="97"/>
      <c r="ADX10" s="97"/>
      <c r="ADY10" s="97"/>
      <c r="ADZ10" s="97"/>
      <c r="AEA10" s="97"/>
      <c r="AEB10" s="97"/>
      <c r="AEC10" s="97"/>
      <c r="AED10" s="97"/>
      <c r="AEE10" s="97"/>
      <c r="AEF10" s="97"/>
      <c r="AEG10" s="97"/>
      <c r="AEH10" s="97"/>
      <c r="AEI10" s="97"/>
      <c r="AEJ10" s="97"/>
      <c r="AEK10" s="97"/>
      <c r="AEL10" s="97"/>
      <c r="AEM10" s="97"/>
      <c r="AEN10" s="97"/>
      <c r="AEO10" s="97"/>
      <c r="AEP10" s="97"/>
      <c r="AEQ10" s="97"/>
      <c r="AER10" s="97"/>
      <c r="AES10" s="97"/>
      <c r="AET10" s="97"/>
      <c r="AEU10" s="97"/>
      <c r="AEV10" s="97"/>
      <c r="AEW10" s="97"/>
      <c r="AEX10" s="97"/>
      <c r="AEY10" s="97"/>
      <c r="AEZ10" s="97"/>
      <c r="AFA10" s="97"/>
      <c r="AFB10" s="97"/>
      <c r="AFC10" s="97"/>
      <c r="AFD10" s="97"/>
      <c r="AFE10" s="97"/>
      <c r="AFF10" s="97"/>
      <c r="AFG10" s="97"/>
      <c r="AFH10" s="97"/>
      <c r="AFI10" s="97"/>
      <c r="AFJ10" s="97"/>
      <c r="AFK10" s="97"/>
      <c r="AFL10" s="97"/>
      <c r="AFM10" s="97"/>
      <c r="AFN10" s="97"/>
      <c r="AFO10" s="97"/>
      <c r="AFP10" s="97"/>
      <c r="AFQ10" s="97"/>
      <c r="AFR10" s="97"/>
      <c r="AFS10" s="97"/>
      <c r="AFT10" s="97"/>
      <c r="AFU10" s="97"/>
      <c r="AFV10" s="97"/>
      <c r="AFW10" s="97"/>
      <c r="AFX10" s="97"/>
      <c r="AFY10" s="97"/>
      <c r="AFZ10" s="97"/>
      <c r="AGA10" s="97"/>
      <c r="AGB10" s="97"/>
      <c r="AGC10" s="97"/>
      <c r="AGD10" s="97"/>
      <c r="AGE10" s="97"/>
      <c r="AGF10" s="97"/>
      <c r="AGG10" s="97"/>
      <c r="AGH10" s="97"/>
      <c r="AGI10" s="97"/>
      <c r="AGJ10" s="97"/>
      <c r="AGK10" s="97"/>
      <c r="AGL10" s="97"/>
      <c r="AGM10" s="97"/>
      <c r="AGN10" s="97"/>
      <c r="AGO10" s="97"/>
      <c r="AGP10" s="97"/>
      <c r="AGQ10" s="97"/>
      <c r="AGR10" s="97"/>
      <c r="AGS10" s="97"/>
      <c r="AGT10" s="97"/>
      <c r="AGU10" s="97"/>
      <c r="AGV10" s="97"/>
      <c r="AGW10" s="97"/>
      <c r="AGX10" s="97"/>
      <c r="AGY10" s="97"/>
      <c r="AGZ10" s="97"/>
      <c r="AHA10" s="97"/>
      <c r="AHB10" s="97"/>
      <c r="AHC10" s="97"/>
      <c r="AHD10" s="97"/>
      <c r="AHE10" s="97"/>
      <c r="AHF10" s="97"/>
      <c r="AHG10" s="97"/>
      <c r="AHH10" s="97"/>
      <c r="AHI10" s="97"/>
      <c r="AHJ10" s="97"/>
      <c r="AHK10" s="97"/>
      <c r="AHL10" s="97"/>
      <c r="AHM10" s="97"/>
      <c r="AHN10" s="97"/>
      <c r="AHO10" s="97"/>
      <c r="AHP10" s="97"/>
      <c r="AHQ10" s="97"/>
      <c r="AHR10" s="97"/>
      <c r="AHS10" s="97"/>
      <c r="AHT10" s="97"/>
      <c r="AHU10" s="97"/>
      <c r="AHV10" s="97"/>
      <c r="AHW10" s="97"/>
      <c r="AHX10" s="97"/>
      <c r="AHY10" s="97"/>
      <c r="AHZ10" s="97"/>
      <c r="AIA10" s="97"/>
      <c r="AIB10" s="97"/>
      <c r="AIC10" s="97"/>
      <c r="AID10" s="97"/>
      <c r="AIE10" s="97"/>
      <c r="AIF10" s="97"/>
      <c r="AIG10" s="97"/>
      <c r="AIH10" s="97"/>
      <c r="AII10" s="97"/>
      <c r="AIJ10" s="97"/>
      <c r="AIK10" s="97"/>
      <c r="AIL10" s="97"/>
      <c r="AIM10" s="97"/>
      <c r="AIN10" s="97"/>
      <c r="AIO10" s="97"/>
      <c r="AIP10" s="97"/>
      <c r="AIQ10" s="97"/>
      <c r="AIR10" s="97"/>
      <c r="AIS10" s="97"/>
      <c r="AIT10" s="97"/>
      <c r="AIU10" s="97"/>
      <c r="AIV10" s="97"/>
      <c r="AIW10" s="97"/>
      <c r="AIX10" s="97"/>
      <c r="AIY10" s="97"/>
      <c r="AIZ10" s="97"/>
      <c r="AJA10" s="97"/>
      <c r="AJB10" s="97"/>
      <c r="AJC10" s="97"/>
      <c r="AJD10" s="97"/>
      <c r="AJE10" s="97"/>
      <c r="AJF10" s="97"/>
      <c r="AJG10" s="97"/>
      <c r="AJH10" s="97"/>
      <c r="AJI10" s="97"/>
      <c r="AJJ10" s="97"/>
      <c r="AJK10" s="97"/>
      <c r="AJL10" s="97"/>
      <c r="AJM10" s="97"/>
      <c r="AJN10" s="97"/>
      <c r="AJO10" s="97"/>
      <c r="AJP10" s="97"/>
      <c r="AJQ10" s="97"/>
      <c r="AJR10" s="97"/>
      <c r="AJS10" s="97"/>
      <c r="AJT10" s="97"/>
      <c r="AJU10" s="97"/>
      <c r="AJV10" s="97"/>
      <c r="AJW10" s="97"/>
      <c r="AJX10" s="97"/>
      <c r="AJY10" s="97"/>
      <c r="AJZ10" s="97"/>
      <c r="AKA10" s="97"/>
      <c r="AKB10" s="97"/>
      <c r="AKC10" s="97"/>
      <c r="AKD10" s="97"/>
      <c r="AKE10" s="97"/>
      <c r="AKF10" s="97"/>
      <c r="AKG10" s="97"/>
      <c r="AKH10" s="97"/>
      <c r="AKI10" s="97"/>
      <c r="AKJ10" s="97"/>
      <c r="AKK10" s="97"/>
      <c r="AKL10" s="97"/>
      <c r="AKM10" s="97"/>
      <c r="AKN10" s="97"/>
      <c r="AKO10" s="97"/>
      <c r="AKP10" s="97"/>
      <c r="AKQ10" s="97"/>
      <c r="AKR10" s="97"/>
      <c r="AKS10" s="97"/>
      <c r="AKT10" s="97"/>
      <c r="AKU10" s="97"/>
      <c r="AKV10" s="97"/>
      <c r="AKW10" s="97"/>
      <c r="AKX10" s="97"/>
      <c r="AKY10" s="97"/>
      <c r="AKZ10" s="97"/>
      <c r="ALA10" s="97"/>
      <c r="ALB10" s="97"/>
      <c r="ALC10" s="97"/>
      <c r="ALD10" s="97"/>
      <c r="ALE10" s="97"/>
      <c r="ALF10" s="97"/>
      <c r="ALG10" s="97"/>
      <c r="ALH10" s="97"/>
      <c r="ALI10" s="97"/>
      <c r="ALJ10" s="97"/>
      <c r="ALK10" s="97"/>
      <c r="ALL10" s="97"/>
      <c r="ALM10" s="97"/>
      <c r="ALN10" s="97"/>
      <c r="ALO10" s="97"/>
      <c r="ALP10" s="97"/>
      <c r="ALQ10" s="97"/>
      <c r="ALR10" s="97"/>
      <c r="ALS10" s="97"/>
      <c r="ALT10" s="97"/>
      <c r="ALU10" s="97"/>
      <c r="ALV10" s="97"/>
      <c r="ALW10" s="97"/>
      <c r="ALX10" s="97"/>
      <c r="ALY10" s="97"/>
      <c r="ALZ10" s="97"/>
      <c r="AMA10" s="97"/>
      <c r="AMB10" s="97"/>
      <c r="AMC10" s="97"/>
      <c r="AMD10" s="97"/>
      <c r="AME10" s="97"/>
      <c r="AMF10" s="97"/>
      <c r="AMG10" s="97"/>
      <c r="AMH10" s="97"/>
      <c r="AMI10" s="97"/>
      <c r="AMJ10" s="97"/>
      <c r="AMK10" s="97"/>
      <c r="AML10" s="97"/>
      <c r="AMM10" s="97"/>
      <c r="AMN10" s="97"/>
      <c r="AMO10" s="97"/>
      <c r="AMP10" s="97"/>
      <c r="AMQ10" s="97"/>
      <c r="AMR10" s="97"/>
      <c r="AMS10" s="97"/>
      <c r="AMT10" s="97"/>
      <c r="AMU10" s="97"/>
      <c r="AMV10" s="97"/>
      <c r="AMW10" s="97"/>
      <c r="AMX10" s="97"/>
      <c r="AMY10" s="97"/>
      <c r="AMZ10" s="97"/>
      <c r="ANA10" s="97"/>
      <c r="ANB10" s="97"/>
      <c r="ANC10" s="97"/>
      <c r="AND10" s="97"/>
      <c r="ANE10" s="97"/>
      <c r="ANF10" s="97"/>
      <c r="ANG10" s="97"/>
      <c r="ANH10" s="97"/>
      <c r="ANI10" s="97"/>
      <c r="ANJ10" s="97"/>
      <c r="ANK10" s="97"/>
      <c r="ANL10" s="97"/>
      <c r="ANM10" s="97"/>
      <c r="ANN10" s="97"/>
      <c r="ANO10" s="97"/>
      <c r="ANP10" s="97"/>
      <c r="ANQ10" s="97"/>
      <c r="ANR10" s="97"/>
      <c r="ANS10" s="97"/>
      <c r="ANT10" s="97"/>
      <c r="ANU10" s="97"/>
      <c r="ANV10" s="97"/>
      <c r="ANW10" s="97"/>
      <c r="ANX10" s="97"/>
      <c r="ANY10" s="97"/>
      <c r="ANZ10" s="97"/>
      <c r="AOA10" s="97"/>
      <c r="AOB10" s="97"/>
      <c r="AOC10" s="97"/>
      <c r="AOD10" s="97"/>
      <c r="AOE10" s="97"/>
      <c r="AOF10" s="97"/>
      <c r="AOG10" s="97"/>
      <c r="AOH10" s="97"/>
      <c r="AOI10" s="97"/>
      <c r="AOJ10" s="97"/>
      <c r="AOK10" s="97"/>
      <c r="AOL10" s="97"/>
      <c r="AOM10" s="97"/>
      <c r="AON10" s="97"/>
      <c r="AOO10" s="97"/>
      <c r="AOP10" s="97"/>
      <c r="AOQ10" s="97"/>
      <c r="AOR10" s="97"/>
      <c r="AOS10" s="97"/>
      <c r="AOT10" s="97"/>
      <c r="AOU10" s="97"/>
      <c r="AOV10" s="97"/>
      <c r="AOW10" s="97"/>
      <c r="AOX10" s="97"/>
      <c r="AOY10" s="97"/>
      <c r="AOZ10" s="97"/>
      <c r="APA10" s="97"/>
      <c r="APB10" s="97"/>
      <c r="APC10" s="97"/>
      <c r="APD10" s="97"/>
      <c r="APE10" s="97"/>
      <c r="APF10" s="97"/>
      <c r="APG10" s="97"/>
      <c r="APH10" s="97"/>
      <c r="API10" s="97"/>
      <c r="APJ10" s="97"/>
      <c r="APK10" s="97"/>
      <c r="APL10" s="97"/>
      <c r="APM10" s="97"/>
      <c r="APN10" s="97"/>
      <c r="APO10" s="97"/>
      <c r="APP10" s="97"/>
      <c r="APQ10" s="97"/>
      <c r="APR10" s="97"/>
      <c r="APS10" s="97"/>
      <c r="APT10" s="97"/>
      <c r="APU10" s="97"/>
      <c r="APV10" s="97"/>
      <c r="APW10" s="97"/>
      <c r="APX10" s="97"/>
      <c r="APY10" s="97"/>
      <c r="APZ10" s="97"/>
      <c r="AQA10" s="97"/>
      <c r="AQB10" s="97"/>
      <c r="AQC10" s="97"/>
      <c r="AQD10" s="97"/>
      <c r="AQE10" s="97"/>
      <c r="AQF10" s="97"/>
      <c r="AQG10" s="97"/>
      <c r="AQH10" s="97"/>
      <c r="AQI10" s="97"/>
      <c r="AQJ10" s="97"/>
      <c r="AQK10" s="97"/>
      <c r="AQL10" s="97"/>
      <c r="AQM10" s="97"/>
      <c r="AQN10" s="97"/>
      <c r="AQO10" s="97"/>
      <c r="AQP10" s="97"/>
      <c r="AQQ10" s="97"/>
      <c r="AQR10" s="97"/>
      <c r="AQS10" s="97"/>
      <c r="AQT10" s="97"/>
      <c r="AQU10" s="97"/>
      <c r="AQV10" s="97"/>
      <c r="AQW10" s="97"/>
      <c r="AQX10" s="97"/>
      <c r="AQY10" s="97"/>
      <c r="AQZ10" s="97"/>
      <c r="ARA10" s="97"/>
      <c r="ARB10" s="97"/>
      <c r="ARC10" s="97"/>
      <c r="ARD10" s="97"/>
      <c r="ARE10" s="97"/>
      <c r="ARF10" s="97"/>
      <c r="ARG10" s="97"/>
      <c r="ARH10" s="97"/>
      <c r="ARI10" s="97"/>
      <c r="ARJ10" s="97"/>
      <c r="ARK10" s="97"/>
      <c r="ARL10" s="97"/>
      <c r="ARM10" s="97"/>
      <c r="ARN10" s="97"/>
      <c r="ARO10" s="97"/>
      <c r="ARP10" s="97"/>
      <c r="ARQ10" s="97"/>
      <c r="ARR10" s="97"/>
      <c r="ARS10" s="97"/>
      <c r="ART10" s="97"/>
      <c r="ARU10" s="97"/>
      <c r="ARV10" s="97"/>
      <c r="ARW10" s="97"/>
      <c r="ARX10" s="97"/>
      <c r="ARY10" s="97"/>
      <c r="ARZ10" s="97"/>
      <c r="ASA10" s="97"/>
      <c r="ASB10" s="97"/>
      <c r="ASC10" s="97"/>
      <c r="ASD10" s="97"/>
      <c r="ASE10" s="97"/>
      <c r="ASF10" s="97"/>
      <c r="ASG10" s="97"/>
      <c r="ASH10" s="97"/>
      <c r="ASI10" s="97"/>
      <c r="ASJ10" s="97"/>
      <c r="ASK10" s="97"/>
      <c r="ASL10" s="97"/>
      <c r="ASM10" s="97"/>
      <c r="ASN10" s="97"/>
      <c r="ASO10" s="97"/>
      <c r="ASP10" s="97"/>
      <c r="ASQ10" s="97"/>
      <c r="ASR10" s="97"/>
      <c r="ASS10" s="97"/>
      <c r="AST10" s="97"/>
      <c r="ASU10" s="97"/>
      <c r="ASV10" s="97"/>
      <c r="ASW10" s="97"/>
      <c r="ASX10" s="97"/>
      <c r="ASY10" s="97"/>
      <c r="ASZ10" s="97"/>
      <c r="ATA10" s="97"/>
      <c r="ATB10" s="97"/>
      <c r="ATC10" s="97"/>
      <c r="ATD10" s="97"/>
      <c r="ATE10" s="97"/>
      <c r="ATF10" s="97"/>
      <c r="ATG10" s="97"/>
      <c r="ATH10" s="97"/>
      <c r="ATI10" s="97"/>
      <c r="ATJ10" s="97"/>
      <c r="ATK10" s="97"/>
      <c r="ATL10" s="97"/>
      <c r="ATM10" s="97"/>
      <c r="ATN10" s="97"/>
      <c r="ATO10" s="97"/>
      <c r="ATP10" s="97"/>
      <c r="ATQ10" s="97"/>
      <c r="ATR10" s="97"/>
      <c r="ATS10" s="97"/>
      <c r="ATT10" s="97"/>
      <c r="ATU10" s="97"/>
      <c r="ATV10" s="97"/>
      <c r="ATW10" s="97"/>
      <c r="ATX10" s="97"/>
      <c r="ATY10" s="97"/>
      <c r="ATZ10" s="97"/>
      <c r="AUA10" s="97"/>
      <c r="AUB10" s="97"/>
      <c r="AUC10" s="97"/>
      <c r="AUD10" s="97"/>
      <c r="AUE10" s="97"/>
      <c r="AUF10" s="97"/>
      <c r="AUG10" s="97"/>
      <c r="AUH10" s="97"/>
      <c r="AUI10" s="97"/>
      <c r="AUJ10" s="97"/>
      <c r="AUK10" s="97"/>
      <c r="AUL10" s="97"/>
      <c r="AUM10" s="97"/>
      <c r="AUN10" s="97"/>
      <c r="AUO10" s="97"/>
      <c r="AUP10" s="97"/>
      <c r="AUQ10" s="97"/>
      <c r="AUR10" s="97"/>
      <c r="AUS10" s="97"/>
      <c r="AUT10" s="97"/>
      <c r="AUU10" s="97"/>
      <c r="AUV10" s="97"/>
      <c r="AUW10" s="97"/>
      <c r="AUX10" s="97"/>
      <c r="AUY10" s="97"/>
      <c r="AUZ10" s="97"/>
      <c r="AVA10" s="97"/>
      <c r="AVB10" s="97"/>
      <c r="AVC10" s="97"/>
      <c r="AVD10" s="97"/>
      <c r="AVE10" s="97"/>
      <c r="AVF10" s="97"/>
      <c r="AVG10" s="97"/>
      <c r="AVH10" s="97"/>
      <c r="AVI10" s="97"/>
      <c r="AVJ10" s="97"/>
      <c r="AVK10" s="97"/>
      <c r="AVL10" s="97"/>
      <c r="AVM10" s="97"/>
      <c r="AVN10" s="97"/>
      <c r="AVO10" s="97"/>
      <c r="AVP10" s="97"/>
      <c r="AVQ10" s="97"/>
      <c r="AVR10" s="97"/>
      <c r="AVS10" s="97"/>
      <c r="AVT10" s="97"/>
      <c r="AVU10" s="97"/>
      <c r="AVV10" s="97"/>
      <c r="AVW10" s="97"/>
      <c r="AVX10" s="97"/>
      <c r="AVY10" s="97"/>
      <c r="AVZ10" s="97"/>
      <c r="AWA10" s="97"/>
      <c r="AWB10" s="97"/>
      <c r="AWC10" s="97"/>
      <c r="AWD10" s="97"/>
      <c r="AWE10" s="97"/>
      <c r="AWF10" s="97"/>
      <c r="AWG10" s="97"/>
      <c r="AWH10" s="97"/>
      <c r="AWI10" s="97"/>
      <c r="AWJ10" s="97"/>
      <c r="AWK10" s="97"/>
      <c r="AWL10" s="97"/>
      <c r="AWM10" s="97"/>
      <c r="AWN10" s="97"/>
      <c r="AWO10" s="97"/>
      <c r="AWP10" s="97"/>
      <c r="AWQ10" s="97"/>
      <c r="AWR10" s="97"/>
      <c r="AWS10" s="97"/>
      <c r="AWT10" s="97"/>
      <c r="AWU10" s="97"/>
      <c r="AWV10" s="97"/>
      <c r="AWW10" s="97"/>
      <c r="AWX10" s="97"/>
      <c r="AWY10" s="97"/>
      <c r="AWZ10" s="97"/>
      <c r="AXA10" s="97"/>
      <c r="AXB10" s="97"/>
      <c r="AXC10" s="97"/>
      <c r="AXD10" s="97"/>
      <c r="AXE10" s="97"/>
      <c r="AXF10" s="97"/>
      <c r="AXG10" s="97"/>
      <c r="AXH10" s="97"/>
      <c r="AXI10" s="97"/>
      <c r="AXJ10" s="97"/>
      <c r="AXK10" s="97"/>
      <c r="AXL10" s="97"/>
      <c r="AXM10" s="97"/>
      <c r="AXN10" s="97"/>
      <c r="AXO10" s="97"/>
      <c r="AXP10" s="97"/>
      <c r="AXQ10" s="97"/>
      <c r="AXR10" s="97"/>
      <c r="AXS10" s="97"/>
      <c r="AXT10" s="97"/>
      <c r="AXU10" s="97"/>
      <c r="AXV10" s="97"/>
      <c r="AXW10" s="97"/>
      <c r="AXX10" s="97"/>
      <c r="AXY10" s="97"/>
      <c r="AXZ10" s="97"/>
      <c r="AYA10" s="97"/>
      <c r="AYB10" s="97"/>
      <c r="AYC10" s="97"/>
      <c r="AYD10" s="97"/>
      <c r="AYE10" s="97"/>
      <c r="AYF10" s="97"/>
      <c r="AYG10" s="97"/>
      <c r="AYH10" s="97"/>
      <c r="AYI10" s="97"/>
      <c r="AYJ10" s="97"/>
      <c r="AYK10" s="97"/>
      <c r="AYL10" s="97"/>
      <c r="AYM10" s="97"/>
      <c r="AYN10" s="97"/>
      <c r="AYO10" s="97"/>
      <c r="AYP10" s="97"/>
      <c r="AYQ10" s="97"/>
      <c r="AYR10" s="97"/>
      <c r="AYS10" s="97"/>
      <c r="AYT10" s="97"/>
      <c r="AYU10" s="97"/>
      <c r="AYV10" s="97"/>
      <c r="AYW10" s="97"/>
      <c r="AYX10" s="97"/>
      <c r="AYY10" s="97"/>
      <c r="AYZ10" s="97"/>
      <c r="AZA10" s="97"/>
      <c r="AZB10" s="97"/>
      <c r="AZC10" s="97"/>
      <c r="AZD10" s="97"/>
      <c r="AZE10" s="97"/>
      <c r="AZF10" s="97"/>
      <c r="AZG10" s="97"/>
      <c r="AZH10" s="97"/>
      <c r="AZI10" s="97"/>
      <c r="AZJ10" s="97"/>
      <c r="AZK10" s="97"/>
      <c r="AZL10" s="97"/>
      <c r="AZM10" s="97"/>
      <c r="AZN10" s="97"/>
      <c r="AZO10" s="97"/>
      <c r="AZP10" s="97"/>
      <c r="AZQ10" s="97"/>
      <c r="AZR10" s="97"/>
      <c r="AZS10" s="97"/>
      <c r="AZT10" s="97"/>
      <c r="AZU10" s="97"/>
      <c r="AZV10" s="97"/>
      <c r="AZW10" s="97"/>
      <c r="AZX10" s="97"/>
      <c r="AZY10" s="97"/>
      <c r="AZZ10" s="97"/>
      <c r="BAA10" s="97"/>
      <c r="BAB10" s="97"/>
      <c r="BAC10" s="97"/>
      <c r="BAD10" s="97"/>
      <c r="BAE10" s="97"/>
      <c r="BAF10" s="97"/>
      <c r="BAG10" s="97"/>
      <c r="BAH10" s="97"/>
      <c r="BAI10" s="97"/>
      <c r="BAJ10" s="97"/>
      <c r="BAK10" s="97"/>
      <c r="BAL10" s="97"/>
      <c r="BAM10" s="97"/>
      <c r="BAN10" s="97"/>
      <c r="BAO10" s="97"/>
      <c r="BAP10" s="97"/>
      <c r="BAQ10" s="97"/>
      <c r="BAR10" s="97"/>
      <c r="BAS10" s="97"/>
      <c r="BAT10" s="97"/>
      <c r="BAU10" s="97"/>
      <c r="BAV10" s="97"/>
      <c r="BAW10" s="97"/>
      <c r="BAX10" s="97"/>
      <c r="BAY10" s="97"/>
      <c r="BAZ10" s="97"/>
      <c r="BBA10" s="97"/>
      <c r="BBB10" s="97"/>
      <c r="BBC10" s="97"/>
      <c r="BBD10" s="97"/>
      <c r="BBE10" s="97"/>
      <c r="BBF10" s="97"/>
      <c r="BBG10" s="97"/>
      <c r="BBH10" s="97"/>
      <c r="BBI10" s="97"/>
      <c r="BBJ10" s="97"/>
      <c r="BBK10" s="97"/>
      <c r="BBL10" s="97"/>
      <c r="BBM10" s="97"/>
      <c r="BBN10" s="97"/>
      <c r="BBO10" s="97"/>
      <c r="BBP10" s="97"/>
      <c r="BBQ10" s="97"/>
      <c r="BBR10" s="97"/>
      <c r="BBS10" s="97"/>
      <c r="BBT10" s="97"/>
      <c r="BBU10" s="97"/>
      <c r="BBV10" s="97"/>
      <c r="BBW10" s="97"/>
      <c r="BBX10" s="97"/>
      <c r="BBY10" s="97"/>
      <c r="BBZ10" s="97"/>
      <c r="BCA10" s="97"/>
      <c r="BCB10" s="97"/>
      <c r="BCC10" s="97"/>
      <c r="BCD10" s="97"/>
      <c r="BCE10" s="97"/>
      <c r="BCF10" s="97"/>
      <c r="BCG10" s="97"/>
      <c r="BCH10" s="97"/>
      <c r="BCI10" s="97"/>
      <c r="BCJ10" s="97"/>
      <c r="BCK10" s="97"/>
      <c r="BCL10" s="97"/>
      <c r="BCM10" s="97"/>
      <c r="BCN10" s="97"/>
      <c r="BCO10" s="97"/>
      <c r="BCP10" s="97"/>
      <c r="BCQ10" s="97"/>
      <c r="BCR10" s="97"/>
      <c r="BCS10" s="97"/>
      <c r="BCT10" s="97"/>
      <c r="BCU10" s="97"/>
      <c r="BCV10" s="97"/>
      <c r="BCW10" s="97"/>
      <c r="BCX10" s="97"/>
      <c r="BCY10" s="97"/>
      <c r="BCZ10" s="97"/>
      <c r="BDA10" s="97"/>
      <c r="BDB10" s="97"/>
      <c r="BDC10" s="97"/>
      <c r="BDD10" s="97"/>
      <c r="BDE10" s="97"/>
      <c r="BDF10" s="97"/>
      <c r="BDG10" s="97"/>
      <c r="BDH10" s="97"/>
      <c r="BDI10" s="97"/>
      <c r="BDJ10" s="97"/>
      <c r="BDK10" s="97"/>
      <c r="BDL10" s="97"/>
      <c r="BDM10" s="97"/>
      <c r="BDN10" s="97"/>
      <c r="BDO10" s="97"/>
      <c r="BDP10" s="97"/>
      <c r="BDQ10" s="97"/>
      <c r="BDR10" s="97"/>
      <c r="BDS10" s="97"/>
      <c r="BDT10" s="97"/>
      <c r="BDU10" s="97"/>
      <c r="BDV10" s="97"/>
      <c r="BDW10" s="97"/>
      <c r="BDX10" s="97"/>
      <c r="BDY10" s="97"/>
      <c r="BDZ10" s="97"/>
      <c r="BEA10" s="97"/>
      <c r="BEB10" s="97"/>
      <c r="BEC10" s="97"/>
      <c r="BED10" s="97"/>
      <c r="BEE10" s="97"/>
      <c r="BEF10" s="97"/>
      <c r="BEG10" s="97"/>
      <c r="BEH10" s="97"/>
      <c r="BEI10" s="97"/>
      <c r="BEJ10" s="97"/>
      <c r="BEK10" s="97"/>
      <c r="BEL10" s="97"/>
      <c r="BEM10" s="97"/>
      <c r="BEN10" s="97"/>
      <c r="BEO10" s="97"/>
      <c r="BEP10" s="97"/>
      <c r="BEQ10" s="97"/>
      <c r="BER10" s="97"/>
      <c r="BES10" s="97"/>
      <c r="BET10" s="97"/>
      <c r="BEU10" s="97"/>
      <c r="BEV10" s="97"/>
      <c r="BEW10" s="97"/>
      <c r="BEX10" s="97"/>
      <c r="BEY10" s="97"/>
      <c r="BEZ10" s="97"/>
      <c r="BFA10" s="97"/>
      <c r="BFB10" s="97"/>
      <c r="BFC10" s="97"/>
      <c r="BFD10" s="97"/>
      <c r="BFE10" s="97"/>
      <c r="BFF10" s="97"/>
      <c r="BFG10" s="97"/>
      <c r="BFH10" s="97"/>
      <c r="BFI10" s="97"/>
      <c r="BFJ10" s="97"/>
      <c r="BFK10" s="97"/>
      <c r="BFL10" s="97"/>
      <c r="BFM10" s="97"/>
      <c r="BFN10" s="97"/>
      <c r="BFO10" s="97"/>
      <c r="BFP10" s="97"/>
      <c r="BFQ10" s="97"/>
      <c r="BFR10" s="97"/>
      <c r="BFS10" s="97"/>
      <c r="BFT10" s="97"/>
      <c r="BFU10" s="97"/>
      <c r="BFV10" s="97"/>
      <c r="BFW10" s="97"/>
      <c r="BFX10" s="97"/>
      <c r="BFY10" s="97"/>
      <c r="BFZ10" s="97"/>
      <c r="BGA10" s="97"/>
      <c r="BGB10" s="97"/>
      <c r="BGC10" s="97"/>
      <c r="BGD10" s="97"/>
      <c r="BGE10" s="97"/>
      <c r="BGF10" s="97"/>
      <c r="BGG10" s="97"/>
      <c r="BGH10" s="97"/>
      <c r="BGI10" s="97"/>
      <c r="BGJ10" s="97"/>
      <c r="BGK10" s="97"/>
      <c r="BGL10" s="97"/>
      <c r="BGM10" s="97"/>
      <c r="BGN10" s="97"/>
      <c r="BGO10" s="97"/>
      <c r="BGP10" s="97"/>
      <c r="BGQ10" s="97"/>
      <c r="BGR10" s="97"/>
      <c r="BGS10" s="97"/>
      <c r="BGT10" s="97"/>
      <c r="BGU10" s="97"/>
      <c r="BGV10" s="97"/>
      <c r="BGW10" s="97"/>
      <c r="BGX10" s="97"/>
      <c r="BGY10" s="97"/>
      <c r="BGZ10" s="97"/>
      <c r="BHA10" s="97"/>
      <c r="BHB10" s="97"/>
      <c r="BHC10" s="97"/>
      <c r="BHD10" s="97"/>
      <c r="BHE10" s="97"/>
      <c r="BHF10" s="97"/>
      <c r="BHG10" s="97"/>
      <c r="BHH10" s="97"/>
      <c r="BHI10" s="97"/>
      <c r="BHJ10" s="97"/>
      <c r="BHK10" s="97"/>
      <c r="BHL10" s="97"/>
      <c r="BHM10" s="97"/>
      <c r="BHN10" s="97"/>
      <c r="BHO10" s="97"/>
      <c r="BHP10" s="97"/>
      <c r="BHQ10" s="97"/>
      <c r="BHR10" s="97"/>
      <c r="BHS10" s="97"/>
      <c r="BHT10" s="97"/>
      <c r="BHU10" s="97"/>
      <c r="BHV10" s="97"/>
      <c r="BHW10" s="97"/>
      <c r="BHX10" s="97"/>
      <c r="BHY10" s="97"/>
      <c r="BHZ10" s="97"/>
      <c r="BIA10" s="97"/>
      <c r="BIB10" s="97"/>
      <c r="BIC10" s="97"/>
      <c r="BID10" s="97"/>
      <c r="BIE10" s="97"/>
      <c r="BIF10" s="97"/>
      <c r="BIG10" s="97"/>
      <c r="BIH10" s="97"/>
      <c r="BII10" s="97"/>
      <c r="BIJ10" s="97"/>
      <c r="BIK10" s="97"/>
      <c r="BIL10" s="97"/>
      <c r="BIM10" s="97"/>
      <c r="BIN10" s="97"/>
      <c r="BIO10" s="97"/>
      <c r="BIP10" s="97"/>
      <c r="BIQ10" s="97"/>
      <c r="BIR10" s="97"/>
      <c r="BIS10" s="97"/>
      <c r="BIT10" s="97"/>
      <c r="BIU10" s="97"/>
      <c r="BIV10" s="97"/>
      <c r="BIW10" s="97"/>
      <c r="BIX10" s="97"/>
      <c r="BIY10" s="97"/>
      <c r="BIZ10" s="97"/>
      <c r="BJA10" s="97"/>
      <c r="BJB10" s="97"/>
      <c r="BJC10" s="97"/>
      <c r="BJD10" s="97"/>
      <c r="BJE10" s="97"/>
      <c r="BJF10" s="97"/>
      <c r="BJG10" s="97"/>
      <c r="BJH10" s="97"/>
      <c r="BJI10" s="97"/>
      <c r="BJJ10" s="97"/>
      <c r="BJK10" s="97"/>
      <c r="BJL10" s="97"/>
      <c r="BJM10" s="97"/>
      <c r="BJN10" s="97"/>
      <c r="BJO10" s="97"/>
      <c r="BJP10" s="97"/>
      <c r="BJQ10" s="97"/>
      <c r="BJR10" s="97"/>
      <c r="BJS10" s="97"/>
      <c r="BJT10" s="97"/>
      <c r="BJU10" s="97"/>
      <c r="BJV10" s="97"/>
      <c r="BJW10" s="97"/>
      <c r="BJX10" s="97"/>
      <c r="BJY10" s="97"/>
      <c r="BJZ10" s="97"/>
      <c r="BKA10" s="97"/>
      <c r="BKB10" s="97"/>
      <c r="BKC10" s="97"/>
      <c r="BKD10" s="97"/>
      <c r="BKE10" s="97"/>
      <c r="BKF10" s="97"/>
      <c r="BKG10" s="97"/>
      <c r="BKH10" s="97"/>
      <c r="BKI10" s="97"/>
      <c r="BKJ10" s="97"/>
      <c r="BKK10" s="97"/>
      <c r="BKL10" s="97"/>
      <c r="BKM10" s="97"/>
      <c r="BKN10" s="97"/>
      <c r="BKO10" s="97"/>
      <c r="BKP10" s="97"/>
      <c r="BKQ10" s="97"/>
      <c r="BKR10" s="97"/>
      <c r="BKS10" s="97"/>
      <c r="BKT10" s="97"/>
      <c r="BKU10" s="97"/>
      <c r="BKV10" s="97"/>
      <c r="BKW10" s="97"/>
      <c r="BKX10" s="97"/>
      <c r="BKY10" s="97"/>
      <c r="BKZ10" s="97"/>
      <c r="BLA10" s="97"/>
      <c r="BLB10" s="97"/>
      <c r="BLC10" s="97"/>
      <c r="BLD10" s="97"/>
      <c r="BLE10" s="97"/>
      <c r="BLF10" s="97"/>
      <c r="BLG10" s="97"/>
      <c r="BLH10" s="97"/>
      <c r="BLI10" s="97"/>
      <c r="BLJ10" s="97"/>
      <c r="BLK10" s="97"/>
      <c r="BLL10" s="97"/>
      <c r="BLM10" s="97"/>
      <c r="BLN10" s="97"/>
      <c r="BLO10" s="97"/>
      <c r="BLP10" s="97"/>
      <c r="BLQ10" s="97"/>
      <c r="BLR10" s="97"/>
      <c r="BLS10" s="97"/>
      <c r="BLT10" s="97"/>
      <c r="BLU10" s="97"/>
      <c r="BLV10" s="97"/>
      <c r="BLW10" s="97"/>
      <c r="BLX10" s="97"/>
      <c r="BLY10" s="97"/>
      <c r="BLZ10" s="97"/>
      <c r="BMA10" s="97"/>
      <c r="BMB10" s="97"/>
      <c r="BMC10" s="97"/>
      <c r="BMD10" s="97"/>
      <c r="BME10" s="97"/>
      <c r="BMF10" s="97"/>
      <c r="BMG10" s="97"/>
      <c r="BMH10" s="97"/>
      <c r="BMI10" s="97"/>
      <c r="BMJ10" s="97"/>
      <c r="BMK10" s="97"/>
      <c r="BML10" s="97"/>
      <c r="BMM10" s="97"/>
      <c r="BMN10" s="97"/>
      <c r="BMO10" s="97"/>
      <c r="BMP10" s="97"/>
      <c r="BMQ10" s="97"/>
      <c r="BMR10" s="97"/>
      <c r="BMS10" s="97"/>
      <c r="BMT10" s="97"/>
      <c r="BMU10" s="97"/>
      <c r="BMV10" s="97"/>
      <c r="BMW10" s="97"/>
      <c r="BMX10" s="97"/>
      <c r="BMY10" s="97"/>
      <c r="BMZ10" s="97"/>
      <c r="BNA10" s="97"/>
      <c r="BNB10" s="97"/>
      <c r="BNC10" s="97"/>
      <c r="BND10" s="97"/>
      <c r="BNE10" s="97"/>
      <c r="BNF10" s="97"/>
      <c r="BNG10" s="97"/>
      <c r="BNH10" s="97"/>
      <c r="BNI10" s="97"/>
      <c r="BNJ10" s="97"/>
      <c r="BNK10" s="97"/>
      <c r="BNL10" s="97"/>
      <c r="BNM10" s="97"/>
      <c r="BNN10" s="97"/>
      <c r="BNO10" s="97"/>
      <c r="BNP10" s="97"/>
      <c r="BNQ10" s="97"/>
      <c r="BNR10" s="97"/>
      <c r="BNS10" s="97"/>
      <c r="BNT10" s="97"/>
      <c r="BNU10" s="97"/>
      <c r="BNV10" s="97"/>
      <c r="BNW10" s="97"/>
      <c r="BNX10" s="97"/>
      <c r="BNY10" s="97"/>
      <c r="BNZ10" s="97"/>
      <c r="BOA10" s="97"/>
      <c r="BOB10" s="97"/>
      <c r="BOC10" s="97"/>
      <c r="BOD10" s="97"/>
      <c r="BOE10" s="97"/>
      <c r="BOF10" s="97"/>
      <c r="BOG10" s="97"/>
      <c r="BOH10" s="97"/>
      <c r="BOI10" s="97"/>
      <c r="BOJ10" s="97"/>
      <c r="BOK10" s="97"/>
      <c r="BOL10" s="97"/>
      <c r="BOM10" s="97"/>
      <c r="BON10" s="97"/>
      <c r="BOO10" s="97"/>
      <c r="BOP10" s="97"/>
      <c r="BOQ10" s="97"/>
      <c r="BOR10" s="97"/>
      <c r="BOS10" s="97"/>
      <c r="BOT10" s="97"/>
      <c r="BOU10" s="97"/>
      <c r="BOV10" s="97"/>
      <c r="BOW10" s="97"/>
      <c r="BOX10" s="97"/>
      <c r="BOY10" s="97"/>
      <c r="BOZ10" s="97"/>
      <c r="BPA10" s="97"/>
      <c r="BPB10" s="97"/>
      <c r="BPC10" s="97"/>
      <c r="BPD10" s="97"/>
      <c r="BPE10" s="97"/>
      <c r="BPF10" s="97"/>
      <c r="BPG10" s="97"/>
      <c r="BPH10" s="97"/>
      <c r="BPI10" s="97"/>
      <c r="BPJ10" s="97"/>
      <c r="BPK10" s="97"/>
      <c r="BPL10" s="97"/>
      <c r="BPM10" s="97"/>
      <c r="BPN10" s="97"/>
      <c r="BPO10" s="97"/>
      <c r="BPP10" s="97"/>
      <c r="BPQ10" s="97"/>
      <c r="BPR10" s="97"/>
      <c r="BPS10" s="97"/>
      <c r="BPT10" s="97"/>
      <c r="BPU10" s="97"/>
      <c r="BPV10" s="97"/>
      <c r="BPW10" s="97"/>
      <c r="BPX10" s="97"/>
      <c r="BPY10" s="97"/>
      <c r="BPZ10" s="97"/>
      <c r="BQA10" s="97"/>
      <c r="BQB10" s="97"/>
      <c r="BQC10" s="97"/>
      <c r="BQD10" s="97"/>
      <c r="BQE10" s="97"/>
      <c r="BQF10" s="97"/>
      <c r="BQG10" s="97"/>
      <c r="BQH10" s="97"/>
      <c r="BQI10" s="97"/>
      <c r="BQJ10" s="97"/>
      <c r="BQK10" s="97"/>
      <c r="BQL10" s="97"/>
      <c r="BQM10" s="97"/>
      <c r="BQN10" s="97"/>
      <c r="BQO10" s="97"/>
      <c r="BQP10" s="97"/>
      <c r="BQQ10" s="97"/>
      <c r="BQR10" s="97"/>
      <c r="BQS10" s="97"/>
      <c r="BQT10" s="97"/>
      <c r="BQU10" s="97"/>
      <c r="BQV10" s="97"/>
      <c r="BQW10" s="97"/>
      <c r="BQX10" s="97"/>
      <c r="BQY10" s="97"/>
      <c r="BQZ10" s="97"/>
      <c r="BRA10" s="97"/>
      <c r="BRB10" s="97"/>
      <c r="BRC10" s="97"/>
      <c r="BRD10" s="97"/>
      <c r="BRE10" s="97"/>
      <c r="BRF10" s="97"/>
      <c r="BRG10" s="97"/>
      <c r="BRH10" s="97"/>
      <c r="BRI10" s="97"/>
      <c r="BRJ10" s="97"/>
      <c r="BRK10" s="97"/>
      <c r="BRL10" s="97"/>
      <c r="BRM10" s="97"/>
      <c r="BRN10" s="97"/>
      <c r="BRO10" s="97"/>
      <c r="BRP10" s="97"/>
      <c r="BRQ10" s="97"/>
      <c r="BRR10" s="97"/>
      <c r="BRS10" s="97"/>
      <c r="BRT10" s="97"/>
      <c r="BRU10" s="97"/>
      <c r="BRV10" s="97"/>
      <c r="BRW10" s="97"/>
      <c r="BRX10" s="97"/>
      <c r="BRY10" s="97"/>
      <c r="BRZ10" s="97"/>
      <c r="BSA10" s="97"/>
      <c r="BSB10" s="97"/>
      <c r="BSC10" s="97"/>
      <c r="BSD10" s="97"/>
      <c r="BSE10" s="97"/>
      <c r="BSF10" s="97"/>
      <c r="BSG10" s="97"/>
      <c r="BSH10" s="97"/>
      <c r="BSI10" s="97"/>
      <c r="BSJ10" s="97"/>
      <c r="BSK10" s="97"/>
      <c r="BSL10" s="97"/>
      <c r="BSM10" s="97"/>
      <c r="BSN10" s="97"/>
      <c r="BSO10" s="97"/>
      <c r="BSP10" s="97"/>
      <c r="BSQ10" s="97"/>
      <c r="BSR10" s="97"/>
      <c r="BSS10" s="97"/>
      <c r="BST10" s="97"/>
      <c r="BSU10" s="97"/>
      <c r="BSV10" s="97"/>
      <c r="BSW10" s="97"/>
      <c r="BSX10" s="97"/>
      <c r="BSY10" s="97"/>
      <c r="BSZ10" s="97"/>
      <c r="BTA10" s="97"/>
      <c r="BTB10" s="97"/>
      <c r="BTC10" s="97"/>
      <c r="BTD10" s="97"/>
      <c r="BTE10" s="97"/>
      <c r="BTF10" s="97"/>
      <c r="BTG10" s="97"/>
      <c r="BTH10" s="97"/>
      <c r="BTI10" s="97"/>
      <c r="BTJ10" s="97"/>
      <c r="BTK10" s="97"/>
      <c r="BTL10" s="97"/>
      <c r="BTM10" s="97"/>
      <c r="BTN10" s="97"/>
      <c r="BTO10" s="97"/>
      <c r="BTP10" s="97"/>
      <c r="BTQ10" s="97"/>
      <c r="BTR10" s="97"/>
      <c r="BTS10" s="97"/>
      <c r="BTT10" s="97"/>
      <c r="BTU10" s="97"/>
      <c r="BTV10" s="97"/>
      <c r="BTW10" s="97"/>
      <c r="BTX10" s="97"/>
      <c r="BTY10" s="97"/>
      <c r="BTZ10" s="97"/>
      <c r="BUA10" s="97"/>
      <c r="BUB10" s="97"/>
      <c r="BUC10" s="97"/>
      <c r="BUD10" s="97"/>
      <c r="BUE10" s="97"/>
      <c r="BUF10" s="97"/>
      <c r="BUG10" s="97"/>
      <c r="BUH10" s="97"/>
      <c r="BUI10" s="97"/>
      <c r="BUJ10" s="97"/>
      <c r="BUK10" s="97"/>
      <c r="BUL10" s="97"/>
      <c r="BUM10" s="97"/>
      <c r="BUN10" s="97"/>
      <c r="BUO10" s="97"/>
      <c r="BUP10" s="97"/>
      <c r="BUQ10" s="97"/>
      <c r="BUR10" s="97"/>
      <c r="BUS10" s="97"/>
      <c r="BUT10" s="97"/>
      <c r="BUU10" s="97"/>
      <c r="BUV10" s="97"/>
      <c r="BUW10" s="97"/>
      <c r="BUX10" s="97"/>
      <c r="BUY10" s="97"/>
      <c r="BUZ10" s="97"/>
      <c r="BVA10" s="97"/>
      <c r="BVB10" s="97"/>
      <c r="BVC10" s="97"/>
      <c r="BVD10" s="97"/>
      <c r="BVE10" s="97"/>
      <c r="BVF10" s="97"/>
      <c r="BVG10" s="97"/>
      <c r="BVH10" s="97"/>
      <c r="BVI10" s="97"/>
      <c r="BVJ10" s="97"/>
      <c r="BVK10" s="97"/>
      <c r="BVL10" s="97"/>
      <c r="BVM10" s="97"/>
      <c r="BVN10" s="97"/>
      <c r="BVO10" s="97"/>
      <c r="BVP10" s="97"/>
      <c r="BVQ10" s="97"/>
      <c r="BVR10" s="97"/>
      <c r="BVS10" s="97"/>
      <c r="BVT10" s="97"/>
      <c r="BVU10" s="97"/>
      <c r="BVV10" s="97"/>
      <c r="BVW10" s="97"/>
      <c r="BVX10" s="97"/>
      <c r="BVY10" s="97"/>
      <c r="BVZ10" s="97"/>
      <c r="BWA10" s="97"/>
      <c r="BWB10" s="97"/>
      <c r="BWC10" s="97"/>
      <c r="BWD10" s="97"/>
      <c r="BWE10" s="97"/>
      <c r="BWF10" s="97"/>
      <c r="BWG10" s="97"/>
      <c r="BWH10" s="97"/>
      <c r="BWI10" s="97"/>
      <c r="BWJ10" s="97"/>
      <c r="BWK10" s="97"/>
      <c r="BWL10" s="97"/>
      <c r="BWM10" s="97"/>
      <c r="BWN10" s="97"/>
      <c r="BWO10" s="97"/>
      <c r="BWP10" s="97"/>
      <c r="BWQ10" s="97"/>
      <c r="BWR10" s="97"/>
      <c r="BWS10" s="97"/>
      <c r="BWT10" s="97"/>
      <c r="BWU10" s="97"/>
      <c r="BWV10" s="97"/>
      <c r="BWW10" s="97"/>
      <c r="BWX10" s="97"/>
      <c r="BWY10" s="97"/>
      <c r="BWZ10" s="97"/>
      <c r="BXA10" s="97"/>
      <c r="BXB10" s="97"/>
      <c r="BXC10" s="97"/>
      <c r="BXD10" s="97"/>
      <c r="BXE10" s="97"/>
      <c r="BXF10" s="97"/>
      <c r="BXG10" s="97"/>
      <c r="BXH10" s="97"/>
      <c r="BXI10" s="97"/>
      <c r="BXJ10" s="97"/>
      <c r="BXK10" s="97"/>
      <c r="BXL10" s="97"/>
      <c r="BXM10" s="97"/>
      <c r="BXN10" s="97"/>
      <c r="BXO10" s="97"/>
      <c r="BXP10" s="97"/>
      <c r="BXQ10" s="97"/>
      <c r="BXR10" s="97"/>
      <c r="BXS10" s="97"/>
      <c r="BXT10" s="97"/>
      <c r="BXU10" s="97"/>
      <c r="BXV10" s="97"/>
      <c r="BXW10" s="97"/>
      <c r="BXX10" s="97"/>
      <c r="BXY10" s="97"/>
      <c r="BXZ10" s="97"/>
      <c r="BYA10" s="97"/>
      <c r="BYB10" s="97"/>
      <c r="BYC10" s="97"/>
      <c r="BYD10" s="97"/>
      <c r="BYE10" s="97"/>
      <c r="BYF10" s="97"/>
      <c r="BYG10" s="97"/>
      <c r="BYH10" s="97"/>
      <c r="BYI10" s="97"/>
      <c r="BYJ10" s="97"/>
      <c r="BYK10" s="97"/>
      <c r="BYL10" s="97"/>
      <c r="BYM10" s="97"/>
      <c r="BYN10" s="97"/>
      <c r="BYO10" s="97"/>
      <c r="BYP10" s="97"/>
      <c r="BYQ10" s="97"/>
      <c r="BYR10" s="97"/>
      <c r="BYS10" s="97"/>
      <c r="BYT10" s="97"/>
      <c r="BYU10" s="97"/>
      <c r="BYV10" s="97"/>
      <c r="BYW10" s="97"/>
      <c r="BYX10" s="97"/>
      <c r="BYY10" s="97"/>
      <c r="BYZ10" s="97"/>
      <c r="BZA10" s="97"/>
      <c r="BZB10" s="97"/>
      <c r="BZC10" s="97"/>
      <c r="BZD10" s="97"/>
      <c r="BZE10" s="97"/>
      <c r="BZF10" s="97"/>
      <c r="BZG10" s="97"/>
      <c r="BZH10" s="97"/>
      <c r="BZI10" s="97"/>
      <c r="BZJ10" s="97"/>
      <c r="BZK10" s="97"/>
      <c r="BZL10" s="97"/>
      <c r="BZM10" s="97"/>
      <c r="BZN10" s="97"/>
      <c r="BZO10" s="97"/>
      <c r="BZP10" s="97"/>
      <c r="BZQ10" s="97"/>
      <c r="BZR10" s="97"/>
      <c r="BZS10" s="97"/>
      <c r="BZT10" s="97"/>
      <c r="BZU10" s="97"/>
      <c r="BZV10" s="97"/>
      <c r="BZW10" s="97"/>
      <c r="BZX10" s="97"/>
      <c r="BZY10" s="97"/>
      <c r="BZZ10" s="97"/>
      <c r="CAA10" s="97"/>
      <c r="CAB10" s="97"/>
      <c r="CAC10" s="97"/>
      <c r="CAD10" s="97"/>
      <c r="CAE10" s="97"/>
      <c r="CAF10" s="97"/>
      <c r="CAG10" s="97"/>
      <c r="CAH10" s="97"/>
      <c r="CAI10" s="97"/>
      <c r="CAJ10" s="97"/>
      <c r="CAK10" s="97"/>
      <c r="CAL10" s="97"/>
      <c r="CAM10" s="97"/>
      <c r="CAN10" s="97"/>
      <c r="CAO10" s="97"/>
      <c r="CAP10" s="97"/>
      <c r="CAQ10" s="97"/>
      <c r="CAR10" s="97"/>
      <c r="CAS10" s="97"/>
      <c r="CAT10" s="97"/>
      <c r="CAU10" s="97"/>
      <c r="CAV10" s="97"/>
      <c r="CAW10" s="97"/>
      <c r="CAX10" s="97"/>
      <c r="CAY10" s="97"/>
      <c r="CAZ10" s="97"/>
      <c r="CBA10" s="97"/>
      <c r="CBB10" s="97"/>
      <c r="CBC10" s="97"/>
      <c r="CBD10" s="97"/>
      <c r="CBE10" s="97"/>
      <c r="CBF10" s="97"/>
      <c r="CBG10" s="97"/>
      <c r="CBH10" s="97"/>
      <c r="CBI10" s="97"/>
      <c r="CBJ10" s="97"/>
      <c r="CBK10" s="97"/>
      <c r="CBL10" s="97"/>
      <c r="CBM10" s="97"/>
      <c r="CBN10" s="97"/>
      <c r="CBO10" s="97"/>
      <c r="CBP10" s="97"/>
      <c r="CBQ10" s="97"/>
      <c r="CBR10" s="97"/>
      <c r="CBS10" s="97"/>
      <c r="CBT10" s="97"/>
      <c r="CBU10" s="97"/>
      <c r="CBV10" s="97"/>
      <c r="CBW10" s="97"/>
      <c r="CBX10" s="97"/>
      <c r="CBY10" s="97"/>
      <c r="CBZ10" s="97"/>
      <c r="CCA10" s="97"/>
      <c r="CCB10" s="97"/>
      <c r="CCC10" s="97"/>
      <c r="CCD10" s="97"/>
      <c r="CCE10" s="97"/>
      <c r="CCF10" s="97"/>
      <c r="CCG10" s="97"/>
      <c r="CCH10" s="97"/>
      <c r="CCI10" s="97"/>
      <c r="CCJ10" s="97"/>
      <c r="CCK10" s="97"/>
      <c r="CCL10" s="97"/>
      <c r="CCM10" s="97"/>
      <c r="CCN10" s="97"/>
      <c r="CCO10" s="97"/>
      <c r="CCP10" s="97"/>
      <c r="CCQ10" s="97"/>
      <c r="CCR10" s="97"/>
      <c r="CCS10" s="97"/>
      <c r="CCT10" s="97"/>
      <c r="CCU10" s="97"/>
      <c r="CCV10" s="97"/>
      <c r="CCW10" s="97"/>
      <c r="CCX10" s="97"/>
      <c r="CCY10" s="97"/>
      <c r="CCZ10" s="97"/>
      <c r="CDA10" s="97"/>
      <c r="CDB10" s="97"/>
      <c r="CDC10" s="97"/>
      <c r="CDD10" s="97"/>
      <c r="CDE10" s="97"/>
      <c r="CDF10" s="97"/>
      <c r="CDG10" s="97"/>
      <c r="CDH10" s="97"/>
      <c r="CDI10" s="97"/>
      <c r="CDJ10" s="97"/>
      <c r="CDK10" s="97"/>
      <c r="CDL10" s="97"/>
      <c r="CDM10" s="97"/>
      <c r="CDN10" s="97"/>
      <c r="CDO10" s="97"/>
      <c r="CDP10" s="97"/>
      <c r="CDQ10" s="97"/>
      <c r="CDR10" s="97"/>
      <c r="CDS10" s="97"/>
      <c r="CDT10" s="97"/>
      <c r="CDU10" s="97"/>
      <c r="CDV10" s="97"/>
      <c r="CDW10" s="97"/>
      <c r="CDX10" s="97"/>
      <c r="CDY10" s="97"/>
      <c r="CDZ10" s="97"/>
      <c r="CEA10" s="97"/>
      <c r="CEB10" s="97"/>
      <c r="CEC10" s="97"/>
      <c r="CED10" s="97"/>
      <c r="CEE10" s="97"/>
      <c r="CEF10" s="97"/>
      <c r="CEG10" s="97"/>
      <c r="CEH10" s="97"/>
      <c r="CEI10" s="97"/>
      <c r="CEJ10" s="97"/>
      <c r="CEK10" s="97"/>
      <c r="CEL10" s="97"/>
      <c r="CEM10" s="97"/>
      <c r="CEN10" s="97"/>
      <c r="CEO10" s="97"/>
      <c r="CEP10" s="97"/>
      <c r="CEQ10" s="97"/>
      <c r="CER10" s="97"/>
      <c r="CES10" s="97"/>
      <c r="CET10" s="97"/>
      <c r="CEU10" s="97"/>
      <c r="CEV10" s="97"/>
      <c r="CEW10" s="97"/>
      <c r="CEX10" s="97"/>
      <c r="CEY10" s="97"/>
      <c r="CEZ10" s="97"/>
      <c r="CFA10" s="97"/>
      <c r="CFB10" s="97"/>
      <c r="CFC10" s="97"/>
      <c r="CFD10" s="97"/>
      <c r="CFE10" s="97"/>
      <c r="CFF10" s="97"/>
      <c r="CFG10" s="97"/>
      <c r="CFH10" s="97"/>
      <c r="CFI10" s="97"/>
      <c r="CFJ10" s="97"/>
      <c r="CFK10" s="97"/>
      <c r="CFL10" s="97"/>
      <c r="CFM10" s="97"/>
      <c r="CFN10" s="97"/>
      <c r="CFO10" s="97"/>
      <c r="CFP10" s="97"/>
      <c r="CFQ10" s="97"/>
      <c r="CFR10" s="97"/>
      <c r="CFS10" s="97"/>
      <c r="CFT10" s="97"/>
      <c r="CFU10" s="97"/>
      <c r="CFV10" s="97"/>
      <c r="CFW10" s="97"/>
      <c r="CFX10" s="97"/>
      <c r="CFY10" s="97"/>
      <c r="CFZ10" s="97"/>
      <c r="CGA10" s="97"/>
      <c r="CGB10" s="97"/>
      <c r="CGC10" s="97"/>
      <c r="CGD10" s="97"/>
      <c r="CGE10" s="97"/>
      <c r="CGF10" s="97"/>
      <c r="CGG10" s="97"/>
      <c r="CGH10" s="97"/>
      <c r="CGI10" s="97"/>
      <c r="CGJ10" s="97"/>
      <c r="CGK10" s="97"/>
      <c r="CGL10" s="97"/>
      <c r="CGM10" s="97"/>
      <c r="CGN10" s="97"/>
      <c r="CGO10" s="97"/>
      <c r="CGP10" s="97"/>
      <c r="CGQ10" s="97"/>
      <c r="CGR10" s="97"/>
      <c r="CGS10" s="97"/>
      <c r="CGT10" s="97"/>
      <c r="CGU10" s="97"/>
      <c r="CGV10" s="97"/>
      <c r="CGW10" s="97"/>
      <c r="CGX10" s="97"/>
      <c r="CGY10" s="97"/>
      <c r="CGZ10" s="97"/>
      <c r="CHA10" s="97"/>
      <c r="CHB10" s="97"/>
      <c r="CHC10" s="97"/>
      <c r="CHD10" s="97"/>
      <c r="CHE10" s="97"/>
      <c r="CHF10" s="97"/>
      <c r="CHG10" s="97"/>
      <c r="CHH10" s="97"/>
      <c r="CHI10" s="97"/>
      <c r="CHJ10" s="97"/>
      <c r="CHK10" s="97"/>
      <c r="CHL10" s="97"/>
      <c r="CHM10" s="97"/>
      <c r="CHN10" s="97"/>
      <c r="CHO10" s="97"/>
      <c r="CHP10" s="97"/>
      <c r="CHQ10" s="97"/>
      <c r="CHR10" s="97"/>
      <c r="CHS10" s="97"/>
      <c r="CHT10" s="97"/>
      <c r="CHU10" s="97"/>
      <c r="CHV10" s="97"/>
      <c r="CHW10" s="97"/>
      <c r="CHX10" s="97"/>
      <c r="CHY10" s="97"/>
      <c r="CHZ10" s="97"/>
      <c r="CIA10" s="97"/>
      <c r="CIB10" s="97"/>
      <c r="CIC10" s="97"/>
      <c r="CID10" s="97"/>
      <c r="CIE10" s="97"/>
      <c r="CIF10" s="97"/>
      <c r="CIG10" s="97"/>
      <c r="CIH10" s="97"/>
      <c r="CII10" s="97"/>
      <c r="CIJ10" s="97"/>
      <c r="CIK10" s="97"/>
      <c r="CIL10" s="97"/>
      <c r="CIM10" s="97"/>
      <c r="CIN10" s="97"/>
      <c r="CIO10" s="97"/>
      <c r="CIP10" s="97"/>
      <c r="CIQ10" s="97"/>
      <c r="CIR10" s="97"/>
      <c r="CIS10" s="97"/>
      <c r="CIT10" s="97"/>
      <c r="CIU10" s="97"/>
      <c r="CIV10" s="97"/>
      <c r="CIW10" s="97"/>
      <c r="CIX10" s="97"/>
      <c r="CIY10" s="97"/>
      <c r="CIZ10" s="97"/>
      <c r="CJA10" s="97"/>
      <c r="CJB10" s="97"/>
      <c r="CJC10" s="97"/>
      <c r="CJD10" s="97"/>
      <c r="CJE10" s="97"/>
      <c r="CJF10" s="97"/>
      <c r="CJG10" s="97"/>
      <c r="CJH10" s="97"/>
      <c r="CJI10" s="97"/>
      <c r="CJJ10" s="97"/>
      <c r="CJK10" s="97"/>
      <c r="CJL10" s="97"/>
      <c r="CJM10" s="97"/>
      <c r="CJN10" s="97"/>
      <c r="CJO10" s="97"/>
      <c r="CJP10" s="97"/>
      <c r="CJQ10" s="97"/>
      <c r="CJR10" s="97"/>
      <c r="CJS10" s="97"/>
      <c r="CJT10" s="97"/>
      <c r="CJU10" s="97"/>
      <c r="CJV10" s="97"/>
      <c r="CJW10" s="97"/>
      <c r="CJX10" s="97"/>
      <c r="CJY10" s="97"/>
      <c r="CJZ10" s="97"/>
      <c r="CKA10" s="97"/>
      <c r="CKB10" s="97"/>
      <c r="CKC10" s="97"/>
      <c r="CKD10" s="97"/>
      <c r="CKE10" s="97"/>
      <c r="CKF10" s="97"/>
      <c r="CKG10" s="97"/>
      <c r="CKH10" s="97"/>
      <c r="CKI10" s="97"/>
      <c r="CKJ10" s="97"/>
      <c r="CKK10" s="97"/>
      <c r="CKL10" s="97"/>
      <c r="CKM10" s="97"/>
      <c r="CKN10" s="97"/>
      <c r="CKO10" s="97"/>
      <c r="CKP10" s="97"/>
      <c r="CKQ10" s="97"/>
      <c r="CKR10" s="97"/>
      <c r="CKS10" s="97"/>
      <c r="CKT10" s="97"/>
      <c r="CKU10" s="97"/>
      <c r="CKV10" s="97"/>
      <c r="CKW10" s="97"/>
      <c r="CKX10" s="97"/>
      <c r="CKY10" s="97"/>
      <c r="CKZ10" s="97"/>
      <c r="CLA10" s="97"/>
      <c r="CLB10" s="97"/>
      <c r="CLC10" s="97"/>
      <c r="CLD10" s="97"/>
      <c r="CLE10" s="97"/>
      <c r="CLF10" s="97"/>
      <c r="CLG10" s="97"/>
      <c r="CLH10" s="97"/>
      <c r="CLI10" s="97"/>
      <c r="CLJ10" s="97"/>
      <c r="CLK10" s="97"/>
      <c r="CLL10" s="97"/>
      <c r="CLM10" s="97"/>
      <c r="CLN10" s="97"/>
      <c r="CLO10" s="97"/>
      <c r="CLP10" s="97"/>
      <c r="CLQ10" s="97"/>
      <c r="CLR10" s="97"/>
      <c r="CLS10" s="97"/>
      <c r="CLT10" s="97"/>
      <c r="CLU10" s="97"/>
      <c r="CLV10" s="97"/>
      <c r="CLW10" s="97"/>
      <c r="CLX10" s="97"/>
      <c r="CLY10" s="97"/>
      <c r="CLZ10" s="97"/>
      <c r="CMA10" s="97"/>
      <c r="CMB10" s="97"/>
      <c r="CMC10" s="97"/>
      <c r="CMD10" s="97"/>
      <c r="CME10" s="97"/>
      <c r="CMF10" s="97"/>
      <c r="CMG10" s="97"/>
      <c r="CMH10" s="97"/>
      <c r="CMI10" s="97"/>
      <c r="CMJ10" s="97"/>
      <c r="CMK10" s="97"/>
      <c r="CML10" s="97"/>
      <c r="CMM10" s="97"/>
      <c r="CMN10" s="97"/>
      <c r="CMO10" s="97"/>
      <c r="CMP10" s="97"/>
      <c r="CMQ10" s="97"/>
      <c r="CMR10" s="97"/>
      <c r="CMS10" s="97"/>
      <c r="CMT10" s="97"/>
      <c r="CMU10" s="97"/>
      <c r="CMV10" s="97"/>
      <c r="CMW10" s="97"/>
      <c r="CMX10" s="97"/>
      <c r="CMY10" s="97"/>
      <c r="CMZ10" s="97"/>
      <c r="CNA10" s="97"/>
      <c r="CNB10" s="97"/>
      <c r="CNC10" s="97"/>
      <c r="CND10" s="97"/>
      <c r="CNE10" s="97"/>
      <c r="CNF10" s="97"/>
      <c r="CNG10" s="97"/>
      <c r="CNH10" s="97"/>
      <c r="CNI10" s="97"/>
      <c r="CNJ10" s="97"/>
      <c r="CNK10" s="97"/>
      <c r="CNL10" s="97"/>
      <c r="CNM10" s="97"/>
      <c r="CNN10" s="97"/>
      <c r="CNO10" s="97"/>
      <c r="CNP10" s="97"/>
      <c r="CNQ10" s="97"/>
      <c r="CNR10" s="97"/>
      <c r="CNS10" s="97"/>
      <c r="CNT10" s="97"/>
      <c r="CNU10" s="97"/>
      <c r="CNV10" s="97"/>
      <c r="CNW10" s="97"/>
      <c r="CNX10" s="97"/>
      <c r="CNY10" s="97"/>
      <c r="CNZ10" s="97"/>
      <c r="COA10" s="97"/>
      <c r="COB10" s="97"/>
      <c r="COC10" s="97"/>
      <c r="COD10" s="97"/>
      <c r="COE10" s="97"/>
      <c r="COF10" s="97"/>
      <c r="COG10" s="97"/>
      <c r="COH10" s="97"/>
      <c r="COI10" s="97"/>
      <c r="COJ10" s="97"/>
      <c r="COK10" s="97"/>
      <c r="COL10" s="97"/>
      <c r="COM10" s="97"/>
      <c r="CON10" s="97"/>
      <c r="COO10" s="97"/>
      <c r="COP10" s="97"/>
      <c r="COQ10" s="97"/>
      <c r="COR10" s="97"/>
      <c r="COS10" s="97"/>
      <c r="COT10" s="97"/>
      <c r="COU10" s="97"/>
      <c r="COV10" s="97"/>
      <c r="COW10" s="97"/>
      <c r="COX10" s="97"/>
      <c r="COY10" s="97"/>
      <c r="COZ10" s="97"/>
      <c r="CPA10" s="97"/>
      <c r="CPB10" s="97"/>
      <c r="CPC10" s="97"/>
      <c r="CPD10" s="97"/>
      <c r="CPE10" s="97"/>
      <c r="CPF10" s="97"/>
      <c r="CPG10" s="97"/>
      <c r="CPH10" s="97"/>
      <c r="CPI10" s="97"/>
      <c r="CPJ10" s="97"/>
      <c r="CPK10" s="97"/>
      <c r="CPL10" s="97"/>
      <c r="CPM10" s="97"/>
      <c r="CPN10" s="97"/>
      <c r="CPO10" s="97"/>
      <c r="CPP10" s="97"/>
      <c r="CPQ10" s="97"/>
      <c r="CPR10" s="97"/>
      <c r="CPS10" s="97"/>
      <c r="CPT10" s="97"/>
      <c r="CPU10" s="97"/>
      <c r="CPV10" s="97"/>
      <c r="CPW10" s="97"/>
      <c r="CPX10" s="97"/>
      <c r="CPY10" s="97"/>
      <c r="CPZ10" s="97"/>
      <c r="CQA10" s="97"/>
      <c r="CQB10" s="97"/>
      <c r="CQC10" s="97"/>
      <c r="CQD10" s="97"/>
      <c r="CQE10" s="97"/>
      <c r="CQF10" s="97"/>
      <c r="CQG10" s="97"/>
      <c r="CQH10" s="97"/>
      <c r="CQI10" s="97"/>
      <c r="CQJ10" s="97"/>
      <c r="CQK10" s="97"/>
      <c r="CQL10" s="97"/>
      <c r="CQM10" s="97"/>
      <c r="CQN10" s="97"/>
      <c r="CQO10" s="97"/>
      <c r="CQP10" s="97"/>
      <c r="CQQ10" s="97"/>
      <c r="CQR10" s="97"/>
      <c r="CQS10" s="97"/>
      <c r="CQT10" s="97"/>
      <c r="CQU10" s="97"/>
      <c r="CQV10" s="97"/>
      <c r="CQW10" s="97"/>
      <c r="CQX10" s="97"/>
      <c r="CQY10" s="97"/>
      <c r="CQZ10" s="97"/>
      <c r="CRA10" s="97"/>
      <c r="CRB10" s="97"/>
      <c r="CRC10" s="97"/>
      <c r="CRD10" s="97"/>
      <c r="CRE10" s="97"/>
      <c r="CRF10" s="97"/>
      <c r="CRG10" s="97"/>
      <c r="CRH10" s="97"/>
      <c r="CRI10" s="97"/>
      <c r="CRJ10" s="97"/>
      <c r="CRK10" s="97"/>
      <c r="CRL10" s="97"/>
      <c r="CRM10" s="97"/>
      <c r="CRN10" s="97"/>
      <c r="CRO10" s="97"/>
      <c r="CRP10" s="97"/>
      <c r="CRQ10" s="97"/>
      <c r="CRR10" s="97"/>
      <c r="CRS10" s="97"/>
      <c r="CRT10" s="97"/>
      <c r="CRU10" s="97"/>
      <c r="CRV10" s="97"/>
      <c r="CRW10" s="97"/>
      <c r="CRX10" s="97"/>
      <c r="CRY10" s="97"/>
      <c r="CRZ10" s="97"/>
      <c r="CSA10" s="97"/>
      <c r="CSB10" s="97"/>
      <c r="CSC10" s="97"/>
      <c r="CSD10" s="97"/>
      <c r="CSE10" s="97"/>
      <c r="CSF10" s="97"/>
      <c r="CSG10" s="97"/>
      <c r="CSH10" s="97"/>
      <c r="CSI10" s="97"/>
      <c r="CSJ10" s="97"/>
      <c r="CSK10" s="97"/>
      <c r="CSL10" s="97"/>
      <c r="CSM10" s="97"/>
      <c r="CSN10" s="97"/>
      <c r="CSO10" s="97"/>
      <c r="CSP10" s="97"/>
      <c r="CSQ10" s="97"/>
      <c r="CSR10" s="97"/>
      <c r="CSS10" s="97"/>
      <c r="CST10" s="97"/>
      <c r="CSU10" s="97"/>
      <c r="CSV10" s="97"/>
      <c r="CSW10" s="97"/>
      <c r="CSX10" s="97"/>
      <c r="CSY10" s="97"/>
      <c r="CSZ10" s="97"/>
      <c r="CTA10" s="97"/>
      <c r="CTB10" s="97"/>
      <c r="CTC10" s="97"/>
      <c r="CTD10" s="97"/>
      <c r="CTE10" s="97"/>
      <c r="CTF10" s="97"/>
      <c r="CTG10" s="97"/>
      <c r="CTH10" s="97"/>
      <c r="CTI10" s="97"/>
      <c r="CTJ10" s="97"/>
      <c r="CTK10" s="97"/>
      <c r="CTL10" s="97"/>
      <c r="CTM10" s="97"/>
      <c r="CTN10" s="97"/>
      <c r="CTO10" s="97"/>
      <c r="CTP10" s="97"/>
      <c r="CTQ10" s="97"/>
      <c r="CTR10" s="97"/>
      <c r="CTS10" s="97"/>
      <c r="CTT10" s="97"/>
      <c r="CTU10" s="97"/>
      <c r="CTV10" s="97"/>
      <c r="CTW10" s="97"/>
      <c r="CTX10" s="97"/>
      <c r="CTY10" s="97"/>
      <c r="CTZ10" s="97"/>
      <c r="CUA10" s="97"/>
      <c r="CUB10" s="97"/>
      <c r="CUC10" s="97"/>
      <c r="CUD10" s="97"/>
      <c r="CUE10" s="97"/>
      <c r="CUF10" s="97"/>
      <c r="CUG10" s="97"/>
      <c r="CUH10" s="97"/>
      <c r="CUI10" s="97"/>
      <c r="CUJ10" s="97"/>
      <c r="CUK10" s="97"/>
      <c r="CUL10" s="97"/>
      <c r="CUM10" s="97"/>
      <c r="CUN10" s="97"/>
      <c r="CUO10" s="97"/>
      <c r="CUP10" s="97"/>
      <c r="CUQ10" s="97"/>
      <c r="CUR10" s="97"/>
      <c r="CUS10" s="97"/>
      <c r="CUT10" s="97"/>
      <c r="CUU10" s="97"/>
      <c r="CUV10" s="97"/>
      <c r="CUW10" s="97"/>
      <c r="CUX10" s="97"/>
      <c r="CUY10" s="97"/>
      <c r="CUZ10" s="97"/>
      <c r="CVA10" s="97"/>
      <c r="CVB10" s="97"/>
      <c r="CVC10" s="97"/>
      <c r="CVD10" s="97"/>
      <c r="CVE10" s="97"/>
      <c r="CVF10" s="97"/>
      <c r="CVG10" s="97"/>
      <c r="CVH10" s="97"/>
      <c r="CVI10" s="97"/>
      <c r="CVJ10" s="97"/>
      <c r="CVK10" s="97"/>
      <c r="CVL10" s="97"/>
      <c r="CVM10" s="97"/>
      <c r="CVN10" s="97"/>
      <c r="CVO10" s="97"/>
      <c r="CVP10" s="97"/>
      <c r="CVQ10" s="97"/>
      <c r="CVR10" s="97"/>
      <c r="CVS10" s="97"/>
      <c r="CVT10" s="97"/>
      <c r="CVU10" s="97"/>
      <c r="CVV10" s="97"/>
      <c r="CVW10" s="97"/>
      <c r="CVX10" s="97"/>
      <c r="CVY10" s="97"/>
      <c r="CVZ10" s="97"/>
      <c r="CWA10" s="97"/>
      <c r="CWB10" s="97"/>
      <c r="CWC10" s="97"/>
      <c r="CWD10" s="97"/>
      <c r="CWE10" s="97"/>
      <c r="CWF10" s="97"/>
      <c r="CWG10" s="97"/>
      <c r="CWH10" s="97"/>
      <c r="CWI10" s="97"/>
      <c r="CWJ10" s="97"/>
      <c r="CWK10" s="97"/>
      <c r="CWL10" s="97"/>
      <c r="CWM10" s="97"/>
      <c r="CWN10" s="97"/>
      <c r="CWO10" s="97"/>
      <c r="CWP10" s="97"/>
      <c r="CWQ10" s="97"/>
      <c r="CWR10" s="97"/>
      <c r="CWS10" s="97"/>
      <c r="CWT10" s="97"/>
      <c r="CWU10" s="97"/>
      <c r="CWV10" s="97"/>
      <c r="CWW10" s="97"/>
      <c r="CWX10" s="97"/>
      <c r="CWY10" s="97"/>
      <c r="CWZ10" s="97"/>
      <c r="CXA10" s="97"/>
      <c r="CXB10" s="97"/>
      <c r="CXC10" s="97"/>
      <c r="CXD10" s="97"/>
      <c r="CXE10" s="97"/>
      <c r="CXF10" s="97"/>
      <c r="CXG10" s="97"/>
      <c r="CXH10" s="97"/>
      <c r="CXI10" s="97"/>
      <c r="CXJ10" s="97"/>
      <c r="CXK10" s="97"/>
      <c r="CXL10" s="97"/>
      <c r="CXM10" s="97"/>
      <c r="CXN10" s="97"/>
      <c r="CXO10" s="97"/>
      <c r="CXP10" s="97"/>
      <c r="CXQ10" s="97"/>
      <c r="CXR10" s="97"/>
      <c r="CXS10" s="97"/>
      <c r="CXT10" s="97"/>
      <c r="CXU10" s="97"/>
      <c r="CXV10" s="97"/>
      <c r="CXW10" s="97"/>
      <c r="CXX10" s="97"/>
      <c r="CXY10" s="97"/>
      <c r="CXZ10" s="97"/>
      <c r="CYA10" s="97"/>
      <c r="CYB10" s="97"/>
      <c r="CYC10" s="97"/>
      <c r="CYD10" s="97"/>
      <c r="CYE10" s="97"/>
      <c r="CYF10" s="97"/>
      <c r="CYG10" s="97"/>
      <c r="CYH10" s="97"/>
      <c r="CYI10" s="97"/>
      <c r="CYJ10" s="97"/>
      <c r="CYK10" s="97"/>
      <c r="CYL10" s="97"/>
      <c r="CYM10" s="97"/>
      <c r="CYN10" s="97"/>
      <c r="CYO10" s="97"/>
      <c r="CYP10" s="97"/>
      <c r="CYQ10" s="97"/>
      <c r="CYR10" s="97"/>
      <c r="CYS10" s="97"/>
      <c r="CYT10" s="97"/>
      <c r="CYU10" s="97"/>
      <c r="CYV10" s="97"/>
      <c r="CYW10" s="97"/>
      <c r="CYX10" s="97"/>
      <c r="CYY10" s="97"/>
      <c r="CYZ10" s="97"/>
      <c r="CZA10" s="97"/>
      <c r="CZB10" s="97"/>
      <c r="CZC10" s="97"/>
      <c r="CZD10" s="97"/>
      <c r="CZE10" s="97"/>
      <c r="CZF10" s="97"/>
      <c r="CZG10" s="97"/>
      <c r="CZH10" s="97"/>
      <c r="CZI10" s="97"/>
      <c r="CZJ10" s="97"/>
      <c r="CZK10" s="97"/>
      <c r="CZL10" s="97"/>
      <c r="CZM10" s="97"/>
      <c r="CZN10" s="97"/>
      <c r="CZO10" s="97"/>
      <c r="CZP10" s="97"/>
      <c r="CZQ10" s="97"/>
      <c r="CZR10" s="97"/>
      <c r="CZS10" s="97"/>
      <c r="CZT10" s="97"/>
      <c r="CZU10" s="97"/>
      <c r="CZV10" s="97"/>
      <c r="CZW10" s="97"/>
      <c r="CZX10" s="97"/>
      <c r="CZY10" s="97"/>
      <c r="CZZ10" s="97"/>
      <c r="DAA10" s="97"/>
      <c r="DAB10" s="97"/>
      <c r="DAC10" s="97"/>
      <c r="DAD10" s="97"/>
      <c r="DAE10" s="97"/>
      <c r="DAF10" s="97"/>
      <c r="DAG10" s="97"/>
      <c r="DAH10" s="97"/>
      <c r="DAI10" s="97"/>
      <c r="DAJ10" s="97"/>
      <c r="DAK10" s="97"/>
      <c r="DAL10" s="97"/>
      <c r="DAM10" s="97"/>
      <c r="DAN10" s="97"/>
      <c r="DAO10" s="97"/>
      <c r="DAP10" s="97"/>
      <c r="DAQ10" s="97"/>
      <c r="DAR10" s="97"/>
      <c r="DAS10" s="97"/>
      <c r="DAT10" s="97"/>
      <c r="DAU10" s="97"/>
      <c r="DAV10" s="97"/>
      <c r="DAW10" s="97"/>
      <c r="DAX10" s="97"/>
      <c r="DAY10" s="97"/>
      <c r="DAZ10" s="97"/>
      <c r="DBA10" s="97"/>
      <c r="DBB10" s="97"/>
      <c r="DBC10" s="97"/>
      <c r="DBD10" s="97"/>
      <c r="DBE10" s="97"/>
      <c r="DBF10" s="97"/>
      <c r="DBG10" s="97"/>
      <c r="DBH10" s="97"/>
      <c r="DBI10" s="97"/>
      <c r="DBJ10" s="97"/>
      <c r="DBK10" s="97"/>
      <c r="DBL10" s="97"/>
      <c r="DBM10" s="97"/>
      <c r="DBN10" s="97"/>
      <c r="DBO10" s="97"/>
      <c r="DBP10" s="97"/>
      <c r="DBQ10" s="97"/>
      <c r="DBR10" s="97"/>
      <c r="DBS10" s="97"/>
      <c r="DBT10" s="97"/>
      <c r="DBU10" s="97"/>
      <c r="DBV10" s="97"/>
      <c r="DBW10" s="97"/>
      <c r="DBX10" s="97"/>
      <c r="DBY10" s="97"/>
      <c r="DBZ10" s="97"/>
      <c r="DCA10" s="97"/>
      <c r="DCB10" s="97"/>
      <c r="DCC10" s="97"/>
      <c r="DCD10" s="97"/>
      <c r="DCE10" s="97"/>
      <c r="DCF10" s="97"/>
      <c r="DCG10" s="97"/>
      <c r="DCH10" s="97"/>
      <c r="DCI10" s="97"/>
      <c r="DCJ10" s="97"/>
      <c r="DCK10" s="97"/>
      <c r="DCL10" s="97"/>
      <c r="DCM10" s="97"/>
      <c r="DCN10" s="97"/>
      <c r="DCO10" s="97"/>
      <c r="DCP10" s="97"/>
      <c r="DCQ10" s="97"/>
      <c r="DCR10" s="97"/>
      <c r="DCS10" s="97"/>
      <c r="DCT10" s="97"/>
      <c r="DCU10" s="97"/>
      <c r="DCV10" s="97"/>
      <c r="DCW10" s="97"/>
      <c r="DCX10" s="97"/>
      <c r="DCY10" s="97"/>
      <c r="DCZ10" s="97"/>
      <c r="DDA10" s="97"/>
      <c r="DDB10" s="97"/>
      <c r="DDC10" s="97"/>
      <c r="DDD10" s="97"/>
      <c r="DDE10" s="97"/>
      <c r="DDF10" s="97"/>
      <c r="DDG10" s="97"/>
      <c r="DDH10" s="97"/>
      <c r="DDI10" s="97"/>
      <c r="DDJ10" s="97"/>
      <c r="DDK10" s="97"/>
      <c r="DDL10" s="97"/>
      <c r="DDM10" s="97"/>
      <c r="DDN10" s="97"/>
      <c r="DDO10" s="97"/>
      <c r="DDP10" s="97"/>
      <c r="DDQ10" s="97"/>
      <c r="DDR10" s="97"/>
      <c r="DDS10" s="97"/>
      <c r="DDT10" s="97"/>
      <c r="DDU10" s="97"/>
      <c r="DDV10" s="97"/>
      <c r="DDW10" s="97"/>
      <c r="DDX10" s="97"/>
      <c r="DDY10" s="97"/>
      <c r="DDZ10" s="97"/>
      <c r="DEA10" s="97"/>
      <c r="DEB10" s="97"/>
      <c r="DEC10" s="97"/>
      <c r="DED10" s="97"/>
      <c r="DEE10" s="97"/>
      <c r="DEF10" s="97"/>
      <c r="DEG10" s="97"/>
      <c r="DEH10" s="97"/>
      <c r="DEI10" s="97"/>
      <c r="DEJ10" s="97"/>
      <c r="DEK10" s="97"/>
      <c r="DEL10" s="97"/>
      <c r="DEM10" s="97"/>
      <c r="DEN10" s="97"/>
      <c r="DEO10" s="97"/>
      <c r="DEP10" s="97"/>
      <c r="DEQ10" s="97"/>
      <c r="DER10" s="97"/>
      <c r="DES10" s="97"/>
      <c r="DET10" s="97"/>
      <c r="DEU10" s="97"/>
      <c r="DEV10" s="97"/>
      <c r="DEW10" s="97"/>
      <c r="DEX10" s="97"/>
      <c r="DEY10" s="97"/>
      <c r="DEZ10" s="97"/>
      <c r="DFA10" s="97"/>
      <c r="DFB10" s="97"/>
      <c r="DFC10" s="97"/>
      <c r="DFD10" s="97"/>
      <c r="DFE10" s="97"/>
      <c r="DFF10" s="97"/>
      <c r="DFG10" s="97"/>
      <c r="DFH10" s="97"/>
      <c r="DFI10" s="97"/>
      <c r="DFJ10" s="97"/>
      <c r="DFK10" s="97"/>
      <c r="DFL10" s="97"/>
      <c r="DFM10" s="97"/>
      <c r="DFN10" s="97"/>
      <c r="DFO10" s="97"/>
      <c r="DFP10" s="97"/>
      <c r="DFQ10" s="97"/>
      <c r="DFR10" s="97"/>
      <c r="DFS10" s="97"/>
      <c r="DFT10" s="97"/>
      <c r="DFU10" s="97"/>
      <c r="DFV10" s="97"/>
      <c r="DFW10" s="97"/>
      <c r="DFX10" s="97"/>
      <c r="DFY10" s="97"/>
      <c r="DFZ10" s="97"/>
      <c r="DGA10" s="97"/>
      <c r="DGB10" s="97"/>
      <c r="DGC10" s="97"/>
      <c r="DGD10" s="97"/>
      <c r="DGE10" s="97"/>
      <c r="DGF10" s="97"/>
      <c r="DGG10" s="97"/>
      <c r="DGH10" s="97"/>
      <c r="DGI10" s="97"/>
      <c r="DGJ10" s="97"/>
      <c r="DGK10" s="97"/>
      <c r="DGL10" s="97"/>
      <c r="DGM10" s="97"/>
      <c r="DGN10" s="97"/>
      <c r="DGO10" s="97"/>
      <c r="DGP10" s="97"/>
      <c r="DGQ10" s="97"/>
      <c r="DGR10" s="97"/>
      <c r="DGS10" s="97"/>
      <c r="DGT10" s="97"/>
      <c r="DGU10" s="97"/>
      <c r="DGV10" s="97"/>
      <c r="DGW10" s="97"/>
      <c r="DGX10" s="97"/>
      <c r="DGY10" s="97"/>
      <c r="DGZ10" s="97"/>
      <c r="DHA10" s="97"/>
      <c r="DHB10" s="97"/>
      <c r="DHC10" s="97"/>
      <c r="DHD10" s="97"/>
      <c r="DHE10" s="97"/>
      <c r="DHF10" s="97"/>
      <c r="DHG10" s="97"/>
      <c r="DHH10" s="97"/>
      <c r="DHI10" s="97"/>
      <c r="DHJ10" s="97"/>
      <c r="DHK10" s="97"/>
      <c r="DHL10" s="97"/>
      <c r="DHM10" s="97"/>
      <c r="DHN10" s="97"/>
      <c r="DHO10" s="97"/>
      <c r="DHP10" s="97"/>
      <c r="DHQ10" s="97"/>
      <c r="DHR10" s="97"/>
      <c r="DHS10" s="97"/>
      <c r="DHT10" s="97"/>
      <c r="DHU10" s="97"/>
      <c r="DHV10" s="97"/>
      <c r="DHW10" s="97"/>
      <c r="DHX10" s="97"/>
      <c r="DHY10" s="97"/>
      <c r="DHZ10" s="97"/>
      <c r="DIA10" s="97"/>
      <c r="DIB10" s="97"/>
      <c r="DIC10" s="97"/>
      <c r="DID10" s="97"/>
      <c r="DIE10" s="97"/>
      <c r="DIF10" s="97"/>
      <c r="DIG10" s="97"/>
      <c r="DIH10" s="97"/>
      <c r="DII10" s="97"/>
      <c r="DIJ10" s="97"/>
      <c r="DIK10" s="97"/>
      <c r="DIL10" s="97"/>
      <c r="DIM10" s="97"/>
      <c r="DIN10" s="97"/>
      <c r="DIO10" s="97"/>
      <c r="DIP10" s="97"/>
      <c r="DIQ10" s="97"/>
      <c r="DIR10" s="97"/>
      <c r="DIS10" s="97"/>
      <c r="DIT10" s="97"/>
      <c r="DIU10" s="97"/>
      <c r="DIV10" s="97"/>
      <c r="DIW10" s="97"/>
      <c r="DIX10" s="97"/>
      <c r="DIY10" s="97"/>
      <c r="DIZ10" s="97"/>
      <c r="DJA10" s="97"/>
      <c r="DJB10" s="97"/>
      <c r="DJC10" s="97"/>
      <c r="DJD10" s="97"/>
      <c r="DJE10" s="97"/>
      <c r="DJF10" s="97"/>
      <c r="DJG10" s="97"/>
      <c r="DJH10" s="97"/>
      <c r="DJI10" s="97"/>
      <c r="DJJ10" s="97"/>
      <c r="DJK10" s="97"/>
      <c r="DJL10" s="97"/>
      <c r="DJM10" s="97"/>
      <c r="DJN10" s="97"/>
      <c r="DJO10" s="97"/>
      <c r="DJP10" s="97"/>
      <c r="DJQ10" s="97"/>
      <c r="DJR10" s="97"/>
      <c r="DJS10" s="97"/>
      <c r="DJT10" s="97"/>
      <c r="DJU10" s="97"/>
      <c r="DJV10" s="97"/>
      <c r="DJW10" s="97"/>
      <c r="DJX10" s="97"/>
      <c r="DJY10" s="97"/>
      <c r="DJZ10" s="97"/>
      <c r="DKA10" s="97"/>
      <c r="DKB10" s="97"/>
      <c r="DKC10" s="97"/>
      <c r="DKD10" s="97"/>
      <c r="DKE10" s="97"/>
      <c r="DKF10" s="97"/>
      <c r="DKG10" s="97"/>
      <c r="DKH10" s="97"/>
      <c r="DKI10" s="97"/>
      <c r="DKJ10" s="97"/>
      <c r="DKK10" s="97"/>
      <c r="DKL10" s="97"/>
      <c r="DKM10" s="97"/>
      <c r="DKN10" s="97"/>
      <c r="DKO10" s="97"/>
      <c r="DKP10" s="97"/>
      <c r="DKQ10" s="97"/>
      <c r="DKR10" s="97"/>
      <c r="DKS10" s="97"/>
      <c r="DKT10" s="97"/>
      <c r="DKU10" s="97"/>
      <c r="DKV10" s="97"/>
      <c r="DKW10" s="97"/>
      <c r="DKX10" s="97"/>
      <c r="DKY10" s="97"/>
      <c r="DKZ10" s="97"/>
      <c r="DLA10" s="97"/>
      <c r="DLB10" s="97"/>
      <c r="DLC10" s="97"/>
      <c r="DLD10" s="97"/>
      <c r="DLE10" s="97"/>
      <c r="DLF10" s="97"/>
      <c r="DLG10" s="97"/>
      <c r="DLH10" s="97"/>
      <c r="DLI10" s="97"/>
      <c r="DLJ10" s="97"/>
      <c r="DLK10" s="97"/>
      <c r="DLL10" s="97"/>
      <c r="DLM10" s="97"/>
      <c r="DLN10" s="97"/>
      <c r="DLO10" s="97"/>
      <c r="DLP10" s="97"/>
      <c r="DLQ10" s="97"/>
      <c r="DLR10" s="97"/>
      <c r="DLS10" s="97"/>
      <c r="DLT10" s="97"/>
      <c r="DLU10" s="97"/>
      <c r="DLV10" s="97"/>
      <c r="DLW10" s="97"/>
      <c r="DLX10" s="97"/>
      <c r="DLY10" s="97"/>
      <c r="DLZ10" s="97"/>
      <c r="DMA10" s="97"/>
      <c r="DMB10" s="97"/>
      <c r="DMC10" s="97"/>
      <c r="DMD10" s="97"/>
      <c r="DME10" s="97"/>
      <c r="DMF10" s="97"/>
      <c r="DMG10" s="97"/>
      <c r="DMH10" s="97"/>
      <c r="DMI10" s="97"/>
      <c r="DMJ10" s="97"/>
      <c r="DMK10" s="97"/>
      <c r="DML10" s="97"/>
      <c r="DMM10" s="97"/>
      <c r="DMN10" s="97"/>
      <c r="DMO10" s="97"/>
      <c r="DMP10" s="97"/>
      <c r="DMQ10" s="97"/>
      <c r="DMR10" s="97"/>
      <c r="DMS10" s="97"/>
      <c r="DMT10" s="97"/>
      <c r="DMU10" s="97"/>
      <c r="DMV10" s="97"/>
      <c r="DMW10" s="97"/>
      <c r="DMX10" s="97"/>
      <c r="DMY10" s="97"/>
      <c r="DMZ10" s="97"/>
      <c r="DNA10" s="97"/>
      <c r="DNB10" s="97"/>
      <c r="DNC10" s="97"/>
      <c r="DND10" s="97"/>
      <c r="DNE10" s="97"/>
      <c r="DNF10" s="97"/>
      <c r="DNG10" s="97"/>
      <c r="DNH10" s="97"/>
      <c r="DNI10" s="97"/>
      <c r="DNJ10" s="97"/>
      <c r="DNK10" s="97"/>
      <c r="DNL10" s="97"/>
      <c r="DNM10" s="97"/>
      <c r="DNN10" s="97"/>
      <c r="DNO10" s="97"/>
      <c r="DNP10" s="97"/>
      <c r="DNQ10" s="97"/>
      <c r="DNR10" s="97"/>
      <c r="DNS10" s="97"/>
      <c r="DNT10" s="97"/>
      <c r="DNU10" s="97"/>
      <c r="DNV10" s="97"/>
      <c r="DNW10" s="97"/>
      <c r="DNX10" s="97"/>
      <c r="DNY10" s="97"/>
      <c r="DNZ10" s="97"/>
      <c r="DOA10" s="97"/>
      <c r="DOB10" s="97"/>
      <c r="DOC10" s="97"/>
      <c r="DOD10" s="97"/>
      <c r="DOE10" s="97"/>
      <c r="DOF10" s="97"/>
      <c r="DOG10" s="97"/>
      <c r="DOH10" s="97"/>
      <c r="DOI10" s="97"/>
      <c r="DOJ10" s="97"/>
      <c r="DOK10" s="97"/>
      <c r="DOL10" s="97"/>
      <c r="DOM10" s="97"/>
      <c r="DON10" s="97"/>
      <c r="DOO10" s="97"/>
      <c r="DOP10" s="97"/>
      <c r="DOQ10" s="97"/>
      <c r="DOR10" s="97"/>
      <c r="DOS10" s="97"/>
      <c r="DOT10" s="97"/>
      <c r="DOU10" s="97"/>
      <c r="DOV10" s="97"/>
      <c r="DOW10" s="97"/>
      <c r="DOX10" s="97"/>
      <c r="DOY10" s="97"/>
      <c r="DOZ10" s="97"/>
      <c r="DPA10" s="97"/>
      <c r="DPB10" s="97"/>
      <c r="DPC10" s="97"/>
      <c r="DPD10" s="97"/>
      <c r="DPE10" s="97"/>
      <c r="DPF10" s="97"/>
      <c r="DPG10" s="97"/>
      <c r="DPH10" s="97"/>
      <c r="DPI10" s="97"/>
      <c r="DPJ10" s="97"/>
      <c r="DPK10" s="97"/>
      <c r="DPL10" s="97"/>
      <c r="DPM10" s="97"/>
      <c r="DPN10" s="97"/>
      <c r="DPO10" s="97"/>
      <c r="DPP10" s="97"/>
      <c r="DPQ10" s="97"/>
      <c r="DPR10" s="97"/>
      <c r="DPS10" s="97"/>
      <c r="DPT10" s="97"/>
      <c r="DPU10" s="97"/>
      <c r="DPV10" s="97"/>
      <c r="DPW10" s="97"/>
      <c r="DPX10" s="97"/>
      <c r="DPY10" s="97"/>
      <c r="DPZ10" s="97"/>
      <c r="DQA10" s="97"/>
      <c r="DQB10" s="97"/>
      <c r="DQC10" s="97"/>
      <c r="DQD10" s="97"/>
      <c r="DQE10" s="97"/>
      <c r="DQF10" s="97"/>
      <c r="DQG10" s="97"/>
      <c r="DQH10" s="97"/>
      <c r="DQI10" s="97"/>
      <c r="DQJ10" s="97"/>
      <c r="DQK10" s="97"/>
      <c r="DQL10" s="97"/>
      <c r="DQM10" s="97"/>
      <c r="DQN10" s="97"/>
      <c r="DQO10" s="97"/>
      <c r="DQP10" s="97"/>
      <c r="DQQ10" s="97"/>
      <c r="DQR10" s="97"/>
      <c r="DQS10" s="97"/>
      <c r="DQT10" s="97"/>
      <c r="DQU10" s="97"/>
      <c r="DQV10" s="97"/>
      <c r="DQW10" s="97"/>
      <c r="DQX10" s="97"/>
      <c r="DQY10" s="97"/>
      <c r="DQZ10" s="97"/>
      <c r="DRA10" s="97"/>
      <c r="DRB10" s="97"/>
      <c r="DRC10" s="97"/>
      <c r="DRD10" s="97"/>
      <c r="DRE10" s="97"/>
      <c r="DRF10" s="97"/>
      <c r="DRG10" s="97"/>
      <c r="DRH10" s="97"/>
      <c r="DRI10" s="97"/>
      <c r="DRJ10" s="97"/>
      <c r="DRK10" s="97"/>
      <c r="DRL10" s="97"/>
      <c r="DRM10" s="97"/>
      <c r="DRN10" s="97"/>
      <c r="DRO10" s="97"/>
      <c r="DRP10" s="97"/>
      <c r="DRQ10" s="97"/>
      <c r="DRR10" s="97"/>
      <c r="DRS10" s="97"/>
      <c r="DRT10" s="97"/>
      <c r="DRU10" s="97"/>
      <c r="DRV10" s="97"/>
      <c r="DRW10" s="97"/>
      <c r="DRX10" s="97"/>
      <c r="DRY10" s="97"/>
      <c r="DRZ10" s="97"/>
      <c r="DSA10" s="97"/>
      <c r="DSB10" s="97"/>
      <c r="DSC10" s="97"/>
      <c r="DSD10" s="97"/>
      <c r="DSE10" s="97"/>
      <c r="DSF10" s="97"/>
      <c r="DSG10" s="97"/>
      <c r="DSH10" s="97"/>
      <c r="DSI10" s="97"/>
      <c r="DSJ10" s="97"/>
      <c r="DSK10" s="97"/>
      <c r="DSL10" s="97"/>
      <c r="DSM10" s="97"/>
      <c r="DSN10" s="97"/>
      <c r="DSO10" s="97"/>
      <c r="DSP10" s="97"/>
      <c r="DSQ10" s="97"/>
      <c r="DSR10" s="97"/>
      <c r="DSS10" s="97"/>
      <c r="DST10" s="97"/>
      <c r="DSU10" s="97"/>
      <c r="DSV10" s="97"/>
      <c r="DSW10" s="97"/>
      <c r="DSX10" s="97"/>
      <c r="DSY10" s="97"/>
      <c r="DSZ10" s="97"/>
      <c r="DTA10" s="97"/>
      <c r="DTB10" s="97"/>
      <c r="DTC10" s="97"/>
      <c r="DTD10" s="97"/>
      <c r="DTE10" s="97"/>
      <c r="DTF10" s="97"/>
      <c r="DTG10" s="97"/>
      <c r="DTH10" s="97"/>
      <c r="DTI10" s="97"/>
      <c r="DTJ10" s="97"/>
      <c r="DTK10" s="97"/>
      <c r="DTL10" s="97"/>
      <c r="DTM10" s="97"/>
      <c r="DTN10" s="97"/>
      <c r="DTO10" s="97"/>
      <c r="DTP10" s="97"/>
      <c r="DTQ10" s="97"/>
      <c r="DTR10" s="97"/>
      <c r="DTS10" s="97"/>
      <c r="DTT10" s="97"/>
      <c r="DTU10" s="97"/>
      <c r="DTV10" s="97"/>
      <c r="DTW10" s="97"/>
      <c r="DTX10" s="97"/>
      <c r="DTY10" s="97"/>
      <c r="DTZ10" s="97"/>
      <c r="DUA10" s="97"/>
      <c r="DUB10" s="97"/>
      <c r="DUC10" s="97"/>
      <c r="DUD10" s="97"/>
      <c r="DUE10" s="97"/>
      <c r="DUF10" s="97"/>
      <c r="DUG10" s="97"/>
      <c r="DUH10" s="97"/>
      <c r="DUI10" s="97"/>
      <c r="DUJ10" s="97"/>
      <c r="DUK10" s="97"/>
      <c r="DUL10" s="97"/>
      <c r="DUM10" s="97"/>
      <c r="DUN10" s="97"/>
      <c r="DUO10" s="97"/>
      <c r="DUP10" s="97"/>
      <c r="DUQ10" s="97"/>
      <c r="DUR10" s="97"/>
      <c r="DUS10" s="97"/>
      <c r="DUT10" s="97"/>
      <c r="DUU10" s="97"/>
      <c r="DUV10" s="97"/>
      <c r="DUW10" s="97"/>
      <c r="DUX10" s="97"/>
      <c r="DUY10" s="97"/>
      <c r="DUZ10" s="97"/>
      <c r="DVA10" s="97"/>
      <c r="DVB10" s="97"/>
      <c r="DVC10" s="97"/>
      <c r="DVD10" s="97"/>
      <c r="DVE10" s="97"/>
      <c r="DVF10" s="97"/>
      <c r="DVG10" s="97"/>
      <c r="DVH10" s="97"/>
      <c r="DVI10" s="97"/>
      <c r="DVJ10" s="97"/>
      <c r="DVK10" s="97"/>
      <c r="DVL10" s="97"/>
      <c r="DVM10" s="97"/>
      <c r="DVN10" s="97"/>
      <c r="DVO10" s="97"/>
      <c r="DVP10" s="97"/>
      <c r="DVQ10" s="97"/>
      <c r="DVR10" s="97"/>
      <c r="DVS10" s="97"/>
      <c r="DVT10" s="97"/>
      <c r="DVU10" s="97"/>
      <c r="DVV10" s="97"/>
      <c r="DVW10" s="97"/>
      <c r="DVX10" s="97"/>
      <c r="DVY10" s="97"/>
      <c r="DVZ10" s="97"/>
      <c r="DWA10" s="97"/>
      <c r="DWB10" s="97"/>
      <c r="DWC10" s="97"/>
      <c r="DWD10" s="97"/>
      <c r="DWE10" s="97"/>
      <c r="DWF10" s="97"/>
      <c r="DWG10" s="97"/>
      <c r="DWH10" s="97"/>
      <c r="DWI10" s="97"/>
      <c r="DWJ10" s="97"/>
      <c r="DWK10" s="97"/>
      <c r="DWL10" s="97"/>
      <c r="DWM10" s="97"/>
      <c r="DWN10" s="97"/>
      <c r="DWO10" s="97"/>
      <c r="DWP10" s="97"/>
      <c r="DWQ10" s="97"/>
      <c r="DWR10" s="97"/>
      <c r="DWS10" s="97"/>
      <c r="DWT10" s="97"/>
      <c r="DWU10" s="97"/>
      <c r="DWV10" s="97"/>
      <c r="DWW10" s="97"/>
      <c r="DWX10" s="97"/>
      <c r="DWY10" s="97"/>
      <c r="DWZ10" s="97"/>
      <c r="DXA10" s="97"/>
      <c r="DXB10" s="97"/>
      <c r="DXC10" s="97"/>
      <c r="DXD10" s="97"/>
      <c r="DXE10" s="97"/>
      <c r="DXF10" s="97"/>
      <c r="DXG10" s="97"/>
      <c r="DXH10" s="97"/>
      <c r="DXI10" s="97"/>
      <c r="DXJ10" s="97"/>
      <c r="DXK10" s="97"/>
      <c r="DXL10" s="97"/>
      <c r="DXM10" s="97"/>
      <c r="DXN10" s="97"/>
      <c r="DXO10" s="97"/>
      <c r="DXP10" s="97"/>
      <c r="DXQ10" s="97"/>
      <c r="DXR10" s="97"/>
      <c r="DXS10" s="97"/>
      <c r="DXT10" s="97"/>
      <c r="DXU10" s="97"/>
      <c r="DXV10" s="97"/>
      <c r="DXW10" s="97"/>
      <c r="DXX10" s="97"/>
      <c r="DXY10" s="97"/>
      <c r="DXZ10" s="97"/>
      <c r="DYA10" s="97"/>
      <c r="DYB10" s="97"/>
      <c r="DYC10" s="97"/>
      <c r="DYD10" s="97"/>
      <c r="DYE10" s="97"/>
      <c r="DYF10" s="97"/>
      <c r="DYG10" s="97"/>
      <c r="DYH10" s="97"/>
      <c r="DYI10" s="97"/>
      <c r="DYJ10" s="97"/>
      <c r="DYK10" s="97"/>
      <c r="DYL10" s="97"/>
      <c r="DYM10" s="97"/>
      <c r="DYN10" s="97"/>
      <c r="DYO10" s="97"/>
      <c r="DYP10" s="97"/>
      <c r="DYQ10" s="97"/>
      <c r="DYR10" s="97"/>
      <c r="DYS10" s="97"/>
      <c r="DYT10" s="97"/>
      <c r="DYU10" s="97"/>
      <c r="DYV10" s="97"/>
      <c r="DYW10" s="97"/>
      <c r="DYX10" s="97"/>
      <c r="DYY10" s="97"/>
      <c r="DYZ10" s="97"/>
      <c r="DZA10" s="97"/>
      <c r="DZB10" s="97"/>
      <c r="DZC10" s="97"/>
      <c r="DZD10" s="97"/>
      <c r="DZE10" s="97"/>
      <c r="DZF10" s="97"/>
      <c r="DZG10" s="97"/>
      <c r="DZH10" s="97"/>
      <c r="DZI10" s="97"/>
      <c r="DZJ10" s="97"/>
      <c r="DZK10" s="97"/>
      <c r="DZL10" s="97"/>
      <c r="DZM10" s="97"/>
      <c r="DZN10" s="97"/>
      <c r="DZO10" s="97"/>
      <c r="DZP10" s="97"/>
      <c r="DZQ10" s="97"/>
      <c r="DZR10" s="97"/>
      <c r="DZS10" s="97"/>
      <c r="DZT10" s="97"/>
      <c r="DZU10" s="97"/>
      <c r="DZV10" s="97"/>
      <c r="DZW10" s="97"/>
      <c r="DZX10" s="97"/>
      <c r="DZY10" s="97"/>
      <c r="DZZ10" s="97"/>
      <c r="EAA10" s="97"/>
      <c r="EAB10" s="97"/>
      <c r="EAC10" s="97"/>
      <c r="EAD10" s="97"/>
      <c r="EAE10" s="97"/>
      <c r="EAF10" s="97"/>
      <c r="EAG10" s="97"/>
      <c r="EAH10" s="97"/>
      <c r="EAI10" s="97"/>
      <c r="EAJ10" s="97"/>
      <c r="EAK10" s="97"/>
      <c r="EAL10" s="97"/>
      <c r="EAM10" s="97"/>
      <c r="EAN10" s="97"/>
      <c r="EAO10" s="97"/>
      <c r="EAP10" s="97"/>
      <c r="EAQ10" s="97"/>
      <c r="EAR10" s="97"/>
      <c r="EAS10" s="97"/>
      <c r="EAT10" s="97"/>
      <c r="EAU10" s="97"/>
      <c r="EAV10" s="97"/>
      <c r="EAW10" s="97"/>
      <c r="EAX10" s="97"/>
      <c r="EAY10" s="97"/>
      <c r="EAZ10" s="97"/>
      <c r="EBA10" s="97"/>
      <c r="EBB10" s="97"/>
      <c r="EBC10" s="97"/>
      <c r="EBD10" s="97"/>
      <c r="EBE10" s="97"/>
      <c r="EBF10" s="97"/>
      <c r="EBG10" s="97"/>
      <c r="EBH10" s="97"/>
      <c r="EBI10" s="97"/>
      <c r="EBJ10" s="97"/>
      <c r="EBK10" s="97"/>
      <c r="EBL10" s="97"/>
      <c r="EBM10" s="97"/>
      <c r="EBN10" s="97"/>
      <c r="EBO10" s="97"/>
      <c r="EBP10" s="97"/>
      <c r="EBQ10" s="97"/>
      <c r="EBR10" s="97"/>
      <c r="EBS10" s="97"/>
      <c r="EBT10" s="97"/>
      <c r="EBU10" s="97"/>
      <c r="EBV10" s="97"/>
      <c r="EBW10" s="97"/>
      <c r="EBX10" s="97"/>
      <c r="EBY10" s="97"/>
      <c r="EBZ10" s="97"/>
      <c r="ECA10" s="97"/>
      <c r="ECB10" s="97"/>
      <c r="ECC10" s="97"/>
      <c r="ECD10" s="97"/>
      <c r="ECE10" s="97"/>
      <c r="ECF10" s="97"/>
      <c r="ECG10" s="97"/>
      <c r="ECH10" s="97"/>
      <c r="ECI10" s="97"/>
      <c r="ECJ10" s="97"/>
      <c r="ECK10" s="97"/>
      <c r="ECL10" s="97"/>
      <c r="ECM10" s="97"/>
      <c r="ECN10" s="97"/>
      <c r="ECO10" s="97"/>
      <c r="ECP10" s="97"/>
      <c r="ECQ10" s="97"/>
      <c r="ECR10" s="97"/>
      <c r="ECS10" s="97"/>
      <c r="ECT10" s="97"/>
      <c r="ECU10" s="97"/>
      <c r="ECV10" s="97"/>
      <c r="ECW10" s="97"/>
      <c r="ECX10" s="97"/>
      <c r="ECY10" s="97"/>
      <c r="ECZ10" s="97"/>
      <c r="EDA10" s="97"/>
      <c r="EDB10" s="97"/>
      <c r="EDC10" s="97"/>
      <c r="EDD10" s="97"/>
      <c r="EDE10" s="97"/>
      <c r="EDF10" s="97"/>
      <c r="EDG10" s="97"/>
      <c r="EDH10" s="97"/>
      <c r="EDI10" s="97"/>
      <c r="EDJ10" s="97"/>
      <c r="EDK10" s="97"/>
      <c r="EDL10" s="97"/>
      <c r="EDM10" s="97"/>
      <c r="EDN10" s="97"/>
      <c r="EDO10" s="97"/>
      <c r="EDP10" s="97"/>
      <c r="EDQ10" s="97"/>
      <c r="EDR10" s="97"/>
      <c r="EDS10" s="97"/>
      <c r="EDT10" s="97"/>
      <c r="EDU10" s="97"/>
      <c r="EDV10" s="97"/>
      <c r="EDW10" s="97"/>
      <c r="EDX10" s="97"/>
      <c r="EDY10" s="97"/>
      <c r="EDZ10" s="97"/>
      <c r="EEA10" s="97"/>
      <c r="EEB10" s="97"/>
      <c r="EEC10" s="97"/>
      <c r="EED10" s="97"/>
      <c r="EEE10" s="97"/>
      <c r="EEF10" s="97"/>
      <c r="EEG10" s="97"/>
      <c r="EEH10" s="97"/>
      <c r="EEI10" s="97"/>
      <c r="EEJ10" s="97"/>
      <c r="EEK10" s="97"/>
      <c r="EEL10" s="97"/>
      <c r="EEM10" s="97"/>
      <c r="EEN10" s="97"/>
      <c r="EEO10" s="97"/>
      <c r="EEP10" s="97"/>
      <c r="EEQ10" s="97"/>
      <c r="EER10" s="97"/>
      <c r="EES10" s="97"/>
      <c r="EET10" s="97"/>
      <c r="EEU10" s="97"/>
      <c r="EEV10" s="97"/>
      <c r="EEW10" s="97"/>
      <c r="EEX10" s="97"/>
      <c r="EEY10" s="97"/>
      <c r="EEZ10" s="97"/>
      <c r="EFA10" s="97"/>
      <c r="EFB10" s="97"/>
      <c r="EFC10" s="97"/>
      <c r="EFD10" s="97"/>
      <c r="EFE10" s="97"/>
      <c r="EFF10" s="97"/>
      <c r="EFG10" s="97"/>
      <c r="EFH10" s="97"/>
      <c r="EFI10" s="97"/>
      <c r="EFJ10" s="97"/>
      <c r="EFK10" s="97"/>
      <c r="EFL10" s="97"/>
      <c r="EFM10" s="97"/>
      <c r="EFN10" s="97"/>
      <c r="EFO10" s="97"/>
      <c r="EFP10" s="97"/>
      <c r="EFQ10" s="97"/>
      <c r="EFR10" s="97"/>
      <c r="EFS10" s="97"/>
      <c r="EFT10" s="97"/>
      <c r="EFU10" s="97"/>
      <c r="EFV10" s="97"/>
      <c r="EFW10" s="97"/>
      <c r="EFX10" s="97"/>
      <c r="EFY10" s="97"/>
      <c r="EFZ10" s="97"/>
      <c r="EGA10" s="97"/>
      <c r="EGB10" s="97"/>
      <c r="EGC10" s="97"/>
      <c r="EGD10" s="97"/>
      <c r="EGE10" s="97"/>
      <c r="EGF10" s="97"/>
      <c r="EGG10" s="97"/>
      <c r="EGH10" s="97"/>
      <c r="EGI10" s="97"/>
      <c r="EGJ10" s="97"/>
      <c r="EGK10" s="97"/>
      <c r="EGL10" s="97"/>
      <c r="EGM10" s="97"/>
      <c r="EGN10" s="97"/>
      <c r="EGO10" s="97"/>
      <c r="EGP10" s="97"/>
      <c r="EGQ10" s="97"/>
      <c r="EGR10" s="97"/>
      <c r="EGS10" s="97"/>
      <c r="EGT10" s="97"/>
      <c r="EGU10" s="97"/>
      <c r="EGV10" s="97"/>
      <c r="EGW10" s="97"/>
      <c r="EGX10" s="97"/>
      <c r="EGY10" s="97"/>
      <c r="EGZ10" s="97"/>
      <c r="EHA10" s="97"/>
      <c r="EHB10" s="97"/>
      <c r="EHC10" s="97"/>
      <c r="EHD10" s="97"/>
      <c r="EHE10" s="97"/>
      <c r="EHF10" s="97"/>
      <c r="EHG10" s="97"/>
      <c r="EHH10" s="97"/>
      <c r="EHI10" s="97"/>
      <c r="EHJ10" s="97"/>
      <c r="EHK10" s="97"/>
      <c r="EHL10" s="97"/>
      <c r="EHM10" s="97"/>
      <c r="EHN10" s="97"/>
      <c r="EHO10" s="97"/>
      <c r="EHP10" s="97"/>
      <c r="EHQ10" s="97"/>
      <c r="EHR10" s="97"/>
      <c r="EHS10" s="97"/>
      <c r="EHT10" s="97"/>
      <c r="EHU10" s="97"/>
      <c r="EHV10" s="97"/>
      <c r="EHW10" s="97"/>
      <c r="EHX10" s="97"/>
      <c r="EHY10" s="97"/>
      <c r="EHZ10" s="97"/>
      <c r="EIA10" s="97"/>
      <c r="EIB10" s="97"/>
      <c r="EIC10" s="97"/>
      <c r="EID10" s="97"/>
      <c r="EIE10" s="97"/>
      <c r="EIF10" s="97"/>
      <c r="EIG10" s="97"/>
      <c r="EIH10" s="97"/>
      <c r="EII10" s="97"/>
      <c r="EIJ10" s="97"/>
      <c r="EIK10" s="97"/>
      <c r="EIL10" s="97"/>
      <c r="EIM10" s="97"/>
      <c r="EIN10" s="97"/>
      <c r="EIO10" s="97"/>
      <c r="EIP10" s="97"/>
      <c r="EIQ10" s="97"/>
      <c r="EIR10" s="97"/>
      <c r="EIS10" s="97"/>
      <c r="EIT10" s="97"/>
      <c r="EIU10" s="97"/>
      <c r="EIV10" s="97"/>
      <c r="EIW10" s="97"/>
      <c r="EIX10" s="97"/>
      <c r="EIY10" s="97"/>
      <c r="EIZ10" s="97"/>
      <c r="EJA10" s="97"/>
      <c r="EJB10" s="97"/>
      <c r="EJC10" s="97"/>
      <c r="EJD10" s="97"/>
      <c r="EJE10" s="97"/>
      <c r="EJF10" s="97"/>
      <c r="EJG10" s="97"/>
      <c r="EJH10" s="97"/>
      <c r="EJI10" s="97"/>
      <c r="EJJ10" s="97"/>
      <c r="EJK10" s="97"/>
      <c r="EJL10" s="97"/>
      <c r="EJM10" s="97"/>
      <c r="EJN10" s="97"/>
      <c r="EJO10" s="97"/>
      <c r="EJP10" s="97"/>
      <c r="EJQ10" s="97"/>
      <c r="EJR10" s="97"/>
      <c r="EJS10" s="97"/>
      <c r="EJT10" s="97"/>
      <c r="EJU10" s="97"/>
      <c r="EJV10" s="97"/>
      <c r="EJW10" s="97"/>
      <c r="EJX10" s="97"/>
      <c r="EJY10" s="97"/>
      <c r="EJZ10" s="97"/>
      <c r="EKA10" s="97"/>
      <c r="EKB10" s="97"/>
      <c r="EKC10" s="97"/>
      <c r="EKD10" s="97"/>
      <c r="EKE10" s="97"/>
      <c r="EKF10" s="97"/>
      <c r="EKG10" s="97"/>
      <c r="EKH10" s="97"/>
      <c r="EKI10" s="97"/>
      <c r="EKJ10" s="97"/>
      <c r="EKK10" s="97"/>
      <c r="EKL10" s="97"/>
      <c r="EKM10" s="97"/>
      <c r="EKN10" s="97"/>
      <c r="EKO10" s="97"/>
      <c r="EKP10" s="97"/>
      <c r="EKQ10" s="97"/>
      <c r="EKR10" s="97"/>
      <c r="EKS10" s="97"/>
      <c r="EKT10" s="97"/>
      <c r="EKU10" s="97"/>
      <c r="EKV10" s="97"/>
      <c r="EKW10" s="97"/>
      <c r="EKX10" s="97"/>
      <c r="EKY10" s="97"/>
      <c r="EKZ10" s="97"/>
      <c r="ELA10" s="97"/>
      <c r="ELB10" s="97"/>
      <c r="ELC10" s="97"/>
      <c r="ELD10" s="97"/>
      <c r="ELE10" s="97"/>
      <c r="ELF10" s="97"/>
      <c r="ELG10" s="97"/>
      <c r="ELH10" s="97"/>
      <c r="ELI10" s="97"/>
      <c r="ELJ10" s="97"/>
      <c r="ELK10" s="97"/>
      <c r="ELL10" s="97"/>
      <c r="ELM10" s="97"/>
      <c r="ELN10" s="97"/>
      <c r="ELO10" s="97"/>
      <c r="ELP10" s="97"/>
      <c r="ELQ10" s="97"/>
      <c r="ELR10" s="97"/>
      <c r="ELS10" s="97"/>
      <c r="ELT10" s="97"/>
      <c r="ELU10" s="97"/>
      <c r="ELV10" s="97"/>
      <c r="ELW10" s="97"/>
      <c r="ELX10" s="97"/>
      <c r="ELY10" s="97"/>
      <c r="ELZ10" s="97"/>
      <c r="EMA10" s="97"/>
      <c r="EMB10" s="97"/>
      <c r="EMC10" s="97"/>
      <c r="EMD10" s="97"/>
      <c r="EME10" s="97"/>
      <c r="EMF10" s="97"/>
      <c r="EMG10" s="97"/>
      <c r="EMH10" s="97"/>
      <c r="EMI10" s="97"/>
      <c r="EMJ10" s="97"/>
      <c r="EMK10" s="97"/>
      <c r="EML10" s="97"/>
      <c r="EMM10" s="97"/>
      <c r="EMN10" s="97"/>
      <c r="EMO10" s="97"/>
      <c r="EMP10" s="97"/>
      <c r="EMQ10" s="97"/>
      <c r="EMR10" s="97"/>
      <c r="EMS10" s="97"/>
      <c r="EMT10" s="97"/>
      <c r="EMU10" s="97"/>
      <c r="EMV10" s="97"/>
      <c r="EMW10" s="97"/>
      <c r="EMX10" s="97"/>
      <c r="EMY10" s="97"/>
      <c r="EMZ10" s="97"/>
      <c r="ENA10" s="97"/>
      <c r="ENB10" s="97"/>
      <c r="ENC10" s="97"/>
      <c r="END10" s="97"/>
      <c r="ENE10" s="97"/>
      <c r="ENF10" s="97"/>
      <c r="ENG10" s="97"/>
      <c r="ENH10" s="97"/>
      <c r="ENI10" s="97"/>
      <c r="ENJ10" s="97"/>
      <c r="ENK10" s="97"/>
      <c r="ENL10" s="97"/>
      <c r="ENM10" s="97"/>
      <c r="ENN10" s="97"/>
      <c r="ENO10" s="97"/>
      <c r="ENP10" s="97"/>
      <c r="ENQ10" s="97"/>
      <c r="ENR10" s="97"/>
      <c r="ENS10" s="97"/>
      <c r="ENT10" s="97"/>
      <c r="ENU10" s="97"/>
      <c r="ENV10" s="97"/>
      <c r="ENW10" s="97"/>
      <c r="ENX10" s="97"/>
      <c r="ENY10" s="97"/>
      <c r="ENZ10" s="97"/>
      <c r="EOA10" s="97"/>
      <c r="EOB10" s="97"/>
      <c r="EOC10" s="97"/>
      <c r="EOD10" s="97"/>
      <c r="EOE10" s="97"/>
      <c r="EOF10" s="97"/>
      <c r="EOG10" s="97"/>
      <c r="EOH10" s="97"/>
      <c r="EOI10" s="97"/>
      <c r="EOJ10" s="97"/>
      <c r="EOK10" s="97"/>
      <c r="EOL10" s="97"/>
      <c r="EOM10" s="97"/>
      <c r="EON10" s="97"/>
      <c r="EOO10" s="97"/>
      <c r="EOP10" s="97"/>
      <c r="EOQ10" s="97"/>
      <c r="EOR10" s="97"/>
      <c r="EOS10" s="97"/>
      <c r="EOT10" s="97"/>
      <c r="EOU10" s="97"/>
      <c r="EOV10" s="97"/>
      <c r="EOW10" s="97"/>
      <c r="EOX10" s="97"/>
      <c r="EOY10" s="97"/>
      <c r="EOZ10" s="97"/>
      <c r="EPA10" s="97"/>
      <c r="EPB10" s="97"/>
      <c r="EPC10" s="97"/>
      <c r="EPD10" s="97"/>
      <c r="EPE10" s="97"/>
      <c r="EPF10" s="97"/>
      <c r="EPG10" s="97"/>
      <c r="EPH10" s="97"/>
      <c r="EPI10" s="97"/>
      <c r="EPJ10" s="97"/>
      <c r="EPK10" s="97"/>
      <c r="EPL10" s="97"/>
      <c r="EPM10" s="97"/>
      <c r="EPN10" s="97"/>
      <c r="EPO10" s="97"/>
      <c r="EPP10" s="97"/>
      <c r="EPQ10" s="97"/>
      <c r="EPR10" s="97"/>
      <c r="EPS10" s="97"/>
      <c r="EPT10" s="97"/>
      <c r="EPU10" s="97"/>
      <c r="EPV10" s="97"/>
      <c r="EPW10" s="97"/>
      <c r="EPX10" s="97"/>
      <c r="EPY10" s="97"/>
      <c r="EPZ10" s="97"/>
      <c r="EQA10" s="97"/>
      <c r="EQB10" s="97"/>
      <c r="EQC10" s="97"/>
      <c r="EQD10" s="97"/>
      <c r="EQE10" s="97"/>
      <c r="EQF10" s="97"/>
      <c r="EQG10" s="97"/>
      <c r="EQH10" s="97"/>
      <c r="EQI10" s="97"/>
      <c r="EQJ10" s="97"/>
      <c r="EQK10" s="97"/>
      <c r="EQL10" s="97"/>
      <c r="EQM10" s="97"/>
      <c r="EQN10" s="97"/>
      <c r="EQO10" s="97"/>
      <c r="EQP10" s="97"/>
      <c r="EQQ10" s="97"/>
      <c r="EQR10" s="97"/>
      <c r="EQS10" s="97"/>
      <c r="EQT10" s="97"/>
      <c r="EQU10" s="97"/>
      <c r="EQV10" s="97"/>
      <c r="EQW10" s="97"/>
      <c r="EQX10" s="97"/>
      <c r="EQY10" s="97"/>
      <c r="EQZ10" s="97"/>
      <c r="ERA10" s="97"/>
      <c r="ERB10" s="97"/>
      <c r="ERC10" s="97"/>
      <c r="ERD10" s="97"/>
      <c r="ERE10" s="97"/>
      <c r="ERF10" s="97"/>
      <c r="ERG10" s="97"/>
      <c r="ERH10" s="97"/>
      <c r="ERI10" s="97"/>
      <c r="ERJ10" s="97"/>
      <c r="ERK10" s="97"/>
      <c r="ERL10" s="97"/>
      <c r="ERM10" s="97"/>
      <c r="ERN10" s="97"/>
      <c r="ERO10" s="97"/>
      <c r="ERP10" s="97"/>
      <c r="ERQ10" s="97"/>
      <c r="ERR10" s="97"/>
      <c r="ERS10" s="97"/>
      <c r="ERT10" s="97"/>
      <c r="ERU10" s="97"/>
      <c r="ERV10" s="97"/>
      <c r="ERW10" s="97"/>
      <c r="ERX10" s="97"/>
      <c r="ERY10" s="97"/>
      <c r="ERZ10" s="97"/>
      <c r="ESA10" s="97"/>
      <c r="ESB10" s="97"/>
      <c r="ESC10" s="97"/>
      <c r="ESD10" s="97"/>
      <c r="ESE10" s="97"/>
      <c r="ESF10" s="97"/>
      <c r="ESG10" s="97"/>
      <c r="ESH10" s="97"/>
      <c r="ESI10" s="97"/>
      <c r="ESJ10" s="97"/>
      <c r="ESK10" s="97"/>
      <c r="ESL10" s="97"/>
      <c r="ESM10" s="97"/>
      <c r="ESN10" s="97"/>
      <c r="ESO10" s="97"/>
      <c r="ESP10" s="97"/>
      <c r="ESQ10" s="97"/>
      <c r="ESR10" s="97"/>
      <c r="ESS10" s="97"/>
      <c r="EST10" s="97"/>
      <c r="ESU10" s="97"/>
      <c r="ESV10" s="97"/>
      <c r="ESW10" s="97"/>
      <c r="ESX10" s="97"/>
      <c r="ESY10" s="97"/>
      <c r="ESZ10" s="97"/>
      <c r="ETA10" s="97"/>
      <c r="ETB10" s="97"/>
      <c r="ETC10" s="97"/>
      <c r="ETD10" s="97"/>
      <c r="ETE10" s="97"/>
      <c r="ETF10" s="97"/>
      <c r="ETG10" s="97"/>
      <c r="ETH10" s="97"/>
      <c r="ETI10" s="97"/>
      <c r="ETJ10" s="97"/>
      <c r="ETK10" s="97"/>
      <c r="ETL10" s="97"/>
      <c r="ETM10" s="97"/>
      <c r="ETN10" s="97"/>
      <c r="ETO10" s="97"/>
      <c r="ETP10" s="97"/>
      <c r="ETQ10" s="97"/>
      <c r="ETR10" s="97"/>
      <c r="ETS10" s="97"/>
      <c r="ETT10" s="97"/>
      <c r="ETU10" s="97"/>
      <c r="ETV10" s="97"/>
      <c r="ETW10" s="97"/>
      <c r="ETX10" s="97"/>
      <c r="ETY10" s="97"/>
      <c r="ETZ10" s="97"/>
      <c r="EUA10" s="97"/>
      <c r="EUB10" s="97"/>
      <c r="EUC10" s="97"/>
      <c r="EUD10" s="97"/>
      <c r="EUE10" s="97"/>
      <c r="EUF10" s="97"/>
      <c r="EUG10" s="97"/>
      <c r="EUH10" s="97"/>
      <c r="EUI10" s="97"/>
      <c r="EUJ10" s="97"/>
      <c r="EUK10" s="97"/>
      <c r="EUL10" s="97"/>
      <c r="EUM10" s="97"/>
      <c r="EUN10" s="97"/>
      <c r="EUO10" s="97"/>
      <c r="EUP10" s="97"/>
      <c r="EUQ10" s="97"/>
      <c r="EUR10" s="97"/>
      <c r="EUS10" s="97"/>
      <c r="EUT10" s="97"/>
      <c r="EUU10" s="97"/>
      <c r="EUV10" s="97"/>
      <c r="EUW10" s="97"/>
      <c r="EUX10" s="97"/>
      <c r="EUY10" s="97"/>
      <c r="EUZ10" s="97"/>
      <c r="EVA10" s="97"/>
      <c r="EVB10" s="97"/>
      <c r="EVC10" s="97"/>
      <c r="EVD10" s="97"/>
      <c r="EVE10" s="97"/>
      <c r="EVF10" s="97"/>
      <c r="EVG10" s="97"/>
      <c r="EVH10" s="97"/>
      <c r="EVI10" s="97"/>
      <c r="EVJ10" s="97"/>
      <c r="EVK10" s="97"/>
      <c r="EVL10" s="97"/>
      <c r="EVM10" s="97"/>
      <c r="EVN10" s="97"/>
      <c r="EVO10" s="97"/>
      <c r="EVP10" s="97"/>
      <c r="EVQ10" s="97"/>
      <c r="EVR10" s="97"/>
      <c r="EVS10" s="97"/>
      <c r="EVT10" s="97"/>
      <c r="EVU10" s="97"/>
      <c r="EVV10" s="97"/>
      <c r="EVW10" s="97"/>
      <c r="EVX10" s="97"/>
      <c r="EVY10" s="97"/>
      <c r="EVZ10" s="97"/>
      <c r="EWA10" s="97"/>
      <c r="EWB10" s="97"/>
      <c r="EWC10" s="97"/>
      <c r="EWD10" s="97"/>
      <c r="EWE10" s="97"/>
      <c r="EWF10" s="97"/>
      <c r="EWG10" s="97"/>
      <c r="EWH10" s="97"/>
      <c r="EWI10" s="97"/>
      <c r="EWJ10" s="97"/>
      <c r="EWK10" s="97"/>
      <c r="EWL10" s="97"/>
      <c r="EWM10" s="97"/>
      <c r="EWN10" s="97"/>
      <c r="EWO10" s="97"/>
      <c r="EWP10" s="97"/>
      <c r="EWQ10" s="97"/>
      <c r="EWR10" s="97"/>
      <c r="EWS10" s="97"/>
      <c r="EWT10" s="97"/>
      <c r="EWU10" s="97"/>
      <c r="EWV10" s="97"/>
      <c r="EWW10" s="97"/>
      <c r="EWX10" s="97"/>
      <c r="EWY10" s="97"/>
      <c r="EWZ10" s="97"/>
      <c r="EXA10" s="97"/>
      <c r="EXB10" s="97"/>
      <c r="EXC10" s="97"/>
      <c r="EXD10" s="97"/>
      <c r="EXE10" s="97"/>
      <c r="EXF10" s="97"/>
      <c r="EXG10" s="97"/>
      <c r="EXH10" s="97"/>
      <c r="EXI10" s="97"/>
      <c r="EXJ10" s="97"/>
      <c r="EXK10" s="97"/>
      <c r="EXL10" s="97"/>
      <c r="EXM10" s="97"/>
      <c r="EXN10" s="97"/>
      <c r="EXO10" s="97"/>
      <c r="EXP10" s="97"/>
      <c r="EXQ10" s="97"/>
      <c r="EXR10" s="97"/>
      <c r="EXS10" s="97"/>
      <c r="EXT10" s="97"/>
      <c r="EXU10" s="97"/>
      <c r="EXV10" s="97"/>
      <c r="EXW10" s="97"/>
      <c r="EXX10" s="97"/>
      <c r="EXY10" s="97"/>
      <c r="EXZ10" s="97"/>
      <c r="EYA10" s="97"/>
      <c r="EYB10" s="97"/>
      <c r="EYC10" s="97"/>
      <c r="EYD10" s="97"/>
      <c r="EYE10" s="97"/>
      <c r="EYF10" s="97"/>
      <c r="EYG10" s="97"/>
      <c r="EYH10" s="97"/>
      <c r="EYI10" s="97"/>
      <c r="EYJ10" s="97"/>
      <c r="EYK10" s="97"/>
      <c r="EYL10" s="97"/>
      <c r="EYM10" s="97"/>
      <c r="EYN10" s="97"/>
      <c r="EYO10" s="97"/>
      <c r="EYP10" s="97"/>
      <c r="EYQ10" s="97"/>
      <c r="EYR10" s="97"/>
      <c r="EYS10" s="97"/>
      <c r="EYT10" s="97"/>
      <c r="EYU10" s="97"/>
      <c r="EYV10" s="97"/>
      <c r="EYW10" s="97"/>
      <c r="EYX10" s="97"/>
      <c r="EYY10" s="97"/>
      <c r="EYZ10" s="97"/>
      <c r="EZA10" s="97"/>
      <c r="EZB10" s="97"/>
      <c r="EZC10" s="97"/>
      <c r="EZD10" s="97"/>
      <c r="EZE10" s="97"/>
      <c r="EZF10" s="97"/>
      <c r="EZG10" s="97"/>
      <c r="EZH10" s="97"/>
      <c r="EZI10" s="97"/>
      <c r="EZJ10" s="97"/>
      <c r="EZK10" s="97"/>
      <c r="EZL10" s="97"/>
      <c r="EZM10" s="97"/>
      <c r="EZN10" s="97"/>
      <c r="EZO10" s="97"/>
      <c r="EZP10" s="97"/>
      <c r="EZQ10" s="97"/>
      <c r="EZR10" s="97"/>
      <c r="EZS10" s="97"/>
      <c r="EZT10" s="97"/>
      <c r="EZU10" s="97"/>
      <c r="EZV10" s="97"/>
      <c r="EZW10" s="97"/>
      <c r="EZX10" s="97"/>
      <c r="EZY10" s="97"/>
      <c r="EZZ10" s="97"/>
      <c r="FAA10" s="97"/>
      <c r="FAB10" s="97"/>
      <c r="FAC10" s="97"/>
      <c r="FAD10" s="97"/>
      <c r="FAE10" s="97"/>
      <c r="FAF10" s="97"/>
      <c r="FAG10" s="97"/>
      <c r="FAH10" s="97"/>
      <c r="FAI10" s="97"/>
      <c r="FAJ10" s="97"/>
      <c r="FAK10" s="97"/>
      <c r="FAL10" s="97"/>
      <c r="FAM10" s="97"/>
      <c r="FAN10" s="97"/>
      <c r="FAO10" s="97"/>
      <c r="FAP10" s="97"/>
      <c r="FAQ10" s="97"/>
      <c r="FAR10" s="97"/>
      <c r="FAS10" s="97"/>
      <c r="FAT10" s="97"/>
      <c r="FAU10" s="97"/>
      <c r="FAV10" s="97"/>
      <c r="FAW10" s="97"/>
      <c r="FAX10" s="97"/>
      <c r="FAY10" s="97"/>
      <c r="FAZ10" s="97"/>
      <c r="FBA10" s="97"/>
      <c r="FBB10" s="97"/>
      <c r="FBC10" s="97"/>
      <c r="FBD10" s="97"/>
      <c r="FBE10" s="97"/>
      <c r="FBF10" s="97"/>
      <c r="FBG10" s="97"/>
      <c r="FBH10" s="97"/>
      <c r="FBI10" s="97"/>
      <c r="FBJ10" s="97"/>
      <c r="FBK10" s="97"/>
      <c r="FBL10" s="97"/>
      <c r="FBM10" s="97"/>
      <c r="FBN10" s="97"/>
      <c r="FBO10" s="97"/>
      <c r="FBP10" s="97"/>
      <c r="FBQ10" s="97"/>
      <c r="FBR10" s="97"/>
      <c r="FBS10" s="97"/>
      <c r="FBT10" s="97"/>
      <c r="FBU10" s="97"/>
      <c r="FBV10" s="97"/>
      <c r="FBW10" s="97"/>
      <c r="FBX10" s="97"/>
      <c r="FBY10" s="97"/>
      <c r="FBZ10" s="97"/>
      <c r="FCA10" s="97"/>
      <c r="FCB10" s="97"/>
      <c r="FCC10" s="97"/>
      <c r="FCD10" s="97"/>
      <c r="FCE10" s="97"/>
      <c r="FCF10" s="97"/>
      <c r="FCG10" s="97"/>
      <c r="FCH10" s="97"/>
      <c r="FCI10" s="97"/>
      <c r="FCJ10" s="97"/>
      <c r="FCK10" s="97"/>
      <c r="FCL10" s="97"/>
      <c r="FCM10" s="97"/>
      <c r="FCN10" s="97"/>
      <c r="FCO10" s="97"/>
      <c r="FCP10" s="97"/>
      <c r="FCQ10" s="97"/>
      <c r="FCR10" s="97"/>
      <c r="FCS10" s="97"/>
      <c r="FCT10" s="97"/>
      <c r="FCU10" s="97"/>
      <c r="FCV10" s="97"/>
      <c r="FCW10" s="97"/>
      <c r="FCX10" s="97"/>
      <c r="FCY10" s="97"/>
      <c r="FCZ10" s="97"/>
      <c r="FDA10" s="97"/>
      <c r="FDB10" s="97"/>
      <c r="FDC10" s="97"/>
      <c r="FDD10" s="97"/>
      <c r="FDE10" s="97"/>
      <c r="FDF10" s="97"/>
      <c r="FDG10" s="97"/>
      <c r="FDH10" s="97"/>
      <c r="FDI10" s="97"/>
      <c r="FDJ10" s="97"/>
      <c r="FDK10" s="97"/>
      <c r="FDL10" s="97"/>
      <c r="FDM10" s="97"/>
      <c r="FDN10" s="97"/>
      <c r="FDO10" s="97"/>
      <c r="FDP10" s="97"/>
      <c r="FDQ10" s="97"/>
      <c r="FDR10" s="97"/>
      <c r="FDS10" s="97"/>
      <c r="FDT10" s="97"/>
      <c r="FDU10" s="97"/>
      <c r="FDV10" s="97"/>
      <c r="FDW10" s="97"/>
      <c r="FDX10" s="97"/>
      <c r="FDY10" s="97"/>
      <c r="FDZ10" s="97"/>
      <c r="FEA10" s="97"/>
      <c r="FEB10" s="97"/>
      <c r="FEC10" s="97"/>
      <c r="FED10" s="97"/>
      <c r="FEE10" s="97"/>
      <c r="FEF10" s="97"/>
      <c r="FEG10" s="97"/>
      <c r="FEH10" s="97"/>
      <c r="FEI10" s="97"/>
      <c r="FEJ10" s="97"/>
      <c r="FEK10" s="97"/>
      <c r="FEL10" s="97"/>
      <c r="FEM10" s="97"/>
      <c r="FEN10" s="97"/>
      <c r="FEO10" s="97"/>
      <c r="FEP10" s="97"/>
      <c r="FEQ10" s="97"/>
      <c r="FER10" s="97"/>
      <c r="FES10" s="97"/>
      <c r="FET10" s="97"/>
      <c r="FEU10" s="97"/>
      <c r="FEV10" s="97"/>
      <c r="FEW10" s="97"/>
      <c r="FEX10" s="97"/>
      <c r="FEY10" s="97"/>
      <c r="FEZ10" s="97"/>
      <c r="FFA10" s="97"/>
      <c r="FFB10" s="97"/>
      <c r="FFC10" s="97"/>
      <c r="FFD10" s="97"/>
      <c r="FFE10" s="97"/>
      <c r="FFF10" s="97"/>
      <c r="FFG10" s="97"/>
      <c r="FFH10" s="97"/>
      <c r="FFI10" s="97"/>
      <c r="FFJ10" s="97"/>
      <c r="FFK10" s="97"/>
      <c r="FFL10" s="97"/>
      <c r="FFM10" s="97"/>
      <c r="FFN10" s="97"/>
      <c r="FFO10" s="97"/>
      <c r="FFP10" s="97"/>
      <c r="FFQ10" s="97"/>
      <c r="FFR10" s="97"/>
      <c r="FFS10" s="97"/>
      <c r="FFT10" s="97"/>
      <c r="FFU10" s="97"/>
      <c r="FFV10" s="97"/>
      <c r="FFW10" s="97"/>
      <c r="FFX10" s="97"/>
      <c r="FFY10" s="97"/>
      <c r="FFZ10" s="97"/>
      <c r="FGA10" s="97"/>
      <c r="FGB10" s="97"/>
      <c r="FGC10" s="97"/>
      <c r="FGD10" s="97"/>
      <c r="FGE10" s="97"/>
      <c r="FGF10" s="97"/>
      <c r="FGG10" s="97"/>
      <c r="FGH10" s="97"/>
      <c r="FGI10" s="97"/>
      <c r="FGJ10" s="97"/>
      <c r="FGK10" s="97"/>
      <c r="FGL10" s="97"/>
      <c r="FGM10" s="97"/>
      <c r="FGN10" s="97"/>
      <c r="FGO10" s="97"/>
      <c r="FGP10" s="97"/>
      <c r="FGQ10" s="97"/>
      <c r="FGR10" s="97"/>
      <c r="FGS10" s="97"/>
      <c r="FGT10" s="97"/>
      <c r="FGU10" s="97"/>
      <c r="FGV10" s="97"/>
      <c r="FGW10" s="97"/>
      <c r="FGX10" s="97"/>
      <c r="FGY10" s="97"/>
      <c r="FGZ10" s="97"/>
      <c r="FHA10" s="97"/>
      <c r="FHB10" s="97"/>
      <c r="FHC10" s="97"/>
      <c r="FHD10" s="97"/>
      <c r="FHE10" s="97"/>
      <c r="FHF10" s="97"/>
      <c r="FHG10" s="97"/>
      <c r="FHH10" s="97"/>
      <c r="FHI10" s="97"/>
      <c r="FHJ10" s="97"/>
      <c r="FHK10" s="97"/>
      <c r="FHL10" s="97"/>
      <c r="FHM10" s="97"/>
      <c r="FHN10" s="97"/>
      <c r="FHO10" s="97"/>
      <c r="FHP10" s="97"/>
      <c r="FHQ10" s="97"/>
      <c r="FHR10" s="97"/>
      <c r="FHS10" s="97"/>
      <c r="FHT10" s="97"/>
      <c r="FHU10" s="97"/>
      <c r="FHV10" s="97"/>
      <c r="FHW10" s="97"/>
      <c r="FHX10" s="97"/>
      <c r="FHY10" s="97"/>
      <c r="FHZ10" s="97"/>
      <c r="FIA10" s="97"/>
      <c r="FIB10" s="97"/>
      <c r="FIC10" s="97"/>
      <c r="FID10" s="97"/>
      <c r="FIE10" s="97"/>
      <c r="FIF10" s="97"/>
      <c r="FIG10" s="97"/>
      <c r="FIH10" s="97"/>
      <c r="FII10" s="97"/>
      <c r="FIJ10" s="97"/>
      <c r="FIK10" s="97"/>
      <c r="FIL10" s="97"/>
      <c r="FIM10" s="97"/>
      <c r="FIN10" s="97"/>
      <c r="FIO10" s="97"/>
      <c r="FIP10" s="97"/>
      <c r="FIQ10" s="97"/>
      <c r="FIR10" s="97"/>
      <c r="FIS10" s="97"/>
      <c r="FIT10" s="97"/>
      <c r="FIU10" s="97"/>
      <c r="FIV10" s="97"/>
      <c r="FIW10" s="97"/>
      <c r="FIX10" s="97"/>
      <c r="FIY10" s="97"/>
      <c r="FIZ10" s="97"/>
      <c r="FJA10" s="97"/>
      <c r="FJB10" s="97"/>
      <c r="FJC10" s="97"/>
      <c r="FJD10" s="97"/>
      <c r="FJE10" s="97"/>
      <c r="FJF10" s="97"/>
      <c r="FJG10" s="97"/>
      <c r="FJH10" s="97"/>
      <c r="FJI10" s="97"/>
      <c r="FJJ10" s="97"/>
      <c r="FJK10" s="97"/>
      <c r="FJL10" s="97"/>
      <c r="FJM10" s="97"/>
      <c r="FJN10" s="97"/>
      <c r="FJO10" s="97"/>
      <c r="FJP10" s="97"/>
      <c r="FJQ10" s="97"/>
      <c r="FJR10" s="97"/>
      <c r="FJS10" s="97"/>
      <c r="FJT10" s="97"/>
      <c r="FJU10" s="97"/>
      <c r="FJV10" s="97"/>
      <c r="FJW10" s="97"/>
      <c r="FJX10" s="97"/>
      <c r="FJY10" s="97"/>
      <c r="FJZ10" s="97"/>
      <c r="FKA10" s="97"/>
      <c r="FKB10" s="97"/>
      <c r="FKC10" s="97"/>
      <c r="FKD10" s="97"/>
      <c r="FKE10" s="97"/>
      <c r="FKF10" s="97"/>
      <c r="FKG10" s="97"/>
      <c r="FKH10" s="97"/>
      <c r="FKI10" s="97"/>
      <c r="FKJ10" s="97"/>
      <c r="FKK10" s="97"/>
      <c r="FKL10" s="97"/>
      <c r="FKM10" s="97"/>
      <c r="FKN10" s="97"/>
      <c r="FKO10" s="97"/>
      <c r="FKP10" s="97"/>
      <c r="FKQ10" s="97"/>
      <c r="FKR10" s="97"/>
      <c r="FKS10" s="97"/>
      <c r="FKT10" s="97"/>
      <c r="FKU10" s="97"/>
      <c r="FKV10" s="97"/>
      <c r="FKW10" s="97"/>
      <c r="FKX10" s="97"/>
      <c r="FKY10" s="97"/>
      <c r="FKZ10" s="97"/>
      <c r="FLA10" s="97"/>
      <c r="FLB10" s="97"/>
      <c r="FLC10" s="97"/>
      <c r="FLD10" s="97"/>
      <c r="FLE10" s="97"/>
      <c r="FLF10" s="97"/>
      <c r="FLG10" s="97"/>
      <c r="FLH10" s="97"/>
      <c r="FLI10" s="97"/>
      <c r="FLJ10" s="97"/>
      <c r="FLK10" s="97"/>
      <c r="FLL10" s="97"/>
      <c r="FLM10" s="97"/>
      <c r="FLN10" s="97"/>
      <c r="FLO10" s="97"/>
      <c r="FLP10" s="97"/>
      <c r="FLQ10" s="97"/>
      <c r="FLR10" s="97"/>
      <c r="FLS10" s="97"/>
      <c r="FLT10" s="97"/>
      <c r="FLU10" s="97"/>
      <c r="FLV10" s="97"/>
      <c r="FLW10" s="97"/>
      <c r="FLX10" s="97"/>
      <c r="FLY10" s="97"/>
      <c r="FLZ10" s="97"/>
      <c r="FMA10" s="97"/>
      <c r="FMB10" s="97"/>
      <c r="FMC10" s="97"/>
      <c r="FMD10" s="97"/>
      <c r="FME10" s="97"/>
      <c r="FMF10" s="97"/>
      <c r="FMG10" s="97"/>
      <c r="FMH10" s="97"/>
      <c r="FMI10" s="97"/>
      <c r="FMJ10" s="97"/>
      <c r="FMK10" s="97"/>
      <c r="FML10" s="97"/>
      <c r="FMM10" s="97"/>
      <c r="FMN10" s="97"/>
      <c r="FMO10" s="97"/>
      <c r="FMP10" s="97"/>
      <c r="FMQ10" s="97"/>
      <c r="FMR10" s="97"/>
      <c r="FMS10" s="97"/>
      <c r="FMT10" s="97"/>
      <c r="FMU10" s="97"/>
      <c r="FMV10" s="97"/>
      <c r="FMW10" s="97"/>
      <c r="FMX10" s="97"/>
      <c r="FMY10" s="97"/>
      <c r="FMZ10" s="97"/>
      <c r="FNA10" s="97"/>
      <c r="FNB10" s="97"/>
      <c r="FNC10" s="97"/>
      <c r="FND10" s="97"/>
      <c r="FNE10" s="97"/>
      <c r="FNF10" s="97"/>
      <c r="FNG10" s="97"/>
      <c r="FNH10" s="97"/>
      <c r="FNI10" s="97"/>
      <c r="FNJ10" s="97"/>
      <c r="FNK10" s="97"/>
      <c r="FNL10" s="97"/>
      <c r="FNM10" s="97"/>
      <c r="FNN10" s="97"/>
      <c r="FNO10" s="97"/>
      <c r="FNP10" s="97"/>
      <c r="FNQ10" s="97"/>
      <c r="FNR10" s="97"/>
      <c r="FNS10" s="97"/>
      <c r="FNT10" s="97"/>
      <c r="FNU10" s="97"/>
      <c r="FNV10" s="97"/>
      <c r="FNW10" s="97"/>
      <c r="FNX10" s="97"/>
      <c r="FNY10" s="97"/>
      <c r="FNZ10" s="97"/>
      <c r="FOA10" s="97"/>
      <c r="FOB10" s="97"/>
      <c r="FOC10" s="97"/>
      <c r="FOD10" s="97"/>
      <c r="FOE10" s="97"/>
      <c r="FOF10" s="97"/>
      <c r="FOG10" s="97"/>
      <c r="FOH10" s="97"/>
      <c r="FOI10" s="97"/>
      <c r="FOJ10" s="97"/>
      <c r="FOK10" s="97"/>
      <c r="FOL10" s="97"/>
      <c r="FOM10" s="97"/>
      <c r="FON10" s="97"/>
      <c r="FOO10" s="97"/>
      <c r="FOP10" s="97"/>
      <c r="FOQ10" s="97"/>
      <c r="FOR10" s="97"/>
      <c r="FOS10" s="97"/>
      <c r="FOT10" s="97"/>
      <c r="FOU10" s="97"/>
      <c r="FOV10" s="97"/>
      <c r="FOW10" s="97"/>
      <c r="FOX10" s="97"/>
      <c r="FOY10" s="97"/>
      <c r="FOZ10" s="97"/>
      <c r="FPA10" s="97"/>
      <c r="FPB10" s="97"/>
      <c r="FPC10" s="97"/>
      <c r="FPD10" s="97"/>
      <c r="FPE10" s="97"/>
      <c r="FPF10" s="97"/>
      <c r="FPG10" s="97"/>
      <c r="FPH10" s="97"/>
      <c r="FPI10" s="97"/>
      <c r="FPJ10" s="97"/>
      <c r="FPK10" s="97"/>
      <c r="FPL10" s="97"/>
      <c r="FPM10" s="97"/>
      <c r="FPN10" s="97"/>
      <c r="FPO10" s="97"/>
      <c r="FPP10" s="97"/>
      <c r="FPQ10" s="97"/>
      <c r="FPR10" s="97"/>
      <c r="FPS10" s="97"/>
      <c r="FPT10" s="97"/>
      <c r="FPU10" s="97"/>
      <c r="FPV10" s="97"/>
      <c r="FPW10" s="97"/>
      <c r="FPX10" s="97"/>
      <c r="FPY10" s="97"/>
      <c r="FPZ10" s="97"/>
      <c r="FQA10" s="97"/>
      <c r="FQB10" s="97"/>
      <c r="FQC10" s="97"/>
      <c r="FQD10" s="97"/>
      <c r="FQE10" s="97"/>
      <c r="FQF10" s="97"/>
      <c r="FQG10" s="97"/>
      <c r="FQH10" s="97"/>
      <c r="FQI10" s="97"/>
      <c r="FQJ10" s="97"/>
      <c r="FQK10" s="97"/>
      <c r="FQL10" s="97"/>
      <c r="FQM10" s="97"/>
      <c r="FQN10" s="97"/>
      <c r="FQO10" s="97"/>
      <c r="FQP10" s="97"/>
      <c r="FQQ10" s="97"/>
      <c r="FQR10" s="97"/>
      <c r="FQS10" s="97"/>
      <c r="FQT10" s="97"/>
      <c r="FQU10" s="97"/>
      <c r="FQV10" s="97"/>
      <c r="FQW10" s="97"/>
      <c r="FQX10" s="97"/>
      <c r="FQY10" s="97"/>
      <c r="FQZ10" s="97"/>
      <c r="FRA10" s="97"/>
      <c r="FRB10" s="97"/>
      <c r="FRC10" s="97"/>
      <c r="FRD10" s="97"/>
      <c r="FRE10" s="97"/>
      <c r="FRF10" s="97"/>
      <c r="FRG10" s="97"/>
      <c r="FRH10" s="97"/>
      <c r="FRI10" s="97"/>
      <c r="FRJ10" s="97"/>
      <c r="FRK10" s="97"/>
      <c r="FRL10" s="97"/>
      <c r="FRM10" s="97"/>
      <c r="FRN10" s="97"/>
      <c r="FRO10" s="97"/>
      <c r="FRP10" s="97"/>
      <c r="FRQ10" s="97"/>
      <c r="FRR10" s="97"/>
      <c r="FRS10" s="97"/>
      <c r="FRT10" s="97"/>
      <c r="FRU10" s="97"/>
      <c r="FRV10" s="97"/>
      <c r="FRW10" s="97"/>
      <c r="FRX10" s="97"/>
      <c r="FRY10" s="97"/>
      <c r="FRZ10" s="97"/>
      <c r="FSA10" s="97"/>
      <c r="FSB10" s="97"/>
      <c r="FSC10" s="97"/>
      <c r="FSD10" s="97"/>
      <c r="FSE10" s="97"/>
      <c r="FSF10" s="97"/>
      <c r="FSG10" s="97"/>
      <c r="FSH10" s="97"/>
      <c r="FSI10" s="97"/>
      <c r="FSJ10" s="97"/>
      <c r="FSK10" s="97"/>
      <c r="FSL10" s="97"/>
      <c r="FSM10" s="97"/>
      <c r="FSN10" s="97"/>
      <c r="FSO10" s="97"/>
      <c r="FSP10" s="97"/>
      <c r="FSQ10" s="97"/>
      <c r="FSR10" s="97"/>
      <c r="FSS10" s="97"/>
      <c r="FST10" s="97"/>
      <c r="FSU10" s="97"/>
      <c r="FSV10" s="97"/>
      <c r="FSW10" s="97"/>
      <c r="FSX10" s="97"/>
      <c r="FSY10" s="97"/>
      <c r="FSZ10" s="97"/>
      <c r="FTA10" s="97"/>
      <c r="FTB10" s="97"/>
      <c r="FTC10" s="97"/>
      <c r="FTD10" s="97"/>
      <c r="FTE10" s="97"/>
      <c r="FTF10" s="97"/>
      <c r="FTG10" s="97"/>
      <c r="FTH10" s="97"/>
      <c r="FTI10" s="97"/>
      <c r="FTJ10" s="97"/>
      <c r="FTK10" s="97"/>
      <c r="FTL10" s="97"/>
      <c r="FTM10" s="97"/>
      <c r="FTN10" s="97"/>
      <c r="FTO10" s="97"/>
      <c r="FTP10" s="97"/>
      <c r="FTQ10" s="97"/>
      <c r="FTR10" s="97"/>
      <c r="FTS10" s="97"/>
      <c r="FTT10" s="97"/>
      <c r="FTU10" s="97"/>
      <c r="FTV10" s="97"/>
      <c r="FTW10" s="97"/>
      <c r="FTX10" s="97"/>
      <c r="FTY10" s="97"/>
      <c r="FTZ10" s="97"/>
      <c r="FUA10" s="97"/>
      <c r="FUB10" s="97"/>
      <c r="FUC10" s="97"/>
      <c r="FUD10" s="97"/>
      <c r="FUE10" s="97"/>
      <c r="FUF10" s="97"/>
      <c r="FUG10" s="97"/>
      <c r="FUH10" s="97"/>
      <c r="FUI10" s="97"/>
      <c r="FUJ10" s="97"/>
      <c r="FUK10" s="97"/>
      <c r="FUL10" s="97"/>
      <c r="FUM10" s="97"/>
      <c r="FUN10" s="97"/>
      <c r="FUO10" s="97"/>
      <c r="FUP10" s="97"/>
      <c r="FUQ10" s="97"/>
      <c r="FUR10" s="97"/>
      <c r="FUS10" s="97"/>
      <c r="FUT10" s="97"/>
      <c r="FUU10" s="97"/>
      <c r="FUV10" s="97"/>
      <c r="FUW10" s="97"/>
      <c r="FUX10" s="97"/>
      <c r="FUY10" s="97"/>
      <c r="FUZ10" s="97"/>
      <c r="FVA10" s="97"/>
      <c r="FVB10" s="97"/>
      <c r="FVC10" s="97"/>
      <c r="FVD10" s="97"/>
      <c r="FVE10" s="97"/>
      <c r="FVF10" s="97"/>
      <c r="FVG10" s="97"/>
      <c r="FVH10" s="97"/>
      <c r="FVI10" s="97"/>
      <c r="FVJ10" s="97"/>
      <c r="FVK10" s="97"/>
      <c r="FVL10" s="97"/>
      <c r="FVM10" s="97"/>
      <c r="FVN10" s="97"/>
      <c r="FVO10" s="97"/>
      <c r="FVP10" s="97"/>
      <c r="FVQ10" s="97"/>
      <c r="FVR10" s="97"/>
      <c r="FVS10" s="97"/>
      <c r="FVT10" s="97"/>
      <c r="FVU10" s="97"/>
      <c r="FVV10" s="97"/>
      <c r="FVW10" s="97"/>
      <c r="FVX10" s="97"/>
      <c r="FVY10" s="97"/>
      <c r="FVZ10" s="97"/>
      <c r="FWA10" s="97"/>
      <c r="FWB10" s="97"/>
      <c r="FWC10" s="97"/>
      <c r="FWD10" s="97"/>
      <c r="FWE10" s="97"/>
      <c r="FWF10" s="97"/>
      <c r="FWG10" s="97"/>
      <c r="FWH10" s="97"/>
      <c r="FWI10" s="97"/>
      <c r="FWJ10" s="97"/>
      <c r="FWK10" s="97"/>
      <c r="FWL10" s="97"/>
      <c r="FWM10" s="97"/>
      <c r="FWN10" s="97"/>
      <c r="FWO10" s="97"/>
      <c r="FWP10" s="97"/>
      <c r="FWQ10" s="97"/>
      <c r="FWR10" s="97"/>
      <c r="FWS10" s="97"/>
      <c r="FWT10" s="97"/>
      <c r="FWU10" s="97"/>
      <c r="FWV10" s="97"/>
      <c r="FWW10" s="97"/>
      <c r="FWX10" s="97"/>
      <c r="FWY10" s="97"/>
      <c r="FWZ10" s="97"/>
      <c r="FXA10" s="97"/>
      <c r="FXB10" s="97"/>
      <c r="FXC10" s="97"/>
      <c r="FXD10" s="97"/>
      <c r="FXE10" s="97"/>
      <c r="FXF10" s="97"/>
      <c r="FXG10" s="97"/>
      <c r="FXH10" s="97"/>
      <c r="FXI10" s="97"/>
      <c r="FXJ10" s="97"/>
      <c r="FXK10" s="97"/>
      <c r="FXL10" s="97"/>
      <c r="FXM10" s="97"/>
      <c r="FXN10" s="97"/>
      <c r="FXO10" s="97"/>
      <c r="FXP10" s="97"/>
      <c r="FXQ10" s="97"/>
      <c r="FXR10" s="97"/>
      <c r="FXS10" s="97"/>
      <c r="FXT10" s="97"/>
      <c r="FXU10" s="97"/>
      <c r="FXV10" s="97"/>
      <c r="FXW10" s="97"/>
      <c r="FXX10" s="97"/>
      <c r="FXY10" s="97"/>
      <c r="FXZ10" s="97"/>
      <c r="FYA10" s="97"/>
      <c r="FYB10" s="97"/>
      <c r="FYC10" s="97"/>
      <c r="FYD10" s="97"/>
      <c r="FYE10" s="97"/>
      <c r="FYF10" s="97"/>
      <c r="FYG10" s="97"/>
      <c r="FYH10" s="97"/>
      <c r="FYI10" s="97"/>
      <c r="FYJ10" s="97"/>
      <c r="FYK10" s="97"/>
      <c r="FYL10" s="97"/>
      <c r="FYM10" s="97"/>
      <c r="FYN10" s="97"/>
      <c r="FYO10" s="97"/>
      <c r="FYP10" s="97"/>
      <c r="FYQ10" s="97"/>
      <c r="FYR10" s="97"/>
      <c r="FYS10" s="97"/>
      <c r="FYT10" s="97"/>
      <c r="FYU10" s="97"/>
      <c r="FYV10" s="97"/>
      <c r="FYW10" s="97"/>
      <c r="FYX10" s="97"/>
      <c r="FYY10" s="97"/>
      <c r="FYZ10" s="97"/>
      <c r="FZA10" s="97"/>
      <c r="FZB10" s="97"/>
      <c r="FZC10" s="97"/>
      <c r="FZD10" s="97"/>
      <c r="FZE10" s="97"/>
      <c r="FZF10" s="97"/>
      <c r="FZG10" s="97"/>
      <c r="FZH10" s="97"/>
      <c r="FZI10" s="97"/>
      <c r="FZJ10" s="97"/>
      <c r="FZK10" s="97"/>
      <c r="FZL10" s="97"/>
      <c r="FZM10" s="97"/>
      <c r="FZN10" s="97"/>
      <c r="FZO10" s="97"/>
      <c r="FZP10" s="97"/>
      <c r="FZQ10" s="97"/>
      <c r="FZR10" s="97"/>
      <c r="FZS10" s="97"/>
      <c r="FZT10" s="97"/>
      <c r="FZU10" s="97"/>
      <c r="FZV10" s="97"/>
      <c r="FZW10" s="97"/>
      <c r="FZX10" s="97"/>
      <c r="FZY10" s="97"/>
      <c r="FZZ10" s="97"/>
      <c r="GAA10" s="97"/>
      <c r="GAB10" s="97"/>
      <c r="GAC10" s="97"/>
      <c r="GAD10" s="97"/>
      <c r="GAE10" s="97"/>
      <c r="GAF10" s="97"/>
      <c r="GAG10" s="97"/>
      <c r="GAH10" s="97"/>
      <c r="GAI10" s="97"/>
      <c r="GAJ10" s="97"/>
      <c r="GAK10" s="97"/>
      <c r="GAL10" s="97"/>
      <c r="GAM10" s="97"/>
      <c r="GAN10" s="97"/>
      <c r="GAO10" s="97"/>
      <c r="GAP10" s="97"/>
      <c r="GAQ10" s="97"/>
      <c r="GAR10" s="97"/>
      <c r="GAS10" s="97"/>
      <c r="GAT10" s="97"/>
      <c r="GAU10" s="97"/>
      <c r="GAV10" s="97"/>
      <c r="GAW10" s="97"/>
      <c r="GAX10" s="97"/>
      <c r="GAY10" s="97"/>
      <c r="GAZ10" s="97"/>
      <c r="GBA10" s="97"/>
      <c r="GBB10" s="97"/>
      <c r="GBC10" s="97"/>
      <c r="GBD10" s="97"/>
      <c r="GBE10" s="97"/>
      <c r="GBF10" s="97"/>
      <c r="GBG10" s="97"/>
      <c r="GBH10" s="97"/>
      <c r="GBI10" s="97"/>
      <c r="GBJ10" s="97"/>
      <c r="GBK10" s="97"/>
      <c r="GBL10" s="97"/>
      <c r="GBM10" s="97"/>
      <c r="GBN10" s="97"/>
      <c r="GBO10" s="97"/>
      <c r="GBP10" s="97"/>
      <c r="GBQ10" s="97"/>
      <c r="GBR10" s="97"/>
      <c r="GBS10" s="97"/>
      <c r="GBT10" s="97"/>
      <c r="GBU10" s="97"/>
      <c r="GBV10" s="97"/>
      <c r="GBW10" s="97"/>
      <c r="GBX10" s="97"/>
      <c r="GBY10" s="97"/>
      <c r="GBZ10" s="97"/>
      <c r="GCA10" s="97"/>
      <c r="GCB10" s="97"/>
      <c r="GCC10" s="97"/>
      <c r="GCD10" s="97"/>
      <c r="GCE10" s="97"/>
      <c r="GCF10" s="97"/>
      <c r="GCG10" s="97"/>
      <c r="GCH10" s="97"/>
      <c r="GCI10" s="97"/>
      <c r="GCJ10" s="97"/>
      <c r="GCK10" s="97"/>
      <c r="GCL10" s="97"/>
      <c r="GCM10" s="97"/>
      <c r="GCN10" s="97"/>
      <c r="GCO10" s="97"/>
      <c r="GCP10" s="97"/>
      <c r="GCQ10" s="97"/>
      <c r="GCR10" s="97"/>
      <c r="GCS10" s="97"/>
      <c r="GCT10" s="97"/>
      <c r="GCU10" s="97"/>
      <c r="GCV10" s="97"/>
      <c r="GCW10" s="97"/>
      <c r="GCX10" s="97"/>
      <c r="GCY10" s="97"/>
      <c r="GCZ10" s="97"/>
      <c r="GDA10" s="97"/>
      <c r="GDB10" s="97"/>
      <c r="GDC10" s="97"/>
      <c r="GDD10" s="97"/>
      <c r="GDE10" s="97"/>
      <c r="GDF10" s="97"/>
      <c r="GDG10" s="97"/>
      <c r="GDH10" s="97"/>
      <c r="GDI10" s="97"/>
      <c r="GDJ10" s="97"/>
      <c r="GDK10" s="97"/>
      <c r="GDL10" s="97"/>
      <c r="GDM10" s="97"/>
      <c r="GDN10" s="97"/>
      <c r="GDO10" s="97"/>
      <c r="GDP10" s="97"/>
      <c r="GDQ10" s="97"/>
      <c r="GDR10" s="97"/>
      <c r="GDS10" s="97"/>
      <c r="GDT10" s="97"/>
      <c r="GDU10" s="97"/>
      <c r="GDV10" s="97"/>
      <c r="GDW10" s="97"/>
      <c r="GDX10" s="97"/>
      <c r="GDY10" s="97"/>
      <c r="GDZ10" s="97"/>
      <c r="GEA10" s="97"/>
      <c r="GEB10" s="97"/>
      <c r="GEC10" s="97"/>
      <c r="GED10" s="97"/>
      <c r="GEE10" s="97"/>
      <c r="GEF10" s="97"/>
      <c r="GEG10" s="97"/>
      <c r="GEH10" s="97"/>
      <c r="GEI10" s="97"/>
      <c r="GEJ10" s="97"/>
      <c r="GEK10" s="97"/>
      <c r="GEL10" s="97"/>
      <c r="GEM10" s="97"/>
      <c r="GEN10" s="97"/>
      <c r="GEO10" s="97"/>
      <c r="GEP10" s="97"/>
      <c r="GEQ10" s="97"/>
      <c r="GER10" s="97"/>
      <c r="GES10" s="97"/>
      <c r="GET10" s="97"/>
      <c r="GEU10" s="97"/>
      <c r="GEV10" s="97"/>
      <c r="GEW10" s="97"/>
      <c r="GEX10" s="97"/>
      <c r="GEY10" s="97"/>
      <c r="GEZ10" s="97"/>
      <c r="GFA10" s="97"/>
      <c r="GFB10" s="97"/>
      <c r="GFC10" s="97"/>
      <c r="GFD10" s="97"/>
      <c r="GFE10" s="97"/>
      <c r="GFF10" s="97"/>
      <c r="GFG10" s="97"/>
      <c r="GFH10" s="97"/>
      <c r="GFI10" s="97"/>
      <c r="GFJ10" s="97"/>
      <c r="GFK10" s="97"/>
      <c r="GFL10" s="97"/>
      <c r="GFM10" s="97"/>
      <c r="GFN10" s="97"/>
      <c r="GFO10" s="97"/>
      <c r="GFP10" s="97"/>
      <c r="GFQ10" s="97"/>
      <c r="GFR10" s="97"/>
      <c r="GFS10" s="97"/>
      <c r="GFT10" s="97"/>
      <c r="GFU10" s="97"/>
      <c r="GFV10" s="97"/>
      <c r="GFW10" s="97"/>
      <c r="GFX10" s="97"/>
      <c r="GFY10" s="97"/>
      <c r="GFZ10" s="97"/>
      <c r="GGA10" s="97"/>
      <c r="GGB10" s="97"/>
      <c r="GGC10" s="97"/>
      <c r="GGD10" s="97"/>
      <c r="GGE10" s="97"/>
      <c r="GGF10" s="97"/>
      <c r="GGG10" s="97"/>
      <c r="GGH10" s="97"/>
      <c r="GGI10" s="97"/>
      <c r="GGJ10" s="97"/>
      <c r="GGK10" s="97"/>
      <c r="GGL10" s="97"/>
      <c r="GGM10" s="97"/>
      <c r="GGN10" s="97"/>
      <c r="GGO10" s="97"/>
      <c r="GGP10" s="97"/>
      <c r="GGQ10" s="97"/>
      <c r="GGR10" s="97"/>
      <c r="GGS10" s="97"/>
      <c r="GGT10" s="97"/>
      <c r="GGU10" s="97"/>
      <c r="GGV10" s="97"/>
      <c r="GGW10" s="97"/>
      <c r="GGX10" s="97"/>
      <c r="GGY10" s="97"/>
      <c r="GGZ10" s="97"/>
      <c r="GHA10" s="97"/>
      <c r="GHB10" s="97"/>
      <c r="GHC10" s="97"/>
      <c r="GHD10" s="97"/>
      <c r="GHE10" s="97"/>
      <c r="GHF10" s="97"/>
      <c r="GHG10" s="97"/>
      <c r="GHH10" s="97"/>
      <c r="GHI10" s="97"/>
      <c r="GHJ10" s="97"/>
      <c r="GHK10" s="97"/>
      <c r="GHL10" s="97"/>
      <c r="GHM10" s="97"/>
      <c r="GHN10" s="97"/>
      <c r="GHO10" s="97"/>
      <c r="GHP10" s="97"/>
      <c r="GHQ10" s="97"/>
      <c r="GHR10" s="97"/>
      <c r="GHS10" s="97"/>
      <c r="GHT10" s="97"/>
      <c r="GHU10" s="97"/>
      <c r="GHV10" s="97"/>
      <c r="GHW10" s="97"/>
      <c r="GHX10" s="97"/>
      <c r="GHY10" s="97"/>
      <c r="GHZ10" s="97"/>
      <c r="GIA10" s="97"/>
      <c r="GIB10" s="97"/>
      <c r="GIC10" s="97"/>
      <c r="GID10" s="97"/>
      <c r="GIE10" s="97"/>
      <c r="GIF10" s="97"/>
      <c r="GIG10" s="97"/>
      <c r="GIH10" s="97"/>
      <c r="GII10" s="97"/>
      <c r="GIJ10" s="97"/>
      <c r="GIK10" s="97"/>
      <c r="GIL10" s="97"/>
      <c r="GIM10" s="97"/>
      <c r="GIN10" s="97"/>
      <c r="GIO10" s="97"/>
      <c r="GIP10" s="97"/>
      <c r="GIQ10" s="97"/>
      <c r="GIR10" s="97"/>
      <c r="GIS10" s="97"/>
      <c r="GIT10" s="97"/>
      <c r="GIU10" s="97"/>
      <c r="GIV10" s="97"/>
      <c r="GIW10" s="97"/>
      <c r="GIX10" s="97"/>
      <c r="GIY10" s="97"/>
      <c r="GIZ10" s="97"/>
      <c r="GJA10" s="97"/>
      <c r="GJB10" s="97"/>
      <c r="GJC10" s="97"/>
      <c r="GJD10" s="97"/>
      <c r="GJE10" s="97"/>
      <c r="GJF10" s="97"/>
      <c r="GJG10" s="97"/>
      <c r="GJH10" s="97"/>
      <c r="GJI10" s="97"/>
      <c r="GJJ10" s="97"/>
      <c r="GJK10" s="97"/>
      <c r="GJL10" s="97"/>
      <c r="GJM10" s="97"/>
      <c r="GJN10" s="97"/>
      <c r="GJO10" s="97"/>
      <c r="GJP10" s="97"/>
      <c r="GJQ10" s="97"/>
      <c r="GJR10" s="97"/>
      <c r="GJS10" s="97"/>
      <c r="GJT10" s="97"/>
      <c r="GJU10" s="97"/>
      <c r="GJV10" s="97"/>
      <c r="GJW10" s="97"/>
      <c r="GJX10" s="97"/>
      <c r="GJY10" s="97"/>
      <c r="GJZ10" s="97"/>
      <c r="GKA10" s="97"/>
      <c r="GKB10" s="97"/>
      <c r="GKC10" s="97"/>
      <c r="GKD10" s="97"/>
      <c r="GKE10" s="97"/>
      <c r="GKF10" s="97"/>
      <c r="GKG10" s="97"/>
      <c r="GKH10" s="97"/>
      <c r="GKI10" s="97"/>
      <c r="GKJ10" s="97"/>
      <c r="GKK10" s="97"/>
      <c r="GKL10" s="97"/>
      <c r="GKM10" s="97"/>
      <c r="GKN10" s="97"/>
      <c r="GKO10" s="97"/>
      <c r="GKP10" s="97"/>
      <c r="GKQ10" s="97"/>
      <c r="GKR10" s="97"/>
      <c r="GKS10" s="97"/>
      <c r="GKT10" s="97"/>
      <c r="GKU10" s="97"/>
      <c r="GKV10" s="97"/>
      <c r="GKW10" s="97"/>
      <c r="GKX10" s="97"/>
      <c r="GKY10" s="97"/>
      <c r="GKZ10" s="97"/>
      <c r="GLA10" s="97"/>
      <c r="GLB10" s="97"/>
      <c r="GLC10" s="97"/>
      <c r="GLD10" s="97"/>
      <c r="GLE10" s="97"/>
      <c r="GLF10" s="97"/>
      <c r="GLG10" s="97"/>
      <c r="GLH10" s="97"/>
      <c r="GLI10" s="97"/>
      <c r="GLJ10" s="97"/>
      <c r="GLK10" s="97"/>
      <c r="GLL10" s="97"/>
      <c r="GLM10" s="97"/>
      <c r="GLN10" s="97"/>
      <c r="GLO10" s="97"/>
      <c r="GLP10" s="97"/>
      <c r="GLQ10" s="97"/>
      <c r="GLR10" s="97"/>
      <c r="GLS10" s="97"/>
      <c r="GLT10" s="97"/>
      <c r="GLU10" s="97"/>
      <c r="GLV10" s="97"/>
      <c r="GLW10" s="97"/>
      <c r="GLX10" s="97"/>
      <c r="GLY10" s="97"/>
      <c r="GLZ10" s="97"/>
      <c r="GMA10" s="97"/>
      <c r="GMB10" s="97"/>
      <c r="GMC10" s="97"/>
      <c r="GMD10" s="97"/>
      <c r="GME10" s="97"/>
      <c r="GMF10" s="97"/>
      <c r="GMG10" s="97"/>
      <c r="GMH10" s="97"/>
      <c r="GMI10" s="97"/>
      <c r="GMJ10" s="97"/>
      <c r="GMK10" s="97"/>
      <c r="GML10" s="97"/>
      <c r="GMM10" s="97"/>
      <c r="GMN10" s="97"/>
      <c r="GMO10" s="97"/>
      <c r="GMP10" s="97"/>
      <c r="GMQ10" s="97"/>
      <c r="GMR10" s="97"/>
      <c r="GMS10" s="97"/>
      <c r="GMT10" s="97"/>
      <c r="GMU10" s="97"/>
      <c r="GMV10" s="97"/>
      <c r="GMW10" s="97"/>
      <c r="GMX10" s="97"/>
      <c r="GMY10" s="97"/>
      <c r="GMZ10" s="97"/>
      <c r="GNA10" s="97"/>
      <c r="GNB10" s="97"/>
      <c r="GNC10" s="97"/>
      <c r="GND10" s="97"/>
      <c r="GNE10" s="97"/>
      <c r="GNF10" s="97"/>
      <c r="GNG10" s="97"/>
      <c r="GNH10" s="97"/>
      <c r="GNI10" s="97"/>
      <c r="GNJ10" s="97"/>
      <c r="GNK10" s="97"/>
      <c r="GNL10" s="97"/>
      <c r="GNM10" s="97"/>
      <c r="GNN10" s="97"/>
      <c r="GNO10" s="97"/>
      <c r="GNP10" s="97"/>
      <c r="GNQ10" s="97"/>
      <c r="GNR10" s="97"/>
      <c r="GNS10" s="97"/>
      <c r="GNT10" s="97"/>
      <c r="GNU10" s="97"/>
      <c r="GNV10" s="97"/>
      <c r="GNW10" s="97"/>
      <c r="GNX10" s="97"/>
      <c r="GNY10" s="97"/>
      <c r="GNZ10" s="97"/>
      <c r="GOA10" s="97"/>
      <c r="GOB10" s="97"/>
      <c r="GOC10" s="97"/>
      <c r="GOD10" s="97"/>
      <c r="GOE10" s="97"/>
      <c r="GOF10" s="97"/>
      <c r="GOG10" s="97"/>
      <c r="GOH10" s="97"/>
      <c r="GOI10" s="97"/>
      <c r="GOJ10" s="97"/>
      <c r="GOK10" s="97"/>
      <c r="GOL10" s="97"/>
      <c r="GOM10" s="97"/>
      <c r="GON10" s="97"/>
      <c r="GOO10" s="97"/>
      <c r="GOP10" s="97"/>
      <c r="GOQ10" s="97"/>
      <c r="GOR10" s="97"/>
      <c r="GOS10" s="97"/>
      <c r="GOT10" s="97"/>
      <c r="GOU10" s="97"/>
      <c r="GOV10" s="97"/>
      <c r="GOW10" s="97"/>
      <c r="GOX10" s="97"/>
      <c r="GOY10" s="97"/>
      <c r="GOZ10" s="97"/>
      <c r="GPA10" s="97"/>
      <c r="GPB10" s="97"/>
      <c r="GPC10" s="97"/>
      <c r="GPD10" s="97"/>
      <c r="GPE10" s="97"/>
      <c r="GPF10" s="97"/>
      <c r="GPG10" s="97"/>
      <c r="GPH10" s="97"/>
      <c r="GPI10" s="97"/>
      <c r="GPJ10" s="97"/>
      <c r="GPK10" s="97"/>
      <c r="GPL10" s="97"/>
      <c r="GPM10" s="97"/>
      <c r="GPN10" s="97"/>
      <c r="GPO10" s="97"/>
      <c r="GPP10" s="97"/>
      <c r="GPQ10" s="97"/>
      <c r="GPR10" s="97"/>
      <c r="GPS10" s="97"/>
      <c r="GPT10" s="97"/>
      <c r="GPU10" s="97"/>
      <c r="GPV10" s="97"/>
      <c r="GPW10" s="97"/>
      <c r="GPX10" s="97"/>
      <c r="GPY10" s="97"/>
      <c r="GPZ10" s="97"/>
      <c r="GQA10" s="97"/>
      <c r="GQB10" s="97"/>
      <c r="GQC10" s="97"/>
      <c r="GQD10" s="97"/>
      <c r="GQE10" s="97"/>
      <c r="GQF10" s="97"/>
      <c r="GQG10" s="97"/>
      <c r="GQH10" s="97"/>
      <c r="GQI10" s="97"/>
      <c r="GQJ10" s="97"/>
      <c r="GQK10" s="97"/>
      <c r="GQL10" s="97"/>
      <c r="GQM10" s="97"/>
      <c r="GQN10" s="97"/>
      <c r="GQO10" s="97"/>
      <c r="GQP10" s="97"/>
      <c r="GQQ10" s="97"/>
      <c r="GQR10" s="97"/>
      <c r="GQS10" s="97"/>
      <c r="GQT10" s="97"/>
      <c r="GQU10" s="97"/>
      <c r="GQV10" s="97"/>
      <c r="GQW10" s="97"/>
      <c r="GQX10" s="97"/>
      <c r="GQY10" s="97"/>
      <c r="GQZ10" s="97"/>
      <c r="GRA10" s="97"/>
      <c r="GRB10" s="97"/>
      <c r="GRC10" s="97"/>
      <c r="GRD10" s="97"/>
      <c r="GRE10" s="97"/>
      <c r="GRF10" s="97"/>
      <c r="GRG10" s="97"/>
      <c r="GRH10" s="97"/>
      <c r="GRI10" s="97"/>
      <c r="GRJ10" s="97"/>
      <c r="GRK10" s="97"/>
      <c r="GRL10" s="97"/>
      <c r="GRM10" s="97"/>
      <c r="GRN10" s="97"/>
      <c r="GRO10" s="97"/>
      <c r="GRP10" s="97"/>
      <c r="GRQ10" s="97"/>
      <c r="GRR10" s="97"/>
      <c r="GRS10" s="97"/>
      <c r="GRT10" s="97"/>
      <c r="GRU10" s="97"/>
      <c r="GRV10" s="97"/>
      <c r="GRW10" s="97"/>
      <c r="GRX10" s="97"/>
      <c r="GRY10" s="97"/>
      <c r="GRZ10" s="97"/>
      <c r="GSA10" s="97"/>
      <c r="GSB10" s="97"/>
      <c r="GSC10" s="97"/>
      <c r="GSD10" s="97"/>
      <c r="GSE10" s="97"/>
      <c r="GSF10" s="97"/>
      <c r="GSG10" s="97"/>
      <c r="GSH10" s="97"/>
      <c r="GSI10" s="97"/>
      <c r="GSJ10" s="97"/>
      <c r="GSK10" s="97"/>
      <c r="GSL10" s="97"/>
      <c r="GSM10" s="97"/>
      <c r="GSN10" s="97"/>
      <c r="GSO10" s="97"/>
      <c r="GSP10" s="97"/>
      <c r="GSQ10" s="97"/>
      <c r="GSR10" s="97"/>
      <c r="GSS10" s="97"/>
      <c r="GST10" s="97"/>
      <c r="GSU10" s="97"/>
      <c r="GSV10" s="97"/>
      <c r="GSW10" s="97"/>
      <c r="GSX10" s="97"/>
      <c r="GSY10" s="97"/>
      <c r="GSZ10" s="97"/>
      <c r="GTA10" s="97"/>
      <c r="GTB10" s="97"/>
      <c r="GTC10" s="97"/>
      <c r="GTD10" s="97"/>
      <c r="GTE10" s="97"/>
      <c r="GTF10" s="97"/>
      <c r="GTG10" s="97"/>
      <c r="GTH10" s="97"/>
      <c r="GTI10" s="97"/>
      <c r="GTJ10" s="97"/>
      <c r="GTK10" s="97"/>
      <c r="GTL10" s="97"/>
      <c r="GTM10" s="97"/>
      <c r="GTN10" s="97"/>
      <c r="GTO10" s="97"/>
      <c r="GTP10" s="97"/>
      <c r="GTQ10" s="97"/>
      <c r="GTR10" s="97"/>
      <c r="GTS10" s="97"/>
      <c r="GTT10" s="97"/>
      <c r="GTU10" s="97"/>
      <c r="GTV10" s="97"/>
      <c r="GTW10" s="97"/>
      <c r="GTX10" s="97"/>
      <c r="GTY10" s="97"/>
      <c r="GTZ10" s="97"/>
      <c r="GUA10" s="97"/>
      <c r="GUB10" s="97"/>
      <c r="GUC10" s="97"/>
      <c r="GUD10" s="97"/>
      <c r="GUE10" s="97"/>
      <c r="GUF10" s="97"/>
      <c r="GUG10" s="97"/>
      <c r="GUH10" s="97"/>
      <c r="GUI10" s="97"/>
      <c r="GUJ10" s="97"/>
      <c r="GUK10" s="97"/>
      <c r="GUL10" s="97"/>
      <c r="GUM10" s="97"/>
      <c r="GUN10" s="97"/>
      <c r="GUO10" s="97"/>
      <c r="GUP10" s="97"/>
      <c r="GUQ10" s="97"/>
      <c r="GUR10" s="97"/>
      <c r="GUS10" s="97"/>
      <c r="GUT10" s="97"/>
      <c r="GUU10" s="97"/>
      <c r="GUV10" s="97"/>
      <c r="GUW10" s="97"/>
      <c r="GUX10" s="97"/>
      <c r="GUY10" s="97"/>
      <c r="GUZ10" s="97"/>
      <c r="GVA10" s="97"/>
      <c r="GVB10" s="97"/>
      <c r="GVC10" s="97"/>
      <c r="GVD10" s="97"/>
      <c r="GVE10" s="97"/>
      <c r="GVF10" s="97"/>
      <c r="GVG10" s="97"/>
      <c r="GVH10" s="97"/>
      <c r="GVI10" s="97"/>
      <c r="GVJ10" s="97"/>
      <c r="GVK10" s="97"/>
      <c r="GVL10" s="97"/>
      <c r="GVM10" s="97"/>
      <c r="GVN10" s="97"/>
      <c r="GVO10" s="97"/>
      <c r="GVP10" s="97"/>
      <c r="GVQ10" s="97"/>
      <c r="GVR10" s="97"/>
      <c r="GVS10" s="97"/>
      <c r="GVT10" s="97"/>
      <c r="GVU10" s="97"/>
      <c r="GVV10" s="97"/>
      <c r="GVW10" s="97"/>
      <c r="GVX10" s="97"/>
      <c r="GVY10" s="97"/>
      <c r="GVZ10" s="97"/>
      <c r="GWA10" s="97"/>
      <c r="GWB10" s="97"/>
      <c r="GWC10" s="97"/>
      <c r="GWD10" s="97"/>
      <c r="GWE10" s="97"/>
      <c r="GWF10" s="97"/>
      <c r="GWG10" s="97"/>
      <c r="GWH10" s="97"/>
      <c r="GWI10" s="97"/>
      <c r="GWJ10" s="97"/>
      <c r="GWK10" s="97"/>
      <c r="GWL10" s="97"/>
      <c r="GWM10" s="97"/>
      <c r="GWN10" s="97"/>
      <c r="GWO10" s="97"/>
      <c r="GWP10" s="97"/>
      <c r="GWQ10" s="97"/>
      <c r="GWR10" s="97"/>
      <c r="GWS10" s="97"/>
      <c r="GWT10" s="97"/>
      <c r="GWU10" s="97"/>
      <c r="GWV10" s="97"/>
      <c r="GWW10" s="97"/>
      <c r="GWX10" s="97"/>
      <c r="GWY10" s="97"/>
      <c r="GWZ10" s="97"/>
      <c r="GXA10" s="97"/>
      <c r="GXB10" s="97"/>
      <c r="GXC10" s="97"/>
      <c r="GXD10" s="97"/>
      <c r="GXE10" s="97"/>
      <c r="GXF10" s="97"/>
      <c r="GXG10" s="97"/>
      <c r="GXH10" s="97"/>
      <c r="GXI10" s="97"/>
      <c r="GXJ10" s="97"/>
      <c r="GXK10" s="97"/>
      <c r="GXL10" s="97"/>
      <c r="GXM10" s="97"/>
      <c r="GXN10" s="97"/>
      <c r="GXO10" s="97"/>
      <c r="GXP10" s="97"/>
      <c r="GXQ10" s="97"/>
      <c r="GXR10" s="97"/>
      <c r="GXS10" s="97"/>
      <c r="GXT10" s="97"/>
      <c r="GXU10" s="97"/>
      <c r="GXV10" s="97"/>
      <c r="GXW10" s="97"/>
      <c r="GXX10" s="97"/>
      <c r="GXY10" s="97"/>
      <c r="GXZ10" s="97"/>
      <c r="GYA10" s="97"/>
      <c r="GYB10" s="97"/>
      <c r="GYC10" s="97"/>
      <c r="GYD10" s="97"/>
      <c r="GYE10" s="97"/>
      <c r="GYF10" s="97"/>
      <c r="GYG10" s="97"/>
      <c r="GYH10" s="97"/>
      <c r="GYI10" s="97"/>
      <c r="GYJ10" s="97"/>
      <c r="GYK10" s="97"/>
      <c r="GYL10" s="97"/>
      <c r="GYM10" s="97"/>
      <c r="GYN10" s="97"/>
      <c r="GYO10" s="97"/>
      <c r="GYP10" s="97"/>
      <c r="GYQ10" s="97"/>
      <c r="GYR10" s="97"/>
      <c r="GYS10" s="97"/>
      <c r="GYT10" s="97"/>
      <c r="GYU10" s="97"/>
      <c r="GYV10" s="97"/>
      <c r="GYW10" s="97"/>
      <c r="GYX10" s="97"/>
      <c r="GYY10" s="97"/>
      <c r="GYZ10" s="97"/>
      <c r="GZA10" s="97"/>
      <c r="GZB10" s="97"/>
      <c r="GZC10" s="97"/>
      <c r="GZD10" s="97"/>
      <c r="GZE10" s="97"/>
      <c r="GZF10" s="97"/>
      <c r="GZG10" s="97"/>
      <c r="GZH10" s="97"/>
      <c r="GZI10" s="97"/>
      <c r="GZJ10" s="97"/>
      <c r="GZK10" s="97"/>
      <c r="GZL10" s="97"/>
      <c r="GZM10" s="97"/>
      <c r="GZN10" s="97"/>
      <c r="GZO10" s="97"/>
      <c r="GZP10" s="97"/>
      <c r="GZQ10" s="97"/>
      <c r="GZR10" s="97"/>
      <c r="GZS10" s="97"/>
      <c r="GZT10" s="97"/>
      <c r="GZU10" s="97"/>
      <c r="GZV10" s="97"/>
      <c r="GZW10" s="97"/>
      <c r="GZX10" s="97"/>
      <c r="GZY10" s="97"/>
      <c r="GZZ10" s="97"/>
      <c r="HAA10" s="97"/>
      <c r="HAB10" s="97"/>
      <c r="HAC10" s="97"/>
      <c r="HAD10" s="97"/>
      <c r="HAE10" s="97"/>
      <c r="HAF10" s="97"/>
      <c r="HAG10" s="97"/>
      <c r="HAH10" s="97"/>
      <c r="HAI10" s="97"/>
      <c r="HAJ10" s="97"/>
      <c r="HAK10" s="97"/>
      <c r="HAL10" s="97"/>
      <c r="HAM10" s="97"/>
      <c r="HAN10" s="97"/>
      <c r="HAO10" s="97"/>
      <c r="HAP10" s="97"/>
      <c r="HAQ10" s="97"/>
      <c r="HAR10" s="97"/>
      <c r="HAS10" s="97"/>
      <c r="HAT10" s="97"/>
      <c r="HAU10" s="97"/>
      <c r="HAV10" s="97"/>
      <c r="HAW10" s="97"/>
      <c r="HAX10" s="97"/>
      <c r="HAY10" s="97"/>
      <c r="HAZ10" s="97"/>
      <c r="HBA10" s="97"/>
      <c r="HBB10" s="97"/>
      <c r="HBC10" s="97"/>
      <c r="HBD10" s="97"/>
      <c r="HBE10" s="97"/>
      <c r="HBF10" s="97"/>
      <c r="HBG10" s="97"/>
      <c r="HBH10" s="97"/>
      <c r="HBI10" s="97"/>
      <c r="HBJ10" s="97"/>
      <c r="HBK10" s="97"/>
      <c r="HBL10" s="97"/>
      <c r="HBM10" s="97"/>
      <c r="HBN10" s="97"/>
      <c r="HBO10" s="97"/>
      <c r="HBP10" s="97"/>
      <c r="HBQ10" s="97"/>
      <c r="HBR10" s="97"/>
      <c r="HBS10" s="97"/>
      <c r="HBT10" s="97"/>
      <c r="HBU10" s="97"/>
      <c r="HBV10" s="97"/>
      <c r="HBW10" s="97"/>
      <c r="HBX10" s="97"/>
      <c r="HBY10" s="97"/>
      <c r="HBZ10" s="97"/>
      <c r="HCA10" s="97"/>
      <c r="HCB10" s="97"/>
      <c r="HCC10" s="97"/>
      <c r="HCD10" s="97"/>
      <c r="HCE10" s="97"/>
      <c r="HCF10" s="97"/>
      <c r="HCG10" s="97"/>
      <c r="HCH10" s="97"/>
      <c r="HCI10" s="97"/>
      <c r="HCJ10" s="97"/>
      <c r="HCK10" s="97"/>
      <c r="HCL10" s="97"/>
      <c r="HCM10" s="97"/>
      <c r="HCN10" s="97"/>
      <c r="HCO10" s="97"/>
      <c r="HCP10" s="97"/>
      <c r="HCQ10" s="97"/>
      <c r="HCR10" s="97"/>
      <c r="HCS10" s="97"/>
      <c r="HCT10" s="97"/>
      <c r="HCU10" s="97"/>
      <c r="HCV10" s="97"/>
      <c r="HCW10" s="97"/>
      <c r="HCX10" s="97"/>
      <c r="HCY10" s="97"/>
      <c r="HCZ10" s="97"/>
      <c r="HDA10" s="97"/>
      <c r="HDB10" s="97"/>
      <c r="HDC10" s="97"/>
      <c r="HDD10" s="97"/>
      <c r="HDE10" s="97"/>
      <c r="HDF10" s="97"/>
      <c r="HDG10" s="97"/>
      <c r="HDH10" s="97"/>
      <c r="HDI10" s="97"/>
      <c r="HDJ10" s="97"/>
      <c r="HDK10" s="97"/>
      <c r="HDL10" s="97"/>
      <c r="HDM10" s="97"/>
      <c r="HDN10" s="97"/>
      <c r="HDO10" s="97"/>
      <c r="HDP10" s="97"/>
      <c r="HDQ10" s="97"/>
      <c r="HDR10" s="97"/>
      <c r="HDS10" s="97"/>
      <c r="HDT10" s="97"/>
      <c r="HDU10" s="97"/>
      <c r="HDV10" s="97"/>
      <c r="HDW10" s="97"/>
      <c r="HDX10" s="97"/>
      <c r="HDY10" s="97"/>
      <c r="HDZ10" s="97"/>
      <c r="HEA10" s="97"/>
      <c r="HEB10" s="97"/>
      <c r="HEC10" s="97"/>
      <c r="HED10" s="97"/>
      <c r="HEE10" s="97"/>
      <c r="HEF10" s="97"/>
      <c r="HEG10" s="97"/>
      <c r="HEH10" s="97"/>
      <c r="HEI10" s="97"/>
      <c r="HEJ10" s="97"/>
      <c r="HEK10" s="97"/>
      <c r="HEL10" s="97"/>
      <c r="HEM10" s="97"/>
      <c r="HEN10" s="97"/>
      <c r="HEO10" s="97"/>
      <c r="HEP10" s="97"/>
      <c r="HEQ10" s="97"/>
      <c r="HER10" s="97"/>
      <c r="HES10" s="97"/>
      <c r="HET10" s="97"/>
      <c r="HEU10" s="97"/>
      <c r="HEV10" s="97"/>
      <c r="HEW10" s="97"/>
      <c r="HEX10" s="97"/>
      <c r="HEY10" s="97"/>
      <c r="HEZ10" s="97"/>
      <c r="HFA10" s="97"/>
      <c r="HFB10" s="97"/>
      <c r="HFC10" s="97"/>
      <c r="HFD10" s="97"/>
      <c r="HFE10" s="97"/>
      <c r="HFF10" s="97"/>
      <c r="HFG10" s="97"/>
      <c r="HFH10" s="97"/>
      <c r="HFI10" s="97"/>
      <c r="HFJ10" s="97"/>
      <c r="HFK10" s="97"/>
      <c r="HFL10" s="97"/>
      <c r="HFM10" s="97"/>
      <c r="HFN10" s="97"/>
      <c r="HFO10" s="97"/>
      <c r="HFP10" s="97"/>
      <c r="HFQ10" s="97"/>
      <c r="HFR10" s="97"/>
      <c r="HFS10" s="97"/>
      <c r="HFT10" s="97"/>
      <c r="HFU10" s="97"/>
      <c r="HFV10" s="97"/>
      <c r="HFW10" s="97"/>
      <c r="HFX10" s="97"/>
      <c r="HFY10" s="97"/>
      <c r="HFZ10" s="97"/>
      <c r="HGA10" s="97"/>
      <c r="HGB10" s="97"/>
      <c r="HGC10" s="97"/>
      <c r="HGD10" s="97"/>
      <c r="HGE10" s="97"/>
      <c r="HGF10" s="97"/>
      <c r="HGG10" s="97"/>
      <c r="HGH10" s="97"/>
      <c r="HGI10" s="97"/>
      <c r="HGJ10" s="97"/>
      <c r="HGK10" s="97"/>
      <c r="HGL10" s="97"/>
      <c r="HGM10" s="97"/>
      <c r="HGN10" s="97"/>
      <c r="HGO10" s="97"/>
      <c r="HGP10" s="97"/>
      <c r="HGQ10" s="97"/>
      <c r="HGR10" s="97"/>
      <c r="HGS10" s="97"/>
      <c r="HGT10" s="97"/>
      <c r="HGU10" s="97"/>
      <c r="HGV10" s="97"/>
      <c r="HGW10" s="97"/>
      <c r="HGX10" s="97"/>
      <c r="HGY10" s="97"/>
      <c r="HGZ10" s="97"/>
      <c r="HHA10" s="97"/>
      <c r="HHB10" s="97"/>
      <c r="HHC10" s="97"/>
      <c r="HHD10" s="97"/>
      <c r="HHE10" s="97"/>
      <c r="HHF10" s="97"/>
      <c r="HHG10" s="97"/>
      <c r="HHH10" s="97"/>
      <c r="HHI10" s="97"/>
      <c r="HHJ10" s="97"/>
      <c r="HHK10" s="97"/>
      <c r="HHL10" s="97"/>
      <c r="HHM10" s="97"/>
      <c r="HHN10" s="97"/>
      <c r="HHO10" s="97"/>
      <c r="HHP10" s="97"/>
      <c r="HHQ10" s="97"/>
      <c r="HHR10" s="97"/>
      <c r="HHS10" s="97"/>
      <c r="HHT10" s="97"/>
      <c r="HHU10" s="97"/>
      <c r="HHV10" s="97"/>
      <c r="HHW10" s="97"/>
      <c r="HHX10" s="97"/>
      <c r="HHY10" s="97"/>
      <c r="HHZ10" s="97"/>
      <c r="HIA10" s="97"/>
      <c r="HIB10" s="97"/>
      <c r="HIC10" s="97"/>
      <c r="HID10" s="97"/>
      <c r="HIE10" s="97"/>
      <c r="HIF10" s="97"/>
      <c r="HIG10" s="97"/>
      <c r="HIH10" s="97"/>
      <c r="HII10" s="97"/>
      <c r="HIJ10" s="97"/>
      <c r="HIK10" s="97"/>
      <c r="HIL10" s="97"/>
      <c r="HIM10" s="97"/>
      <c r="HIN10" s="97"/>
      <c r="HIO10" s="97"/>
      <c r="HIP10" s="97"/>
      <c r="HIQ10" s="97"/>
      <c r="HIR10" s="97"/>
      <c r="HIS10" s="97"/>
      <c r="HIT10" s="97"/>
      <c r="HIU10" s="97"/>
      <c r="HIV10" s="97"/>
      <c r="HIW10" s="97"/>
      <c r="HIX10" s="97"/>
      <c r="HIY10" s="97"/>
      <c r="HIZ10" s="97"/>
      <c r="HJA10" s="97"/>
      <c r="HJB10" s="97"/>
      <c r="HJC10" s="97"/>
      <c r="HJD10" s="97"/>
      <c r="HJE10" s="97"/>
      <c r="HJF10" s="97"/>
      <c r="HJG10" s="97"/>
      <c r="HJH10" s="97"/>
      <c r="HJI10" s="97"/>
      <c r="HJJ10" s="97"/>
      <c r="HJK10" s="97"/>
      <c r="HJL10" s="97"/>
      <c r="HJM10" s="97"/>
      <c r="HJN10" s="97"/>
      <c r="HJO10" s="97"/>
      <c r="HJP10" s="97"/>
      <c r="HJQ10" s="97"/>
      <c r="HJR10" s="97"/>
      <c r="HJS10" s="97"/>
      <c r="HJT10" s="97"/>
      <c r="HJU10" s="97"/>
      <c r="HJV10" s="97"/>
      <c r="HJW10" s="97"/>
      <c r="HJX10" s="97"/>
      <c r="HJY10" s="97"/>
      <c r="HJZ10" s="97"/>
      <c r="HKA10" s="97"/>
      <c r="HKB10" s="97"/>
      <c r="HKC10" s="97"/>
      <c r="HKD10" s="97"/>
      <c r="HKE10" s="97"/>
      <c r="HKF10" s="97"/>
      <c r="HKG10" s="97"/>
      <c r="HKH10" s="97"/>
      <c r="HKI10" s="97"/>
      <c r="HKJ10" s="97"/>
      <c r="HKK10" s="97"/>
      <c r="HKL10" s="97"/>
      <c r="HKM10" s="97"/>
      <c r="HKN10" s="97"/>
      <c r="HKO10" s="97"/>
      <c r="HKP10" s="97"/>
      <c r="HKQ10" s="97"/>
      <c r="HKR10" s="97"/>
      <c r="HKS10" s="97"/>
      <c r="HKT10" s="97"/>
      <c r="HKU10" s="97"/>
      <c r="HKV10" s="97"/>
      <c r="HKW10" s="97"/>
      <c r="HKX10" s="97"/>
      <c r="HKY10" s="97"/>
      <c r="HKZ10" s="97"/>
      <c r="HLA10" s="97"/>
      <c r="HLB10" s="97"/>
      <c r="HLC10" s="97"/>
      <c r="HLD10" s="97"/>
      <c r="HLE10" s="97"/>
      <c r="HLF10" s="97"/>
      <c r="HLG10" s="97"/>
      <c r="HLH10" s="97"/>
      <c r="HLI10" s="97"/>
      <c r="HLJ10" s="97"/>
      <c r="HLK10" s="97"/>
      <c r="HLL10" s="97"/>
      <c r="HLM10" s="97"/>
      <c r="HLN10" s="97"/>
      <c r="HLO10" s="97"/>
      <c r="HLP10" s="97"/>
      <c r="HLQ10" s="97"/>
      <c r="HLR10" s="97"/>
      <c r="HLS10" s="97"/>
      <c r="HLT10" s="97"/>
      <c r="HLU10" s="97"/>
      <c r="HLV10" s="97"/>
      <c r="HLW10" s="97"/>
      <c r="HLX10" s="97"/>
      <c r="HLY10" s="97"/>
      <c r="HLZ10" s="97"/>
      <c r="HMA10" s="97"/>
      <c r="HMB10" s="97"/>
      <c r="HMC10" s="97"/>
      <c r="HMD10" s="97"/>
      <c r="HME10" s="97"/>
      <c r="HMF10" s="97"/>
      <c r="HMG10" s="97"/>
      <c r="HMH10" s="97"/>
      <c r="HMI10" s="97"/>
      <c r="HMJ10" s="97"/>
      <c r="HMK10" s="97"/>
      <c r="HML10" s="97"/>
      <c r="HMM10" s="97"/>
      <c r="HMN10" s="97"/>
      <c r="HMO10" s="97"/>
      <c r="HMP10" s="97"/>
      <c r="HMQ10" s="97"/>
      <c r="HMR10" s="97"/>
      <c r="HMS10" s="97"/>
      <c r="HMT10" s="97"/>
      <c r="HMU10" s="97"/>
      <c r="HMV10" s="97"/>
      <c r="HMW10" s="97"/>
      <c r="HMX10" s="97"/>
      <c r="HMY10" s="97"/>
      <c r="HMZ10" s="97"/>
      <c r="HNA10" s="97"/>
      <c r="HNB10" s="97"/>
      <c r="HNC10" s="97"/>
      <c r="HND10" s="97"/>
      <c r="HNE10" s="97"/>
      <c r="HNF10" s="97"/>
      <c r="HNG10" s="97"/>
      <c r="HNH10" s="97"/>
      <c r="HNI10" s="97"/>
      <c r="HNJ10" s="97"/>
      <c r="HNK10" s="97"/>
      <c r="HNL10" s="97"/>
      <c r="HNM10" s="97"/>
      <c r="HNN10" s="97"/>
      <c r="HNO10" s="97"/>
      <c r="HNP10" s="97"/>
      <c r="HNQ10" s="97"/>
      <c r="HNR10" s="97"/>
      <c r="HNS10" s="97"/>
      <c r="HNT10" s="97"/>
      <c r="HNU10" s="97"/>
      <c r="HNV10" s="97"/>
      <c r="HNW10" s="97"/>
      <c r="HNX10" s="97"/>
      <c r="HNY10" s="97"/>
      <c r="HNZ10" s="97"/>
      <c r="HOA10" s="97"/>
      <c r="HOB10" s="97"/>
      <c r="HOC10" s="97"/>
      <c r="HOD10" s="97"/>
      <c r="HOE10" s="97"/>
      <c r="HOF10" s="97"/>
      <c r="HOG10" s="97"/>
      <c r="HOH10" s="97"/>
      <c r="HOI10" s="97"/>
      <c r="HOJ10" s="97"/>
      <c r="HOK10" s="97"/>
      <c r="HOL10" s="97"/>
      <c r="HOM10" s="97"/>
      <c r="HON10" s="97"/>
      <c r="HOO10" s="97"/>
      <c r="HOP10" s="97"/>
      <c r="HOQ10" s="97"/>
      <c r="HOR10" s="97"/>
      <c r="HOS10" s="97"/>
      <c r="HOT10" s="97"/>
      <c r="HOU10" s="97"/>
      <c r="HOV10" s="97"/>
      <c r="HOW10" s="97"/>
      <c r="HOX10" s="97"/>
      <c r="HOY10" s="97"/>
      <c r="HOZ10" s="97"/>
      <c r="HPA10" s="97"/>
      <c r="HPB10" s="97"/>
      <c r="HPC10" s="97"/>
      <c r="HPD10" s="97"/>
      <c r="HPE10" s="97"/>
      <c r="HPF10" s="97"/>
      <c r="HPG10" s="97"/>
      <c r="HPH10" s="97"/>
      <c r="HPI10" s="97"/>
      <c r="HPJ10" s="97"/>
      <c r="HPK10" s="97"/>
      <c r="HPL10" s="97"/>
      <c r="HPM10" s="97"/>
      <c r="HPN10" s="97"/>
      <c r="HPO10" s="97"/>
      <c r="HPP10" s="97"/>
      <c r="HPQ10" s="97"/>
      <c r="HPR10" s="97"/>
      <c r="HPS10" s="97"/>
      <c r="HPT10" s="97"/>
      <c r="HPU10" s="97"/>
      <c r="HPV10" s="97"/>
      <c r="HPW10" s="97"/>
      <c r="HPX10" s="97"/>
      <c r="HPY10" s="97"/>
      <c r="HPZ10" s="97"/>
      <c r="HQA10" s="97"/>
      <c r="HQB10" s="97"/>
      <c r="HQC10" s="97"/>
      <c r="HQD10" s="97"/>
      <c r="HQE10" s="97"/>
      <c r="HQF10" s="97"/>
      <c r="HQG10" s="97"/>
      <c r="HQH10" s="97"/>
      <c r="HQI10" s="97"/>
      <c r="HQJ10" s="97"/>
      <c r="HQK10" s="97"/>
      <c r="HQL10" s="97"/>
      <c r="HQM10" s="97"/>
      <c r="HQN10" s="97"/>
      <c r="HQO10" s="97"/>
      <c r="HQP10" s="97"/>
      <c r="HQQ10" s="97"/>
      <c r="HQR10" s="97"/>
      <c r="HQS10" s="97"/>
      <c r="HQT10" s="97"/>
      <c r="HQU10" s="97"/>
      <c r="HQV10" s="97"/>
      <c r="HQW10" s="97"/>
      <c r="HQX10" s="97"/>
      <c r="HQY10" s="97"/>
      <c r="HQZ10" s="97"/>
      <c r="HRA10" s="97"/>
      <c r="HRB10" s="97"/>
      <c r="HRC10" s="97"/>
      <c r="HRD10" s="97"/>
      <c r="HRE10" s="97"/>
      <c r="HRF10" s="97"/>
      <c r="HRG10" s="97"/>
      <c r="HRH10" s="97"/>
      <c r="HRI10" s="97"/>
      <c r="HRJ10" s="97"/>
      <c r="HRK10" s="97"/>
      <c r="HRL10" s="97"/>
      <c r="HRM10" s="97"/>
      <c r="HRN10" s="97"/>
      <c r="HRO10" s="97"/>
      <c r="HRP10" s="97"/>
      <c r="HRQ10" s="97"/>
      <c r="HRR10" s="97"/>
      <c r="HRS10" s="97"/>
      <c r="HRT10" s="97"/>
      <c r="HRU10" s="97"/>
      <c r="HRV10" s="97"/>
      <c r="HRW10" s="97"/>
      <c r="HRX10" s="97"/>
      <c r="HRY10" s="97"/>
      <c r="HRZ10" s="97"/>
      <c r="HSA10" s="97"/>
      <c r="HSB10" s="97"/>
      <c r="HSC10" s="97"/>
      <c r="HSD10" s="97"/>
      <c r="HSE10" s="97"/>
      <c r="HSF10" s="97"/>
      <c r="HSG10" s="97"/>
      <c r="HSH10" s="97"/>
      <c r="HSI10" s="97"/>
      <c r="HSJ10" s="97"/>
      <c r="HSK10" s="97"/>
      <c r="HSL10" s="97"/>
      <c r="HSM10" s="97"/>
      <c r="HSN10" s="97"/>
      <c r="HSO10" s="97"/>
      <c r="HSP10" s="97"/>
      <c r="HSQ10" s="97"/>
      <c r="HSR10" s="97"/>
      <c r="HSS10" s="97"/>
      <c r="HST10" s="97"/>
      <c r="HSU10" s="97"/>
      <c r="HSV10" s="97"/>
      <c r="HSW10" s="97"/>
      <c r="HSX10" s="97"/>
      <c r="HSY10" s="97"/>
      <c r="HSZ10" s="97"/>
      <c r="HTA10" s="97"/>
      <c r="HTB10" s="97"/>
      <c r="HTC10" s="97"/>
      <c r="HTD10" s="97"/>
      <c r="HTE10" s="97"/>
      <c r="HTF10" s="97"/>
      <c r="HTG10" s="97"/>
      <c r="HTH10" s="97"/>
      <c r="HTI10" s="97"/>
      <c r="HTJ10" s="97"/>
      <c r="HTK10" s="97"/>
      <c r="HTL10" s="97"/>
      <c r="HTM10" s="97"/>
      <c r="HTN10" s="97"/>
      <c r="HTO10" s="97"/>
      <c r="HTP10" s="97"/>
      <c r="HTQ10" s="97"/>
      <c r="HTR10" s="97"/>
      <c r="HTS10" s="97"/>
      <c r="HTT10" s="97"/>
      <c r="HTU10" s="97"/>
      <c r="HTV10" s="97"/>
      <c r="HTW10" s="97"/>
      <c r="HTX10" s="97"/>
      <c r="HTY10" s="97"/>
      <c r="HTZ10" s="97"/>
      <c r="HUA10" s="97"/>
      <c r="HUB10" s="97"/>
      <c r="HUC10" s="97"/>
      <c r="HUD10" s="97"/>
      <c r="HUE10" s="97"/>
      <c r="HUF10" s="97"/>
      <c r="HUG10" s="97"/>
      <c r="HUH10" s="97"/>
      <c r="HUI10" s="97"/>
      <c r="HUJ10" s="97"/>
      <c r="HUK10" s="97"/>
      <c r="HUL10" s="97"/>
      <c r="HUM10" s="97"/>
      <c r="HUN10" s="97"/>
      <c r="HUO10" s="97"/>
      <c r="HUP10" s="97"/>
      <c r="HUQ10" s="97"/>
      <c r="HUR10" s="97"/>
      <c r="HUS10" s="97"/>
      <c r="HUT10" s="97"/>
      <c r="HUU10" s="97"/>
      <c r="HUV10" s="97"/>
      <c r="HUW10" s="97"/>
      <c r="HUX10" s="97"/>
      <c r="HUY10" s="97"/>
      <c r="HUZ10" s="97"/>
      <c r="HVA10" s="97"/>
      <c r="HVB10" s="97"/>
      <c r="HVC10" s="97"/>
      <c r="HVD10" s="97"/>
      <c r="HVE10" s="97"/>
      <c r="HVF10" s="97"/>
      <c r="HVG10" s="97"/>
      <c r="HVH10" s="97"/>
      <c r="HVI10" s="97"/>
      <c r="HVJ10" s="97"/>
      <c r="HVK10" s="97"/>
      <c r="HVL10" s="97"/>
      <c r="HVM10" s="97"/>
      <c r="HVN10" s="97"/>
      <c r="HVO10" s="97"/>
      <c r="HVP10" s="97"/>
      <c r="HVQ10" s="97"/>
      <c r="HVR10" s="97"/>
      <c r="HVS10" s="97"/>
      <c r="HVT10" s="97"/>
      <c r="HVU10" s="97"/>
      <c r="HVV10" s="97"/>
      <c r="HVW10" s="97"/>
      <c r="HVX10" s="97"/>
      <c r="HVY10" s="97"/>
      <c r="HVZ10" s="97"/>
      <c r="HWA10" s="97"/>
      <c r="HWB10" s="97"/>
      <c r="HWC10" s="97"/>
      <c r="HWD10" s="97"/>
      <c r="HWE10" s="97"/>
      <c r="HWF10" s="97"/>
      <c r="HWG10" s="97"/>
      <c r="HWH10" s="97"/>
      <c r="HWI10" s="97"/>
      <c r="HWJ10" s="97"/>
      <c r="HWK10" s="97"/>
      <c r="HWL10" s="97"/>
      <c r="HWM10" s="97"/>
      <c r="HWN10" s="97"/>
      <c r="HWO10" s="97"/>
      <c r="HWP10" s="97"/>
      <c r="HWQ10" s="97"/>
      <c r="HWR10" s="97"/>
      <c r="HWS10" s="97"/>
      <c r="HWT10" s="97"/>
      <c r="HWU10" s="97"/>
      <c r="HWV10" s="97"/>
      <c r="HWW10" s="97"/>
      <c r="HWX10" s="97"/>
      <c r="HWY10" s="97"/>
      <c r="HWZ10" s="97"/>
      <c r="HXA10" s="97"/>
      <c r="HXB10" s="97"/>
      <c r="HXC10" s="97"/>
      <c r="HXD10" s="97"/>
      <c r="HXE10" s="97"/>
      <c r="HXF10" s="97"/>
      <c r="HXG10" s="97"/>
      <c r="HXH10" s="97"/>
      <c r="HXI10" s="97"/>
      <c r="HXJ10" s="97"/>
      <c r="HXK10" s="97"/>
      <c r="HXL10" s="97"/>
      <c r="HXM10" s="97"/>
      <c r="HXN10" s="97"/>
      <c r="HXO10" s="97"/>
      <c r="HXP10" s="97"/>
      <c r="HXQ10" s="97"/>
      <c r="HXR10" s="97"/>
      <c r="HXS10" s="97"/>
      <c r="HXT10" s="97"/>
      <c r="HXU10" s="97"/>
      <c r="HXV10" s="97"/>
      <c r="HXW10" s="97"/>
      <c r="HXX10" s="97"/>
      <c r="HXY10" s="97"/>
      <c r="HXZ10" s="97"/>
      <c r="HYA10" s="97"/>
      <c r="HYB10" s="97"/>
      <c r="HYC10" s="97"/>
      <c r="HYD10" s="97"/>
      <c r="HYE10" s="97"/>
      <c r="HYF10" s="97"/>
      <c r="HYG10" s="97"/>
      <c r="HYH10" s="97"/>
      <c r="HYI10" s="97"/>
      <c r="HYJ10" s="97"/>
      <c r="HYK10" s="97"/>
      <c r="HYL10" s="97"/>
      <c r="HYM10" s="97"/>
      <c r="HYN10" s="97"/>
      <c r="HYO10" s="97"/>
      <c r="HYP10" s="97"/>
      <c r="HYQ10" s="97"/>
      <c r="HYR10" s="97"/>
      <c r="HYS10" s="97"/>
      <c r="HYT10" s="97"/>
      <c r="HYU10" s="97"/>
      <c r="HYV10" s="97"/>
      <c r="HYW10" s="97"/>
      <c r="HYX10" s="97"/>
      <c r="HYY10" s="97"/>
      <c r="HYZ10" s="97"/>
      <c r="HZA10" s="97"/>
      <c r="HZB10" s="97"/>
      <c r="HZC10" s="97"/>
      <c r="HZD10" s="97"/>
      <c r="HZE10" s="97"/>
      <c r="HZF10" s="97"/>
      <c r="HZG10" s="97"/>
      <c r="HZH10" s="97"/>
      <c r="HZI10" s="97"/>
      <c r="HZJ10" s="97"/>
      <c r="HZK10" s="97"/>
      <c r="HZL10" s="97"/>
      <c r="HZM10" s="97"/>
      <c r="HZN10" s="97"/>
      <c r="HZO10" s="97"/>
      <c r="HZP10" s="97"/>
      <c r="HZQ10" s="97"/>
      <c r="HZR10" s="97"/>
      <c r="HZS10" s="97"/>
      <c r="HZT10" s="97"/>
      <c r="HZU10" s="97"/>
      <c r="HZV10" s="97"/>
      <c r="HZW10" s="97"/>
      <c r="HZX10" s="97"/>
      <c r="HZY10" s="97"/>
      <c r="HZZ10" s="97"/>
      <c r="IAA10" s="97"/>
      <c r="IAB10" s="97"/>
      <c r="IAC10" s="97"/>
      <c r="IAD10" s="97"/>
      <c r="IAE10" s="97"/>
      <c r="IAF10" s="97"/>
      <c r="IAG10" s="97"/>
      <c r="IAH10" s="97"/>
      <c r="IAI10" s="97"/>
      <c r="IAJ10" s="97"/>
      <c r="IAK10" s="97"/>
      <c r="IAL10" s="97"/>
      <c r="IAM10" s="97"/>
      <c r="IAN10" s="97"/>
      <c r="IAO10" s="97"/>
      <c r="IAP10" s="97"/>
      <c r="IAQ10" s="97"/>
      <c r="IAR10" s="97"/>
      <c r="IAS10" s="97"/>
      <c r="IAT10" s="97"/>
      <c r="IAU10" s="97"/>
      <c r="IAV10" s="97"/>
      <c r="IAW10" s="97"/>
      <c r="IAX10" s="97"/>
      <c r="IAY10" s="97"/>
      <c r="IAZ10" s="97"/>
      <c r="IBA10" s="97"/>
      <c r="IBB10" s="97"/>
      <c r="IBC10" s="97"/>
      <c r="IBD10" s="97"/>
      <c r="IBE10" s="97"/>
      <c r="IBF10" s="97"/>
      <c r="IBG10" s="97"/>
      <c r="IBH10" s="97"/>
      <c r="IBI10" s="97"/>
      <c r="IBJ10" s="97"/>
      <c r="IBK10" s="97"/>
      <c r="IBL10" s="97"/>
      <c r="IBM10" s="97"/>
      <c r="IBN10" s="97"/>
      <c r="IBO10" s="97"/>
      <c r="IBP10" s="97"/>
      <c r="IBQ10" s="97"/>
      <c r="IBR10" s="97"/>
      <c r="IBS10" s="97"/>
      <c r="IBT10" s="97"/>
      <c r="IBU10" s="97"/>
      <c r="IBV10" s="97"/>
      <c r="IBW10" s="97"/>
      <c r="IBX10" s="97"/>
      <c r="IBY10" s="97"/>
      <c r="IBZ10" s="97"/>
      <c r="ICA10" s="97"/>
      <c r="ICB10" s="97"/>
      <c r="ICC10" s="97"/>
      <c r="ICD10" s="97"/>
      <c r="ICE10" s="97"/>
      <c r="ICF10" s="97"/>
      <c r="ICG10" s="97"/>
      <c r="ICH10" s="97"/>
      <c r="ICI10" s="97"/>
      <c r="ICJ10" s="97"/>
      <c r="ICK10" s="97"/>
      <c r="ICL10" s="97"/>
      <c r="ICM10" s="97"/>
      <c r="ICN10" s="97"/>
      <c r="ICO10" s="97"/>
      <c r="ICP10" s="97"/>
      <c r="ICQ10" s="97"/>
      <c r="ICR10" s="97"/>
      <c r="ICS10" s="97"/>
      <c r="ICT10" s="97"/>
      <c r="ICU10" s="97"/>
      <c r="ICV10" s="97"/>
      <c r="ICW10" s="97"/>
      <c r="ICX10" s="97"/>
      <c r="ICY10" s="97"/>
      <c r="ICZ10" s="97"/>
      <c r="IDA10" s="97"/>
      <c r="IDB10" s="97"/>
      <c r="IDC10" s="97"/>
      <c r="IDD10" s="97"/>
      <c r="IDE10" s="97"/>
      <c r="IDF10" s="97"/>
      <c r="IDG10" s="97"/>
      <c r="IDH10" s="97"/>
      <c r="IDI10" s="97"/>
      <c r="IDJ10" s="97"/>
      <c r="IDK10" s="97"/>
      <c r="IDL10" s="97"/>
      <c r="IDM10" s="97"/>
      <c r="IDN10" s="97"/>
      <c r="IDO10" s="97"/>
      <c r="IDP10" s="97"/>
      <c r="IDQ10" s="97"/>
      <c r="IDR10" s="97"/>
      <c r="IDS10" s="97"/>
      <c r="IDT10" s="97"/>
      <c r="IDU10" s="97"/>
      <c r="IDV10" s="97"/>
      <c r="IDW10" s="97"/>
      <c r="IDX10" s="97"/>
      <c r="IDY10" s="97"/>
      <c r="IDZ10" s="97"/>
      <c r="IEA10" s="97"/>
      <c r="IEB10" s="97"/>
      <c r="IEC10" s="97"/>
      <c r="IED10" s="97"/>
      <c r="IEE10" s="97"/>
      <c r="IEF10" s="97"/>
      <c r="IEG10" s="97"/>
      <c r="IEH10" s="97"/>
      <c r="IEI10" s="97"/>
      <c r="IEJ10" s="97"/>
      <c r="IEK10" s="97"/>
      <c r="IEL10" s="97"/>
      <c r="IEM10" s="97"/>
      <c r="IEN10" s="97"/>
      <c r="IEO10" s="97"/>
      <c r="IEP10" s="97"/>
      <c r="IEQ10" s="97"/>
      <c r="IER10" s="97"/>
      <c r="IES10" s="97"/>
      <c r="IET10" s="97"/>
      <c r="IEU10" s="97"/>
      <c r="IEV10" s="97"/>
      <c r="IEW10" s="97"/>
      <c r="IEX10" s="97"/>
      <c r="IEY10" s="97"/>
      <c r="IEZ10" s="97"/>
      <c r="IFA10" s="97"/>
      <c r="IFB10" s="97"/>
      <c r="IFC10" s="97"/>
      <c r="IFD10" s="97"/>
      <c r="IFE10" s="97"/>
      <c r="IFF10" s="97"/>
      <c r="IFG10" s="97"/>
      <c r="IFH10" s="97"/>
      <c r="IFI10" s="97"/>
      <c r="IFJ10" s="97"/>
      <c r="IFK10" s="97"/>
      <c r="IFL10" s="97"/>
      <c r="IFM10" s="97"/>
      <c r="IFN10" s="97"/>
      <c r="IFO10" s="97"/>
      <c r="IFP10" s="97"/>
      <c r="IFQ10" s="97"/>
      <c r="IFR10" s="97"/>
      <c r="IFS10" s="97"/>
      <c r="IFT10" s="97"/>
      <c r="IFU10" s="97"/>
      <c r="IFV10" s="97"/>
      <c r="IFW10" s="97"/>
      <c r="IFX10" s="97"/>
      <c r="IFY10" s="97"/>
      <c r="IFZ10" s="97"/>
      <c r="IGA10" s="97"/>
      <c r="IGB10" s="97"/>
      <c r="IGC10" s="97"/>
      <c r="IGD10" s="97"/>
      <c r="IGE10" s="97"/>
      <c r="IGF10" s="97"/>
      <c r="IGG10" s="97"/>
      <c r="IGH10" s="97"/>
      <c r="IGI10" s="97"/>
      <c r="IGJ10" s="97"/>
      <c r="IGK10" s="97"/>
      <c r="IGL10" s="97"/>
      <c r="IGM10" s="97"/>
      <c r="IGN10" s="97"/>
      <c r="IGO10" s="97"/>
      <c r="IGP10" s="97"/>
      <c r="IGQ10" s="97"/>
      <c r="IGR10" s="97"/>
      <c r="IGS10" s="97"/>
      <c r="IGT10" s="97"/>
      <c r="IGU10" s="97"/>
      <c r="IGV10" s="97"/>
      <c r="IGW10" s="97"/>
      <c r="IGX10" s="97"/>
      <c r="IGY10" s="97"/>
      <c r="IGZ10" s="97"/>
      <c r="IHA10" s="97"/>
      <c r="IHB10" s="97"/>
      <c r="IHC10" s="97"/>
      <c r="IHD10" s="97"/>
      <c r="IHE10" s="97"/>
      <c r="IHF10" s="97"/>
      <c r="IHG10" s="97"/>
      <c r="IHH10" s="97"/>
      <c r="IHI10" s="97"/>
      <c r="IHJ10" s="97"/>
      <c r="IHK10" s="97"/>
      <c r="IHL10" s="97"/>
      <c r="IHM10" s="97"/>
      <c r="IHN10" s="97"/>
      <c r="IHO10" s="97"/>
      <c r="IHP10" s="97"/>
      <c r="IHQ10" s="97"/>
      <c r="IHR10" s="97"/>
      <c r="IHS10" s="97"/>
      <c r="IHT10" s="97"/>
      <c r="IHU10" s="97"/>
      <c r="IHV10" s="97"/>
      <c r="IHW10" s="97"/>
      <c r="IHX10" s="97"/>
      <c r="IHY10" s="97"/>
      <c r="IHZ10" s="97"/>
      <c r="IIA10" s="97"/>
      <c r="IIB10" s="97"/>
      <c r="IIC10" s="97"/>
      <c r="IID10" s="97"/>
      <c r="IIE10" s="97"/>
      <c r="IIF10" s="97"/>
      <c r="IIG10" s="97"/>
      <c r="IIH10" s="97"/>
      <c r="III10" s="97"/>
      <c r="IIJ10" s="97"/>
      <c r="IIK10" s="97"/>
      <c r="IIL10" s="97"/>
      <c r="IIM10" s="97"/>
      <c r="IIN10" s="97"/>
      <c r="IIO10" s="97"/>
      <c r="IIP10" s="97"/>
      <c r="IIQ10" s="97"/>
      <c r="IIR10" s="97"/>
      <c r="IIS10" s="97"/>
      <c r="IIT10" s="97"/>
      <c r="IIU10" s="97"/>
      <c r="IIV10" s="97"/>
      <c r="IIW10" s="97"/>
      <c r="IIX10" s="97"/>
      <c r="IIY10" s="97"/>
      <c r="IIZ10" s="97"/>
      <c r="IJA10" s="97"/>
      <c r="IJB10" s="97"/>
      <c r="IJC10" s="97"/>
      <c r="IJD10" s="97"/>
      <c r="IJE10" s="97"/>
      <c r="IJF10" s="97"/>
      <c r="IJG10" s="97"/>
      <c r="IJH10" s="97"/>
      <c r="IJI10" s="97"/>
      <c r="IJJ10" s="97"/>
      <c r="IJK10" s="97"/>
      <c r="IJL10" s="97"/>
      <c r="IJM10" s="97"/>
      <c r="IJN10" s="97"/>
      <c r="IJO10" s="97"/>
      <c r="IJP10" s="97"/>
      <c r="IJQ10" s="97"/>
      <c r="IJR10" s="97"/>
      <c r="IJS10" s="97"/>
      <c r="IJT10" s="97"/>
      <c r="IJU10" s="97"/>
      <c r="IJV10" s="97"/>
      <c r="IJW10" s="97"/>
      <c r="IJX10" s="97"/>
      <c r="IJY10" s="97"/>
      <c r="IJZ10" s="97"/>
      <c r="IKA10" s="97"/>
      <c r="IKB10" s="97"/>
      <c r="IKC10" s="97"/>
      <c r="IKD10" s="97"/>
      <c r="IKE10" s="97"/>
      <c r="IKF10" s="97"/>
      <c r="IKG10" s="97"/>
      <c r="IKH10" s="97"/>
      <c r="IKI10" s="97"/>
      <c r="IKJ10" s="97"/>
      <c r="IKK10" s="97"/>
      <c r="IKL10" s="97"/>
      <c r="IKM10" s="97"/>
      <c r="IKN10" s="97"/>
      <c r="IKO10" s="97"/>
      <c r="IKP10" s="97"/>
      <c r="IKQ10" s="97"/>
      <c r="IKR10" s="97"/>
      <c r="IKS10" s="97"/>
      <c r="IKT10" s="97"/>
      <c r="IKU10" s="97"/>
      <c r="IKV10" s="97"/>
      <c r="IKW10" s="97"/>
      <c r="IKX10" s="97"/>
      <c r="IKY10" s="97"/>
      <c r="IKZ10" s="97"/>
      <c r="ILA10" s="97"/>
      <c r="ILB10" s="97"/>
      <c r="ILC10" s="97"/>
      <c r="ILD10" s="97"/>
      <c r="ILE10" s="97"/>
      <c r="ILF10" s="97"/>
      <c r="ILG10" s="97"/>
      <c r="ILH10" s="97"/>
      <c r="ILI10" s="97"/>
      <c r="ILJ10" s="97"/>
      <c r="ILK10" s="97"/>
      <c r="ILL10" s="97"/>
      <c r="ILM10" s="97"/>
      <c r="ILN10" s="97"/>
      <c r="ILO10" s="97"/>
      <c r="ILP10" s="97"/>
      <c r="ILQ10" s="97"/>
      <c r="ILR10" s="97"/>
      <c r="ILS10" s="97"/>
      <c r="ILT10" s="97"/>
      <c r="ILU10" s="97"/>
      <c r="ILV10" s="97"/>
      <c r="ILW10" s="97"/>
      <c r="ILX10" s="97"/>
      <c r="ILY10" s="97"/>
      <c r="ILZ10" s="97"/>
      <c r="IMA10" s="97"/>
      <c r="IMB10" s="97"/>
      <c r="IMC10" s="97"/>
      <c r="IMD10" s="97"/>
      <c r="IME10" s="97"/>
      <c r="IMF10" s="97"/>
      <c r="IMG10" s="97"/>
      <c r="IMH10" s="97"/>
      <c r="IMI10" s="97"/>
      <c r="IMJ10" s="97"/>
      <c r="IMK10" s="97"/>
      <c r="IML10" s="97"/>
      <c r="IMM10" s="97"/>
      <c r="IMN10" s="97"/>
      <c r="IMO10" s="97"/>
      <c r="IMP10" s="97"/>
      <c r="IMQ10" s="97"/>
      <c r="IMR10" s="97"/>
      <c r="IMS10" s="97"/>
      <c r="IMT10" s="97"/>
      <c r="IMU10" s="97"/>
      <c r="IMV10" s="97"/>
      <c r="IMW10" s="97"/>
      <c r="IMX10" s="97"/>
      <c r="IMY10" s="97"/>
      <c r="IMZ10" s="97"/>
      <c r="INA10" s="97"/>
      <c r="INB10" s="97"/>
      <c r="INC10" s="97"/>
      <c r="IND10" s="97"/>
      <c r="INE10" s="97"/>
      <c r="INF10" s="97"/>
      <c r="ING10" s="97"/>
      <c r="INH10" s="97"/>
      <c r="INI10" s="97"/>
      <c r="INJ10" s="97"/>
      <c r="INK10" s="97"/>
      <c r="INL10" s="97"/>
      <c r="INM10" s="97"/>
      <c r="INN10" s="97"/>
      <c r="INO10" s="97"/>
      <c r="INP10" s="97"/>
      <c r="INQ10" s="97"/>
      <c r="INR10" s="97"/>
      <c r="INS10" s="97"/>
      <c r="INT10" s="97"/>
      <c r="INU10" s="97"/>
      <c r="INV10" s="97"/>
      <c r="INW10" s="97"/>
      <c r="INX10" s="97"/>
      <c r="INY10" s="97"/>
      <c r="INZ10" s="97"/>
      <c r="IOA10" s="97"/>
      <c r="IOB10" s="97"/>
      <c r="IOC10" s="97"/>
      <c r="IOD10" s="97"/>
      <c r="IOE10" s="97"/>
      <c r="IOF10" s="97"/>
      <c r="IOG10" s="97"/>
      <c r="IOH10" s="97"/>
      <c r="IOI10" s="97"/>
      <c r="IOJ10" s="97"/>
      <c r="IOK10" s="97"/>
      <c r="IOL10" s="97"/>
      <c r="IOM10" s="97"/>
      <c r="ION10" s="97"/>
      <c r="IOO10" s="97"/>
      <c r="IOP10" s="97"/>
      <c r="IOQ10" s="97"/>
      <c r="IOR10" s="97"/>
      <c r="IOS10" s="97"/>
      <c r="IOT10" s="97"/>
      <c r="IOU10" s="97"/>
      <c r="IOV10" s="97"/>
      <c r="IOW10" s="97"/>
      <c r="IOX10" s="97"/>
      <c r="IOY10" s="97"/>
      <c r="IOZ10" s="97"/>
      <c r="IPA10" s="97"/>
      <c r="IPB10" s="97"/>
      <c r="IPC10" s="97"/>
      <c r="IPD10" s="97"/>
      <c r="IPE10" s="97"/>
      <c r="IPF10" s="97"/>
      <c r="IPG10" s="97"/>
      <c r="IPH10" s="97"/>
      <c r="IPI10" s="97"/>
      <c r="IPJ10" s="97"/>
      <c r="IPK10" s="97"/>
      <c r="IPL10" s="97"/>
      <c r="IPM10" s="97"/>
      <c r="IPN10" s="97"/>
      <c r="IPO10" s="97"/>
      <c r="IPP10" s="97"/>
      <c r="IPQ10" s="97"/>
      <c r="IPR10" s="97"/>
      <c r="IPS10" s="97"/>
      <c r="IPT10" s="97"/>
      <c r="IPU10" s="97"/>
      <c r="IPV10" s="97"/>
      <c r="IPW10" s="97"/>
      <c r="IPX10" s="97"/>
      <c r="IPY10" s="97"/>
      <c r="IPZ10" s="97"/>
      <c r="IQA10" s="97"/>
      <c r="IQB10" s="97"/>
      <c r="IQC10" s="97"/>
      <c r="IQD10" s="97"/>
      <c r="IQE10" s="97"/>
      <c r="IQF10" s="97"/>
      <c r="IQG10" s="97"/>
      <c r="IQH10" s="97"/>
      <c r="IQI10" s="97"/>
      <c r="IQJ10" s="97"/>
      <c r="IQK10" s="97"/>
      <c r="IQL10" s="97"/>
      <c r="IQM10" s="97"/>
      <c r="IQN10" s="97"/>
      <c r="IQO10" s="97"/>
      <c r="IQP10" s="97"/>
      <c r="IQQ10" s="97"/>
      <c r="IQR10" s="97"/>
      <c r="IQS10" s="97"/>
      <c r="IQT10" s="97"/>
      <c r="IQU10" s="97"/>
      <c r="IQV10" s="97"/>
      <c r="IQW10" s="97"/>
      <c r="IQX10" s="97"/>
      <c r="IQY10" s="97"/>
      <c r="IQZ10" s="97"/>
      <c r="IRA10" s="97"/>
      <c r="IRB10" s="97"/>
      <c r="IRC10" s="97"/>
      <c r="IRD10" s="97"/>
      <c r="IRE10" s="97"/>
      <c r="IRF10" s="97"/>
      <c r="IRG10" s="97"/>
      <c r="IRH10" s="97"/>
      <c r="IRI10" s="97"/>
      <c r="IRJ10" s="97"/>
      <c r="IRK10" s="97"/>
      <c r="IRL10" s="97"/>
      <c r="IRM10" s="97"/>
      <c r="IRN10" s="97"/>
      <c r="IRO10" s="97"/>
      <c r="IRP10" s="97"/>
      <c r="IRQ10" s="97"/>
      <c r="IRR10" s="97"/>
      <c r="IRS10" s="97"/>
      <c r="IRT10" s="97"/>
      <c r="IRU10" s="97"/>
      <c r="IRV10" s="97"/>
      <c r="IRW10" s="97"/>
      <c r="IRX10" s="97"/>
      <c r="IRY10" s="97"/>
      <c r="IRZ10" s="97"/>
      <c r="ISA10" s="97"/>
      <c r="ISB10" s="97"/>
      <c r="ISC10" s="97"/>
      <c r="ISD10" s="97"/>
      <c r="ISE10" s="97"/>
      <c r="ISF10" s="97"/>
      <c r="ISG10" s="97"/>
      <c r="ISH10" s="97"/>
      <c r="ISI10" s="97"/>
      <c r="ISJ10" s="97"/>
      <c r="ISK10" s="97"/>
      <c r="ISL10" s="97"/>
      <c r="ISM10" s="97"/>
      <c r="ISN10" s="97"/>
      <c r="ISO10" s="97"/>
      <c r="ISP10" s="97"/>
      <c r="ISQ10" s="97"/>
      <c r="ISR10" s="97"/>
      <c r="ISS10" s="97"/>
      <c r="IST10" s="97"/>
      <c r="ISU10" s="97"/>
      <c r="ISV10" s="97"/>
      <c r="ISW10" s="97"/>
      <c r="ISX10" s="97"/>
      <c r="ISY10" s="97"/>
      <c r="ISZ10" s="97"/>
      <c r="ITA10" s="97"/>
      <c r="ITB10" s="97"/>
      <c r="ITC10" s="97"/>
      <c r="ITD10" s="97"/>
      <c r="ITE10" s="97"/>
      <c r="ITF10" s="97"/>
      <c r="ITG10" s="97"/>
      <c r="ITH10" s="97"/>
      <c r="ITI10" s="97"/>
      <c r="ITJ10" s="97"/>
      <c r="ITK10" s="97"/>
      <c r="ITL10" s="97"/>
      <c r="ITM10" s="97"/>
      <c r="ITN10" s="97"/>
      <c r="ITO10" s="97"/>
      <c r="ITP10" s="97"/>
      <c r="ITQ10" s="97"/>
      <c r="ITR10" s="97"/>
      <c r="ITS10" s="97"/>
      <c r="ITT10" s="97"/>
      <c r="ITU10" s="97"/>
      <c r="ITV10" s="97"/>
      <c r="ITW10" s="97"/>
      <c r="ITX10" s="97"/>
      <c r="ITY10" s="97"/>
      <c r="ITZ10" s="97"/>
      <c r="IUA10" s="97"/>
      <c r="IUB10" s="97"/>
      <c r="IUC10" s="97"/>
      <c r="IUD10" s="97"/>
      <c r="IUE10" s="97"/>
      <c r="IUF10" s="97"/>
      <c r="IUG10" s="97"/>
      <c r="IUH10" s="97"/>
      <c r="IUI10" s="97"/>
      <c r="IUJ10" s="97"/>
      <c r="IUK10" s="97"/>
      <c r="IUL10" s="97"/>
      <c r="IUM10" s="97"/>
      <c r="IUN10" s="97"/>
      <c r="IUO10" s="97"/>
      <c r="IUP10" s="97"/>
      <c r="IUQ10" s="97"/>
      <c r="IUR10" s="97"/>
      <c r="IUS10" s="97"/>
      <c r="IUT10" s="97"/>
      <c r="IUU10" s="97"/>
      <c r="IUV10" s="97"/>
      <c r="IUW10" s="97"/>
      <c r="IUX10" s="97"/>
      <c r="IUY10" s="97"/>
      <c r="IUZ10" s="97"/>
      <c r="IVA10" s="97"/>
      <c r="IVB10" s="97"/>
      <c r="IVC10" s="97"/>
      <c r="IVD10" s="97"/>
      <c r="IVE10" s="97"/>
      <c r="IVF10" s="97"/>
      <c r="IVG10" s="97"/>
      <c r="IVH10" s="97"/>
      <c r="IVI10" s="97"/>
      <c r="IVJ10" s="97"/>
      <c r="IVK10" s="97"/>
      <c r="IVL10" s="97"/>
      <c r="IVM10" s="97"/>
      <c r="IVN10" s="97"/>
      <c r="IVO10" s="97"/>
      <c r="IVP10" s="97"/>
      <c r="IVQ10" s="97"/>
      <c r="IVR10" s="97"/>
      <c r="IVS10" s="97"/>
      <c r="IVT10" s="97"/>
      <c r="IVU10" s="97"/>
      <c r="IVV10" s="97"/>
      <c r="IVW10" s="97"/>
      <c r="IVX10" s="97"/>
      <c r="IVY10" s="97"/>
      <c r="IVZ10" s="97"/>
      <c r="IWA10" s="97"/>
      <c r="IWB10" s="97"/>
      <c r="IWC10" s="97"/>
      <c r="IWD10" s="97"/>
      <c r="IWE10" s="97"/>
      <c r="IWF10" s="97"/>
      <c r="IWG10" s="97"/>
      <c r="IWH10" s="97"/>
      <c r="IWI10" s="97"/>
      <c r="IWJ10" s="97"/>
      <c r="IWK10" s="97"/>
      <c r="IWL10" s="97"/>
      <c r="IWM10" s="97"/>
      <c r="IWN10" s="97"/>
      <c r="IWO10" s="97"/>
      <c r="IWP10" s="97"/>
      <c r="IWQ10" s="97"/>
      <c r="IWR10" s="97"/>
      <c r="IWS10" s="97"/>
      <c r="IWT10" s="97"/>
      <c r="IWU10" s="97"/>
      <c r="IWV10" s="97"/>
      <c r="IWW10" s="97"/>
      <c r="IWX10" s="97"/>
      <c r="IWY10" s="97"/>
      <c r="IWZ10" s="97"/>
      <c r="IXA10" s="97"/>
      <c r="IXB10" s="97"/>
      <c r="IXC10" s="97"/>
      <c r="IXD10" s="97"/>
      <c r="IXE10" s="97"/>
      <c r="IXF10" s="97"/>
      <c r="IXG10" s="97"/>
      <c r="IXH10" s="97"/>
      <c r="IXI10" s="97"/>
      <c r="IXJ10" s="97"/>
      <c r="IXK10" s="97"/>
      <c r="IXL10" s="97"/>
      <c r="IXM10" s="97"/>
      <c r="IXN10" s="97"/>
      <c r="IXO10" s="97"/>
      <c r="IXP10" s="97"/>
      <c r="IXQ10" s="97"/>
      <c r="IXR10" s="97"/>
      <c r="IXS10" s="97"/>
      <c r="IXT10" s="97"/>
      <c r="IXU10" s="97"/>
      <c r="IXV10" s="97"/>
      <c r="IXW10" s="97"/>
      <c r="IXX10" s="97"/>
      <c r="IXY10" s="97"/>
      <c r="IXZ10" s="97"/>
      <c r="IYA10" s="97"/>
      <c r="IYB10" s="97"/>
      <c r="IYC10" s="97"/>
      <c r="IYD10" s="97"/>
      <c r="IYE10" s="97"/>
      <c r="IYF10" s="97"/>
      <c r="IYG10" s="97"/>
      <c r="IYH10" s="97"/>
      <c r="IYI10" s="97"/>
      <c r="IYJ10" s="97"/>
      <c r="IYK10" s="97"/>
      <c r="IYL10" s="97"/>
      <c r="IYM10" s="97"/>
      <c r="IYN10" s="97"/>
      <c r="IYO10" s="97"/>
      <c r="IYP10" s="97"/>
      <c r="IYQ10" s="97"/>
      <c r="IYR10" s="97"/>
      <c r="IYS10" s="97"/>
      <c r="IYT10" s="97"/>
      <c r="IYU10" s="97"/>
      <c r="IYV10" s="97"/>
      <c r="IYW10" s="97"/>
      <c r="IYX10" s="97"/>
      <c r="IYY10" s="97"/>
      <c r="IYZ10" s="97"/>
      <c r="IZA10" s="97"/>
      <c r="IZB10" s="97"/>
      <c r="IZC10" s="97"/>
      <c r="IZD10" s="97"/>
      <c r="IZE10" s="97"/>
      <c r="IZF10" s="97"/>
      <c r="IZG10" s="97"/>
      <c r="IZH10" s="97"/>
      <c r="IZI10" s="97"/>
      <c r="IZJ10" s="97"/>
      <c r="IZK10" s="97"/>
      <c r="IZL10" s="97"/>
      <c r="IZM10" s="97"/>
      <c r="IZN10" s="97"/>
      <c r="IZO10" s="97"/>
      <c r="IZP10" s="97"/>
      <c r="IZQ10" s="97"/>
      <c r="IZR10" s="97"/>
      <c r="IZS10" s="97"/>
      <c r="IZT10" s="97"/>
      <c r="IZU10" s="97"/>
      <c r="IZV10" s="97"/>
      <c r="IZW10" s="97"/>
      <c r="IZX10" s="97"/>
      <c r="IZY10" s="97"/>
      <c r="IZZ10" s="97"/>
      <c r="JAA10" s="97"/>
      <c r="JAB10" s="97"/>
      <c r="JAC10" s="97"/>
      <c r="JAD10" s="97"/>
      <c r="JAE10" s="97"/>
      <c r="JAF10" s="97"/>
      <c r="JAG10" s="97"/>
      <c r="JAH10" s="97"/>
      <c r="JAI10" s="97"/>
      <c r="JAJ10" s="97"/>
      <c r="JAK10" s="97"/>
      <c r="JAL10" s="97"/>
      <c r="JAM10" s="97"/>
      <c r="JAN10" s="97"/>
      <c r="JAO10" s="97"/>
      <c r="JAP10" s="97"/>
      <c r="JAQ10" s="97"/>
      <c r="JAR10" s="97"/>
      <c r="JAS10" s="97"/>
      <c r="JAT10" s="97"/>
      <c r="JAU10" s="97"/>
      <c r="JAV10" s="97"/>
      <c r="JAW10" s="97"/>
      <c r="JAX10" s="97"/>
      <c r="JAY10" s="97"/>
      <c r="JAZ10" s="97"/>
      <c r="JBA10" s="97"/>
      <c r="JBB10" s="97"/>
      <c r="JBC10" s="97"/>
      <c r="JBD10" s="97"/>
      <c r="JBE10" s="97"/>
      <c r="JBF10" s="97"/>
      <c r="JBG10" s="97"/>
      <c r="JBH10" s="97"/>
      <c r="JBI10" s="97"/>
      <c r="JBJ10" s="97"/>
      <c r="JBK10" s="97"/>
      <c r="JBL10" s="97"/>
      <c r="JBM10" s="97"/>
      <c r="JBN10" s="97"/>
      <c r="JBO10" s="97"/>
      <c r="JBP10" s="97"/>
      <c r="JBQ10" s="97"/>
      <c r="JBR10" s="97"/>
      <c r="JBS10" s="97"/>
      <c r="JBT10" s="97"/>
      <c r="JBU10" s="97"/>
      <c r="JBV10" s="97"/>
      <c r="JBW10" s="97"/>
      <c r="JBX10" s="97"/>
      <c r="JBY10" s="97"/>
      <c r="JBZ10" s="97"/>
      <c r="JCA10" s="97"/>
      <c r="JCB10" s="97"/>
      <c r="JCC10" s="97"/>
      <c r="JCD10" s="97"/>
      <c r="JCE10" s="97"/>
      <c r="JCF10" s="97"/>
      <c r="JCG10" s="97"/>
      <c r="JCH10" s="97"/>
      <c r="JCI10" s="97"/>
      <c r="JCJ10" s="97"/>
      <c r="JCK10" s="97"/>
      <c r="JCL10" s="97"/>
      <c r="JCM10" s="97"/>
      <c r="JCN10" s="97"/>
      <c r="JCO10" s="97"/>
      <c r="JCP10" s="97"/>
      <c r="JCQ10" s="97"/>
      <c r="JCR10" s="97"/>
      <c r="JCS10" s="97"/>
      <c r="JCT10" s="97"/>
      <c r="JCU10" s="97"/>
      <c r="JCV10" s="97"/>
      <c r="JCW10" s="97"/>
      <c r="JCX10" s="97"/>
      <c r="JCY10" s="97"/>
      <c r="JCZ10" s="97"/>
      <c r="JDA10" s="97"/>
      <c r="JDB10" s="97"/>
      <c r="JDC10" s="97"/>
      <c r="JDD10" s="97"/>
      <c r="JDE10" s="97"/>
      <c r="JDF10" s="97"/>
      <c r="JDG10" s="97"/>
      <c r="JDH10" s="97"/>
      <c r="JDI10" s="97"/>
      <c r="JDJ10" s="97"/>
      <c r="JDK10" s="97"/>
      <c r="JDL10" s="97"/>
      <c r="JDM10" s="97"/>
      <c r="JDN10" s="97"/>
      <c r="JDO10" s="97"/>
      <c r="JDP10" s="97"/>
      <c r="JDQ10" s="97"/>
      <c r="JDR10" s="97"/>
      <c r="JDS10" s="97"/>
      <c r="JDT10" s="97"/>
      <c r="JDU10" s="97"/>
      <c r="JDV10" s="97"/>
      <c r="JDW10" s="97"/>
      <c r="JDX10" s="97"/>
      <c r="JDY10" s="97"/>
      <c r="JDZ10" s="97"/>
      <c r="JEA10" s="97"/>
      <c r="JEB10" s="97"/>
      <c r="JEC10" s="97"/>
      <c r="JED10" s="97"/>
      <c r="JEE10" s="97"/>
      <c r="JEF10" s="97"/>
      <c r="JEG10" s="97"/>
      <c r="JEH10" s="97"/>
      <c r="JEI10" s="97"/>
      <c r="JEJ10" s="97"/>
      <c r="JEK10" s="97"/>
      <c r="JEL10" s="97"/>
      <c r="JEM10" s="97"/>
      <c r="JEN10" s="97"/>
      <c r="JEO10" s="97"/>
      <c r="JEP10" s="97"/>
      <c r="JEQ10" s="97"/>
      <c r="JER10" s="97"/>
      <c r="JES10" s="97"/>
      <c r="JET10" s="97"/>
      <c r="JEU10" s="97"/>
      <c r="JEV10" s="97"/>
      <c r="JEW10" s="97"/>
      <c r="JEX10" s="97"/>
      <c r="JEY10" s="97"/>
      <c r="JEZ10" s="97"/>
      <c r="JFA10" s="97"/>
      <c r="JFB10" s="97"/>
      <c r="JFC10" s="97"/>
      <c r="JFD10" s="97"/>
      <c r="JFE10" s="97"/>
      <c r="JFF10" s="97"/>
      <c r="JFG10" s="97"/>
      <c r="JFH10" s="97"/>
      <c r="JFI10" s="97"/>
      <c r="JFJ10" s="97"/>
      <c r="JFK10" s="97"/>
      <c r="JFL10" s="97"/>
      <c r="JFM10" s="97"/>
      <c r="JFN10" s="97"/>
      <c r="JFO10" s="97"/>
      <c r="JFP10" s="97"/>
      <c r="JFQ10" s="97"/>
      <c r="JFR10" s="97"/>
      <c r="JFS10" s="97"/>
      <c r="JFT10" s="97"/>
      <c r="JFU10" s="97"/>
      <c r="JFV10" s="97"/>
      <c r="JFW10" s="97"/>
      <c r="JFX10" s="97"/>
      <c r="JFY10" s="97"/>
      <c r="JFZ10" s="97"/>
      <c r="JGA10" s="97"/>
      <c r="JGB10" s="97"/>
      <c r="JGC10" s="97"/>
      <c r="JGD10" s="97"/>
      <c r="JGE10" s="97"/>
      <c r="JGF10" s="97"/>
      <c r="JGG10" s="97"/>
      <c r="JGH10" s="97"/>
      <c r="JGI10" s="97"/>
      <c r="JGJ10" s="97"/>
      <c r="JGK10" s="97"/>
      <c r="JGL10" s="97"/>
      <c r="JGM10" s="97"/>
      <c r="JGN10" s="97"/>
      <c r="JGO10" s="97"/>
      <c r="JGP10" s="97"/>
      <c r="JGQ10" s="97"/>
      <c r="JGR10" s="97"/>
      <c r="JGS10" s="97"/>
      <c r="JGT10" s="97"/>
      <c r="JGU10" s="97"/>
      <c r="JGV10" s="97"/>
      <c r="JGW10" s="97"/>
      <c r="JGX10" s="97"/>
      <c r="JGY10" s="97"/>
      <c r="JGZ10" s="97"/>
      <c r="JHA10" s="97"/>
      <c r="JHB10" s="97"/>
      <c r="JHC10" s="97"/>
      <c r="JHD10" s="97"/>
      <c r="JHE10" s="97"/>
      <c r="JHF10" s="97"/>
      <c r="JHG10" s="97"/>
      <c r="JHH10" s="97"/>
      <c r="JHI10" s="97"/>
      <c r="JHJ10" s="97"/>
      <c r="JHK10" s="97"/>
      <c r="JHL10" s="97"/>
      <c r="JHM10" s="97"/>
      <c r="JHN10" s="97"/>
      <c r="JHO10" s="97"/>
      <c r="JHP10" s="97"/>
      <c r="JHQ10" s="97"/>
      <c r="JHR10" s="97"/>
      <c r="JHS10" s="97"/>
      <c r="JHT10" s="97"/>
      <c r="JHU10" s="97"/>
      <c r="JHV10" s="97"/>
      <c r="JHW10" s="97"/>
      <c r="JHX10" s="97"/>
      <c r="JHY10" s="97"/>
      <c r="JHZ10" s="97"/>
      <c r="JIA10" s="97"/>
      <c r="JIB10" s="97"/>
      <c r="JIC10" s="97"/>
      <c r="JID10" s="97"/>
      <c r="JIE10" s="97"/>
      <c r="JIF10" s="97"/>
      <c r="JIG10" s="97"/>
      <c r="JIH10" s="97"/>
      <c r="JII10" s="97"/>
      <c r="JIJ10" s="97"/>
      <c r="JIK10" s="97"/>
      <c r="JIL10" s="97"/>
      <c r="JIM10" s="97"/>
      <c r="JIN10" s="97"/>
      <c r="JIO10" s="97"/>
      <c r="JIP10" s="97"/>
      <c r="JIQ10" s="97"/>
      <c r="JIR10" s="97"/>
      <c r="JIS10" s="97"/>
      <c r="JIT10" s="97"/>
      <c r="JIU10" s="97"/>
      <c r="JIV10" s="97"/>
      <c r="JIW10" s="97"/>
      <c r="JIX10" s="97"/>
      <c r="JIY10" s="97"/>
      <c r="JIZ10" s="97"/>
      <c r="JJA10" s="97"/>
      <c r="JJB10" s="97"/>
      <c r="JJC10" s="97"/>
      <c r="JJD10" s="97"/>
      <c r="JJE10" s="97"/>
      <c r="JJF10" s="97"/>
      <c r="JJG10" s="97"/>
      <c r="JJH10" s="97"/>
      <c r="JJI10" s="97"/>
      <c r="JJJ10" s="97"/>
      <c r="JJK10" s="97"/>
      <c r="JJL10" s="97"/>
      <c r="JJM10" s="97"/>
      <c r="JJN10" s="97"/>
      <c r="JJO10" s="97"/>
      <c r="JJP10" s="97"/>
      <c r="JJQ10" s="97"/>
      <c r="JJR10" s="97"/>
      <c r="JJS10" s="97"/>
      <c r="JJT10" s="97"/>
      <c r="JJU10" s="97"/>
      <c r="JJV10" s="97"/>
      <c r="JJW10" s="97"/>
      <c r="JJX10" s="97"/>
      <c r="JJY10" s="97"/>
      <c r="JJZ10" s="97"/>
      <c r="JKA10" s="97"/>
      <c r="JKB10" s="97"/>
      <c r="JKC10" s="97"/>
      <c r="JKD10" s="97"/>
      <c r="JKE10" s="97"/>
      <c r="JKF10" s="97"/>
      <c r="JKG10" s="97"/>
      <c r="JKH10" s="97"/>
      <c r="JKI10" s="97"/>
      <c r="JKJ10" s="97"/>
      <c r="JKK10" s="97"/>
      <c r="JKL10" s="97"/>
      <c r="JKM10" s="97"/>
      <c r="JKN10" s="97"/>
      <c r="JKO10" s="97"/>
      <c r="JKP10" s="97"/>
      <c r="JKQ10" s="97"/>
      <c r="JKR10" s="97"/>
      <c r="JKS10" s="97"/>
      <c r="JKT10" s="97"/>
      <c r="JKU10" s="97"/>
      <c r="JKV10" s="97"/>
      <c r="JKW10" s="97"/>
      <c r="JKX10" s="97"/>
      <c r="JKY10" s="97"/>
      <c r="JKZ10" s="97"/>
      <c r="JLA10" s="97"/>
      <c r="JLB10" s="97"/>
      <c r="JLC10" s="97"/>
      <c r="JLD10" s="97"/>
      <c r="JLE10" s="97"/>
      <c r="JLF10" s="97"/>
      <c r="JLG10" s="97"/>
      <c r="JLH10" s="97"/>
      <c r="JLI10" s="97"/>
      <c r="JLJ10" s="97"/>
      <c r="JLK10" s="97"/>
      <c r="JLL10" s="97"/>
      <c r="JLM10" s="97"/>
      <c r="JLN10" s="97"/>
      <c r="JLO10" s="97"/>
      <c r="JLP10" s="97"/>
      <c r="JLQ10" s="97"/>
      <c r="JLR10" s="97"/>
      <c r="JLS10" s="97"/>
      <c r="JLT10" s="97"/>
      <c r="JLU10" s="97"/>
      <c r="JLV10" s="97"/>
      <c r="JLW10" s="97"/>
      <c r="JLX10" s="97"/>
      <c r="JLY10" s="97"/>
      <c r="JLZ10" s="97"/>
      <c r="JMA10" s="97"/>
      <c r="JMB10" s="97"/>
      <c r="JMC10" s="97"/>
      <c r="JMD10" s="97"/>
      <c r="JME10" s="97"/>
      <c r="JMF10" s="97"/>
      <c r="JMG10" s="97"/>
      <c r="JMH10" s="97"/>
      <c r="JMI10" s="97"/>
      <c r="JMJ10" s="97"/>
      <c r="JMK10" s="97"/>
      <c r="JML10" s="97"/>
      <c r="JMM10" s="97"/>
      <c r="JMN10" s="97"/>
      <c r="JMO10" s="97"/>
      <c r="JMP10" s="97"/>
      <c r="JMQ10" s="97"/>
      <c r="JMR10" s="97"/>
      <c r="JMS10" s="97"/>
      <c r="JMT10" s="97"/>
      <c r="JMU10" s="97"/>
      <c r="JMV10" s="97"/>
      <c r="JMW10" s="97"/>
      <c r="JMX10" s="97"/>
      <c r="JMY10" s="97"/>
      <c r="JMZ10" s="97"/>
      <c r="JNA10" s="97"/>
      <c r="JNB10" s="97"/>
      <c r="JNC10" s="97"/>
      <c r="JND10" s="97"/>
      <c r="JNE10" s="97"/>
      <c r="JNF10" s="97"/>
      <c r="JNG10" s="97"/>
      <c r="JNH10" s="97"/>
      <c r="JNI10" s="97"/>
      <c r="JNJ10" s="97"/>
      <c r="JNK10" s="97"/>
      <c r="JNL10" s="97"/>
      <c r="JNM10" s="97"/>
      <c r="JNN10" s="97"/>
      <c r="JNO10" s="97"/>
      <c r="JNP10" s="97"/>
      <c r="JNQ10" s="97"/>
      <c r="JNR10" s="97"/>
      <c r="JNS10" s="97"/>
      <c r="JNT10" s="97"/>
      <c r="JNU10" s="97"/>
      <c r="JNV10" s="97"/>
      <c r="JNW10" s="97"/>
      <c r="JNX10" s="97"/>
      <c r="JNY10" s="97"/>
      <c r="JNZ10" s="97"/>
      <c r="JOA10" s="97"/>
      <c r="JOB10" s="97"/>
      <c r="JOC10" s="97"/>
      <c r="JOD10" s="97"/>
      <c r="JOE10" s="97"/>
      <c r="JOF10" s="97"/>
      <c r="JOG10" s="97"/>
      <c r="JOH10" s="97"/>
      <c r="JOI10" s="97"/>
      <c r="JOJ10" s="97"/>
      <c r="JOK10" s="97"/>
      <c r="JOL10" s="97"/>
      <c r="JOM10" s="97"/>
      <c r="JON10" s="97"/>
      <c r="JOO10" s="97"/>
      <c r="JOP10" s="97"/>
      <c r="JOQ10" s="97"/>
      <c r="JOR10" s="97"/>
      <c r="JOS10" s="97"/>
      <c r="JOT10" s="97"/>
      <c r="JOU10" s="97"/>
      <c r="JOV10" s="97"/>
      <c r="JOW10" s="97"/>
      <c r="JOX10" s="97"/>
      <c r="JOY10" s="97"/>
      <c r="JOZ10" s="97"/>
      <c r="JPA10" s="97"/>
      <c r="JPB10" s="97"/>
      <c r="JPC10" s="97"/>
      <c r="JPD10" s="97"/>
      <c r="JPE10" s="97"/>
      <c r="JPF10" s="97"/>
      <c r="JPG10" s="97"/>
      <c r="JPH10" s="97"/>
      <c r="JPI10" s="97"/>
      <c r="JPJ10" s="97"/>
      <c r="JPK10" s="97"/>
      <c r="JPL10" s="97"/>
      <c r="JPM10" s="97"/>
      <c r="JPN10" s="97"/>
      <c r="JPO10" s="97"/>
      <c r="JPP10" s="97"/>
      <c r="JPQ10" s="97"/>
      <c r="JPR10" s="97"/>
      <c r="JPS10" s="97"/>
      <c r="JPT10" s="97"/>
      <c r="JPU10" s="97"/>
      <c r="JPV10" s="97"/>
      <c r="JPW10" s="97"/>
      <c r="JPX10" s="97"/>
      <c r="JPY10" s="97"/>
      <c r="JPZ10" s="97"/>
      <c r="JQA10" s="97"/>
      <c r="JQB10" s="97"/>
      <c r="JQC10" s="97"/>
      <c r="JQD10" s="97"/>
      <c r="JQE10" s="97"/>
      <c r="JQF10" s="97"/>
      <c r="JQG10" s="97"/>
      <c r="JQH10" s="97"/>
      <c r="JQI10" s="97"/>
      <c r="JQJ10" s="97"/>
      <c r="JQK10" s="97"/>
      <c r="JQL10" s="97"/>
      <c r="JQM10" s="97"/>
      <c r="JQN10" s="97"/>
      <c r="JQO10" s="97"/>
      <c r="JQP10" s="97"/>
      <c r="JQQ10" s="97"/>
      <c r="JQR10" s="97"/>
      <c r="JQS10" s="97"/>
      <c r="JQT10" s="97"/>
      <c r="JQU10" s="97"/>
      <c r="JQV10" s="97"/>
      <c r="JQW10" s="97"/>
      <c r="JQX10" s="97"/>
      <c r="JQY10" s="97"/>
      <c r="JQZ10" s="97"/>
      <c r="JRA10" s="97"/>
      <c r="JRB10" s="97"/>
      <c r="JRC10" s="97"/>
      <c r="JRD10" s="97"/>
      <c r="JRE10" s="97"/>
      <c r="JRF10" s="97"/>
      <c r="JRG10" s="97"/>
      <c r="JRH10" s="97"/>
      <c r="JRI10" s="97"/>
      <c r="JRJ10" s="97"/>
      <c r="JRK10" s="97"/>
      <c r="JRL10" s="97"/>
      <c r="JRM10" s="97"/>
      <c r="JRN10" s="97"/>
      <c r="JRO10" s="97"/>
      <c r="JRP10" s="97"/>
      <c r="JRQ10" s="97"/>
      <c r="JRR10" s="97"/>
      <c r="JRS10" s="97"/>
      <c r="JRT10" s="97"/>
      <c r="JRU10" s="97"/>
      <c r="JRV10" s="97"/>
      <c r="JRW10" s="97"/>
      <c r="JRX10" s="97"/>
      <c r="JRY10" s="97"/>
      <c r="JRZ10" s="97"/>
      <c r="JSA10" s="97"/>
      <c r="JSB10" s="97"/>
      <c r="JSC10" s="97"/>
      <c r="JSD10" s="97"/>
      <c r="JSE10" s="97"/>
      <c r="JSF10" s="97"/>
      <c r="JSG10" s="97"/>
      <c r="JSH10" s="97"/>
      <c r="JSI10" s="97"/>
      <c r="JSJ10" s="97"/>
      <c r="JSK10" s="97"/>
      <c r="JSL10" s="97"/>
      <c r="JSM10" s="97"/>
      <c r="JSN10" s="97"/>
      <c r="JSO10" s="97"/>
      <c r="JSP10" s="97"/>
      <c r="JSQ10" s="97"/>
      <c r="JSR10" s="97"/>
      <c r="JSS10" s="97"/>
      <c r="JST10" s="97"/>
      <c r="JSU10" s="97"/>
      <c r="JSV10" s="97"/>
      <c r="JSW10" s="97"/>
      <c r="JSX10" s="97"/>
      <c r="JSY10" s="97"/>
      <c r="JSZ10" s="97"/>
      <c r="JTA10" s="97"/>
      <c r="JTB10" s="97"/>
      <c r="JTC10" s="97"/>
      <c r="JTD10" s="97"/>
      <c r="JTE10" s="97"/>
      <c r="JTF10" s="97"/>
      <c r="JTG10" s="97"/>
      <c r="JTH10" s="97"/>
      <c r="JTI10" s="97"/>
      <c r="JTJ10" s="97"/>
      <c r="JTK10" s="97"/>
      <c r="JTL10" s="97"/>
      <c r="JTM10" s="97"/>
      <c r="JTN10" s="97"/>
      <c r="JTO10" s="97"/>
      <c r="JTP10" s="97"/>
      <c r="JTQ10" s="97"/>
      <c r="JTR10" s="97"/>
      <c r="JTS10" s="97"/>
      <c r="JTT10" s="97"/>
      <c r="JTU10" s="97"/>
      <c r="JTV10" s="97"/>
      <c r="JTW10" s="97"/>
      <c r="JTX10" s="97"/>
      <c r="JTY10" s="97"/>
      <c r="JTZ10" s="97"/>
      <c r="JUA10" s="97"/>
      <c r="JUB10" s="97"/>
      <c r="JUC10" s="97"/>
      <c r="JUD10" s="97"/>
      <c r="JUE10" s="97"/>
      <c r="JUF10" s="97"/>
      <c r="JUG10" s="97"/>
      <c r="JUH10" s="97"/>
      <c r="JUI10" s="97"/>
      <c r="JUJ10" s="97"/>
      <c r="JUK10" s="97"/>
      <c r="JUL10" s="97"/>
      <c r="JUM10" s="97"/>
      <c r="JUN10" s="97"/>
      <c r="JUO10" s="97"/>
      <c r="JUP10" s="97"/>
      <c r="JUQ10" s="97"/>
      <c r="JUR10" s="97"/>
      <c r="JUS10" s="97"/>
      <c r="JUT10" s="97"/>
      <c r="JUU10" s="97"/>
      <c r="JUV10" s="97"/>
      <c r="JUW10" s="97"/>
      <c r="JUX10" s="97"/>
      <c r="JUY10" s="97"/>
      <c r="JUZ10" s="97"/>
      <c r="JVA10" s="97"/>
      <c r="JVB10" s="97"/>
      <c r="JVC10" s="97"/>
      <c r="JVD10" s="97"/>
      <c r="JVE10" s="97"/>
      <c r="JVF10" s="97"/>
      <c r="JVG10" s="97"/>
      <c r="JVH10" s="97"/>
      <c r="JVI10" s="97"/>
      <c r="JVJ10" s="97"/>
      <c r="JVK10" s="97"/>
      <c r="JVL10" s="97"/>
      <c r="JVM10" s="97"/>
      <c r="JVN10" s="97"/>
      <c r="JVO10" s="97"/>
      <c r="JVP10" s="97"/>
      <c r="JVQ10" s="97"/>
      <c r="JVR10" s="97"/>
      <c r="JVS10" s="97"/>
      <c r="JVT10" s="97"/>
      <c r="JVU10" s="97"/>
      <c r="JVV10" s="97"/>
      <c r="JVW10" s="97"/>
      <c r="JVX10" s="97"/>
      <c r="JVY10" s="97"/>
      <c r="JVZ10" s="97"/>
      <c r="JWA10" s="97"/>
      <c r="JWB10" s="97"/>
      <c r="JWC10" s="97"/>
      <c r="JWD10" s="97"/>
      <c r="JWE10" s="97"/>
      <c r="JWF10" s="97"/>
      <c r="JWG10" s="97"/>
      <c r="JWH10" s="97"/>
      <c r="JWI10" s="97"/>
      <c r="JWJ10" s="97"/>
      <c r="JWK10" s="97"/>
      <c r="JWL10" s="97"/>
      <c r="JWM10" s="97"/>
      <c r="JWN10" s="97"/>
      <c r="JWO10" s="97"/>
      <c r="JWP10" s="97"/>
      <c r="JWQ10" s="97"/>
      <c r="JWR10" s="97"/>
      <c r="JWS10" s="97"/>
      <c r="JWT10" s="97"/>
      <c r="JWU10" s="97"/>
      <c r="JWV10" s="97"/>
      <c r="JWW10" s="97"/>
      <c r="JWX10" s="97"/>
      <c r="JWY10" s="97"/>
      <c r="JWZ10" s="97"/>
      <c r="JXA10" s="97"/>
      <c r="JXB10" s="97"/>
      <c r="JXC10" s="97"/>
      <c r="JXD10" s="97"/>
      <c r="JXE10" s="97"/>
      <c r="JXF10" s="97"/>
      <c r="JXG10" s="97"/>
      <c r="JXH10" s="97"/>
      <c r="JXI10" s="97"/>
      <c r="JXJ10" s="97"/>
      <c r="JXK10" s="97"/>
      <c r="JXL10" s="97"/>
      <c r="JXM10" s="97"/>
      <c r="JXN10" s="97"/>
      <c r="JXO10" s="97"/>
      <c r="JXP10" s="97"/>
      <c r="JXQ10" s="97"/>
      <c r="JXR10" s="97"/>
      <c r="JXS10" s="97"/>
      <c r="JXT10" s="97"/>
      <c r="JXU10" s="97"/>
      <c r="JXV10" s="97"/>
      <c r="JXW10" s="97"/>
      <c r="JXX10" s="97"/>
      <c r="JXY10" s="97"/>
      <c r="JXZ10" s="97"/>
      <c r="JYA10" s="97"/>
      <c r="JYB10" s="97"/>
      <c r="JYC10" s="97"/>
      <c r="JYD10" s="97"/>
      <c r="JYE10" s="97"/>
      <c r="JYF10" s="97"/>
      <c r="JYG10" s="97"/>
      <c r="JYH10" s="97"/>
      <c r="JYI10" s="97"/>
      <c r="JYJ10" s="97"/>
      <c r="JYK10" s="97"/>
      <c r="JYL10" s="97"/>
      <c r="JYM10" s="97"/>
      <c r="JYN10" s="97"/>
      <c r="JYO10" s="97"/>
      <c r="JYP10" s="97"/>
      <c r="JYQ10" s="97"/>
      <c r="JYR10" s="97"/>
      <c r="JYS10" s="97"/>
      <c r="JYT10" s="97"/>
      <c r="JYU10" s="97"/>
      <c r="JYV10" s="97"/>
      <c r="JYW10" s="97"/>
      <c r="JYX10" s="97"/>
      <c r="JYY10" s="97"/>
      <c r="JYZ10" s="97"/>
      <c r="JZA10" s="97"/>
      <c r="JZB10" s="97"/>
      <c r="JZC10" s="97"/>
      <c r="JZD10" s="97"/>
      <c r="JZE10" s="97"/>
      <c r="JZF10" s="97"/>
      <c r="JZG10" s="97"/>
      <c r="JZH10" s="97"/>
      <c r="JZI10" s="97"/>
      <c r="JZJ10" s="97"/>
      <c r="JZK10" s="97"/>
      <c r="JZL10" s="97"/>
      <c r="JZM10" s="97"/>
      <c r="JZN10" s="97"/>
      <c r="JZO10" s="97"/>
      <c r="JZP10" s="97"/>
      <c r="JZQ10" s="97"/>
      <c r="JZR10" s="97"/>
      <c r="JZS10" s="97"/>
      <c r="JZT10" s="97"/>
      <c r="JZU10" s="97"/>
      <c r="JZV10" s="97"/>
      <c r="JZW10" s="97"/>
      <c r="JZX10" s="97"/>
      <c r="JZY10" s="97"/>
      <c r="JZZ10" s="97"/>
      <c r="KAA10" s="97"/>
      <c r="KAB10" s="97"/>
      <c r="KAC10" s="97"/>
      <c r="KAD10" s="97"/>
      <c r="KAE10" s="97"/>
      <c r="KAF10" s="97"/>
      <c r="KAG10" s="97"/>
      <c r="KAH10" s="97"/>
      <c r="KAI10" s="97"/>
      <c r="KAJ10" s="97"/>
      <c r="KAK10" s="97"/>
      <c r="KAL10" s="97"/>
      <c r="KAM10" s="97"/>
      <c r="KAN10" s="97"/>
      <c r="KAO10" s="97"/>
      <c r="KAP10" s="97"/>
      <c r="KAQ10" s="97"/>
      <c r="KAR10" s="97"/>
      <c r="KAS10" s="97"/>
      <c r="KAT10" s="97"/>
      <c r="KAU10" s="97"/>
      <c r="KAV10" s="97"/>
      <c r="KAW10" s="97"/>
      <c r="KAX10" s="97"/>
      <c r="KAY10" s="97"/>
      <c r="KAZ10" s="97"/>
      <c r="KBA10" s="97"/>
      <c r="KBB10" s="97"/>
      <c r="KBC10" s="97"/>
      <c r="KBD10" s="97"/>
      <c r="KBE10" s="97"/>
      <c r="KBF10" s="97"/>
      <c r="KBG10" s="97"/>
      <c r="KBH10" s="97"/>
      <c r="KBI10" s="97"/>
      <c r="KBJ10" s="97"/>
      <c r="KBK10" s="97"/>
      <c r="KBL10" s="97"/>
      <c r="KBM10" s="97"/>
      <c r="KBN10" s="97"/>
      <c r="KBO10" s="97"/>
      <c r="KBP10" s="97"/>
      <c r="KBQ10" s="97"/>
      <c r="KBR10" s="97"/>
      <c r="KBS10" s="97"/>
      <c r="KBT10" s="97"/>
      <c r="KBU10" s="97"/>
      <c r="KBV10" s="97"/>
      <c r="KBW10" s="97"/>
      <c r="KBX10" s="97"/>
      <c r="KBY10" s="97"/>
      <c r="KBZ10" s="97"/>
      <c r="KCA10" s="97"/>
      <c r="KCB10" s="97"/>
      <c r="KCC10" s="97"/>
      <c r="KCD10" s="97"/>
      <c r="KCE10" s="97"/>
      <c r="KCF10" s="97"/>
      <c r="KCG10" s="97"/>
      <c r="KCH10" s="97"/>
      <c r="KCI10" s="97"/>
      <c r="KCJ10" s="97"/>
      <c r="KCK10" s="97"/>
      <c r="KCL10" s="97"/>
      <c r="KCM10" s="97"/>
      <c r="KCN10" s="97"/>
      <c r="KCO10" s="97"/>
      <c r="KCP10" s="97"/>
      <c r="KCQ10" s="97"/>
      <c r="KCR10" s="97"/>
      <c r="KCS10" s="97"/>
      <c r="KCT10" s="97"/>
      <c r="KCU10" s="97"/>
      <c r="KCV10" s="97"/>
      <c r="KCW10" s="97"/>
      <c r="KCX10" s="97"/>
      <c r="KCY10" s="97"/>
      <c r="KCZ10" s="97"/>
      <c r="KDA10" s="97"/>
      <c r="KDB10" s="97"/>
      <c r="KDC10" s="97"/>
      <c r="KDD10" s="97"/>
      <c r="KDE10" s="97"/>
      <c r="KDF10" s="97"/>
      <c r="KDG10" s="97"/>
      <c r="KDH10" s="97"/>
      <c r="KDI10" s="97"/>
      <c r="KDJ10" s="97"/>
      <c r="KDK10" s="97"/>
      <c r="KDL10" s="97"/>
      <c r="KDM10" s="97"/>
      <c r="KDN10" s="97"/>
      <c r="KDO10" s="97"/>
      <c r="KDP10" s="97"/>
      <c r="KDQ10" s="97"/>
      <c r="KDR10" s="97"/>
      <c r="KDS10" s="97"/>
      <c r="KDT10" s="97"/>
      <c r="KDU10" s="97"/>
      <c r="KDV10" s="97"/>
      <c r="KDW10" s="97"/>
      <c r="KDX10" s="97"/>
      <c r="KDY10" s="97"/>
      <c r="KDZ10" s="97"/>
      <c r="KEA10" s="97"/>
      <c r="KEB10" s="97"/>
      <c r="KEC10" s="97"/>
      <c r="KED10" s="97"/>
      <c r="KEE10" s="97"/>
      <c r="KEF10" s="97"/>
      <c r="KEG10" s="97"/>
      <c r="KEH10" s="97"/>
      <c r="KEI10" s="97"/>
      <c r="KEJ10" s="97"/>
      <c r="KEK10" s="97"/>
      <c r="KEL10" s="97"/>
      <c r="KEM10" s="97"/>
      <c r="KEN10" s="97"/>
      <c r="KEO10" s="97"/>
      <c r="KEP10" s="97"/>
      <c r="KEQ10" s="97"/>
      <c r="KER10" s="97"/>
      <c r="KES10" s="97"/>
      <c r="KET10" s="97"/>
      <c r="KEU10" s="97"/>
      <c r="KEV10" s="97"/>
      <c r="KEW10" s="97"/>
      <c r="KEX10" s="97"/>
      <c r="KEY10" s="97"/>
      <c r="KEZ10" s="97"/>
      <c r="KFA10" s="97"/>
      <c r="KFB10" s="97"/>
      <c r="KFC10" s="97"/>
      <c r="KFD10" s="97"/>
      <c r="KFE10" s="97"/>
      <c r="KFF10" s="97"/>
      <c r="KFG10" s="97"/>
      <c r="KFH10" s="97"/>
      <c r="KFI10" s="97"/>
      <c r="KFJ10" s="97"/>
      <c r="KFK10" s="97"/>
      <c r="KFL10" s="97"/>
      <c r="KFM10" s="97"/>
      <c r="KFN10" s="97"/>
      <c r="KFO10" s="97"/>
      <c r="KFP10" s="97"/>
      <c r="KFQ10" s="97"/>
      <c r="KFR10" s="97"/>
      <c r="KFS10" s="97"/>
      <c r="KFT10" s="97"/>
      <c r="KFU10" s="97"/>
      <c r="KFV10" s="97"/>
      <c r="KFW10" s="97"/>
      <c r="KFX10" s="97"/>
      <c r="KFY10" s="97"/>
      <c r="KFZ10" s="97"/>
      <c r="KGA10" s="97"/>
      <c r="KGB10" s="97"/>
      <c r="KGC10" s="97"/>
      <c r="KGD10" s="97"/>
      <c r="KGE10" s="97"/>
      <c r="KGF10" s="97"/>
      <c r="KGG10" s="97"/>
      <c r="KGH10" s="97"/>
      <c r="KGI10" s="97"/>
      <c r="KGJ10" s="97"/>
      <c r="KGK10" s="97"/>
      <c r="KGL10" s="97"/>
      <c r="KGM10" s="97"/>
      <c r="KGN10" s="97"/>
      <c r="KGO10" s="97"/>
      <c r="KGP10" s="97"/>
      <c r="KGQ10" s="97"/>
      <c r="KGR10" s="97"/>
      <c r="KGS10" s="97"/>
      <c r="KGT10" s="97"/>
      <c r="KGU10" s="97"/>
      <c r="KGV10" s="97"/>
      <c r="KGW10" s="97"/>
      <c r="KGX10" s="97"/>
      <c r="KGY10" s="97"/>
      <c r="KGZ10" s="97"/>
      <c r="KHA10" s="97"/>
      <c r="KHB10" s="97"/>
      <c r="KHC10" s="97"/>
      <c r="KHD10" s="97"/>
      <c r="KHE10" s="97"/>
      <c r="KHF10" s="97"/>
      <c r="KHG10" s="97"/>
      <c r="KHH10" s="97"/>
      <c r="KHI10" s="97"/>
      <c r="KHJ10" s="97"/>
      <c r="KHK10" s="97"/>
      <c r="KHL10" s="97"/>
      <c r="KHM10" s="97"/>
      <c r="KHN10" s="97"/>
      <c r="KHO10" s="97"/>
      <c r="KHP10" s="97"/>
      <c r="KHQ10" s="97"/>
      <c r="KHR10" s="97"/>
      <c r="KHS10" s="97"/>
      <c r="KHT10" s="97"/>
      <c r="KHU10" s="97"/>
      <c r="KHV10" s="97"/>
      <c r="KHW10" s="97"/>
      <c r="KHX10" s="97"/>
      <c r="KHY10" s="97"/>
      <c r="KHZ10" s="97"/>
      <c r="KIA10" s="97"/>
      <c r="KIB10" s="97"/>
      <c r="KIC10" s="97"/>
      <c r="KID10" s="97"/>
      <c r="KIE10" s="97"/>
      <c r="KIF10" s="97"/>
      <c r="KIG10" s="97"/>
      <c r="KIH10" s="97"/>
      <c r="KII10" s="97"/>
      <c r="KIJ10" s="97"/>
      <c r="KIK10" s="97"/>
      <c r="KIL10" s="97"/>
      <c r="KIM10" s="97"/>
      <c r="KIN10" s="97"/>
      <c r="KIO10" s="97"/>
      <c r="KIP10" s="97"/>
      <c r="KIQ10" s="97"/>
      <c r="KIR10" s="97"/>
      <c r="KIS10" s="97"/>
      <c r="KIT10" s="97"/>
      <c r="KIU10" s="97"/>
      <c r="KIV10" s="97"/>
      <c r="KIW10" s="97"/>
      <c r="KIX10" s="97"/>
      <c r="KIY10" s="97"/>
      <c r="KIZ10" s="97"/>
      <c r="KJA10" s="97"/>
      <c r="KJB10" s="97"/>
      <c r="KJC10" s="97"/>
      <c r="KJD10" s="97"/>
      <c r="KJE10" s="97"/>
      <c r="KJF10" s="97"/>
      <c r="KJG10" s="97"/>
      <c r="KJH10" s="97"/>
      <c r="KJI10" s="97"/>
      <c r="KJJ10" s="97"/>
      <c r="KJK10" s="97"/>
      <c r="KJL10" s="97"/>
      <c r="KJM10" s="97"/>
      <c r="KJN10" s="97"/>
      <c r="KJO10" s="97"/>
      <c r="KJP10" s="97"/>
      <c r="KJQ10" s="97"/>
      <c r="KJR10" s="97"/>
      <c r="KJS10" s="97"/>
      <c r="KJT10" s="97"/>
      <c r="KJU10" s="97"/>
      <c r="KJV10" s="97"/>
      <c r="KJW10" s="97"/>
      <c r="KJX10" s="97"/>
      <c r="KJY10" s="97"/>
      <c r="KJZ10" s="97"/>
      <c r="KKA10" s="97"/>
      <c r="KKB10" s="97"/>
      <c r="KKC10" s="97"/>
      <c r="KKD10" s="97"/>
      <c r="KKE10" s="97"/>
      <c r="KKF10" s="97"/>
      <c r="KKG10" s="97"/>
      <c r="KKH10" s="97"/>
      <c r="KKI10" s="97"/>
      <c r="KKJ10" s="97"/>
      <c r="KKK10" s="97"/>
      <c r="KKL10" s="97"/>
      <c r="KKM10" s="97"/>
      <c r="KKN10" s="97"/>
      <c r="KKO10" s="97"/>
      <c r="KKP10" s="97"/>
      <c r="KKQ10" s="97"/>
      <c r="KKR10" s="97"/>
      <c r="KKS10" s="97"/>
      <c r="KKT10" s="97"/>
      <c r="KKU10" s="97"/>
      <c r="KKV10" s="97"/>
      <c r="KKW10" s="97"/>
      <c r="KKX10" s="97"/>
      <c r="KKY10" s="97"/>
      <c r="KKZ10" s="97"/>
      <c r="KLA10" s="97"/>
      <c r="KLB10" s="97"/>
      <c r="KLC10" s="97"/>
      <c r="KLD10" s="97"/>
      <c r="KLE10" s="97"/>
      <c r="KLF10" s="97"/>
      <c r="KLG10" s="97"/>
      <c r="KLH10" s="97"/>
      <c r="KLI10" s="97"/>
      <c r="KLJ10" s="97"/>
      <c r="KLK10" s="97"/>
      <c r="KLL10" s="97"/>
      <c r="KLM10" s="97"/>
      <c r="KLN10" s="97"/>
      <c r="KLO10" s="97"/>
      <c r="KLP10" s="97"/>
      <c r="KLQ10" s="97"/>
      <c r="KLR10" s="97"/>
      <c r="KLS10" s="97"/>
      <c r="KLT10" s="97"/>
      <c r="KLU10" s="97"/>
      <c r="KLV10" s="97"/>
      <c r="KLW10" s="97"/>
      <c r="KLX10" s="97"/>
      <c r="KLY10" s="97"/>
      <c r="KLZ10" s="97"/>
      <c r="KMA10" s="97"/>
      <c r="KMB10" s="97"/>
      <c r="KMC10" s="97"/>
      <c r="KMD10" s="97"/>
      <c r="KME10" s="97"/>
      <c r="KMF10" s="97"/>
      <c r="KMG10" s="97"/>
      <c r="KMH10" s="97"/>
      <c r="KMI10" s="97"/>
      <c r="KMJ10" s="97"/>
      <c r="KMK10" s="97"/>
      <c r="KML10" s="97"/>
      <c r="KMM10" s="97"/>
      <c r="KMN10" s="97"/>
      <c r="KMO10" s="97"/>
      <c r="KMP10" s="97"/>
      <c r="KMQ10" s="97"/>
      <c r="KMR10" s="97"/>
      <c r="KMS10" s="97"/>
      <c r="KMT10" s="97"/>
      <c r="KMU10" s="97"/>
      <c r="KMV10" s="97"/>
      <c r="KMW10" s="97"/>
      <c r="KMX10" s="97"/>
      <c r="KMY10" s="97"/>
      <c r="KMZ10" s="97"/>
      <c r="KNA10" s="97"/>
      <c r="KNB10" s="97"/>
      <c r="KNC10" s="97"/>
      <c r="KND10" s="97"/>
      <c r="KNE10" s="97"/>
      <c r="KNF10" s="97"/>
      <c r="KNG10" s="97"/>
      <c r="KNH10" s="97"/>
      <c r="KNI10" s="97"/>
      <c r="KNJ10" s="97"/>
      <c r="KNK10" s="97"/>
      <c r="KNL10" s="97"/>
      <c r="KNM10" s="97"/>
      <c r="KNN10" s="97"/>
      <c r="KNO10" s="97"/>
      <c r="KNP10" s="97"/>
      <c r="KNQ10" s="97"/>
      <c r="KNR10" s="97"/>
      <c r="KNS10" s="97"/>
      <c r="KNT10" s="97"/>
      <c r="KNU10" s="97"/>
      <c r="KNV10" s="97"/>
      <c r="KNW10" s="97"/>
      <c r="KNX10" s="97"/>
      <c r="KNY10" s="97"/>
      <c r="KNZ10" s="97"/>
      <c r="KOA10" s="97"/>
      <c r="KOB10" s="97"/>
      <c r="KOC10" s="97"/>
      <c r="KOD10" s="97"/>
      <c r="KOE10" s="97"/>
      <c r="KOF10" s="97"/>
      <c r="KOG10" s="97"/>
      <c r="KOH10" s="97"/>
      <c r="KOI10" s="97"/>
      <c r="KOJ10" s="97"/>
      <c r="KOK10" s="97"/>
      <c r="KOL10" s="97"/>
      <c r="KOM10" s="97"/>
      <c r="KON10" s="97"/>
      <c r="KOO10" s="97"/>
      <c r="KOP10" s="97"/>
      <c r="KOQ10" s="97"/>
      <c r="KOR10" s="97"/>
      <c r="KOS10" s="97"/>
      <c r="KOT10" s="97"/>
      <c r="KOU10" s="97"/>
      <c r="KOV10" s="97"/>
      <c r="KOW10" s="97"/>
      <c r="KOX10" s="97"/>
      <c r="KOY10" s="97"/>
      <c r="KOZ10" s="97"/>
      <c r="KPA10" s="97"/>
      <c r="KPB10" s="97"/>
      <c r="KPC10" s="97"/>
      <c r="KPD10" s="97"/>
      <c r="KPE10" s="97"/>
      <c r="KPF10" s="97"/>
      <c r="KPG10" s="97"/>
      <c r="KPH10" s="97"/>
      <c r="KPI10" s="97"/>
      <c r="KPJ10" s="97"/>
      <c r="KPK10" s="97"/>
      <c r="KPL10" s="97"/>
      <c r="KPM10" s="97"/>
      <c r="KPN10" s="97"/>
      <c r="KPO10" s="97"/>
      <c r="KPP10" s="97"/>
      <c r="KPQ10" s="97"/>
      <c r="KPR10" s="97"/>
      <c r="KPS10" s="97"/>
      <c r="KPT10" s="97"/>
      <c r="KPU10" s="97"/>
      <c r="KPV10" s="97"/>
      <c r="KPW10" s="97"/>
      <c r="KPX10" s="97"/>
      <c r="KPY10" s="97"/>
      <c r="KPZ10" s="97"/>
      <c r="KQA10" s="97"/>
      <c r="KQB10" s="97"/>
      <c r="KQC10" s="97"/>
      <c r="KQD10" s="97"/>
      <c r="KQE10" s="97"/>
      <c r="KQF10" s="97"/>
      <c r="KQG10" s="97"/>
      <c r="KQH10" s="97"/>
      <c r="KQI10" s="97"/>
      <c r="KQJ10" s="97"/>
      <c r="KQK10" s="97"/>
      <c r="KQL10" s="97"/>
      <c r="KQM10" s="97"/>
      <c r="KQN10" s="97"/>
      <c r="KQO10" s="97"/>
      <c r="KQP10" s="97"/>
      <c r="KQQ10" s="97"/>
      <c r="KQR10" s="97"/>
      <c r="KQS10" s="97"/>
      <c r="KQT10" s="97"/>
      <c r="KQU10" s="97"/>
      <c r="KQV10" s="97"/>
      <c r="KQW10" s="97"/>
      <c r="KQX10" s="97"/>
      <c r="KQY10" s="97"/>
      <c r="KQZ10" s="97"/>
      <c r="KRA10" s="97"/>
      <c r="KRB10" s="97"/>
      <c r="KRC10" s="97"/>
      <c r="KRD10" s="97"/>
      <c r="KRE10" s="97"/>
      <c r="KRF10" s="97"/>
      <c r="KRG10" s="97"/>
      <c r="KRH10" s="97"/>
      <c r="KRI10" s="97"/>
      <c r="KRJ10" s="97"/>
      <c r="KRK10" s="97"/>
      <c r="KRL10" s="97"/>
      <c r="KRM10" s="97"/>
      <c r="KRN10" s="97"/>
      <c r="KRO10" s="97"/>
      <c r="KRP10" s="97"/>
      <c r="KRQ10" s="97"/>
      <c r="KRR10" s="97"/>
      <c r="KRS10" s="97"/>
      <c r="KRT10" s="97"/>
      <c r="KRU10" s="97"/>
      <c r="KRV10" s="97"/>
      <c r="KRW10" s="97"/>
      <c r="KRX10" s="97"/>
      <c r="KRY10" s="97"/>
      <c r="KRZ10" s="97"/>
      <c r="KSA10" s="97"/>
      <c r="KSB10" s="97"/>
      <c r="KSC10" s="97"/>
      <c r="KSD10" s="97"/>
      <c r="KSE10" s="97"/>
      <c r="KSF10" s="97"/>
      <c r="KSG10" s="97"/>
      <c r="KSH10" s="97"/>
      <c r="KSI10" s="97"/>
      <c r="KSJ10" s="97"/>
      <c r="KSK10" s="97"/>
      <c r="KSL10" s="97"/>
      <c r="KSM10" s="97"/>
      <c r="KSN10" s="97"/>
      <c r="KSO10" s="97"/>
      <c r="KSP10" s="97"/>
      <c r="KSQ10" s="97"/>
      <c r="KSR10" s="97"/>
      <c r="KSS10" s="97"/>
      <c r="KST10" s="97"/>
      <c r="KSU10" s="97"/>
      <c r="KSV10" s="97"/>
      <c r="KSW10" s="97"/>
      <c r="KSX10" s="97"/>
      <c r="KSY10" s="97"/>
      <c r="KSZ10" s="97"/>
      <c r="KTA10" s="97"/>
      <c r="KTB10" s="97"/>
      <c r="KTC10" s="97"/>
      <c r="KTD10" s="97"/>
      <c r="KTE10" s="97"/>
      <c r="KTF10" s="97"/>
      <c r="KTG10" s="97"/>
      <c r="KTH10" s="97"/>
      <c r="KTI10" s="97"/>
      <c r="KTJ10" s="97"/>
      <c r="KTK10" s="97"/>
      <c r="KTL10" s="97"/>
      <c r="KTM10" s="97"/>
      <c r="KTN10" s="97"/>
      <c r="KTO10" s="97"/>
      <c r="KTP10" s="97"/>
      <c r="KTQ10" s="97"/>
      <c r="KTR10" s="97"/>
      <c r="KTS10" s="97"/>
      <c r="KTT10" s="97"/>
      <c r="KTU10" s="97"/>
      <c r="KTV10" s="97"/>
      <c r="KTW10" s="97"/>
      <c r="KTX10" s="97"/>
      <c r="KTY10" s="97"/>
      <c r="KTZ10" s="97"/>
      <c r="KUA10" s="97"/>
      <c r="KUB10" s="97"/>
      <c r="KUC10" s="97"/>
      <c r="KUD10" s="97"/>
      <c r="KUE10" s="97"/>
      <c r="KUF10" s="97"/>
      <c r="KUG10" s="97"/>
      <c r="KUH10" s="97"/>
      <c r="KUI10" s="97"/>
      <c r="KUJ10" s="97"/>
      <c r="KUK10" s="97"/>
      <c r="KUL10" s="97"/>
      <c r="KUM10" s="97"/>
      <c r="KUN10" s="97"/>
      <c r="KUO10" s="97"/>
      <c r="KUP10" s="97"/>
      <c r="KUQ10" s="97"/>
      <c r="KUR10" s="97"/>
      <c r="KUS10" s="97"/>
      <c r="KUT10" s="97"/>
      <c r="KUU10" s="97"/>
      <c r="KUV10" s="97"/>
      <c r="KUW10" s="97"/>
      <c r="KUX10" s="97"/>
      <c r="KUY10" s="97"/>
      <c r="KUZ10" s="97"/>
      <c r="KVA10" s="97"/>
      <c r="KVB10" s="97"/>
      <c r="KVC10" s="97"/>
      <c r="KVD10" s="97"/>
      <c r="KVE10" s="97"/>
      <c r="KVF10" s="97"/>
      <c r="KVG10" s="97"/>
      <c r="KVH10" s="97"/>
      <c r="KVI10" s="97"/>
      <c r="KVJ10" s="97"/>
      <c r="KVK10" s="97"/>
      <c r="KVL10" s="97"/>
      <c r="KVM10" s="97"/>
      <c r="KVN10" s="97"/>
      <c r="KVO10" s="97"/>
      <c r="KVP10" s="97"/>
      <c r="KVQ10" s="97"/>
      <c r="KVR10" s="97"/>
      <c r="KVS10" s="97"/>
      <c r="KVT10" s="97"/>
      <c r="KVU10" s="97"/>
      <c r="KVV10" s="97"/>
      <c r="KVW10" s="97"/>
      <c r="KVX10" s="97"/>
      <c r="KVY10" s="97"/>
      <c r="KVZ10" s="97"/>
      <c r="KWA10" s="97"/>
      <c r="KWB10" s="97"/>
      <c r="KWC10" s="97"/>
      <c r="KWD10" s="97"/>
      <c r="KWE10" s="97"/>
      <c r="KWF10" s="97"/>
      <c r="KWG10" s="97"/>
      <c r="KWH10" s="97"/>
      <c r="KWI10" s="97"/>
      <c r="KWJ10" s="97"/>
      <c r="KWK10" s="97"/>
      <c r="KWL10" s="97"/>
      <c r="KWM10" s="97"/>
      <c r="KWN10" s="97"/>
      <c r="KWO10" s="97"/>
      <c r="KWP10" s="97"/>
      <c r="KWQ10" s="97"/>
      <c r="KWR10" s="97"/>
      <c r="KWS10" s="97"/>
      <c r="KWT10" s="97"/>
      <c r="KWU10" s="97"/>
      <c r="KWV10" s="97"/>
      <c r="KWW10" s="97"/>
      <c r="KWX10" s="97"/>
      <c r="KWY10" s="97"/>
      <c r="KWZ10" s="97"/>
      <c r="KXA10" s="97"/>
      <c r="KXB10" s="97"/>
      <c r="KXC10" s="97"/>
      <c r="KXD10" s="97"/>
      <c r="KXE10" s="97"/>
      <c r="KXF10" s="97"/>
      <c r="KXG10" s="97"/>
      <c r="KXH10" s="97"/>
      <c r="KXI10" s="97"/>
      <c r="KXJ10" s="97"/>
      <c r="KXK10" s="97"/>
      <c r="KXL10" s="97"/>
      <c r="KXM10" s="97"/>
      <c r="KXN10" s="97"/>
      <c r="KXO10" s="97"/>
      <c r="KXP10" s="97"/>
      <c r="KXQ10" s="97"/>
      <c r="KXR10" s="97"/>
      <c r="KXS10" s="97"/>
      <c r="KXT10" s="97"/>
      <c r="KXU10" s="97"/>
      <c r="KXV10" s="97"/>
      <c r="KXW10" s="97"/>
      <c r="KXX10" s="97"/>
      <c r="KXY10" s="97"/>
      <c r="KXZ10" s="97"/>
      <c r="KYA10" s="97"/>
      <c r="KYB10" s="97"/>
      <c r="KYC10" s="97"/>
      <c r="KYD10" s="97"/>
      <c r="KYE10" s="97"/>
      <c r="KYF10" s="97"/>
      <c r="KYG10" s="97"/>
      <c r="KYH10" s="97"/>
      <c r="KYI10" s="97"/>
      <c r="KYJ10" s="97"/>
      <c r="KYK10" s="97"/>
      <c r="KYL10" s="97"/>
      <c r="KYM10" s="97"/>
      <c r="KYN10" s="97"/>
      <c r="KYO10" s="97"/>
      <c r="KYP10" s="97"/>
      <c r="KYQ10" s="97"/>
      <c r="KYR10" s="97"/>
      <c r="KYS10" s="97"/>
      <c r="KYT10" s="97"/>
      <c r="KYU10" s="97"/>
      <c r="KYV10" s="97"/>
      <c r="KYW10" s="97"/>
      <c r="KYX10" s="97"/>
      <c r="KYY10" s="97"/>
      <c r="KYZ10" s="97"/>
      <c r="KZA10" s="97"/>
      <c r="KZB10" s="97"/>
      <c r="KZC10" s="97"/>
      <c r="KZD10" s="97"/>
      <c r="KZE10" s="97"/>
      <c r="KZF10" s="97"/>
      <c r="KZG10" s="97"/>
      <c r="KZH10" s="97"/>
      <c r="KZI10" s="97"/>
      <c r="KZJ10" s="97"/>
      <c r="KZK10" s="97"/>
      <c r="KZL10" s="97"/>
      <c r="KZM10" s="97"/>
      <c r="KZN10" s="97"/>
      <c r="KZO10" s="97"/>
      <c r="KZP10" s="97"/>
      <c r="KZQ10" s="97"/>
      <c r="KZR10" s="97"/>
      <c r="KZS10" s="97"/>
      <c r="KZT10" s="97"/>
      <c r="KZU10" s="97"/>
      <c r="KZV10" s="97"/>
      <c r="KZW10" s="97"/>
      <c r="KZX10" s="97"/>
      <c r="KZY10" s="97"/>
      <c r="KZZ10" s="97"/>
      <c r="LAA10" s="97"/>
      <c r="LAB10" s="97"/>
      <c r="LAC10" s="97"/>
      <c r="LAD10" s="97"/>
      <c r="LAE10" s="97"/>
      <c r="LAF10" s="97"/>
      <c r="LAG10" s="97"/>
      <c r="LAH10" s="97"/>
      <c r="LAI10" s="97"/>
      <c r="LAJ10" s="97"/>
      <c r="LAK10" s="97"/>
      <c r="LAL10" s="97"/>
      <c r="LAM10" s="97"/>
      <c r="LAN10" s="97"/>
      <c r="LAO10" s="97"/>
      <c r="LAP10" s="97"/>
      <c r="LAQ10" s="97"/>
      <c r="LAR10" s="97"/>
      <c r="LAS10" s="97"/>
      <c r="LAT10" s="97"/>
      <c r="LAU10" s="97"/>
      <c r="LAV10" s="97"/>
      <c r="LAW10" s="97"/>
      <c r="LAX10" s="97"/>
      <c r="LAY10" s="97"/>
      <c r="LAZ10" s="97"/>
      <c r="LBA10" s="97"/>
      <c r="LBB10" s="97"/>
      <c r="LBC10" s="97"/>
      <c r="LBD10" s="97"/>
      <c r="LBE10" s="97"/>
      <c r="LBF10" s="97"/>
      <c r="LBG10" s="97"/>
      <c r="LBH10" s="97"/>
      <c r="LBI10" s="97"/>
      <c r="LBJ10" s="97"/>
      <c r="LBK10" s="97"/>
      <c r="LBL10" s="97"/>
      <c r="LBM10" s="97"/>
      <c r="LBN10" s="97"/>
      <c r="LBO10" s="97"/>
      <c r="LBP10" s="97"/>
      <c r="LBQ10" s="97"/>
      <c r="LBR10" s="97"/>
      <c r="LBS10" s="97"/>
      <c r="LBT10" s="97"/>
      <c r="LBU10" s="97"/>
      <c r="LBV10" s="97"/>
      <c r="LBW10" s="97"/>
      <c r="LBX10" s="97"/>
      <c r="LBY10" s="97"/>
      <c r="LBZ10" s="97"/>
      <c r="LCA10" s="97"/>
      <c r="LCB10" s="97"/>
      <c r="LCC10" s="97"/>
      <c r="LCD10" s="97"/>
      <c r="LCE10" s="97"/>
      <c r="LCF10" s="97"/>
      <c r="LCG10" s="97"/>
      <c r="LCH10" s="97"/>
      <c r="LCI10" s="97"/>
      <c r="LCJ10" s="97"/>
      <c r="LCK10" s="97"/>
      <c r="LCL10" s="97"/>
      <c r="LCM10" s="97"/>
      <c r="LCN10" s="97"/>
      <c r="LCO10" s="97"/>
      <c r="LCP10" s="97"/>
      <c r="LCQ10" s="97"/>
      <c r="LCR10" s="97"/>
      <c r="LCS10" s="97"/>
      <c r="LCT10" s="97"/>
      <c r="LCU10" s="97"/>
      <c r="LCV10" s="97"/>
      <c r="LCW10" s="97"/>
      <c r="LCX10" s="97"/>
      <c r="LCY10" s="97"/>
      <c r="LCZ10" s="97"/>
      <c r="LDA10" s="97"/>
      <c r="LDB10" s="97"/>
      <c r="LDC10" s="97"/>
      <c r="LDD10" s="97"/>
      <c r="LDE10" s="97"/>
      <c r="LDF10" s="97"/>
      <c r="LDG10" s="97"/>
      <c r="LDH10" s="97"/>
      <c r="LDI10" s="97"/>
      <c r="LDJ10" s="97"/>
      <c r="LDK10" s="97"/>
      <c r="LDL10" s="97"/>
      <c r="LDM10" s="97"/>
      <c r="LDN10" s="97"/>
      <c r="LDO10" s="97"/>
      <c r="LDP10" s="97"/>
      <c r="LDQ10" s="97"/>
      <c r="LDR10" s="97"/>
      <c r="LDS10" s="97"/>
      <c r="LDT10" s="97"/>
      <c r="LDU10" s="97"/>
      <c r="LDV10" s="97"/>
      <c r="LDW10" s="97"/>
      <c r="LDX10" s="97"/>
      <c r="LDY10" s="97"/>
      <c r="LDZ10" s="97"/>
      <c r="LEA10" s="97"/>
      <c r="LEB10" s="97"/>
      <c r="LEC10" s="97"/>
      <c r="LED10" s="97"/>
      <c r="LEE10" s="97"/>
      <c r="LEF10" s="97"/>
      <c r="LEG10" s="97"/>
      <c r="LEH10" s="97"/>
      <c r="LEI10" s="97"/>
      <c r="LEJ10" s="97"/>
      <c r="LEK10" s="97"/>
      <c r="LEL10" s="97"/>
      <c r="LEM10" s="97"/>
      <c r="LEN10" s="97"/>
      <c r="LEO10" s="97"/>
      <c r="LEP10" s="97"/>
      <c r="LEQ10" s="97"/>
      <c r="LER10" s="97"/>
      <c r="LES10" s="97"/>
      <c r="LET10" s="97"/>
      <c r="LEU10" s="97"/>
      <c r="LEV10" s="97"/>
      <c r="LEW10" s="97"/>
      <c r="LEX10" s="97"/>
      <c r="LEY10" s="97"/>
      <c r="LEZ10" s="97"/>
      <c r="LFA10" s="97"/>
      <c r="LFB10" s="97"/>
      <c r="LFC10" s="97"/>
      <c r="LFD10" s="97"/>
      <c r="LFE10" s="97"/>
      <c r="LFF10" s="97"/>
      <c r="LFG10" s="97"/>
      <c r="LFH10" s="97"/>
      <c r="LFI10" s="97"/>
      <c r="LFJ10" s="97"/>
      <c r="LFK10" s="97"/>
      <c r="LFL10" s="97"/>
      <c r="LFM10" s="97"/>
      <c r="LFN10" s="97"/>
      <c r="LFO10" s="97"/>
      <c r="LFP10" s="97"/>
      <c r="LFQ10" s="97"/>
      <c r="LFR10" s="97"/>
      <c r="LFS10" s="97"/>
      <c r="LFT10" s="97"/>
      <c r="LFU10" s="97"/>
      <c r="LFV10" s="97"/>
      <c r="LFW10" s="97"/>
      <c r="LFX10" s="97"/>
      <c r="LFY10" s="97"/>
      <c r="LFZ10" s="97"/>
      <c r="LGA10" s="97"/>
      <c r="LGB10" s="97"/>
      <c r="LGC10" s="97"/>
      <c r="LGD10" s="97"/>
      <c r="LGE10" s="97"/>
      <c r="LGF10" s="97"/>
      <c r="LGG10" s="97"/>
      <c r="LGH10" s="97"/>
      <c r="LGI10" s="97"/>
      <c r="LGJ10" s="97"/>
      <c r="LGK10" s="97"/>
      <c r="LGL10" s="97"/>
      <c r="LGM10" s="97"/>
      <c r="LGN10" s="97"/>
      <c r="LGO10" s="97"/>
      <c r="LGP10" s="97"/>
      <c r="LGQ10" s="97"/>
      <c r="LGR10" s="97"/>
      <c r="LGS10" s="97"/>
      <c r="LGT10" s="97"/>
      <c r="LGU10" s="97"/>
      <c r="LGV10" s="97"/>
      <c r="LGW10" s="97"/>
      <c r="LGX10" s="97"/>
      <c r="LGY10" s="97"/>
      <c r="LGZ10" s="97"/>
      <c r="LHA10" s="97"/>
      <c r="LHB10" s="97"/>
      <c r="LHC10" s="97"/>
      <c r="LHD10" s="97"/>
      <c r="LHE10" s="97"/>
      <c r="LHF10" s="97"/>
      <c r="LHG10" s="97"/>
      <c r="LHH10" s="97"/>
      <c r="LHI10" s="97"/>
      <c r="LHJ10" s="97"/>
      <c r="LHK10" s="97"/>
      <c r="LHL10" s="97"/>
      <c r="LHM10" s="97"/>
      <c r="LHN10" s="97"/>
      <c r="LHO10" s="97"/>
      <c r="LHP10" s="97"/>
      <c r="LHQ10" s="97"/>
      <c r="LHR10" s="97"/>
      <c r="LHS10" s="97"/>
      <c r="LHT10" s="97"/>
      <c r="LHU10" s="97"/>
      <c r="LHV10" s="97"/>
      <c r="LHW10" s="97"/>
      <c r="LHX10" s="97"/>
      <c r="LHY10" s="97"/>
      <c r="LHZ10" s="97"/>
      <c r="LIA10" s="97"/>
      <c r="LIB10" s="97"/>
      <c r="LIC10" s="97"/>
      <c r="LID10" s="97"/>
      <c r="LIE10" s="97"/>
      <c r="LIF10" s="97"/>
      <c r="LIG10" s="97"/>
      <c r="LIH10" s="97"/>
      <c r="LII10" s="97"/>
      <c r="LIJ10" s="97"/>
      <c r="LIK10" s="97"/>
      <c r="LIL10" s="97"/>
      <c r="LIM10" s="97"/>
      <c r="LIN10" s="97"/>
      <c r="LIO10" s="97"/>
      <c r="LIP10" s="97"/>
      <c r="LIQ10" s="97"/>
      <c r="LIR10" s="97"/>
      <c r="LIS10" s="97"/>
      <c r="LIT10" s="97"/>
      <c r="LIU10" s="97"/>
      <c r="LIV10" s="97"/>
      <c r="LIW10" s="97"/>
      <c r="LIX10" s="97"/>
      <c r="LIY10" s="97"/>
      <c r="LIZ10" s="97"/>
      <c r="LJA10" s="97"/>
      <c r="LJB10" s="97"/>
      <c r="LJC10" s="97"/>
      <c r="LJD10" s="97"/>
      <c r="LJE10" s="97"/>
      <c r="LJF10" s="97"/>
      <c r="LJG10" s="97"/>
      <c r="LJH10" s="97"/>
      <c r="LJI10" s="97"/>
      <c r="LJJ10" s="97"/>
      <c r="LJK10" s="97"/>
      <c r="LJL10" s="97"/>
      <c r="LJM10" s="97"/>
      <c r="LJN10" s="97"/>
      <c r="LJO10" s="97"/>
      <c r="LJP10" s="97"/>
      <c r="LJQ10" s="97"/>
      <c r="LJR10" s="97"/>
      <c r="LJS10" s="97"/>
      <c r="LJT10" s="97"/>
      <c r="LJU10" s="97"/>
      <c r="LJV10" s="97"/>
      <c r="LJW10" s="97"/>
      <c r="LJX10" s="97"/>
      <c r="LJY10" s="97"/>
      <c r="LJZ10" s="97"/>
      <c r="LKA10" s="97"/>
      <c r="LKB10" s="97"/>
      <c r="LKC10" s="97"/>
      <c r="LKD10" s="97"/>
      <c r="LKE10" s="97"/>
      <c r="LKF10" s="97"/>
      <c r="LKG10" s="97"/>
      <c r="LKH10" s="97"/>
      <c r="LKI10" s="97"/>
      <c r="LKJ10" s="97"/>
      <c r="LKK10" s="97"/>
      <c r="LKL10" s="97"/>
      <c r="LKM10" s="97"/>
      <c r="LKN10" s="97"/>
      <c r="LKO10" s="97"/>
      <c r="LKP10" s="97"/>
      <c r="LKQ10" s="97"/>
      <c r="LKR10" s="97"/>
      <c r="LKS10" s="97"/>
      <c r="LKT10" s="97"/>
      <c r="LKU10" s="97"/>
      <c r="LKV10" s="97"/>
      <c r="LKW10" s="97"/>
      <c r="LKX10" s="97"/>
      <c r="LKY10" s="97"/>
      <c r="LKZ10" s="97"/>
      <c r="LLA10" s="97"/>
      <c r="LLB10" s="97"/>
      <c r="LLC10" s="97"/>
      <c r="LLD10" s="97"/>
      <c r="LLE10" s="97"/>
      <c r="LLF10" s="97"/>
      <c r="LLG10" s="97"/>
      <c r="LLH10" s="97"/>
      <c r="LLI10" s="97"/>
      <c r="LLJ10" s="97"/>
      <c r="LLK10" s="97"/>
      <c r="LLL10" s="97"/>
      <c r="LLM10" s="97"/>
      <c r="LLN10" s="97"/>
      <c r="LLO10" s="97"/>
      <c r="LLP10" s="97"/>
      <c r="LLQ10" s="97"/>
      <c r="LLR10" s="97"/>
      <c r="LLS10" s="97"/>
      <c r="LLT10" s="97"/>
      <c r="LLU10" s="97"/>
      <c r="LLV10" s="97"/>
      <c r="LLW10" s="97"/>
      <c r="LLX10" s="97"/>
      <c r="LLY10" s="97"/>
      <c r="LLZ10" s="97"/>
      <c r="LMA10" s="97"/>
      <c r="LMB10" s="97"/>
      <c r="LMC10" s="97"/>
      <c r="LMD10" s="97"/>
      <c r="LME10" s="97"/>
      <c r="LMF10" s="97"/>
      <c r="LMG10" s="97"/>
      <c r="LMH10" s="97"/>
      <c r="LMI10" s="97"/>
      <c r="LMJ10" s="97"/>
      <c r="LMK10" s="97"/>
      <c r="LML10" s="97"/>
      <c r="LMM10" s="97"/>
      <c r="LMN10" s="97"/>
      <c r="LMO10" s="97"/>
      <c r="LMP10" s="97"/>
      <c r="LMQ10" s="97"/>
      <c r="LMR10" s="97"/>
      <c r="LMS10" s="97"/>
      <c r="LMT10" s="97"/>
      <c r="LMU10" s="97"/>
      <c r="LMV10" s="97"/>
      <c r="LMW10" s="97"/>
      <c r="LMX10" s="97"/>
      <c r="LMY10" s="97"/>
      <c r="LMZ10" s="97"/>
      <c r="LNA10" s="97"/>
      <c r="LNB10" s="97"/>
      <c r="LNC10" s="97"/>
      <c r="LND10" s="97"/>
      <c r="LNE10" s="97"/>
      <c r="LNF10" s="97"/>
      <c r="LNG10" s="97"/>
      <c r="LNH10" s="97"/>
      <c r="LNI10" s="97"/>
      <c r="LNJ10" s="97"/>
      <c r="LNK10" s="97"/>
      <c r="LNL10" s="97"/>
      <c r="LNM10" s="97"/>
      <c r="LNN10" s="97"/>
      <c r="LNO10" s="97"/>
      <c r="LNP10" s="97"/>
      <c r="LNQ10" s="97"/>
      <c r="LNR10" s="97"/>
      <c r="LNS10" s="97"/>
      <c r="LNT10" s="97"/>
      <c r="LNU10" s="97"/>
      <c r="LNV10" s="97"/>
      <c r="LNW10" s="97"/>
      <c r="LNX10" s="97"/>
      <c r="LNY10" s="97"/>
      <c r="LNZ10" s="97"/>
      <c r="LOA10" s="97"/>
      <c r="LOB10" s="97"/>
      <c r="LOC10" s="97"/>
      <c r="LOD10" s="97"/>
      <c r="LOE10" s="97"/>
      <c r="LOF10" s="97"/>
      <c r="LOG10" s="97"/>
      <c r="LOH10" s="97"/>
      <c r="LOI10" s="97"/>
      <c r="LOJ10" s="97"/>
      <c r="LOK10" s="97"/>
      <c r="LOL10" s="97"/>
      <c r="LOM10" s="97"/>
      <c r="LON10" s="97"/>
      <c r="LOO10" s="97"/>
      <c r="LOP10" s="97"/>
      <c r="LOQ10" s="97"/>
      <c r="LOR10" s="97"/>
      <c r="LOS10" s="97"/>
      <c r="LOT10" s="97"/>
      <c r="LOU10" s="97"/>
      <c r="LOV10" s="97"/>
      <c r="LOW10" s="97"/>
      <c r="LOX10" s="97"/>
      <c r="LOY10" s="97"/>
      <c r="LOZ10" s="97"/>
      <c r="LPA10" s="97"/>
      <c r="LPB10" s="97"/>
      <c r="LPC10" s="97"/>
      <c r="LPD10" s="97"/>
      <c r="LPE10" s="97"/>
      <c r="LPF10" s="97"/>
      <c r="LPG10" s="97"/>
      <c r="LPH10" s="97"/>
      <c r="LPI10" s="97"/>
      <c r="LPJ10" s="97"/>
      <c r="LPK10" s="97"/>
      <c r="LPL10" s="97"/>
      <c r="LPM10" s="97"/>
      <c r="LPN10" s="97"/>
      <c r="LPO10" s="97"/>
      <c r="LPP10" s="97"/>
      <c r="LPQ10" s="97"/>
      <c r="LPR10" s="97"/>
      <c r="LPS10" s="97"/>
      <c r="LPT10" s="97"/>
      <c r="LPU10" s="97"/>
      <c r="LPV10" s="97"/>
      <c r="LPW10" s="97"/>
      <c r="LPX10" s="97"/>
      <c r="LPY10" s="97"/>
      <c r="LPZ10" s="97"/>
      <c r="LQA10" s="97"/>
      <c r="LQB10" s="97"/>
      <c r="LQC10" s="97"/>
      <c r="LQD10" s="97"/>
      <c r="LQE10" s="97"/>
      <c r="LQF10" s="97"/>
      <c r="LQG10" s="97"/>
      <c r="LQH10" s="97"/>
      <c r="LQI10" s="97"/>
      <c r="LQJ10" s="97"/>
      <c r="LQK10" s="97"/>
      <c r="LQL10" s="97"/>
      <c r="LQM10" s="97"/>
      <c r="LQN10" s="97"/>
      <c r="LQO10" s="97"/>
      <c r="LQP10" s="97"/>
      <c r="LQQ10" s="97"/>
      <c r="LQR10" s="97"/>
      <c r="LQS10" s="97"/>
      <c r="LQT10" s="97"/>
      <c r="LQU10" s="97"/>
      <c r="LQV10" s="97"/>
      <c r="LQW10" s="97"/>
      <c r="LQX10" s="97"/>
      <c r="LQY10" s="97"/>
      <c r="LQZ10" s="97"/>
      <c r="LRA10" s="97"/>
      <c r="LRB10" s="97"/>
      <c r="LRC10" s="97"/>
      <c r="LRD10" s="97"/>
      <c r="LRE10" s="97"/>
      <c r="LRF10" s="97"/>
      <c r="LRG10" s="97"/>
      <c r="LRH10" s="97"/>
      <c r="LRI10" s="97"/>
      <c r="LRJ10" s="97"/>
      <c r="LRK10" s="97"/>
      <c r="LRL10" s="97"/>
      <c r="LRM10" s="97"/>
      <c r="LRN10" s="97"/>
      <c r="LRO10" s="97"/>
      <c r="LRP10" s="97"/>
      <c r="LRQ10" s="97"/>
      <c r="LRR10" s="97"/>
      <c r="LRS10" s="97"/>
      <c r="LRT10" s="97"/>
      <c r="LRU10" s="97"/>
      <c r="LRV10" s="97"/>
      <c r="LRW10" s="97"/>
      <c r="LRX10" s="97"/>
      <c r="LRY10" s="97"/>
      <c r="LRZ10" s="97"/>
      <c r="LSA10" s="97"/>
      <c r="LSB10" s="97"/>
      <c r="LSC10" s="97"/>
      <c r="LSD10" s="97"/>
      <c r="LSE10" s="97"/>
      <c r="LSF10" s="97"/>
      <c r="LSG10" s="97"/>
      <c r="LSH10" s="97"/>
      <c r="LSI10" s="97"/>
      <c r="LSJ10" s="97"/>
      <c r="LSK10" s="97"/>
      <c r="LSL10" s="97"/>
      <c r="LSM10" s="97"/>
      <c r="LSN10" s="97"/>
      <c r="LSO10" s="97"/>
      <c r="LSP10" s="97"/>
      <c r="LSQ10" s="97"/>
      <c r="LSR10" s="97"/>
      <c r="LSS10" s="97"/>
      <c r="LST10" s="97"/>
      <c r="LSU10" s="97"/>
      <c r="LSV10" s="97"/>
      <c r="LSW10" s="97"/>
      <c r="LSX10" s="97"/>
      <c r="LSY10" s="97"/>
      <c r="LSZ10" s="97"/>
      <c r="LTA10" s="97"/>
      <c r="LTB10" s="97"/>
      <c r="LTC10" s="97"/>
      <c r="LTD10" s="97"/>
      <c r="LTE10" s="97"/>
      <c r="LTF10" s="97"/>
      <c r="LTG10" s="97"/>
      <c r="LTH10" s="97"/>
      <c r="LTI10" s="97"/>
      <c r="LTJ10" s="97"/>
      <c r="LTK10" s="97"/>
      <c r="LTL10" s="97"/>
      <c r="LTM10" s="97"/>
      <c r="LTN10" s="97"/>
      <c r="LTO10" s="97"/>
      <c r="LTP10" s="97"/>
      <c r="LTQ10" s="97"/>
      <c r="LTR10" s="97"/>
      <c r="LTS10" s="97"/>
      <c r="LTT10" s="97"/>
      <c r="LTU10" s="97"/>
      <c r="LTV10" s="97"/>
      <c r="LTW10" s="97"/>
      <c r="LTX10" s="97"/>
      <c r="LTY10" s="97"/>
      <c r="LTZ10" s="97"/>
      <c r="LUA10" s="97"/>
      <c r="LUB10" s="97"/>
      <c r="LUC10" s="97"/>
      <c r="LUD10" s="97"/>
      <c r="LUE10" s="97"/>
      <c r="LUF10" s="97"/>
      <c r="LUG10" s="97"/>
      <c r="LUH10" s="97"/>
      <c r="LUI10" s="97"/>
      <c r="LUJ10" s="97"/>
      <c r="LUK10" s="97"/>
      <c r="LUL10" s="97"/>
      <c r="LUM10" s="97"/>
      <c r="LUN10" s="97"/>
      <c r="LUO10" s="97"/>
      <c r="LUP10" s="97"/>
      <c r="LUQ10" s="97"/>
      <c r="LUR10" s="97"/>
      <c r="LUS10" s="97"/>
      <c r="LUT10" s="97"/>
      <c r="LUU10" s="97"/>
      <c r="LUV10" s="97"/>
      <c r="LUW10" s="97"/>
      <c r="LUX10" s="97"/>
      <c r="LUY10" s="97"/>
      <c r="LUZ10" s="97"/>
      <c r="LVA10" s="97"/>
      <c r="LVB10" s="97"/>
      <c r="LVC10" s="97"/>
      <c r="LVD10" s="97"/>
      <c r="LVE10" s="97"/>
      <c r="LVF10" s="97"/>
      <c r="LVG10" s="97"/>
      <c r="LVH10" s="97"/>
      <c r="LVI10" s="97"/>
      <c r="LVJ10" s="97"/>
      <c r="LVK10" s="97"/>
      <c r="LVL10" s="97"/>
      <c r="LVM10" s="97"/>
      <c r="LVN10" s="97"/>
      <c r="LVO10" s="97"/>
      <c r="LVP10" s="97"/>
      <c r="LVQ10" s="97"/>
      <c r="LVR10" s="97"/>
      <c r="LVS10" s="97"/>
      <c r="LVT10" s="97"/>
      <c r="LVU10" s="97"/>
      <c r="LVV10" s="97"/>
      <c r="LVW10" s="97"/>
      <c r="LVX10" s="97"/>
      <c r="LVY10" s="97"/>
      <c r="LVZ10" s="97"/>
      <c r="LWA10" s="97"/>
      <c r="LWB10" s="97"/>
      <c r="LWC10" s="97"/>
      <c r="LWD10" s="97"/>
      <c r="LWE10" s="97"/>
      <c r="LWF10" s="97"/>
      <c r="LWG10" s="97"/>
      <c r="LWH10" s="97"/>
      <c r="LWI10" s="97"/>
      <c r="LWJ10" s="97"/>
      <c r="LWK10" s="97"/>
      <c r="LWL10" s="97"/>
      <c r="LWM10" s="97"/>
      <c r="LWN10" s="97"/>
      <c r="LWO10" s="97"/>
      <c r="LWP10" s="97"/>
      <c r="LWQ10" s="97"/>
      <c r="LWR10" s="97"/>
      <c r="LWS10" s="97"/>
      <c r="LWT10" s="97"/>
      <c r="LWU10" s="97"/>
      <c r="LWV10" s="97"/>
      <c r="LWW10" s="97"/>
      <c r="LWX10" s="97"/>
      <c r="LWY10" s="97"/>
      <c r="LWZ10" s="97"/>
      <c r="LXA10" s="97"/>
      <c r="LXB10" s="97"/>
      <c r="LXC10" s="97"/>
      <c r="LXD10" s="97"/>
      <c r="LXE10" s="97"/>
      <c r="LXF10" s="97"/>
      <c r="LXG10" s="97"/>
      <c r="LXH10" s="97"/>
      <c r="LXI10" s="97"/>
      <c r="LXJ10" s="97"/>
      <c r="LXK10" s="97"/>
      <c r="LXL10" s="97"/>
      <c r="LXM10" s="97"/>
      <c r="LXN10" s="97"/>
      <c r="LXO10" s="97"/>
      <c r="LXP10" s="97"/>
      <c r="LXQ10" s="97"/>
      <c r="LXR10" s="97"/>
      <c r="LXS10" s="97"/>
      <c r="LXT10" s="97"/>
      <c r="LXU10" s="97"/>
      <c r="LXV10" s="97"/>
      <c r="LXW10" s="97"/>
      <c r="LXX10" s="97"/>
      <c r="LXY10" s="97"/>
      <c r="LXZ10" s="97"/>
      <c r="LYA10" s="97"/>
      <c r="LYB10" s="97"/>
      <c r="LYC10" s="97"/>
      <c r="LYD10" s="97"/>
      <c r="LYE10" s="97"/>
      <c r="LYF10" s="97"/>
      <c r="LYG10" s="97"/>
      <c r="LYH10" s="97"/>
      <c r="LYI10" s="97"/>
      <c r="LYJ10" s="97"/>
      <c r="LYK10" s="97"/>
      <c r="LYL10" s="97"/>
      <c r="LYM10" s="97"/>
      <c r="LYN10" s="97"/>
      <c r="LYO10" s="97"/>
      <c r="LYP10" s="97"/>
      <c r="LYQ10" s="97"/>
      <c r="LYR10" s="97"/>
      <c r="LYS10" s="97"/>
      <c r="LYT10" s="97"/>
      <c r="LYU10" s="97"/>
      <c r="LYV10" s="97"/>
      <c r="LYW10" s="97"/>
      <c r="LYX10" s="97"/>
      <c r="LYY10" s="97"/>
      <c r="LYZ10" s="97"/>
      <c r="LZA10" s="97"/>
      <c r="LZB10" s="97"/>
      <c r="LZC10" s="97"/>
      <c r="LZD10" s="97"/>
      <c r="LZE10" s="97"/>
      <c r="LZF10" s="97"/>
      <c r="LZG10" s="97"/>
      <c r="LZH10" s="97"/>
      <c r="LZI10" s="97"/>
      <c r="LZJ10" s="97"/>
      <c r="LZK10" s="97"/>
      <c r="LZL10" s="97"/>
      <c r="LZM10" s="97"/>
      <c r="LZN10" s="97"/>
      <c r="LZO10" s="97"/>
      <c r="LZP10" s="97"/>
      <c r="LZQ10" s="97"/>
      <c r="LZR10" s="97"/>
      <c r="LZS10" s="97"/>
      <c r="LZT10" s="97"/>
      <c r="LZU10" s="97"/>
      <c r="LZV10" s="97"/>
      <c r="LZW10" s="97"/>
      <c r="LZX10" s="97"/>
      <c r="LZY10" s="97"/>
      <c r="LZZ10" s="97"/>
      <c r="MAA10" s="97"/>
      <c r="MAB10" s="97"/>
      <c r="MAC10" s="97"/>
      <c r="MAD10" s="97"/>
      <c r="MAE10" s="97"/>
      <c r="MAF10" s="97"/>
      <c r="MAG10" s="97"/>
      <c r="MAH10" s="97"/>
      <c r="MAI10" s="97"/>
      <c r="MAJ10" s="97"/>
      <c r="MAK10" s="97"/>
      <c r="MAL10" s="97"/>
      <c r="MAM10" s="97"/>
      <c r="MAN10" s="97"/>
      <c r="MAO10" s="97"/>
      <c r="MAP10" s="97"/>
      <c r="MAQ10" s="97"/>
      <c r="MAR10" s="97"/>
      <c r="MAS10" s="97"/>
      <c r="MAT10" s="97"/>
      <c r="MAU10" s="97"/>
      <c r="MAV10" s="97"/>
      <c r="MAW10" s="97"/>
      <c r="MAX10" s="97"/>
      <c r="MAY10" s="97"/>
      <c r="MAZ10" s="97"/>
      <c r="MBA10" s="97"/>
      <c r="MBB10" s="97"/>
      <c r="MBC10" s="97"/>
      <c r="MBD10" s="97"/>
      <c r="MBE10" s="97"/>
      <c r="MBF10" s="97"/>
      <c r="MBG10" s="97"/>
      <c r="MBH10" s="97"/>
      <c r="MBI10" s="97"/>
      <c r="MBJ10" s="97"/>
      <c r="MBK10" s="97"/>
      <c r="MBL10" s="97"/>
      <c r="MBM10" s="97"/>
      <c r="MBN10" s="97"/>
      <c r="MBO10" s="97"/>
      <c r="MBP10" s="97"/>
      <c r="MBQ10" s="97"/>
      <c r="MBR10" s="97"/>
      <c r="MBS10" s="97"/>
      <c r="MBT10" s="97"/>
      <c r="MBU10" s="97"/>
      <c r="MBV10" s="97"/>
      <c r="MBW10" s="97"/>
      <c r="MBX10" s="97"/>
      <c r="MBY10" s="97"/>
      <c r="MBZ10" s="97"/>
      <c r="MCA10" s="97"/>
      <c r="MCB10" s="97"/>
      <c r="MCC10" s="97"/>
      <c r="MCD10" s="97"/>
      <c r="MCE10" s="97"/>
      <c r="MCF10" s="97"/>
      <c r="MCG10" s="97"/>
      <c r="MCH10" s="97"/>
      <c r="MCI10" s="97"/>
      <c r="MCJ10" s="97"/>
      <c r="MCK10" s="97"/>
      <c r="MCL10" s="97"/>
      <c r="MCM10" s="97"/>
      <c r="MCN10" s="97"/>
      <c r="MCO10" s="97"/>
      <c r="MCP10" s="97"/>
      <c r="MCQ10" s="97"/>
      <c r="MCR10" s="97"/>
      <c r="MCS10" s="97"/>
      <c r="MCT10" s="97"/>
      <c r="MCU10" s="97"/>
      <c r="MCV10" s="97"/>
      <c r="MCW10" s="97"/>
      <c r="MCX10" s="97"/>
      <c r="MCY10" s="97"/>
      <c r="MCZ10" s="97"/>
      <c r="MDA10" s="97"/>
      <c r="MDB10" s="97"/>
      <c r="MDC10" s="97"/>
      <c r="MDD10" s="97"/>
      <c r="MDE10" s="97"/>
      <c r="MDF10" s="97"/>
      <c r="MDG10" s="97"/>
      <c r="MDH10" s="97"/>
      <c r="MDI10" s="97"/>
      <c r="MDJ10" s="97"/>
      <c r="MDK10" s="97"/>
      <c r="MDL10" s="97"/>
      <c r="MDM10" s="97"/>
      <c r="MDN10" s="97"/>
      <c r="MDO10" s="97"/>
      <c r="MDP10" s="97"/>
      <c r="MDQ10" s="97"/>
      <c r="MDR10" s="97"/>
      <c r="MDS10" s="97"/>
      <c r="MDT10" s="97"/>
      <c r="MDU10" s="97"/>
      <c r="MDV10" s="97"/>
      <c r="MDW10" s="97"/>
      <c r="MDX10" s="97"/>
      <c r="MDY10" s="97"/>
      <c r="MDZ10" s="97"/>
      <c r="MEA10" s="97"/>
      <c r="MEB10" s="97"/>
      <c r="MEC10" s="97"/>
      <c r="MED10" s="97"/>
      <c r="MEE10" s="97"/>
      <c r="MEF10" s="97"/>
      <c r="MEG10" s="97"/>
      <c r="MEH10" s="97"/>
      <c r="MEI10" s="97"/>
      <c r="MEJ10" s="97"/>
      <c r="MEK10" s="97"/>
      <c r="MEL10" s="97"/>
      <c r="MEM10" s="97"/>
      <c r="MEN10" s="97"/>
      <c r="MEO10" s="97"/>
      <c r="MEP10" s="97"/>
      <c r="MEQ10" s="97"/>
      <c r="MER10" s="97"/>
      <c r="MES10" s="97"/>
      <c r="MET10" s="97"/>
      <c r="MEU10" s="97"/>
      <c r="MEV10" s="97"/>
      <c r="MEW10" s="97"/>
      <c r="MEX10" s="97"/>
      <c r="MEY10" s="97"/>
      <c r="MEZ10" s="97"/>
      <c r="MFA10" s="97"/>
      <c r="MFB10" s="97"/>
      <c r="MFC10" s="97"/>
      <c r="MFD10" s="97"/>
      <c r="MFE10" s="97"/>
      <c r="MFF10" s="97"/>
      <c r="MFG10" s="97"/>
      <c r="MFH10" s="97"/>
      <c r="MFI10" s="97"/>
      <c r="MFJ10" s="97"/>
      <c r="MFK10" s="97"/>
      <c r="MFL10" s="97"/>
      <c r="MFM10" s="97"/>
      <c r="MFN10" s="97"/>
      <c r="MFO10" s="97"/>
      <c r="MFP10" s="97"/>
      <c r="MFQ10" s="97"/>
      <c r="MFR10" s="97"/>
      <c r="MFS10" s="97"/>
      <c r="MFT10" s="97"/>
      <c r="MFU10" s="97"/>
      <c r="MFV10" s="97"/>
      <c r="MFW10" s="97"/>
      <c r="MFX10" s="97"/>
      <c r="MFY10" s="97"/>
      <c r="MFZ10" s="97"/>
      <c r="MGA10" s="97"/>
      <c r="MGB10" s="97"/>
      <c r="MGC10" s="97"/>
      <c r="MGD10" s="97"/>
      <c r="MGE10" s="97"/>
      <c r="MGF10" s="97"/>
      <c r="MGG10" s="97"/>
      <c r="MGH10" s="97"/>
      <c r="MGI10" s="97"/>
      <c r="MGJ10" s="97"/>
      <c r="MGK10" s="97"/>
      <c r="MGL10" s="97"/>
      <c r="MGM10" s="97"/>
      <c r="MGN10" s="97"/>
      <c r="MGO10" s="97"/>
      <c r="MGP10" s="97"/>
      <c r="MGQ10" s="97"/>
      <c r="MGR10" s="97"/>
      <c r="MGS10" s="97"/>
      <c r="MGT10" s="97"/>
      <c r="MGU10" s="97"/>
      <c r="MGV10" s="97"/>
      <c r="MGW10" s="97"/>
      <c r="MGX10" s="97"/>
      <c r="MGY10" s="97"/>
      <c r="MGZ10" s="97"/>
      <c r="MHA10" s="97"/>
      <c r="MHB10" s="97"/>
      <c r="MHC10" s="97"/>
      <c r="MHD10" s="97"/>
      <c r="MHE10" s="97"/>
      <c r="MHF10" s="97"/>
      <c r="MHG10" s="97"/>
      <c r="MHH10" s="97"/>
      <c r="MHI10" s="97"/>
      <c r="MHJ10" s="97"/>
      <c r="MHK10" s="97"/>
      <c r="MHL10" s="97"/>
      <c r="MHM10" s="97"/>
      <c r="MHN10" s="97"/>
      <c r="MHO10" s="97"/>
      <c r="MHP10" s="97"/>
      <c r="MHQ10" s="97"/>
      <c r="MHR10" s="97"/>
      <c r="MHS10" s="97"/>
      <c r="MHT10" s="97"/>
      <c r="MHU10" s="97"/>
      <c r="MHV10" s="97"/>
      <c r="MHW10" s="97"/>
      <c r="MHX10" s="97"/>
      <c r="MHY10" s="97"/>
      <c r="MHZ10" s="97"/>
      <c r="MIA10" s="97"/>
      <c r="MIB10" s="97"/>
      <c r="MIC10" s="97"/>
      <c r="MID10" s="97"/>
      <c r="MIE10" s="97"/>
      <c r="MIF10" s="97"/>
      <c r="MIG10" s="97"/>
      <c r="MIH10" s="97"/>
      <c r="MII10" s="97"/>
      <c r="MIJ10" s="97"/>
      <c r="MIK10" s="97"/>
      <c r="MIL10" s="97"/>
      <c r="MIM10" s="97"/>
      <c r="MIN10" s="97"/>
      <c r="MIO10" s="97"/>
      <c r="MIP10" s="97"/>
      <c r="MIQ10" s="97"/>
      <c r="MIR10" s="97"/>
      <c r="MIS10" s="97"/>
      <c r="MIT10" s="97"/>
      <c r="MIU10" s="97"/>
      <c r="MIV10" s="97"/>
      <c r="MIW10" s="97"/>
      <c r="MIX10" s="97"/>
      <c r="MIY10" s="97"/>
      <c r="MIZ10" s="97"/>
      <c r="MJA10" s="97"/>
      <c r="MJB10" s="97"/>
      <c r="MJC10" s="97"/>
      <c r="MJD10" s="97"/>
      <c r="MJE10" s="97"/>
      <c r="MJF10" s="97"/>
      <c r="MJG10" s="97"/>
      <c r="MJH10" s="97"/>
      <c r="MJI10" s="97"/>
      <c r="MJJ10" s="97"/>
      <c r="MJK10" s="97"/>
      <c r="MJL10" s="97"/>
      <c r="MJM10" s="97"/>
      <c r="MJN10" s="97"/>
      <c r="MJO10" s="97"/>
      <c r="MJP10" s="97"/>
      <c r="MJQ10" s="97"/>
      <c r="MJR10" s="97"/>
      <c r="MJS10" s="97"/>
      <c r="MJT10" s="97"/>
      <c r="MJU10" s="97"/>
      <c r="MJV10" s="97"/>
      <c r="MJW10" s="97"/>
      <c r="MJX10" s="97"/>
      <c r="MJY10" s="97"/>
      <c r="MJZ10" s="97"/>
      <c r="MKA10" s="97"/>
      <c r="MKB10" s="97"/>
      <c r="MKC10" s="97"/>
      <c r="MKD10" s="97"/>
      <c r="MKE10" s="97"/>
      <c r="MKF10" s="97"/>
      <c r="MKG10" s="97"/>
      <c r="MKH10" s="97"/>
      <c r="MKI10" s="97"/>
      <c r="MKJ10" s="97"/>
      <c r="MKK10" s="97"/>
      <c r="MKL10" s="97"/>
      <c r="MKM10" s="97"/>
      <c r="MKN10" s="97"/>
      <c r="MKO10" s="97"/>
      <c r="MKP10" s="97"/>
      <c r="MKQ10" s="97"/>
      <c r="MKR10" s="97"/>
      <c r="MKS10" s="97"/>
      <c r="MKT10" s="97"/>
      <c r="MKU10" s="97"/>
      <c r="MKV10" s="97"/>
      <c r="MKW10" s="97"/>
      <c r="MKX10" s="97"/>
      <c r="MKY10" s="97"/>
      <c r="MKZ10" s="97"/>
      <c r="MLA10" s="97"/>
      <c r="MLB10" s="97"/>
      <c r="MLC10" s="97"/>
      <c r="MLD10" s="97"/>
      <c r="MLE10" s="97"/>
      <c r="MLF10" s="97"/>
      <c r="MLG10" s="97"/>
      <c r="MLH10" s="97"/>
      <c r="MLI10" s="97"/>
      <c r="MLJ10" s="97"/>
      <c r="MLK10" s="97"/>
      <c r="MLL10" s="97"/>
      <c r="MLM10" s="97"/>
      <c r="MLN10" s="97"/>
      <c r="MLO10" s="97"/>
      <c r="MLP10" s="97"/>
      <c r="MLQ10" s="97"/>
      <c r="MLR10" s="97"/>
      <c r="MLS10" s="97"/>
      <c r="MLT10" s="97"/>
      <c r="MLU10" s="97"/>
      <c r="MLV10" s="97"/>
      <c r="MLW10" s="97"/>
      <c r="MLX10" s="97"/>
      <c r="MLY10" s="97"/>
      <c r="MLZ10" s="97"/>
      <c r="MMA10" s="97"/>
      <c r="MMB10" s="97"/>
      <c r="MMC10" s="97"/>
      <c r="MMD10" s="97"/>
      <c r="MME10" s="97"/>
      <c r="MMF10" s="97"/>
      <c r="MMG10" s="97"/>
      <c r="MMH10" s="97"/>
      <c r="MMI10" s="97"/>
      <c r="MMJ10" s="97"/>
      <c r="MMK10" s="97"/>
      <c r="MML10" s="97"/>
      <c r="MMM10" s="97"/>
      <c r="MMN10" s="97"/>
      <c r="MMO10" s="97"/>
      <c r="MMP10" s="97"/>
      <c r="MMQ10" s="97"/>
      <c r="MMR10" s="97"/>
      <c r="MMS10" s="97"/>
      <c r="MMT10" s="97"/>
      <c r="MMU10" s="97"/>
      <c r="MMV10" s="97"/>
      <c r="MMW10" s="97"/>
      <c r="MMX10" s="97"/>
      <c r="MMY10" s="97"/>
      <c r="MMZ10" s="97"/>
      <c r="MNA10" s="97"/>
      <c r="MNB10" s="97"/>
      <c r="MNC10" s="97"/>
      <c r="MND10" s="97"/>
      <c r="MNE10" s="97"/>
      <c r="MNF10" s="97"/>
      <c r="MNG10" s="97"/>
      <c r="MNH10" s="97"/>
      <c r="MNI10" s="97"/>
      <c r="MNJ10" s="97"/>
      <c r="MNK10" s="97"/>
      <c r="MNL10" s="97"/>
      <c r="MNM10" s="97"/>
      <c r="MNN10" s="97"/>
      <c r="MNO10" s="97"/>
      <c r="MNP10" s="97"/>
      <c r="MNQ10" s="97"/>
      <c r="MNR10" s="97"/>
      <c r="MNS10" s="97"/>
      <c r="MNT10" s="97"/>
      <c r="MNU10" s="97"/>
      <c r="MNV10" s="97"/>
      <c r="MNW10" s="97"/>
      <c r="MNX10" s="97"/>
      <c r="MNY10" s="97"/>
      <c r="MNZ10" s="97"/>
      <c r="MOA10" s="97"/>
      <c r="MOB10" s="97"/>
      <c r="MOC10" s="97"/>
      <c r="MOD10" s="97"/>
      <c r="MOE10" s="97"/>
      <c r="MOF10" s="97"/>
      <c r="MOG10" s="97"/>
      <c r="MOH10" s="97"/>
      <c r="MOI10" s="97"/>
      <c r="MOJ10" s="97"/>
      <c r="MOK10" s="97"/>
      <c r="MOL10" s="97"/>
      <c r="MOM10" s="97"/>
      <c r="MON10" s="97"/>
      <c r="MOO10" s="97"/>
      <c r="MOP10" s="97"/>
      <c r="MOQ10" s="97"/>
      <c r="MOR10" s="97"/>
      <c r="MOS10" s="97"/>
      <c r="MOT10" s="97"/>
      <c r="MOU10" s="97"/>
      <c r="MOV10" s="97"/>
      <c r="MOW10" s="97"/>
      <c r="MOX10" s="97"/>
      <c r="MOY10" s="97"/>
      <c r="MOZ10" s="97"/>
      <c r="MPA10" s="97"/>
      <c r="MPB10" s="97"/>
      <c r="MPC10" s="97"/>
      <c r="MPD10" s="97"/>
      <c r="MPE10" s="97"/>
      <c r="MPF10" s="97"/>
      <c r="MPG10" s="97"/>
      <c r="MPH10" s="97"/>
      <c r="MPI10" s="97"/>
      <c r="MPJ10" s="97"/>
      <c r="MPK10" s="97"/>
      <c r="MPL10" s="97"/>
      <c r="MPM10" s="97"/>
      <c r="MPN10" s="97"/>
      <c r="MPO10" s="97"/>
      <c r="MPP10" s="97"/>
      <c r="MPQ10" s="97"/>
      <c r="MPR10" s="97"/>
      <c r="MPS10" s="97"/>
      <c r="MPT10" s="97"/>
      <c r="MPU10" s="97"/>
      <c r="MPV10" s="97"/>
      <c r="MPW10" s="97"/>
      <c r="MPX10" s="97"/>
      <c r="MPY10" s="97"/>
      <c r="MPZ10" s="97"/>
      <c r="MQA10" s="97"/>
      <c r="MQB10" s="97"/>
      <c r="MQC10" s="97"/>
      <c r="MQD10" s="97"/>
      <c r="MQE10" s="97"/>
      <c r="MQF10" s="97"/>
      <c r="MQG10" s="97"/>
      <c r="MQH10" s="97"/>
      <c r="MQI10" s="97"/>
      <c r="MQJ10" s="97"/>
      <c r="MQK10" s="97"/>
      <c r="MQL10" s="97"/>
      <c r="MQM10" s="97"/>
      <c r="MQN10" s="97"/>
      <c r="MQO10" s="97"/>
      <c r="MQP10" s="97"/>
      <c r="MQQ10" s="97"/>
      <c r="MQR10" s="97"/>
      <c r="MQS10" s="97"/>
      <c r="MQT10" s="97"/>
      <c r="MQU10" s="97"/>
      <c r="MQV10" s="97"/>
      <c r="MQW10" s="97"/>
      <c r="MQX10" s="97"/>
      <c r="MQY10" s="97"/>
      <c r="MQZ10" s="97"/>
      <c r="MRA10" s="97"/>
      <c r="MRB10" s="97"/>
      <c r="MRC10" s="97"/>
      <c r="MRD10" s="97"/>
      <c r="MRE10" s="97"/>
      <c r="MRF10" s="97"/>
      <c r="MRG10" s="97"/>
      <c r="MRH10" s="97"/>
      <c r="MRI10" s="97"/>
      <c r="MRJ10" s="97"/>
      <c r="MRK10" s="97"/>
      <c r="MRL10" s="97"/>
      <c r="MRM10" s="97"/>
      <c r="MRN10" s="97"/>
      <c r="MRO10" s="97"/>
      <c r="MRP10" s="97"/>
      <c r="MRQ10" s="97"/>
      <c r="MRR10" s="97"/>
      <c r="MRS10" s="97"/>
      <c r="MRT10" s="97"/>
      <c r="MRU10" s="97"/>
      <c r="MRV10" s="97"/>
      <c r="MRW10" s="97"/>
      <c r="MRX10" s="97"/>
      <c r="MRY10" s="97"/>
      <c r="MRZ10" s="97"/>
      <c r="MSA10" s="97"/>
      <c r="MSB10" s="97"/>
      <c r="MSC10" s="97"/>
      <c r="MSD10" s="97"/>
      <c r="MSE10" s="97"/>
      <c r="MSF10" s="97"/>
      <c r="MSG10" s="97"/>
      <c r="MSH10" s="97"/>
      <c r="MSI10" s="97"/>
      <c r="MSJ10" s="97"/>
      <c r="MSK10" s="97"/>
      <c r="MSL10" s="97"/>
      <c r="MSM10" s="97"/>
      <c r="MSN10" s="97"/>
      <c r="MSO10" s="97"/>
      <c r="MSP10" s="97"/>
      <c r="MSQ10" s="97"/>
      <c r="MSR10" s="97"/>
      <c r="MSS10" s="97"/>
      <c r="MST10" s="97"/>
      <c r="MSU10" s="97"/>
      <c r="MSV10" s="97"/>
      <c r="MSW10" s="97"/>
      <c r="MSX10" s="97"/>
      <c r="MSY10" s="97"/>
      <c r="MSZ10" s="97"/>
      <c r="MTA10" s="97"/>
      <c r="MTB10" s="97"/>
      <c r="MTC10" s="97"/>
      <c r="MTD10" s="97"/>
      <c r="MTE10" s="97"/>
      <c r="MTF10" s="97"/>
      <c r="MTG10" s="97"/>
      <c r="MTH10" s="97"/>
      <c r="MTI10" s="97"/>
      <c r="MTJ10" s="97"/>
      <c r="MTK10" s="97"/>
      <c r="MTL10" s="97"/>
      <c r="MTM10" s="97"/>
      <c r="MTN10" s="97"/>
      <c r="MTO10" s="97"/>
      <c r="MTP10" s="97"/>
      <c r="MTQ10" s="97"/>
      <c r="MTR10" s="97"/>
      <c r="MTS10" s="97"/>
      <c r="MTT10" s="97"/>
      <c r="MTU10" s="97"/>
      <c r="MTV10" s="97"/>
      <c r="MTW10" s="97"/>
      <c r="MTX10" s="97"/>
      <c r="MTY10" s="97"/>
      <c r="MTZ10" s="97"/>
      <c r="MUA10" s="97"/>
      <c r="MUB10" s="97"/>
      <c r="MUC10" s="97"/>
      <c r="MUD10" s="97"/>
      <c r="MUE10" s="97"/>
      <c r="MUF10" s="97"/>
      <c r="MUG10" s="97"/>
      <c r="MUH10" s="97"/>
      <c r="MUI10" s="97"/>
      <c r="MUJ10" s="97"/>
      <c r="MUK10" s="97"/>
      <c r="MUL10" s="97"/>
      <c r="MUM10" s="97"/>
      <c r="MUN10" s="97"/>
      <c r="MUO10" s="97"/>
      <c r="MUP10" s="97"/>
      <c r="MUQ10" s="97"/>
      <c r="MUR10" s="97"/>
      <c r="MUS10" s="97"/>
      <c r="MUT10" s="97"/>
      <c r="MUU10" s="97"/>
      <c r="MUV10" s="97"/>
      <c r="MUW10" s="97"/>
      <c r="MUX10" s="97"/>
      <c r="MUY10" s="97"/>
      <c r="MUZ10" s="97"/>
      <c r="MVA10" s="97"/>
      <c r="MVB10" s="97"/>
      <c r="MVC10" s="97"/>
      <c r="MVD10" s="97"/>
      <c r="MVE10" s="97"/>
      <c r="MVF10" s="97"/>
      <c r="MVG10" s="97"/>
      <c r="MVH10" s="97"/>
      <c r="MVI10" s="97"/>
      <c r="MVJ10" s="97"/>
      <c r="MVK10" s="97"/>
      <c r="MVL10" s="97"/>
      <c r="MVM10" s="97"/>
      <c r="MVN10" s="97"/>
      <c r="MVO10" s="97"/>
      <c r="MVP10" s="97"/>
      <c r="MVQ10" s="97"/>
      <c r="MVR10" s="97"/>
      <c r="MVS10" s="97"/>
      <c r="MVT10" s="97"/>
      <c r="MVU10" s="97"/>
      <c r="MVV10" s="97"/>
      <c r="MVW10" s="97"/>
      <c r="MVX10" s="97"/>
      <c r="MVY10" s="97"/>
      <c r="MVZ10" s="97"/>
      <c r="MWA10" s="97"/>
      <c r="MWB10" s="97"/>
      <c r="MWC10" s="97"/>
      <c r="MWD10" s="97"/>
      <c r="MWE10" s="97"/>
      <c r="MWF10" s="97"/>
      <c r="MWG10" s="97"/>
      <c r="MWH10" s="97"/>
      <c r="MWI10" s="97"/>
      <c r="MWJ10" s="97"/>
      <c r="MWK10" s="97"/>
      <c r="MWL10" s="97"/>
      <c r="MWM10" s="97"/>
      <c r="MWN10" s="97"/>
      <c r="MWO10" s="97"/>
      <c r="MWP10" s="97"/>
      <c r="MWQ10" s="97"/>
      <c r="MWR10" s="97"/>
      <c r="MWS10" s="97"/>
      <c r="MWT10" s="97"/>
      <c r="MWU10" s="97"/>
      <c r="MWV10" s="97"/>
      <c r="MWW10" s="97"/>
      <c r="MWX10" s="97"/>
      <c r="MWY10" s="97"/>
      <c r="MWZ10" s="97"/>
      <c r="MXA10" s="97"/>
      <c r="MXB10" s="97"/>
      <c r="MXC10" s="97"/>
      <c r="MXD10" s="97"/>
      <c r="MXE10" s="97"/>
      <c r="MXF10" s="97"/>
      <c r="MXG10" s="97"/>
      <c r="MXH10" s="97"/>
      <c r="MXI10" s="97"/>
      <c r="MXJ10" s="97"/>
      <c r="MXK10" s="97"/>
      <c r="MXL10" s="97"/>
      <c r="MXM10" s="97"/>
      <c r="MXN10" s="97"/>
      <c r="MXO10" s="97"/>
      <c r="MXP10" s="97"/>
      <c r="MXQ10" s="97"/>
      <c r="MXR10" s="97"/>
      <c r="MXS10" s="97"/>
      <c r="MXT10" s="97"/>
      <c r="MXU10" s="97"/>
      <c r="MXV10" s="97"/>
      <c r="MXW10" s="97"/>
      <c r="MXX10" s="97"/>
      <c r="MXY10" s="97"/>
      <c r="MXZ10" s="97"/>
      <c r="MYA10" s="97"/>
      <c r="MYB10" s="97"/>
      <c r="MYC10" s="97"/>
      <c r="MYD10" s="97"/>
      <c r="MYE10" s="97"/>
      <c r="MYF10" s="97"/>
      <c r="MYG10" s="97"/>
      <c r="MYH10" s="97"/>
      <c r="MYI10" s="97"/>
      <c r="MYJ10" s="97"/>
      <c r="MYK10" s="97"/>
      <c r="MYL10" s="97"/>
      <c r="MYM10" s="97"/>
      <c r="MYN10" s="97"/>
      <c r="MYO10" s="97"/>
      <c r="MYP10" s="97"/>
      <c r="MYQ10" s="97"/>
      <c r="MYR10" s="97"/>
      <c r="MYS10" s="97"/>
      <c r="MYT10" s="97"/>
      <c r="MYU10" s="97"/>
      <c r="MYV10" s="97"/>
      <c r="MYW10" s="97"/>
      <c r="MYX10" s="97"/>
      <c r="MYY10" s="97"/>
      <c r="MYZ10" s="97"/>
      <c r="MZA10" s="97"/>
      <c r="MZB10" s="97"/>
      <c r="MZC10" s="97"/>
      <c r="MZD10" s="97"/>
      <c r="MZE10" s="97"/>
      <c r="MZF10" s="97"/>
      <c r="MZG10" s="97"/>
      <c r="MZH10" s="97"/>
      <c r="MZI10" s="97"/>
      <c r="MZJ10" s="97"/>
      <c r="MZK10" s="97"/>
      <c r="MZL10" s="97"/>
      <c r="MZM10" s="97"/>
      <c r="MZN10" s="97"/>
      <c r="MZO10" s="97"/>
      <c r="MZP10" s="97"/>
      <c r="MZQ10" s="97"/>
      <c r="MZR10" s="97"/>
      <c r="MZS10" s="97"/>
      <c r="MZT10" s="97"/>
      <c r="MZU10" s="97"/>
      <c r="MZV10" s="97"/>
      <c r="MZW10" s="97"/>
      <c r="MZX10" s="97"/>
      <c r="MZY10" s="97"/>
      <c r="MZZ10" s="97"/>
      <c r="NAA10" s="97"/>
      <c r="NAB10" s="97"/>
      <c r="NAC10" s="97"/>
      <c r="NAD10" s="97"/>
      <c r="NAE10" s="97"/>
      <c r="NAF10" s="97"/>
      <c r="NAG10" s="97"/>
      <c r="NAH10" s="97"/>
      <c r="NAI10" s="97"/>
      <c r="NAJ10" s="97"/>
      <c r="NAK10" s="97"/>
      <c r="NAL10" s="97"/>
      <c r="NAM10" s="97"/>
      <c r="NAN10" s="97"/>
      <c r="NAO10" s="97"/>
      <c r="NAP10" s="97"/>
      <c r="NAQ10" s="97"/>
      <c r="NAR10" s="97"/>
      <c r="NAS10" s="97"/>
      <c r="NAT10" s="97"/>
      <c r="NAU10" s="97"/>
      <c r="NAV10" s="97"/>
      <c r="NAW10" s="97"/>
      <c r="NAX10" s="97"/>
      <c r="NAY10" s="97"/>
      <c r="NAZ10" s="97"/>
      <c r="NBA10" s="97"/>
      <c r="NBB10" s="97"/>
      <c r="NBC10" s="97"/>
      <c r="NBD10" s="97"/>
      <c r="NBE10" s="97"/>
      <c r="NBF10" s="97"/>
      <c r="NBG10" s="97"/>
      <c r="NBH10" s="97"/>
      <c r="NBI10" s="97"/>
      <c r="NBJ10" s="97"/>
      <c r="NBK10" s="97"/>
      <c r="NBL10" s="97"/>
      <c r="NBM10" s="97"/>
      <c r="NBN10" s="97"/>
      <c r="NBO10" s="97"/>
      <c r="NBP10" s="97"/>
      <c r="NBQ10" s="97"/>
      <c r="NBR10" s="97"/>
      <c r="NBS10" s="97"/>
      <c r="NBT10" s="97"/>
      <c r="NBU10" s="97"/>
      <c r="NBV10" s="97"/>
      <c r="NBW10" s="97"/>
      <c r="NBX10" s="97"/>
      <c r="NBY10" s="97"/>
      <c r="NBZ10" s="97"/>
      <c r="NCA10" s="97"/>
      <c r="NCB10" s="97"/>
      <c r="NCC10" s="97"/>
      <c r="NCD10" s="97"/>
      <c r="NCE10" s="97"/>
      <c r="NCF10" s="97"/>
      <c r="NCG10" s="97"/>
      <c r="NCH10" s="97"/>
      <c r="NCI10" s="97"/>
      <c r="NCJ10" s="97"/>
      <c r="NCK10" s="97"/>
      <c r="NCL10" s="97"/>
      <c r="NCM10" s="97"/>
      <c r="NCN10" s="97"/>
      <c r="NCO10" s="97"/>
      <c r="NCP10" s="97"/>
      <c r="NCQ10" s="97"/>
      <c r="NCR10" s="97"/>
      <c r="NCS10" s="97"/>
      <c r="NCT10" s="97"/>
      <c r="NCU10" s="97"/>
      <c r="NCV10" s="97"/>
      <c r="NCW10" s="97"/>
      <c r="NCX10" s="97"/>
      <c r="NCY10" s="97"/>
      <c r="NCZ10" s="97"/>
      <c r="NDA10" s="97"/>
      <c r="NDB10" s="97"/>
      <c r="NDC10" s="97"/>
      <c r="NDD10" s="97"/>
      <c r="NDE10" s="97"/>
      <c r="NDF10" s="97"/>
      <c r="NDG10" s="97"/>
      <c r="NDH10" s="97"/>
      <c r="NDI10" s="97"/>
      <c r="NDJ10" s="97"/>
      <c r="NDK10" s="97"/>
      <c r="NDL10" s="97"/>
      <c r="NDM10" s="97"/>
      <c r="NDN10" s="97"/>
      <c r="NDO10" s="97"/>
      <c r="NDP10" s="97"/>
      <c r="NDQ10" s="97"/>
      <c r="NDR10" s="97"/>
      <c r="NDS10" s="97"/>
      <c r="NDT10" s="97"/>
      <c r="NDU10" s="97"/>
      <c r="NDV10" s="97"/>
      <c r="NDW10" s="97"/>
      <c r="NDX10" s="97"/>
      <c r="NDY10" s="97"/>
      <c r="NDZ10" s="97"/>
      <c r="NEA10" s="97"/>
      <c r="NEB10" s="97"/>
      <c r="NEC10" s="97"/>
      <c r="NED10" s="97"/>
      <c r="NEE10" s="97"/>
      <c r="NEF10" s="97"/>
      <c r="NEG10" s="97"/>
      <c r="NEH10" s="97"/>
      <c r="NEI10" s="97"/>
      <c r="NEJ10" s="97"/>
      <c r="NEK10" s="97"/>
      <c r="NEL10" s="97"/>
      <c r="NEM10" s="97"/>
      <c r="NEN10" s="97"/>
      <c r="NEO10" s="97"/>
      <c r="NEP10" s="97"/>
      <c r="NEQ10" s="97"/>
      <c r="NER10" s="97"/>
      <c r="NES10" s="97"/>
      <c r="NET10" s="97"/>
      <c r="NEU10" s="97"/>
      <c r="NEV10" s="97"/>
      <c r="NEW10" s="97"/>
      <c r="NEX10" s="97"/>
      <c r="NEY10" s="97"/>
      <c r="NEZ10" s="97"/>
      <c r="NFA10" s="97"/>
      <c r="NFB10" s="97"/>
      <c r="NFC10" s="97"/>
      <c r="NFD10" s="97"/>
      <c r="NFE10" s="97"/>
      <c r="NFF10" s="97"/>
      <c r="NFG10" s="97"/>
      <c r="NFH10" s="97"/>
      <c r="NFI10" s="97"/>
      <c r="NFJ10" s="97"/>
      <c r="NFK10" s="97"/>
      <c r="NFL10" s="97"/>
      <c r="NFM10" s="97"/>
      <c r="NFN10" s="97"/>
      <c r="NFO10" s="97"/>
      <c r="NFP10" s="97"/>
      <c r="NFQ10" s="97"/>
      <c r="NFR10" s="97"/>
      <c r="NFS10" s="97"/>
      <c r="NFT10" s="97"/>
      <c r="NFU10" s="97"/>
      <c r="NFV10" s="97"/>
      <c r="NFW10" s="97"/>
      <c r="NFX10" s="97"/>
      <c r="NFY10" s="97"/>
      <c r="NFZ10" s="97"/>
      <c r="NGA10" s="97"/>
      <c r="NGB10" s="97"/>
      <c r="NGC10" s="97"/>
      <c r="NGD10" s="97"/>
      <c r="NGE10" s="97"/>
      <c r="NGF10" s="97"/>
      <c r="NGG10" s="97"/>
      <c r="NGH10" s="97"/>
      <c r="NGI10" s="97"/>
      <c r="NGJ10" s="97"/>
      <c r="NGK10" s="97"/>
      <c r="NGL10" s="97"/>
      <c r="NGM10" s="97"/>
      <c r="NGN10" s="97"/>
      <c r="NGO10" s="97"/>
      <c r="NGP10" s="97"/>
      <c r="NGQ10" s="97"/>
      <c r="NGR10" s="97"/>
      <c r="NGS10" s="97"/>
      <c r="NGT10" s="97"/>
      <c r="NGU10" s="97"/>
      <c r="NGV10" s="97"/>
      <c r="NGW10" s="97"/>
      <c r="NGX10" s="97"/>
      <c r="NGY10" s="97"/>
      <c r="NGZ10" s="97"/>
      <c r="NHA10" s="97"/>
      <c r="NHB10" s="97"/>
      <c r="NHC10" s="97"/>
      <c r="NHD10" s="97"/>
      <c r="NHE10" s="97"/>
      <c r="NHF10" s="97"/>
      <c r="NHG10" s="97"/>
      <c r="NHH10" s="97"/>
      <c r="NHI10" s="97"/>
      <c r="NHJ10" s="97"/>
      <c r="NHK10" s="97"/>
      <c r="NHL10" s="97"/>
      <c r="NHM10" s="97"/>
      <c r="NHN10" s="97"/>
      <c r="NHO10" s="97"/>
      <c r="NHP10" s="97"/>
      <c r="NHQ10" s="97"/>
      <c r="NHR10" s="97"/>
      <c r="NHS10" s="97"/>
      <c r="NHT10" s="97"/>
      <c r="NHU10" s="97"/>
      <c r="NHV10" s="97"/>
      <c r="NHW10" s="97"/>
      <c r="NHX10" s="97"/>
      <c r="NHY10" s="97"/>
      <c r="NHZ10" s="97"/>
      <c r="NIA10" s="97"/>
      <c r="NIB10" s="97"/>
      <c r="NIC10" s="97"/>
      <c r="NID10" s="97"/>
      <c r="NIE10" s="97"/>
      <c r="NIF10" s="97"/>
      <c r="NIG10" s="97"/>
      <c r="NIH10" s="97"/>
      <c r="NII10" s="97"/>
      <c r="NIJ10" s="97"/>
      <c r="NIK10" s="97"/>
      <c r="NIL10" s="97"/>
      <c r="NIM10" s="97"/>
      <c r="NIN10" s="97"/>
      <c r="NIO10" s="97"/>
      <c r="NIP10" s="97"/>
      <c r="NIQ10" s="97"/>
      <c r="NIR10" s="97"/>
      <c r="NIS10" s="97"/>
      <c r="NIT10" s="97"/>
      <c r="NIU10" s="97"/>
      <c r="NIV10" s="97"/>
      <c r="NIW10" s="97"/>
      <c r="NIX10" s="97"/>
      <c r="NIY10" s="97"/>
      <c r="NIZ10" s="97"/>
      <c r="NJA10" s="97"/>
      <c r="NJB10" s="97"/>
      <c r="NJC10" s="97"/>
      <c r="NJD10" s="97"/>
      <c r="NJE10" s="97"/>
      <c r="NJF10" s="97"/>
      <c r="NJG10" s="97"/>
      <c r="NJH10" s="97"/>
      <c r="NJI10" s="97"/>
      <c r="NJJ10" s="97"/>
      <c r="NJK10" s="97"/>
      <c r="NJL10" s="97"/>
      <c r="NJM10" s="97"/>
      <c r="NJN10" s="97"/>
      <c r="NJO10" s="97"/>
      <c r="NJP10" s="97"/>
      <c r="NJQ10" s="97"/>
      <c r="NJR10" s="97"/>
      <c r="NJS10" s="97"/>
      <c r="NJT10" s="97"/>
      <c r="NJU10" s="97"/>
      <c r="NJV10" s="97"/>
      <c r="NJW10" s="97"/>
      <c r="NJX10" s="97"/>
      <c r="NJY10" s="97"/>
      <c r="NJZ10" s="97"/>
      <c r="NKA10" s="97"/>
      <c r="NKB10" s="97"/>
      <c r="NKC10" s="97"/>
      <c r="NKD10" s="97"/>
      <c r="NKE10" s="97"/>
      <c r="NKF10" s="97"/>
      <c r="NKG10" s="97"/>
      <c r="NKH10" s="97"/>
      <c r="NKI10" s="97"/>
      <c r="NKJ10" s="97"/>
      <c r="NKK10" s="97"/>
      <c r="NKL10" s="97"/>
      <c r="NKM10" s="97"/>
      <c r="NKN10" s="97"/>
      <c r="NKO10" s="97"/>
      <c r="NKP10" s="97"/>
      <c r="NKQ10" s="97"/>
      <c r="NKR10" s="97"/>
      <c r="NKS10" s="97"/>
      <c r="NKT10" s="97"/>
      <c r="NKU10" s="97"/>
      <c r="NKV10" s="97"/>
      <c r="NKW10" s="97"/>
      <c r="NKX10" s="97"/>
      <c r="NKY10" s="97"/>
      <c r="NKZ10" s="97"/>
      <c r="NLA10" s="97"/>
      <c r="NLB10" s="97"/>
      <c r="NLC10" s="97"/>
      <c r="NLD10" s="97"/>
      <c r="NLE10" s="97"/>
      <c r="NLF10" s="97"/>
      <c r="NLG10" s="97"/>
      <c r="NLH10" s="97"/>
      <c r="NLI10" s="97"/>
      <c r="NLJ10" s="97"/>
      <c r="NLK10" s="97"/>
      <c r="NLL10" s="97"/>
      <c r="NLM10" s="97"/>
      <c r="NLN10" s="97"/>
      <c r="NLO10" s="97"/>
      <c r="NLP10" s="97"/>
      <c r="NLQ10" s="97"/>
      <c r="NLR10" s="97"/>
      <c r="NLS10" s="97"/>
      <c r="NLT10" s="97"/>
      <c r="NLU10" s="97"/>
      <c r="NLV10" s="97"/>
      <c r="NLW10" s="97"/>
      <c r="NLX10" s="97"/>
      <c r="NLY10" s="97"/>
      <c r="NLZ10" s="97"/>
      <c r="NMA10" s="97"/>
      <c r="NMB10" s="97"/>
      <c r="NMC10" s="97"/>
      <c r="NMD10" s="97"/>
      <c r="NME10" s="97"/>
      <c r="NMF10" s="97"/>
      <c r="NMG10" s="97"/>
      <c r="NMH10" s="97"/>
      <c r="NMI10" s="97"/>
      <c r="NMJ10" s="97"/>
      <c r="NMK10" s="97"/>
      <c r="NML10" s="97"/>
      <c r="NMM10" s="97"/>
      <c r="NMN10" s="97"/>
      <c r="NMO10" s="97"/>
      <c r="NMP10" s="97"/>
      <c r="NMQ10" s="97"/>
      <c r="NMR10" s="97"/>
      <c r="NMS10" s="97"/>
      <c r="NMT10" s="97"/>
      <c r="NMU10" s="97"/>
      <c r="NMV10" s="97"/>
      <c r="NMW10" s="97"/>
      <c r="NMX10" s="97"/>
      <c r="NMY10" s="97"/>
      <c r="NMZ10" s="97"/>
      <c r="NNA10" s="97"/>
      <c r="NNB10" s="97"/>
      <c r="NNC10" s="97"/>
      <c r="NND10" s="97"/>
      <c r="NNE10" s="97"/>
      <c r="NNF10" s="97"/>
      <c r="NNG10" s="97"/>
      <c r="NNH10" s="97"/>
      <c r="NNI10" s="97"/>
      <c r="NNJ10" s="97"/>
      <c r="NNK10" s="97"/>
      <c r="NNL10" s="97"/>
      <c r="NNM10" s="97"/>
      <c r="NNN10" s="97"/>
      <c r="NNO10" s="97"/>
      <c r="NNP10" s="97"/>
      <c r="NNQ10" s="97"/>
      <c r="NNR10" s="97"/>
      <c r="NNS10" s="97"/>
      <c r="NNT10" s="97"/>
      <c r="NNU10" s="97"/>
      <c r="NNV10" s="97"/>
      <c r="NNW10" s="97"/>
      <c r="NNX10" s="97"/>
      <c r="NNY10" s="97"/>
      <c r="NNZ10" s="97"/>
      <c r="NOA10" s="97"/>
      <c r="NOB10" s="97"/>
      <c r="NOC10" s="97"/>
      <c r="NOD10" s="97"/>
      <c r="NOE10" s="97"/>
      <c r="NOF10" s="97"/>
      <c r="NOG10" s="97"/>
      <c r="NOH10" s="97"/>
      <c r="NOI10" s="97"/>
      <c r="NOJ10" s="97"/>
      <c r="NOK10" s="97"/>
      <c r="NOL10" s="97"/>
      <c r="NOM10" s="97"/>
      <c r="NON10" s="97"/>
      <c r="NOO10" s="97"/>
      <c r="NOP10" s="97"/>
      <c r="NOQ10" s="97"/>
      <c r="NOR10" s="97"/>
      <c r="NOS10" s="97"/>
      <c r="NOT10" s="97"/>
      <c r="NOU10" s="97"/>
      <c r="NOV10" s="97"/>
      <c r="NOW10" s="97"/>
      <c r="NOX10" s="97"/>
      <c r="NOY10" s="97"/>
      <c r="NOZ10" s="97"/>
      <c r="NPA10" s="97"/>
      <c r="NPB10" s="97"/>
      <c r="NPC10" s="97"/>
      <c r="NPD10" s="97"/>
      <c r="NPE10" s="97"/>
      <c r="NPF10" s="97"/>
      <c r="NPG10" s="97"/>
      <c r="NPH10" s="97"/>
      <c r="NPI10" s="97"/>
      <c r="NPJ10" s="97"/>
      <c r="NPK10" s="97"/>
      <c r="NPL10" s="97"/>
      <c r="NPM10" s="97"/>
      <c r="NPN10" s="97"/>
      <c r="NPO10" s="97"/>
      <c r="NPP10" s="97"/>
      <c r="NPQ10" s="97"/>
      <c r="NPR10" s="97"/>
      <c r="NPS10" s="97"/>
      <c r="NPT10" s="97"/>
      <c r="NPU10" s="97"/>
      <c r="NPV10" s="97"/>
      <c r="NPW10" s="97"/>
      <c r="NPX10" s="97"/>
      <c r="NPY10" s="97"/>
      <c r="NPZ10" s="97"/>
      <c r="NQA10" s="97"/>
      <c r="NQB10" s="97"/>
      <c r="NQC10" s="97"/>
      <c r="NQD10" s="97"/>
      <c r="NQE10" s="97"/>
      <c r="NQF10" s="97"/>
      <c r="NQG10" s="97"/>
      <c r="NQH10" s="97"/>
      <c r="NQI10" s="97"/>
      <c r="NQJ10" s="97"/>
      <c r="NQK10" s="97"/>
      <c r="NQL10" s="97"/>
      <c r="NQM10" s="97"/>
      <c r="NQN10" s="97"/>
      <c r="NQO10" s="97"/>
      <c r="NQP10" s="97"/>
      <c r="NQQ10" s="97"/>
      <c r="NQR10" s="97"/>
      <c r="NQS10" s="97"/>
      <c r="NQT10" s="97"/>
      <c r="NQU10" s="97"/>
      <c r="NQV10" s="97"/>
      <c r="NQW10" s="97"/>
      <c r="NQX10" s="97"/>
      <c r="NQY10" s="97"/>
      <c r="NQZ10" s="97"/>
      <c r="NRA10" s="97"/>
      <c r="NRB10" s="97"/>
      <c r="NRC10" s="97"/>
      <c r="NRD10" s="97"/>
      <c r="NRE10" s="97"/>
      <c r="NRF10" s="97"/>
      <c r="NRG10" s="97"/>
      <c r="NRH10" s="97"/>
      <c r="NRI10" s="97"/>
      <c r="NRJ10" s="97"/>
      <c r="NRK10" s="97"/>
      <c r="NRL10" s="97"/>
      <c r="NRM10" s="97"/>
      <c r="NRN10" s="97"/>
      <c r="NRO10" s="97"/>
      <c r="NRP10" s="97"/>
      <c r="NRQ10" s="97"/>
      <c r="NRR10" s="97"/>
      <c r="NRS10" s="97"/>
      <c r="NRT10" s="97"/>
      <c r="NRU10" s="97"/>
      <c r="NRV10" s="97"/>
      <c r="NRW10" s="97"/>
      <c r="NRX10" s="97"/>
      <c r="NRY10" s="97"/>
      <c r="NRZ10" s="97"/>
      <c r="NSA10" s="97"/>
      <c r="NSB10" s="97"/>
      <c r="NSC10" s="97"/>
      <c r="NSD10" s="97"/>
      <c r="NSE10" s="97"/>
      <c r="NSF10" s="97"/>
      <c r="NSG10" s="97"/>
      <c r="NSH10" s="97"/>
      <c r="NSI10" s="97"/>
      <c r="NSJ10" s="97"/>
      <c r="NSK10" s="97"/>
      <c r="NSL10" s="97"/>
      <c r="NSM10" s="97"/>
      <c r="NSN10" s="97"/>
      <c r="NSO10" s="97"/>
      <c r="NSP10" s="97"/>
      <c r="NSQ10" s="97"/>
      <c r="NSR10" s="97"/>
      <c r="NSS10" s="97"/>
      <c r="NST10" s="97"/>
      <c r="NSU10" s="97"/>
      <c r="NSV10" s="97"/>
      <c r="NSW10" s="97"/>
      <c r="NSX10" s="97"/>
      <c r="NSY10" s="97"/>
      <c r="NSZ10" s="97"/>
      <c r="NTA10" s="97"/>
      <c r="NTB10" s="97"/>
      <c r="NTC10" s="97"/>
      <c r="NTD10" s="97"/>
      <c r="NTE10" s="97"/>
      <c r="NTF10" s="97"/>
      <c r="NTG10" s="97"/>
      <c r="NTH10" s="97"/>
      <c r="NTI10" s="97"/>
      <c r="NTJ10" s="97"/>
      <c r="NTK10" s="97"/>
      <c r="NTL10" s="97"/>
      <c r="NTM10" s="97"/>
      <c r="NTN10" s="97"/>
      <c r="NTO10" s="97"/>
      <c r="NTP10" s="97"/>
      <c r="NTQ10" s="97"/>
      <c r="NTR10" s="97"/>
      <c r="NTS10" s="97"/>
      <c r="NTT10" s="97"/>
      <c r="NTU10" s="97"/>
      <c r="NTV10" s="97"/>
      <c r="NTW10" s="97"/>
      <c r="NTX10" s="97"/>
      <c r="NTY10" s="97"/>
      <c r="NTZ10" s="97"/>
      <c r="NUA10" s="97"/>
      <c r="NUB10" s="97"/>
      <c r="NUC10" s="97"/>
      <c r="NUD10" s="97"/>
      <c r="NUE10" s="97"/>
      <c r="NUF10" s="97"/>
      <c r="NUG10" s="97"/>
      <c r="NUH10" s="97"/>
      <c r="NUI10" s="97"/>
      <c r="NUJ10" s="97"/>
      <c r="NUK10" s="97"/>
      <c r="NUL10" s="97"/>
      <c r="NUM10" s="97"/>
      <c r="NUN10" s="97"/>
      <c r="NUO10" s="97"/>
      <c r="NUP10" s="97"/>
      <c r="NUQ10" s="97"/>
      <c r="NUR10" s="97"/>
      <c r="NUS10" s="97"/>
      <c r="NUT10" s="97"/>
      <c r="NUU10" s="97"/>
      <c r="NUV10" s="97"/>
      <c r="NUW10" s="97"/>
      <c r="NUX10" s="97"/>
      <c r="NUY10" s="97"/>
      <c r="NUZ10" s="97"/>
      <c r="NVA10" s="97"/>
      <c r="NVB10" s="97"/>
      <c r="NVC10" s="97"/>
      <c r="NVD10" s="97"/>
      <c r="NVE10" s="97"/>
      <c r="NVF10" s="97"/>
      <c r="NVG10" s="97"/>
      <c r="NVH10" s="97"/>
      <c r="NVI10" s="97"/>
      <c r="NVJ10" s="97"/>
      <c r="NVK10" s="97"/>
      <c r="NVL10" s="97"/>
      <c r="NVM10" s="97"/>
      <c r="NVN10" s="97"/>
      <c r="NVO10" s="97"/>
      <c r="NVP10" s="97"/>
      <c r="NVQ10" s="97"/>
      <c r="NVR10" s="97"/>
      <c r="NVS10" s="97"/>
      <c r="NVT10" s="97"/>
      <c r="NVU10" s="97"/>
      <c r="NVV10" s="97"/>
      <c r="NVW10" s="97"/>
      <c r="NVX10" s="97"/>
      <c r="NVY10" s="97"/>
      <c r="NVZ10" s="97"/>
      <c r="NWA10" s="97"/>
      <c r="NWB10" s="97"/>
      <c r="NWC10" s="97"/>
      <c r="NWD10" s="97"/>
      <c r="NWE10" s="97"/>
      <c r="NWF10" s="97"/>
      <c r="NWG10" s="97"/>
      <c r="NWH10" s="97"/>
      <c r="NWI10" s="97"/>
      <c r="NWJ10" s="97"/>
      <c r="NWK10" s="97"/>
      <c r="NWL10" s="97"/>
      <c r="NWM10" s="97"/>
      <c r="NWN10" s="97"/>
      <c r="NWO10" s="97"/>
      <c r="NWP10" s="97"/>
      <c r="NWQ10" s="97"/>
      <c r="NWR10" s="97"/>
      <c r="NWS10" s="97"/>
      <c r="NWT10" s="97"/>
      <c r="NWU10" s="97"/>
      <c r="NWV10" s="97"/>
      <c r="NWW10" s="97"/>
      <c r="NWX10" s="97"/>
      <c r="NWY10" s="97"/>
      <c r="NWZ10" s="97"/>
      <c r="NXA10" s="97"/>
      <c r="NXB10" s="97"/>
      <c r="NXC10" s="97"/>
      <c r="NXD10" s="97"/>
      <c r="NXE10" s="97"/>
      <c r="NXF10" s="97"/>
      <c r="NXG10" s="97"/>
      <c r="NXH10" s="97"/>
      <c r="NXI10" s="97"/>
      <c r="NXJ10" s="97"/>
      <c r="NXK10" s="97"/>
      <c r="NXL10" s="97"/>
      <c r="NXM10" s="97"/>
      <c r="NXN10" s="97"/>
      <c r="NXO10" s="97"/>
      <c r="NXP10" s="97"/>
      <c r="NXQ10" s="97"/>
      <c r="NXR10" s="97"/>
      <c r="NXS10" s="97"/>
      <c r="NXT10" s="97"/>
      <c r="NXU10" s="97"/>
      <c r="NXV10" s="97"/>
      <c r="NXW10" s="97"/>
      <c r="NXX10" s="97"/>
      <c r="NXY10" s="97"/>
      <c r="NXZ10" s="97"/>
      <c r="NYA10" s="97"/>
      <c r="NYB10" s="97"/>
      <c r="NYC10" s="97"/>
      <c r="NYD10" s="97"/>
      <c r="NYE10" s="97"/>
      <c r="NYF10" s="97"/>
      <c r="NYG10" s="97"/>
      <c r="NYH10" s="97"/>
      <c r="NYI10" s="97"/>
      <c r="NYJ10" s="97"/>
      <c r="NYK10" s="97"/>
      <c r="NYL10" s="97"/>
      <c r="NYM10" s="97"/>
      <c r="NYN10" s="97"/>
      <c r="NYO10" s="97"/>
      <c r="NYP10" s="97"/>
      <c r="NYQ10" s="97"/>
      <c r="NYR10" s="97"/>
      <c r="NYS10" s="97"/>
      <c r="NYT10" s="97"/>
      <c r="NYU10" s="97"/>
      <c r="NYV10" s="97"/>
      <c r="NYW10" s="97"/>
      <c r="NYX10" s="97"/>
      <c r="NYY10" s="97"/>
      <c r="NYZ10" s="97"/>
      <c r="NZA10" s="97"/>
      <c r="NZB10" s="97"/>
      <c r="NZC10" s="97"/>
      <c r="NZD10" s="97"/>
      <c r="NZE10" s="97"/>
      <c r="NZF10" s="97"/>
      <c r="NZG10" s="97"/>
      <c r="NZH10" s="97"/>
      <c r="NZI10" s="97"/>
      <c r="NZJ10" s="97"/>
      <c r="NZK10" s="97"/>
      <c r="NZL10" s="97"/>
      <c r="NZM10" s="97"/>
      <c r="NZN10" s="97"/>
      <c r="NZO10" s="97"/>
      <c r="NZP10" s="97"/>
      <c r="NZQ10" s="97"/>
      <c r="NZR10" s="97"/>
      <c r="NZS10" s="97"/>
      <c r="NZT10" s="97"/>
      <c r="NZU10" s="97"/>
      <c r="NZV10" s="97"/>
      <c r="NZW10" s="97"/>
      <c r="NZX10" s="97"/>
      <c r="NZY10" s="97"/>
      <c r="NZZ10" s="97"/>
      <c r="OAA10" s="97"/>
      <c r="OAB10" s="97"/>
      <c r="OAC10" s="97"/>
      <c r="OAD10" s="97"/>
      <c r="OAE10" s="97"/>
      <c r="OAF10" s="97"/>
      <c r="OAG10" s="97"/>
      <c r="OAH10" s="97"/>
      <c r="OAI10" s="97"/>
      <c r="OAJ10" s="97"/>
      <c r="OAK10" s="97"/>
      <c r="OAL10" s="97"/>
      <c r="OAM10" s="97"/>
      <c r="OAN10" s="97"/>
      <c r="OAO10" s="97"/>
      <c r="OAP10" s="97"/>
      <c r="OAQ10" s="97"/>
      <c r="OAR10" s="97"/>
      <c r="OAS10" s="97"/>
      <c r="OAT10" s="97"/>
      <c r="OAU10" s="97"/>
      <c r="OAV10" s="97"/>
      <c r="OAW10" s="97"/>
      <c r="OAX10" s="97"/>
      <c r="OAY10" s="97"/>
      <c r="OAZ10" s="97"/>
      <c r="OBA10" s="97"/>
      <c r="OBB10" s="97"/>
      <c r="OBC10" s="97"/>
      <c r="OBD10" s="97"/>
      <c r="OBE10" s="97"/>
      <c r="OBF10" s="97"/>
      <c r="OBG10" s="97"/>
      <c r="OBH10" s="97"/>
      <c r="OBI10" s="97"/>
      <c r="OBJ10" s="97"/>
      <c r="OBK10" s="97"/>
      <c r="OBL10" s="97"/>
      <c r="OBM10" s="97"/>
      <c r="OBN10" s="97"/>
      <c r="OBO10" s="97"/>
      <c r="OBP10" s="97"/>
      <c r="OBQ10" s="97"/>
      <c r="OBR10" s="97"/>
      <c r="OBS10" s="97"/>
      <c r="OBT10" s="97"/>
      <c r="OBU10" s="97"/>
      <c r="OBV10" s="97"/>
      <c r="OBW10" s="97"/>
      <c r="OBX10" s="97"/>
      <c r="OBY10" s="97"/>
      <c r="OBZ10" s="97"/>
      <c r="OCA10" s="97"/>
      <c r="OCB10" s="97"/>
      <c r="OCC10" s="97"/>
      <c r="OCD10" s="97"/>
      <c r="OCE10" s="97"/>
      <c r="OCF10" s="97"/>
      <c r="OCG10" s="97"/>
      <c r="OCH10" s="97"/>
      <c r="OCI10" s="97"/>
      <c r="OCJ10" s="97"/>
      <c r="OCK10" s="97"/>
      <c r="OCL10" s="97"/>
      <c r="OCM10" s="97"/>
      <c r="OCN10" s="97"/>
      <c r="OCO10" s="97"/>
      <c r="OCP10" s="97"/>
      <c r="OCQ10" s="97"/>
      <c r="OCR10" s="97"/>
      <c r="OCS10" s="97"/>
      <c r="OCT10" s="97"/>
      <c r="OCU10" s="97"/>
      <c r="OCV10" s="97"/>
      <c r="OCW10" s="97"/>
      <c r="OCX10" s="97"/>
      <c r="OCY10" s="97"/>
      <c r="OCZ10" s="97"/>
      <c r="ODA10" s="97"/>
      <c r="ODB10" s="97"/>
      <c r="ODC10" s="97"/>
      <c r="ODD10" s="97"/>
      <c r="ODE10" s="97"/>
      <c r="ODF10" s="97"/>
      <c r="ODG10" s="97"/>
      <c r="ODH10" s="97"/>
      <c r="ODI10" s="97"/>
      <c r="ODJ10" s="97"/>
      <c r="ODK10" s="97"/>
      <c r="ODL10" s="97"/>
      <c r="ODM10" s="97"/>
      <c r="ODN10" s="97"/>
      <c r="ODO10" s="97"/>
      <c r="ODP10" s="97"/>
      <c r="ODQ10" s="97"/>
      <c r="ODR10" s="97"/>
      <c r="ODS10" s="97"/>
      <c r="ODT10" s="97"/>
      <c r="ODU10" s="97"/>
      <c r="ODV10" s="97"/>
      <c r="ODW10" s="97"/>
      <c r="ODX10" s="97"/>
      <c r="ODY10" s="97"/>
      <c r="ODZ10" s="97"/>
      <c r="OEA10" s="97"/>
      <c r="OEB10" s="97"/>
      <c r="OEC10" s="97"/>
      <c r="OED10" s="97"/>
      <c r="OEE10" s="97"/>
      <c r="OEF10" s="97"/>
      <c r="OEG10" s="97"/>
      <c r="OEH10" s="97"/>
      <c r="OEI10" s="97"/>
      <c r="OEJ10" s="97"/>
      <c r="OEK10" s="97"/>
      <c r="OEL10" s="97"/>
      <c r="OEM10" s="97"/>
      <c r="OEN10" s="97"/>
      <c r="OEO10" s="97"/>
      <c r="OEP10" s="97"/>
      <c r="OEQ10" s="97"/>
      <c r="OER10" s="97"/>
      <c r="OES10" s="97"/>
      <c r="OET10" s="97"/>
      <c r="OEU10" s="97"/>
      <c r="OEV10" s="97"/>
      <c r="OEW10" s="97"/>
      <c r="OEX10" s="97"/>
      <c r="OEY10" s="97"/>
      <c r="OEZ10" s="97"/>
      <c r="OFA10" s="97"/>
      <c r="OFB10" s="97"/>
      <c r="OFC10" s="97"/>
      <c r="OFD10" s="97"/>
      <c r="OFE10" s="97"/>
      <c r="OFF10" s="97"/>
      <c r="OFG10" s="97"/>
      <c r="OFH10" s="97"/>
      <c r="OFI10" s="97"/>
      <c r="OFJ10" s="97"/>
      <c r="OFK10" s="97"/>
      <c r="OFL10" s="97"/>
      <c r="OFM10" s="97"/>
      <c r="OFN10" s="97"/>
      <c r="OFO10" s="97"/>
      <c r="OFP10" s="97"/>
      <c r="OFQ10" s="97"/>
      <c r="OFR10" s="97"/>
      <c r="OFS10" s="97"/>
      <c r="OFT10" s="97"/>
      <c r="OFU10" s="97"/>
      <c r="OFV10" s="97"/>
      <c r="OFW10" s="97"/>
      <c r="OFX10" s="97"/>
      <c r="OFY10" s="97"/>
      <c r="OFZ10" s="97"/>
      <c r="OGA10" s="97"/>
      <c r="OGB10" s="97"/>
      <c r="OGC10" s="97"/>
      <c r="OGD10" s="97"/>
      <c r="OGE10" s="97"/>
      <c r="OGF10" s="97"/>
      <c r="OGG10" s="97"/>
      <c r="OGH10" s="97"/>
      <c r="OGI10" s="97"/>
      <c r="OGJ10" s="97"/>
      <c r="OGK10" s="97"/>
      <c r="OGL10" s="97"/>
      <c r="OGM10" s="97"/>
      <c r="OGN10" s="97"/>
      <c r="OGO10" s="97"/>
      <c r="OGP10" s="97"/>
      <c r="OGQ10" s="97"/>
      <c r="OGR10" s="97"/>
      <c r="OGS10" s="97"/>
      <c r="OGT10" s="97"/>
      <c r="OGU10" s="97"/>
      <c r="OGV10" s="97"/>
      <c r="OGW10" s="97"/>
      <c r="OGX10" s="97"/>
      <c r="OGY10" s="97"/>
      <c r="OGZ10" s="97"/>
      <c r="OHA10" s="97"/>
      <c r="OHB10" s="97"/>
      <c r="OHC10" s="97"/>
      <c r="OHD10" s="97"/>
      <c r="OHE10" s="97"/>
      <c r="OHF10" s="97"/>
      <c r="OHG10" s="97"/>
      <c r="OHH10" s="97"/>
      <c r="OHI10" s="97"/>
      <c r="OHJ10" s="97"/>
      <c r="OHK10" s="97"/>
      <c r="OHL10" s="97"/>
      <c r="OHM10" s="97"/>
      <c r="OHN10" s="97"/>
      <c r="OHO10" s="97"/>
      <c r="OHP10" s="97"/>
      <c r="OHQ10" s="97"/>
      <c r="OHR10" s="97"/>
      <c r="OHS10" s="97"/>
      <c r="OHT10" s="97"/>
      <c r="OHU10" s="97"/>
      <c r="OHV10" s="97"/>
      <c r="OHW10" s="97"/>
      <c r="OHX10" s="97"/>
      <c r="OHY10" s="97"/>
      <c r="OHZ10" s="97"/>
      <c r="OIA10" s="97"/>
      <c r="OIB10" s="97"/>
      <c r="OIC10" s="97"/>
      <c r="OID10" s="97"/>
      <c r="OIE10" s="97"/>
      <c r="OIF10" s="97"/>
      <c r="OIG10" s="97"/>
      <c r="OIH10" s="97"/>
      <c r="OII10" s="97"/>
      <c r="OIJ10" s="97"/>
      <c r="OIK10" s="97"/>
      <c r="OIL10" s="97"/>
      <c r="OIM10" s="97"/>
      <c r="OIN10" s="97"/>
      <c r="OIO10" s="97"/>
      <c r="OIP10" s="97"/>
      <c r="OIQ10" s="97"/>
      <c r="OIR10" s="97"/>
      <c r="OIS10" s="97"/>
      <c r="OIT10" s="97"/>
      <c r="OIU10" s="97"/>
      <c r="OIV10" s="97"/>
      <c r="OIW10" s="97"/>
      <c r="OIX10" s="97"/>
      <c r="OIY10" s="97"/>
      <c r="OIZ10" s="97"/>
      <c r="OJA10" s="97"/>
      <c r="OJB10" s="97"/>
      <c r="OJC10" s="97"/>
      <c r="OJD10" s="97"/>
      <c r="OJE10" s="97"/>
      <c r="OJF10" s="97"/>
      <c r="OJG10" s="97"/>
      <c r="OJH10" s="97"/>
      <c r="OJI10" s="97"/>
      <c r="OJJ10" s="97"/>
      <c r="OJK10" s="97"/>
      <c r="OJL10" s="97"/>
      <c r="OJM10" s="97"/>
      <c r="OJN10" s="97"/>
      <c r="OJO10" s="97"/>
      <c r="OJP10" s="97"/>
      <c r="OJQ10" s="97"/>
      <c r="OJR10" s="97"/>
      <c r="OJS10" s="97"/>
      <c r="OJT10" s="97"/>
      <c r="OJU10" s="97"/>
      <c r="OJV10" s="97"/>
      <c r="OJW10" s="97"/>
      <c r="OJX10" s="97"/>
      <c r="OJY10" s="97"/>
      <c r="OJZ10" s="97"/>
      <c r="OKA10" s="97"/>
      <c r="OKB10" s="97"/>
      <c r="OKC10" s="97"/>
      <c r="OKD10" s="97"/>
      <c r="OKE10" s="97"/>
      <c r="OKF10" s="97"/>
      <c r="OKG10" s="97"/>
      <c r="OKH10" s="97"/>
      <c r="OKI10" s="97"/>
      <c r="OKJ10" s="97"/>
      <c r="OKK10" s="97"/>
      <c r="OKL10" s="97"/>
      <c r="OKM10" s="97"/>
      <c r="OKN10" s="97"/>
      <c r="OKO10" s="97"/>
      <c r="OKP10" s="97"/>
      <c r="OKQ10" s="97"/>
      <c r="OKR10" s="97"/>
      <c r="OKS10" s="97"/>
      <c r="OKT10" s="97"/>
      <c r="OKU10" s="97"/>
      <c r="OKV10" s="97"/>
      <c r="OKW10" s="97"/>
      <c r="OKX10" s="97"/>
      <c r="OKY10" s="97"/>
      <c r="OKZ10" s="97"/>
      <c r="OLA10" s="97"/>
      <c r="OLB10" s="97"/>
      <c r="OLC10" s="97"/>
      <c r="OLD10" s="97"/>
      <c r="OLE10" s="97"/>
      <c r="OLF10" s="97"/>
      <c r="OLG10" s="97"/>
      <c r="OLH10" s="97"/>
      <c r="OLI10" s="97"/>
      <c r="OLJ10" s="97"/>
      <c r="OLK10" s="97"/>
      <c r="OLL10" s="97"/>
      <c r="OLM10" s="97"/>
      <c r="OLN10" s="97"/>
      <c r="OLO10" s="97"/>
      <c r="OLP10" s="97"/>
      <c r="OLQ10" s="97"/>
      <c r="OLR10" s="97"/>
      <c r="OLS10" s="97"/>
      <c r="OLT10" s="97"/>
      <c r="OLU10" s="97"/>
      <c r="OLV10" s="97"/>
      <c r="OLW10" s="97"/>
      <c r="OLX10" s="97"/>
      <c r="OLY10" s="97"/>
      <c r="OLZ10" s="97"/>
      <c r="OMA10" s="97"/>
      <c r="OMB10" s="97"/>
      <c r="OMC10" s="97"/>
      <c r="OMD10" s="97"/>
      <c r="OME10" s="97"/>
      <c r="OMF10" s="97"/>
      <c r="OMG10" s="97"/>
      <c r="OMH10" s="97"/>
      <c r="OMI10" s="97"/>
      <c r="OMJ10" s="97"/>
      <c r="OMK10" s="97"/>
      <c r="OML10" s="97"/>
      <c r="OMM10" s="97"/>
      <c r="OMN10" s="97"/>
      <c r="OMO10" s="97"/>
      <c r="OMP10" s="97"/>
      <c r="OMQ10" s="97"/>
      <c r="OMR10" s="97"/>
      <c r="OMS10" s="97"/>
      <c r="OMT10" s="97"/>
      <c r="OMU10" s="97"/>
      <c r="OMV10" s="97"/>
      <c r="OMW10" s="97"/>
      <c r="OMX10" s="97"/>
      <c r="OMY10" s="97"/>
      <c r="OMZ10" s="97"/>
      <c r="ONA10" s="97"/>
      <c r="ONB10" s="97"/>
      <c r="ONC10" s="97"/>
      <c r="OND10" s="97"/>
      <c r="ONE10" s="97"/>
      <c r="ONF10" s="97"/>
      <c r="ONG10" s="97"/>
      <c r="ONH10" s="97"/>
      <c r="ONI10" s="97"/>
      <c r="ONJ10" s="97"/>
      <c r="ONK10" s="97"/>
      <c r="ONL10" s="97"/>
      <c r="ONM10" s="97"/>
      <c r="ONN10" s="97"/>
      <c r="ONO10" s="97"/>
      <c r="ONP10" s="97"/>
      <c r="ONQ10" s="97"/>
      <c r="ONR10" s="97"/>
      <c r="ONS10" s="97"/>
      <c r="ONT10" s="97"/>
      <c r="ONU10" s="97"/>
      <c r="ONV10" s="97"/>
      <c r="ONW10" s="97"/>
      <c r="ONX10" s="97"/>
      <c r="ONY10" s="97"/>
      <c r="ONZ10" s="97"/>
      <c r="OOA10" s="97"/>
      <c r="OOB10" s="97"/>
      <c r="OOC10" s="97"/>
      <c r="OOD10" s="97"/>
      <c r="OOE10" s="97"/>
      <c r="OOF10" s="97"/>
      <c r="OOG10" s="97"/>
      <c r="OOH10" s="97"/>
      <c r="OOI10" s="97"/>
      <c r="OOJ10" s="97"/>
      <c r="OOK10" s="97"/>
      <c r="OOL10" s="97"/>
      <c r="OOM10" s="97"/>
      <c r="OON10" s="97"/>
      <c r="OOO10" s="97"/>
      <c r="OOP10" s="97"/>
      <c r="OOQ10" s="97"/>
      <c r="OOR10" s="97"/>
      <c r="OOS10" s="97"/>
      <c r="OOT10" s="97"/>
      <c r="OOU10" s="97"/>
      <c r="OOV10" s="97"/>
      <c r="OOW10" s="97"/>
      <c r="OOX10" s="97"/>
      <c r="OOY10" s="97"/>
      <c r="OOZ10" s="97"/>
      <c r="OPA10" s="97"/>
      <c r="OPB10" s="97"/>
      <c r="OPC10" s="97"/>
      <c r="OPD10" s="97"/>
      <c r="OPE10" s="97"/>
      <c r="OPF10" s="97"/>
      <c r="OPG10" s="97"/>
      <c r="OPH10" s="97"/>
      <c r="OPI10" s="97"/>
      <c r="OPJ10" s="97"/>
      <c r="OPK10" s="97"/>
      <c r="OPL10" s="97"/>
      <c r="OPM10" s="97"/>
      <c r="OPN10" s="97"/>
      <c r="OPO10" s="97"/>
      <c r="OPP10" s="97"/>
      <c r="OPQ10" s="97"/>
      <c r="OPR10" s="97"/>
      <c r="OPS10" s="97"/>
      <c r="OPT10" s="97"/>
      <c r="OPU10" s="97"/>
      <c r="OPV10" s="97"/>
      <c r="OPW10" s="97"/>
      <c r="OPX10" s="97"/>
      <c r="OPY10" s="97"/>
      <c r="OPZ10" s="97"/>
      <c r="OQA10" s="97"/>
      <c r="OQB10" s="97"/>
      <c r="OQC10" s="97"/>
      <c r="OQD10" s="97"/>
      <c r="OQE10" s="97"/>
      <c r="OQF10" s="97"/>
      <c r="OQG10" s="97"/>
      <c r="OQH10" s="97"/>
      <c r="OQI10" s="97"/>
      <c r="OQJ10" s="97"/>
      <c r="OQK10" s="97"/>
      <c r="OQL10" s="97"/>
      <c r="OQM10" s="97"/>
      <c r="OQN10" s="97"/>
      <c r="OQO10" s="97"/>
      <c r="OQP10" s="97"/>
      <c r="OQQ10" s="97"/>
      <c r="OQR10" s="97"/>
      <c r="OQS10" s="97"/>
      <c r="OQT10" s="97"/>
      <c r="OQU10" s="97"/>
      <c r="OQV10" s="97"/>
      <c r="OQW10" s="97"/>
      <c r="OQX10" s="97"/>
      <c r="OQY10" s="97"/>
      <c r="OQZ10" s="97"/>
      <c r="ORA10" s="97"/>
      <c r="ORB10" s="97"/>
      <c r="ORC10" s="97"/>
      <c r="ORD10" s="97"/>
      <c r="ORE10" s="97"/>
      <c r="ORF10" s="97"/>
      <c r="ORG10" s="97"/>
      <c r="ORH10" s="97"/>
      <c r="ORI10" s="97"/>
      <c r="ORJ10" s="97"/>
      <c r="ORK10" s="97"/>
      <c r="ORL10" s="97"/>
      <c r="ORM10" s="97"/>
      <c r="ORN10" s="97"/>
      <c r="ORO10" s="97"/>
      <c r="ORP10" s="97"/>
      <c r="ORQ10" s="97"/>
      <c r="ORR10" s="97"/>
      <c r="ORS10" s="97"/>
      <c r="ORT10" s="97"/>
      <c r="ORU10" s="97"/>
      <c r="ORV10" s="97"/>
      <c r="ORW10" s="97"/>
      <c r="ORX10" s="97"/>
      <c r="ORY10" s="97"/>
      <c r="ORZ10" s="97"/>
      <c r="OSA10" s="97"/>
      <c r="OSB10" s="97"/>
      <c r="OSC10" s="97"/>
      <c r="OSD10" s="97"/>
      <c r="OSE10" s="97"/>
      <c r="OSF10" s="97"/>
      <c r="OSG10" s="97"/>
      <c r="OSH10" s="97"/>
      <c r="OSI10" s="97"/>
      <c r="OSJ10" s="97"/>
      <c r="OSK10" s="97"/>
      <c r="OSL10" s="97"/>
      <c r="OSM10" s="97"/>
      <c r="OSN10" s="97"/>
      <c r="OSO10" s="97"/>
      <c r="OSP10" s="97"/>
      <c r="OSQ10" s="97"/>
      <c r="OSR10" s="97"/>
      <c r="OSS10" s="97"/>
      <c r="OST10" s="97"/>
      <c r="OSU10" s="97"/>
      <c r="OSV10" s="97"/>
      <c r="OSW10" s="97"/>
      <c r="OSX10" s="97"/>
      <c r="OSY10" s="97"/>
      <c r="OSZ10" s="97"/>
      <c r="OTA10" s="97"/>
      <c r="OTB10" s="97"/>
      <c r="OTC10" s="97"/>
      <c r="OTD10" s="97"/>
      <c r="OTE10" s="97"/>
      <c r="OTF10" s="97"/>
      <c r="OTG10" s="97"/>
      <c r="OTH10" s="97"/>
      <c r="OTI10" s="97"/>
      <c r="OTJ10" s="97"/>
      <c r="OTK10" s="97"/>
      <c r="OTL10" s="97"/>
      <c r="OTM10" s="97"/>
      <c r="OTN10" s="97"/>
      <c r="OTO10" s="97"/>
      <c r="OTP10" s="97"/>
      <c r="OTQ10" s="97"/>
      <c r="OTR10" s="97"/>
      <c r="OTS10" s="97"/>
      <c r="OTT10" s="97"/>
      <c r="OTU10" s="97"/>
      <c r="OTV10" s="97"/>
      <c r="OTW10" s="97"/>
      <c r="OTX10" s="97"/>
      <c r="OTY10" s="97"/>
      <c r="OTZ10" s="97"/>
      <c r="OUA10" s="97"/>
      <c r="OUB10" s="97"/>
      <c r="OUC10" s="97"/>
      <c r="OUD10" s="97"/>
      <c r="OUE10" s="97"/>
      <c r="OUF10" s="97"/>
      <c r="OUG10" s="97"/>
      <c r="OUH10" s="97"/>
      <c r="OUI10" s="97"/>
      <c r="OUJ10" s="97"/>
      <c r="OUK10" s="97"/>
      <c r="OUL10" s="97"/>
      <c r="OUM10" s="97"/>
      <c r="OUN10" s="97"/>
      <c r="OUO10" s="97"/>
      <c r="OUP10" s="97"/>
      <c r="OUQ10" s="97"/>
      <c r="OUR10" s="97"/>
      <c r="OUS10" s="97"/>
      <c r="OUT10" s="97"/>
      <c r="OUU10" s="97"/>
      <c r="OUV10" s="97"/>
      <c r="OUW10" s="97"/>
      <c r="OUX10" s="97"/>
      <c r="OUY10" s="97"/>
      <c r="OUZ10" s="97"/>
      <c r="OVA10" s="97"/>
      <c r="OVB10" s="97"/>
      <c r="OVC10" s="97"/>
      <c r="OVD10" s="97"/>
      <c r="OVE10" s="97"/>
      <c r="OVF10" s="97"/>
      <c r="OVG10" s="97"/>
      <c r="OVH10" s="97"/>
      <c r="OVI10" s="97"/>
      <c r="OVJ10" s="97"/>
      <c r="OVK10" s="97"/>
      <c r="OVL10" s="97"/>
      <c r="OVM10" s="97"/>
      <c r="OVN10" s="97"/>
      <c r="OVO10" s="97"/>
      <c r="OVP10" s="97"/>
      <c r="OVQ10" s="97"/>
      <c r="OVR10" s="97"/>
      <c r="OVS10" s="97"/>
      <c r="OVT10" s="97"/>
      <c r="OVU10" s="97"/>
      <c r="OVV10" s="97"/>
      <c r="OVW10" s="97"/>
      <c r="OVX10" s="97"/>
      <c r="OVY10" s="97"/>
      <c r="OVZ10" s="97"/>
      <c r="OWA10" s="97"/>
      <c r="OWB10" s="97"/>
      <c r="OWC10" s="97"/>
      <c r="OWD10" s="97"/>
      <c r="OWE10" s="97"/>
      <c r="OWF10" s="97"/>
      <c r="OWG10" s="97"/>
      <c r="OWH10" s="97"/>
      <c r="OWI10" s="97"/>
      <c r="OWJ10" s="97"/>
      <c r="OWK10" s="97"/>
      <c r="OWL10" s="97"/>
      <c r="OWM10" s="97"/>
      <c r="OWN10" s="97"/>
      <c r="OWO10" s="97"/>
      <c r="OWP10" s="97"/>
      <c r="OWQ10" s="97"/>
      <c r="OWR10" s="97"/>
      <c r="OWS10" s="97"/>
      <c r="OWT10" s="97"/>
      <c r="OWU10" s="97"/>
      <c r="OWV10" s="97"/>
      <c r="OWW10" s="97"/>
      <c r="OWX10" s="97"/>
      <c r="OWY10" s="97"/>
      <c r="OWZ10" s="97"/>
      <c r="OXA10" s="97"/>
      <c r="OXB10" s="97"/>
      <c r="OXC10" s="97"/>
      <c r="OXD10" s="97"/>
      <c r="OXE10" s="97"/>
      <c r="OXF10" s="97"/>
      <c r="OXG10" s="97"/>
      <c r="OXH10" s="97"/>
      <c r="OXI10" s="97"/>
      <c r="OXJ10" s="97"/>
      <c r="OXK10" s="97"/>
      <c r="OXL10" s="97"/>
      <c r="OXM10" s="97"/>
      <c r="OXN10" s="97"/>
      <c r="OXO10" s="97"/>
      <c r="OXP10" s="97"/>
      <c r="OXQ10" s="97"/>
      <c r="OXR10" s="97"/>
      <c r="OXS10" s="97"/>
      <c r="OXT10" s="97"/>
      <c r="OXU10" s="97"/>
      <c r="OXV10" s="97"/>
      <c r="OXW10" s="97"/>
      <c r="OXX10" s="97"/>
      <c r="OXY10" s="97"/>
      <c r="OXZ10" s="97"/>
      <c r="OYA10" s="97"/>
      <c r="OYB10" s="97"/>
      <c r="OYC10" s="97"/>
      <c r="OYD10" s="97"/>
      <c r="OYE10" s="97"/>
      <c r="OYF10" s="97"/>
      <c r="OYG10" s="97"/>
      <c r="OYH10" s="97"/>
      <c r="OYI10" s="97"/>
      <c r="OYJ10" s="97"/>
      <c r="OYK10" s="97"/>
      <c r="OYL10" s="97"/>
      <c r="OYM10" s="97"/>
      <c r="OYN10" s="97"/>
      <c r="OYO10" s="97"/>
      <c r="OYP10" s="97"/>
      <c r="OYQ10" s="97"/>
      <c r="OYR10" s="97"/>
      <c r="OYS10" s="97"/>
      <c r="OYT10" s="97"/>
      <c r="OYU10" s="97"/>
      <c r="OYV10" s="97"/>
      <c r="OYW10" s="97"/>
      <c r="OYX10" s="97"/>
      <c r="OYY10" s="97"/>
      <c r="OYZ10" s="97"/>
      <c r="OZA10" s="97"/>
      <c r="OZB10" s="97"/>
      <c r="OZC10" s="97"/>
      <c r="OZD10" s="97"/>
      <c r="OZE10" s="97"/>
      <c r="OZF10" s="97"/>
      <c r="OZG10" s="97"/>
      <c r="OZH10" s="97"/>
      <c r="OZI10" s="97"/>
      <c r="OZJ10" s="97"/>
      <c r="OZK10" s="97"/>
      <c r="OZL10" s="97"/>
      <c r="OZM10" s="97"/>
      <c r="OZN10" s="97"/>
      <c r="OZO10" s="97"/>
      <c r="OZP10" s="97"/>
      <c r="OZQ10" s="97"/>
      <c r="OZR10" s="97"/>
      <c r="OZS10" s="97"/>
      <c r="OZT10" s="97"/>
      <c r="OZU10" s="97"/>
      <c r="OZV10" s="97"/>
      <c r="OZW10" s="97"/>
      <c r="OZX10" s="97"/>
      <c r="OZY10" s="97"/>
      <c r="OZZ10" s="97"/>
      <c r="PAA10" s="97"/>
      <c r="PAB10" s="97"/>
      <c r="PAC10" s="97"/>
      <c r="PAD10" s="97"/>
      <c r="PAE10" s="97"/>
      <c r="PAF10" s="97"/>
      <c r="PAG10" s="97"/>
      <c r="PAH10" s="97"/>
      <c r="PAI10" s="97"/>
      <c r="PAJ10" s="97"/>
      <c r="PAK10" s="97"/>
      <c r="PAL10" s="97"/>
      <c r="PAM10" s="97"/>
      <c r="PAN10" s="97"/>
      <c r="PAO10" s="97"/>
      <c r="PAP10" s="97"/>
      <c r="PAQ10" s="97"/>
      <c r="PAR10" s="97"/>
      <c r="PAS10" s="97"/>
      <c r="PAT10" s="97"/>
      <c r="PAU10" s="97"/>
      <c r="PAV10" s="97"/>
      <c r="PAW10" s="97"/>
      <c r="PAX10" s="97"/>
      <c r="PAY10" s="97"/>
      <c r="PAZ10" s="97"/>
      <c r="PBA10" s="97"/>
      <c r="PBB10" s="97"/>
      <c r="PBC10" s="97"/>
      <c r="PBD10" s="97"/>
      <c r="PBE10" s="97"/>
      <c r="PBF10" s="97"/>
      <c r="PBG10" s="97"/>
      <c r="PBH10" s="97"/>
      <c r="PBI10" s="97"/>
      <c r="PBJ10" s="97"/>
      <c r="PBK10" s="97"/>
      <c r="PBL10" s="97"/>
      <c r="PBM10" s="97"/>
      <c r="PBN10" s="97"/>
      <c r="PBO10" s="97"/>
      <c r="PBP10" s="97"/>
      <c r="PBQ10" s="97"/>
      <c r="PBR10" s="97"/>
      <c r="PBS10" s="97"/>
      <c r="PBT10" s="97"/>
      <c r="PBU10" s="97"/>
      <c r="PBV10" s="97"/>
      <c r="PBW10" s="97"/>
      <c r="PBX10" s="97"/>
      <c r="PBY10" s="97"/>
      <c r="PBZ10" s="97"/>
      <c r="PCA10" s="97"/>
      <c r="PCB10" s="97"/>
      <c r="PCC10" s="97"/>
      <c r="PCD10" s="97"/>
      <c r="PCE10" s="97"/>
      <c r="PCF10" s="97"/>
      <c r="PCG10" s="97"/>
      <c r="PCH10" s="97"/>
      <c r="PCI10" s="97"/>
      <c r="PCJ10" s="97"/>
      <c r="PCK10" s="97"/>
      <c r="PCL10" s="97"/>
      <c r="PCM10" s="97"/>
      <c r="PCN10" s="97"/>
      <c r="PCO10" s="97"/>
      <c r="PCP10" s="97"/>
      <c r="PCQ10" s="97"/>
      <c r="PCR10" s="97"/>
      <c r="PCS10" s="97"/>
      <c r="PCT10" s="97"/>
      <c r="PCU10" s="97"/>
      <c r="PCV10" s="97"/>
      <c r="PCW10" s="97"/>
      <c r="PCX10" s="97"/>
      <c r="PCY10" s="97"/>
      <c r="PCZ10" s="97"/>
      <c r="PDA10" s="97"/>
      <c r="PDB10" s="97"/>
      <c r="PDC10" s="97"/>
      <c r="PDD10" s="97"/>
      <c r="PDE10" s="97"/>
      <c r="PDF10" s="97"/>
      <c r="PDG10" s="97"/>
      <c r="PDH10" s="97"/>
      <c r="PDI10" s="97"/>
      <c r="PDJ10" s="97"/>
      <c r="PDK10" s="97"/>
      <c r="PDL10" s="97"/>
      <c r="PDM10" s="97"/>
      <c r="PDN10" s="97"/>
      <c r="PDO10" s="97"/>
      <c r="PDP10" s="97"/>
      <c r="PDQ10" s="97"/>
      <c r="PDR10" s="97"/>
      <c r="PDS10" s="97"/>
      <c r="PDT10" s="97"/>
      <c r="PDU10" s="97"/>
      <c r="PDV10" s="97"/>
      <c r="PDW10" s="97"/>
      <c r="PDX10" s="97"/>
      <c r="PDY10" s="97"/>
      <c r="PDZ10" s="97"/>
      <c r="PEA10" s="97"/>
      <c r="PEB10" s="97"/>
      <c r="PEC10" s="97"/>
      <c r="PED10" s="97"/>
      <c r="PEE10" s="97"/>
      <c r="PEF10" s="97"/>
      <c r="PEG10" s="97"/>
      <c r="PEH10" s="97"/>
      <c r="PEI10" s="97"/>
      <c r="PEJ10" s="97"/>
      <c r="PEK10" s="97"/>
      <c r="PEL10" s="97"/>
      <c r="PEM10" s="97"/>
      <c r="PEN10" s="97"/>
      <c r="PEO10" s="97"/>
      <c r="PEP10" s="97"/>
      <c r="PEQ10" s="97"/>
      <c r="PER10" s="97"/>
      <c r="PES10" s="97"/>
      <c r="PET10" s="97"/>
      <c r="PEU10" s="97"/>
      <c r="PEV10" s="97"/>
      <c r="PEW10" s="97"/>
      <c r="PEX10" s="97"/>
      <c r="PEY10" s="97"/>
      <c r="PEZ10" s="97"/>
      <c r="PFA10" s="97"/>
      <c r="PFB10" s="97"/>
      <c r="PFC10" s="97"/>
      <c r="PFD10" s="97"/>
      <c r="PFE10" s="97"/>
      <c r="PFF10" s="97"/>
      <c r="PFG10" s="97"/>
      <c r="PFH10" s="97"/>
      <c r="PFI10" s="97"/>
      <c r="PFJ10" s="97"/>
      <c r="PFK10" s="97"/>
      <c r="PFL10" s="97"/>
      <c r="PFM10" s="97"/>
      <c r="PFN10" s="97"/>
      <c r="PFO10" s="97"/>
      <c r="PFP10" s="97"/>
      <c r="PFQ10" s="97"/>
      <c r="PFR10" s="97"/>
      <c r="PFS10" s="97"/>
      <c r="PFT10" s="97"/>
      <c r="PFU10" s="97"/>
      <c r="PFV10" s="97"/>
      <c r="PFW10" s="97"/>
      <c r="PFX10" s="97"/>
      <c r="PFY10" s="97"/>
      <c r="PFZ10" s="97"/>
      <c r="PGA10" s="97"/>
      <c r="PGB10" s="97"/>
      <c r="PGC10" s="97"/>
      <c r="PGD10" s="97"/>
      <c r="PGE10" s="97"/>
      <c r="PGF10" s="97"/>
      <c r="PGG10" s="97"/>
      <c r="PGH10" s="97"/>
      <c r="PGI10" s="97"/>
      <c r="PGJ10" s="97"/>
      <c r="PGK10" s="97"/>
      <c r="PGL10" s="97"/>
      <c r="PGM10" s="97"/>
      <c r="PGN10" s="97"/>
      <c r="PGO10" s="97"/>
      <c r="PGP10" s="97"/>
      <c r="PGQ10" s="97"/>
      <c r="PGR10" s="97"/>
      <c r="PGS10" s="97"/>
      <c r="PGT10" s="97"/>
      <c r="PGU10" s="97"/>
      <c r="PGV10" s="97"/>
      <c r="PGW10" s="97"/>
      <c r="PGX10" s="97"/>
      <c r="PGY10" s="97"/>
      <c r="PGZ10" s="97"/>
      <c r="PHA10" s="97"/>
      <c r="PHB10" s="97"/>
      <c r="PHC10" s="97"/>
      <c r="PHD10" s="97"/>
      <c r="PHE10" s="97"/>
      <c r="PHF10" s="97"/>
      <c r="PHG10" s="97"/>
      <c r="PHH10" s="97"/>
      <c r="PHI10" s="97"/>
      <c r="PHJ10" s="97"/>
      <c r="PHK10" s="97"/>
      <c r="PHL10" s="97"/>
      <c r="PHM10" s="97"/>
      <c r="PHN10" s="97"/>
      <c r="PHO10" s="97"/>
      <c r="PHP10" s="97"/>
      <c r="PHQ10" s="97"/>
      <c r="PHR10" s="97"/>
      <c r="PHS10" s="97"/>
      <c r="PHT10" s="97"/>
      <c r="PHU10" s="97"/>
      <c r="PHV10" s="97"/>
      <c r="PHW10" s="97"/>
      <c r="PHX10" s="97"/>
      <c r="PHY10" s="97"/>
      <c r="PHZ10" s="97"/>
      <c r="PIA10" s="97"/>
      <c r="PIB10" s="97"/>
      <c r="PIC10" s="97"/>
      <c r="PID10" s="97"/>
      <c r="PIE10" s="97"/>
      <c r="PIF10" s="97"/>
      <c r="PIG10" s="97"/>
      <c r="PIH10" s="97"/>
      <c r="PII10" s="97"/>
      <c r="PIJ10" s="97"/>
      <c r="PIK10" s="97"/>
      <c r="PIL10" s="97"/>
      <c r="PIM10" s="97"/>
      <c r="PIN10" s="97"/>
      <c r="PIO10" s="97"/>
      <c r="PIP10" s="97"/>
      <c r="PIQ10" s="97"/>
      <c r="PIR10" s="97"/>
      <c r="PIS10" s="97"/>
      <c r="PIT10" s="97"/>
      <c r="PIU10" s="97"/>
      <c r="PIV10" s="97"/>
      <c r="PIW10" s="97"/>
      <c r="PIX10" s="97"/>
      <c r="PIY10" s="97"/>
      <c r="PIZ10" s="97"/>
      <c r="PJA10" s="97"/>
      <c r="PJB10" s="97"/>
      <c r="PJC10" s="97"/>
      <c r="PJD10" s="97"/>
      <c r="PJE10" s="97"/>
      <c r="PJF10" s="97"/>
      <c r="PJG10" s="97"/>
      <c r="PJH10" s="97"/>
      <c r="PJI10" s="97"/>
      <c r="PJJ10" s="97"/>
      <c r="PJK10" s="97"/>
      <c r="PJL10" s="97"/>
      <c r="PJM10" s="97"/>
      <c r="PJN10" s="97"/>
      <c r="PJO10" s="97"/>
      <c r="PJP10" s="97"/>
      <c r="PJQ10" s="97"/>
      <c r="PJR10" s="97"/>
      <c r="PJS10" s="97"/>
      <c r="PJT10" s="97"/>
      <c r="PJU10" s="97"/>
      <c r="PJV10" s="97"/>
      <c r="PJW10" s="97"/>
      <c r="PJX10" s="97"/>
      <c r="PJY10" s="97"/>
      <c r="PJZ10" s="97"/>
      <c r="PKA10" s="97"/>
      <c r="PKB10" s="97"/>
      <c r="PKC10" s="97"/>
      <c r="PKD10" s="97"/>
      <c r="PKE10" s="97"/>
      <c r="PKF10" s="97"/>
      <c r="PKG10" s="97"/>
      <c r="PKH10" s="97"/>
      <c r="PKI10" s="97"/>
      <c r="PKJ10" s="97"/>
      <c r="PKK10" s="97"/>
      <c r="PKL10" s="97"/>
      <c r="PKM10" s="97"/>
      <c r="PKN10" s="97"/>
      <c r="PKO10" s="97"/>
      <c r="PKP10" s="97"/>
      <c r="PKQ10" s="97"/>
      <c r="PKR10" s="97"/>
      <c r="PKS10" s="97"/>
      <c r="PKT10" s="97"/>
      <c r="PKU10" s="97"/>
      <c r="PKV10" s="97"/>
      <c r="PKW10" s="97"/>
      <c r="PKX10" s="97"/>
      <c r="PKY10" s="97"/>
      <c r="PKZ10" s="97"/>
      <c r="PLA10" s="97"/>
      <c r="PLB10" s="97"/>
      <c r="PLC10" s="97"/>
      <c r="PLD10" s="97"/>
      <c r="PLE10" s="97"/>
      <c r="PLF10" s="97"/>
      <c r="PLG10" s="97"/>
      <c r="PLH10" s="97"/>
      <c r="PLI10" s="97"/>
      <c r="PLJ10" s="97"/>
      <c r="PLK10" s="97"/>
      <c r="PLL10" s="97"/>
      <c r="PLM10" s="97"/>
      <c r="PLN10" s="97"/>
      <c r="PLO10" s="97"/>
      <c r="PLP10" s="97"/>
      <c r="PLQ10" s="97"/>
      <c r="PLR10" s="97"/>
      <c r="PLS10" s="97"/>
      <c r="PLT10" s="97"/>
      <c r="PLU10" s="97"/>
      <c r="PLV10" s="97"/>
      <c r="PLW10" s="97"/>
      <c r="PLX10" s="97"/>
      <c r="PLY10" s="97"/>
      <c r="PLZ10" s="97"/>
      <c r="PMA10" s="97"/>
      <c r="PMB10" s="97"/>
      <c r="PMC10" s="97"/>
      <c r="PMD10" s="97"/>
      <c r="PME10" s="97"/>
      <c r="PMF10" s="97"/>
      <c r="PMG10" s="97"/>
      <c r="PMH10" s="97"/>
      <c r="PMI10" s="97"/>
      <c r="PMJ10" s="97"/>
      <c r="PMK10" s="97"/>
      <c r="PML10" s="97"/>
      <c r="PMM10" s="97"/>
      <c r="PMN10" s="97"/>
      <c r="PMO10" s="97"/>
      <c r="PMP10" s="97"/>
      <c r="PMQ10" s="97"/>
      <c r="PMR10" s="97"/>
      <c r="PMS10" s="97"/>
      <c r="PMT10" s="97"/>
      <c r="PMU10" s="97"/>
      <c r="PMV10" s="97"/>
      <c r="PMW10" s="97"/>
      <c r="PMX10" s="97"/>
      <c r="PMY10" s="97"/>
      <c r="PMZ10" s="97"/>
      <c r="PNA10" s="97"/>
      <c r="PNB10" s="97"/>
      <c r="PNC10" s="97"/>
      <c r="PND10" s="97"/>
      <c r="PNE10" s="97"/>
      <c r="PNF10" s="97"/>
      <c r="PNG10" s="97"/>
      <c r="PNH10" s="97"/>
      <c r="PNI10" s="97"/>
      <c r="PNJ10" s="97"/>
      <c r="PNK10" s="97"/>
      <c r="PNL10" s="97"/>
      <c r="PNM10" s="97"/>
      <c r="PNN10" s="97"/>
      <c r="PNO10" s="97"/>
      <c r="PNP10" s="97"/>
      <c r="PNQ10" s="97"/>
      <c r="PNR10" s="97"/>
      <c r="PNS10" s="97"/>
      <c r="PNT10" s="97"/>
      <c r="PNU10" s="97"/>
      <c r="PNV10" s="97"/>
      <c r="PNW10" s="97"/>
      <c r="PNX10" s="97"/>
      <c r="PNY10" s="97"/>
      <c r="PNZ10" s="97"/>
      <c r="POA10" s="97"/>
      <c r="POB10" s="97"/>
      <c r="POC10" s="97"/>
      <c r="POD10" s="97"/>
      <c r="POE10" s="97"/>
      <c r="POF10" s="97"/>
      <c r="POG10" s="97"/>
      <c r="POH10" s="97"/>
      <c r="POI10" s="97"/>
      <c r="POJ10" s="97"/>
      <c r="POK10" s="97"/>
      <c r="POL10" s="97"/>
      <c r="POM10" s="97"/>
      <c r="PON10" s="97"/>
      <c r="POO10" s="97"/>
      <c r="POP10" s="97"/>
      <c r="POQ10" s="97"/>
      <c r="POR10" s="97"/>
      <c r="POS10" s="97"/>
      <c r="POT10" s="97"/>
      <c r="POU10" s="97"/>
      <c r="POV10" s="97"/>
      <c r="POW10" s="97"/>
      <c r="POX10" s="97"/>
      <c r="POY10" s="97"/>
      <c r="POZ10" s="97"/>
      <c r="PPA10" s="97"/>
      <c r="PPB10" s="97"/>
      <c r="PPC10" s="97"/>
      <c r="PPD10" s="97"/>
      <c r="PPE10" s="97"/>
      <c r="PPF10" s="97"/>
      <c r="PPG10" s="97"/>
      <c r="PPH10" s="97"/>
      <c r="PPI10" s="97"/>
      <c r="PPJ10" s="97"/>
      <c r="PPK10" s="97"/>
      <c r="PPL10" s="97"/>
      <c r="PPM10" s="97"/>
      <c r="PPN10" s="97"/>
      <c r="PPO10" s="97"/>
      <c r="PPP10" s="97"/>
      <c r="PPQ10" s="97"/>
      <c r="PPR10" s="97"/>
      <c r="PPS10" s="97"/>
      <c r="PPT10" s="97"/>
      <c r="PPU10" s="97"/>
      <c r="PPV10" s="97"/>
      <c r="PPW10" s="97"/>
      <c r="PPX10" s="97"/>
      <c r="PPY10" s="97"/>
      <c r="PPZ10" s="97"/>
      <c r="PQA10" s="97"/>
      <c r="PQB10" s="97"/>
      <c r="PQC10" s="97"/>
      <c r="PQD10" s="97"/>
      <c r="PQE10" s="97"/>
      <c r="PQF10" s="97"/>
      <c r="PQG10" s="97"/>
      <c r="PQH10" s="97"/>
      <c r="PQI10" s="97"/>
      <c r="PQJ10" s="97"/>
      <c r="PQK10" s="97"/>
      <c r="PQL10" s="97"/>
      <c r="PQM10" s="97"/>
      <c r="PQN10" s="97"/>
      <c r="PQO10" s="97"/>
      <c r="PQP10" s="97"/>
      <c r="PQQ10" s="97"/>
      <c r="PQR10" s="97"/>
      <c r="PQS10" s="97"/>
      <c r="PQT10" s="97"/>
      <c r="PQU10" s="97"/>
      <c r="PQV10" s="97"/>
      <c r="PQW10" s="97"/>
      <c r="PQX10" s="97"/>
      <c r="PQY10" s="97"/>
      <c r="PQZ10" s="97"/>
      <c r="PRA10" s="97"/>
      <c r="PRB10" s="97"/>
      <c r="PRC10" s="97"/>
      <c r="PRD10" s="97"/>
      <c r="PRE10" s="97"/>
      <c r="PRF10" s="97"/>
      <c r="PRG10" s="97"/>
      <c r="PRH10" s="97"/>
      <c r="PRI10" s="97"/>
      <c r="PRJ10" s="97"/>
      <c r="PRK10" s="97"/>
      <c r="PRL10" s="97"/>
      <c r="PRM10" s="97"/>
      <c r="PRN10" s="97"/>
      <c r="PRO10" s="97"/>
      <c r="PRP10" s="97"/>
      <c r="PRQ10" s="97"/>
      <c r="PRR10" s="97"/>
      <c r="PRS10" s="97"/>
      <c r="PRT10" s="97"/>
      <c r="PRU10" s="97"/>
      <c r="PRV10" s="97"/>
      <c r="PRW10" s="97"/>
      <c r="PRX10" s="97"/>
      <c r="PRY10" s="97"/>
      <c r="PRZ10" s="97"/>
      <c r="PSA10" s="97"/>
      <c r="PSB10" s="97"/>
      <c r="PSC10" s="97"/>
      <c r="PSD10" s="97"/>
      <c r="PSE10" s="97"/>
      <c r="PSF10" s="97"/>
      <c r="PSG10" s="97"/>
      <c r="PSH10" s="97"/>
      <c r="PSI10" s="97"/>
      <c r="PSJ10" s="97"/>
      <c r="PSK10" s="97"/>
      <c r="PSL10" s="97"/>
      <c r="PSM10" s="97"/>
      <c r="PSN10" s="97"/>
      <c r="PSO10" s="97"/>
      <c r="PSP10" s="97"/>
      <c r="PSQ10" s="97"/>
      <c r="PSR10" s="97"/>
      <c r="PSS10" s="97"/>
      <c r="PST10" s="97"/>
      <c r="PSU10" s="97"/>
      <c r="PSV10" s="97"/>
      <c r="PSW10" s="97"/>
      <c r="PSX10" s="97"/>
      <c r="PSY10" s="97"/>
      <c r="PSZ10" s="97"/>
      <c r="PTA10" s="97"/>
      <c r="PTB10" s="97"/>
      <c r="PTC10" s="97"/>
      <c r="PTD10" s="97"/>
      <c r="PTE10" s="97"/>
      <c r="PTF10" s="97"/>
      <c r="PTG10" s="97"/>
      <c r="PTH10" s="97"/>
      <c r="PTI10" s="97"/>
      <c r="PTJ10" s="97"/>
      <c r="PTK10" s="97"/>
      <c r="PTL10" s="97"/>
      <c r="PTM10" s="97"/>
      <c r="PTN10" s="97"/>
      <c r="PTO10" s="97"/>
      <c r="PTP10" s="97"/>
      <c r="PTQ10" s="97"/>
      <c r="PTR10" s="97"/>
      <c r="PTS10" s="97"/>
      <c r="PTT10" s="97"/>
      <c r="PTU10" s="97"/>
      <c r="PTV10" s="97"/>
      <c r="PTW10" s="97"/>
      <c r="PTX10" s="97"/>
      <c r="PTY10" s="97"/>
      <c r="PTZ10" s="97"/>
      <c r="PUA10" s="97"/>
      <c r="PUB10" s="97"/>
      <c r="PUC10" s="97"/>
      <c r="PUD10" s="97"/>
      <c r="PUE10" s="97"/>
      <c r="PUF10" s="97"/>
      <c r="PUG10" s="97"/>
      <c r="PUH10" s="97"/>
      <c r="PUI10" s="97"/>
      <c r="PUJ10" s="97"/>
      <c r="PUK10" s="97"/>
      <c r="PUL10" s="97"/>
      <c r="PUM10" s="97"/>
      <c r="PUN10" s="97"/>
      <c r="PUO10" s="97"/>
      <c r="PUP10" s="97"/>
      <c r="PUQ10" s="97"/>
      <c r="PUR10" s="97"/>
      <c r="PUS10" s="97"/>
      <c r="PUT10" s="97"/>
      <c r="PUU10" s="97"/>
      <c r="PUV10" s="97"/>
      <c r="PUW10" s="97"/>
      <c r="PUX10" s="97"/>
      <c r="PUY10" s="97"/>
      <c r="PUZ10" s="97"/>
      <c r="PVA10" s="97"/>
      <c r="PVB10" s="97"/>
      <c r="PVC10" s="97"/>
      <c r="PVD10" s="97"/>
      <c r="PVE10" s="97"/>
      <c r="PVF10" s="97"/>
      <c r="PVG10" s="97"/>
      <c r="PVH10" s="97"/>
      <c r="PVI10" s="97"/>
      <c r="PVJ10" s="97"/>
      <c r="PVK10" s="97"/>
      <c r="PVL10" s="97"/>
      <c r="PVM10" s="97"/>
      <c r="PVN10" s="97"/>
      <c r="PVO10" s="97"/>
      <c r="PVP10" s="97"/>
      <c r="PVQ10" s="97"/>
      <c r="PVR10" s="97"/>
      <c r="PVS10" s="97"/>
      <c r="PVT10" s="97"/>
      <c r="PVU10" s="97"/>
      <c r="PVV10" s="97"/>
      <c r="PVW10" s="97"/>
      <c r="PVX10" s="97"/>
      <c r="PVY10" s="97"/>
      <c r="PVZ10" s="97"/>
      <c r="PWA10" s="97"/>
      <c r="PWB10" s="97"/>
      <c r="PWC10" s="97"/>
      <c r="PWD10" s="97"/>
      <c r="PWE10" s="97"/>
      <c r="PWF10" s="97"/>
      <c r="PWG10" s="97"/>
      <c r="PWH10" s="97"/>
      <c r="PWI10" s="97"/>
      <c r="PWJ10" s="97"/>
      <c r="PWK10" s="97"/>
      <c r="PWL10" s="97"/>
      <c r="PWM10" s="97"/>
      <c r="PWN10" s="97"/>
      <c r="PWO10" s="97"/>
      <c r="PWP10" s="97"/>
      <c r="PWQ10" s="97"/>
      <c r="PWR10" s="97"/>
      <c r="PWS10" s="97"/>
      <c r="PWT10" s="97"/>
      <c r="PWU10" s="97"/>
      <c r="PWV10" s="97"/>
      <c r="PWW10" s="97"/>
      <c r="PWX10" s="97"/>
      <c r="PWY10" s="97"/>
      <c r="PWZ10" s="97"/>
      <c r="PXA10" s="97"/>
      <c r="PXB10" s="97"/>
      <c r="PXC10" s="97"/>
      <c r="PXD10" s="97"/>
      <c r="PXE10" s="97"/>
      <c r="PXF10" s="97"/>
      <c r="PXG10" s="97"/>
      <c r="PXH10" s="97"/>
      <c r="PXI10" s="97"/>
      <c r="PXJ10" s="97"/>
      <c r="PXK10" s="97"/>
      <c r="PXL10" s="97"/>
      <c r="PXM10" s="97"/>
      <c r="PXN10" s="97"/>
      <c r="PXO10" s="97"/>
      <c r="PXP10" s="97"/>
      <c r="PXQ10" s="97"/>
      <c r="PXR10" s="97"/>
      <c r="PXS10" s="97"/>
      <c r="PXT10" s="97"/>
      <c r="PXU10" s="97"/>
      <c r="PXV10" s="97"/>
      <c r="PXW10" s="97"/>
      <c r="PXX10" s="97"/>
      <c r="PXY10" s="97"/>
      <c r="PXZ10" s="97"/>
      <c r="PYA10" s="97"/>
      <c r="PYB10" s="97"/>
      <c r="PYC10" s="97"/>
      <c r="PYD10" s="97"/>
      <c r="PYE10" s="97"/>
      <c r="PYF10" s="97"/>
      <c r="PYG10" s="97"/>
      <c r="PYH10" s="97"/>
      <c r="PYI10" s="97"/>
      <c r="PYJ10" s="97"/>
      <c r="PYK10" s="97"/>
      <c r="PYL10" s="97"/>
      <c r="PYM10" s="97"/>
      <c r="PYN10" s="97"/>
      <c r="PYO10" s="97"/>
      <c r="PYP10" s="97"/>
      <c r="PYQ10" s="97"/>
      <c r="PYR10" s="97"/>
      <c r="PYS10" s="97"/>
      <c r="PYT10" s="97"/>
      <c r="PYU10" s="97"/>
      <c r="PYV10" s="97"/>
      <c r="PYW10" s="97"/>
      <c r="PYX10" s="97"/>
      <c r="PYY10" s="97"/>
      <c r="PYZ10" s="97"/>
      <c r="PZA10" s="97"/>
      <c r="PZB10" s="97"/>
      <c r="PZC10" s="97"/>
      <c r="PZD10" s="97"/>
      <c r="PZE10" s="97"/>
      <c r="PZF10" s="97"/>
      <c r="PZG10" s="97"/>
      <c r="PZH10" s="97"/>
      <c r="PZI10" s="97"/>
      <c r="PZJ10" s="97"/>
      <c r="PZK10" s="97"/>
      <c r="PZL10" s="97"/>
      <c r="PZM10" s="97"/>
      <c r="PZN10" s="97"/>
      <c r="PZO10" s="97"/>
      <c r="PZP10" s="97"/>
      <c r="PZQ10" s="97"/>
      <c r="PZR10" s="97"/>
      <c r="PZS10" s="97"/>
      <c r="PZT10" s="97"/>
      <c r="PZU10" s="97"/>
      <c r="PZV10" s="97"/>
      <c r="PZW10" s="97"/>
      <c r="PZX10" s="97"/>
      <c r="PZY10" s="97"/>
      <c r="PZZ10" s="97"/>
      <c r="QAA10" s="97"/>
      <c r="QAB10" s="97"/>
      <c r="QAC10" s="97"/>
      <c r="QAD10" s="97"/>
      <c r="QAE10" s="97"/>
      <c r="QAF10" s="97"/>
      <c r="QAG10" s="97"/>
      <c r="QAH10" s="97"/>
      <c r="QAI10" s="97"/>
      <c r="QAJ10" s="97"/>
      <c r="QAK10" s="97"/>
      <c r="QAL10" s="97"/>
      <c r="QAM10" s="97"/>
      <c r="QAN10" s="97"/>
      <c r="QAO10" s="97"/>
      <c r="QAP10" s="97"/>
      <c r="QAQ10" s="97"/>
      <c r="QAR10" s="97"/>
      <c r="QAS10" s="97"/>
      <c r="QAT10" s="97"/>
      <c r="QAU10" s="97"/>
      <c r="QAV10" s="97"/>
      <c r="QAW10" s="97"/>
      <c r="QAX10" s="97"/>
      <c r="QAY10" s="97"/>
      <c r="QAZ10" s="97"/>
      <c r="QBA10" s="97"/>
      <c r="QBB10" s="97"/>
      <c r="QBC10" s="97"/>
      <c r="QBD10" s="97"/>
      <c r="QBE10" s="97"/>
      <c r="QBF10" s="97"/>
      <c r="QBG10" s="97"/>
      <c r="QBH10" s="97"/>
      <c r="QBI10" s="97"/>
      <c r="QBJ10" s="97"/>
      <c r="QBK10" s="97"/>
      <c r="QBL10" s="97"/>
      <c r="QBM10" s="97"/>
      <c r="QBN10" s="97"/>
      <c r="QBO10" s="97"/>
      <c r="QBP10" s="97"/>
      <c r="QBQ10" s="97"/>
      <c r="QBR10" s="97"/>
      <c r="QBS10" s="97"/>
      <c r="QBT10" s="97"/>
      <c r="QBU10" s="97"/>
      <c r="QBV10" s="97"/>
      <c r="QBW10" s="97"/>
      <c r="QBX10" s="97"/>
      <c r="QBY10" s="97"/>
      <c r="QBZ10" s="97"/>
      <c r="QCA10" s="97"/>
      <c r="QCB10" s="97"/>
      <c r="QCC10" s="97"/>
      <c r="QCD10" s="97"/>
      <c r="QCE10" s="97"/>
      <c r="QCF10" s="97"/>
      <c r="QCG10" s="97"/>
      <c r="QCH10" s="97"/>
      <c r="QCI10" s="97"/>
      <c r="QCJ10" s="97"/>
      <c r="QCK10" s="97"/>
      <c r="QCL10" s="97"/>
      <c r="QCM10" s="97"/>
      <c r="QCN10" s="97"/>
      <c r="QCO10" s="97"/>
      <c r="QCP10" s="97"/>
      <c r="QCQ10" s="97"/>
      <c r="QCR10" s="97"/>
      <c r="QCS10" s="97"/>
      <c r="QCT10" s="97"/>
      <c r="QCU10" s="97"/>
      <c r="QCV10" s="97"/>
      <c r="QCW10" s="97"/>
      <c r="QCX10" s="97"/>
      <c r="QCY10" s="97"/>
      <c r="QCZ10" s="97"/>
      <c r="QDA10" s="97"/>
      <c r="QDB10" s="97"/>
      <c r="QDC10" s="97"/>
      <c r="QDD10" s="97"/>
      <c r="QDE10" s="97"/>
      <c r="QDF10" s="97"/>
      <c r="QDG10" s="97"/>
      <c r="QDH10" s="97"/>
      <c r="QDI10" s="97"/>
      <c r="QDJ10" s="97"/>
      <c r="QDK10" s="97"/>
      <c r="QDL10" s="97"/>
      <c r="QDM10" s="97"/>
      <c r="QDN10" s="97"/>
      <c r="QDO10" s="97"/>
      <c r="QDP10" s="97"/>
      <c r="QDQ10" s="97"/>
      <c r="QDR10" s="97"/>
      <c r="QDS10" s="97"/>
      <c r="QDT10" s="97"/>
      <c r="QDU10" s="97"/>
      <c r="QDV10" s="97"/>
      <c r="QDW10" s="97"/>
      <c r="QDX10" s="97"/>
      <c r="QDY10" s="97"/>
      <c r="QDZ10" s="97"/>
      <c r="QEA10" s="97"/>
      <c r="QEB10" s="97"/>
      <c r="QEC10" s="97"/>
      <c r="QED10" s="97"/>
      <c r="QEE10" s="97"/>
      <c r="QEF10" s="97"/>
      <c r="QEG10" s="97"/>
      <c r="QEH10" s="97"/>
      <c r="QEI10" s="97"/>
      <c r="QEJ10" s="97"/>
      <c r="QEK10" s="97"/>
      <c r="QEL10" s="97"/>
      <c r="QEM10" s="97"/>
      <c r="QEN10" s="97"/>
      <c r="QEO10" s="97"/>
      <c r="QEP10" s="97"/>
      <c r="QEQ10" s="97"/>
      <c r="QER10" s="97"/>
      <c r="QES10" s="97"/>
      <c r="QET10" s="97"/>
      <c r="QEU10" s="97"/>
      <c r="QEV10" s="97"/>
      <c r="QEW10" s="97"/>
      <c r="QEX10" s="97"/>
      <c r="QEY10" s="97"/>
      <c r="QEZ10" s="97"/>
      <c r="QFA10" s="97"/>
      <c r="QFB10" s="97"/>
      <c r="QFC10" s="97"/>
      <c r="QFD10" s="97"/>
      <c r="QFE10" s="97"/>
      <c r="QFF10" s="97"/>
      <c r="QFG10" s="97"/>
      <c r="QFH10" s="97"/>
      <c r="QFI10" s="97"/>
      <c r="QFJ10" s="97"/>
      <c r="QFK10" s="97"/>
      <c r="QFL10" s="97"/>
      <c r="QFM10" s="97"/>
      <c r="QFN10" s="97"/>
      <c r="QFO10" s="97"/>
      <c r="QFP10" s="97"/>
      <c r="QFQ10" s="97"/>
      <c r="QFR10" s="97"/>
      <c r="QFS10" s="97"/>
      <c r="QFT10" s="97"/>
      <c r="QFU10" s="97"/>
      <c r="QFV10" s="97"/>
      <c r="QFW10" s="97"/>
      <c r="QFX10" s="97"/>
      <c r="QFY10" s="97"/>
      <c r="QFZ10" s="97"/>
      <c r="QGA10" s="97"/>
      <c r="QGB10" s="97"/>
      <c r="QGC10" s="97"/>
      <c r="QGD10" s="97"/>
      <c r="QGE10" s="97"/>
      <c r="QGF10" s="97"/>
      <c r="QGG10" s="97"/>
      <c r="QGH10" s="97"/>
      <c r="QGI10" s="97"/>
      <c r="QGJ10" s="97"/>
      <c r="QGK10" s="97"/>
      <c r="QGL10" s="97"/>
      <c r="QGM10" s="97"/>
      <c r="QGN10" s="97"/>
      <c r="QGO10" s="97"/>
      <c r="QGP10" s="97"/>
      <c r="QGQ10" s="97"/>
      <c r="QGR10" s="97"/>
      <c r="QGS10" s="97"/>
      <c r="QGT10" s="97"/>
      <c r="QGU10" s="97"/>
      <c r="QGV10" s="97"/>
      <c r="QGW10" s="97"/>
      <c r="QGX10" s="97"/>
      <c r="QGY10" s="97"/>
      <c r="QGZ10" s="97"/>
      <c r="QHA10" s="97"/>
      <c r="QHB10" s="97"/>
      <c r="QHC10" s="97"/>
      <c r="QHD10" s="97"/>
      <c r="QHE10" s="97"/>
      <c r="QHF10" s="97"/>
      <c r="QHG10" s="97"/>
      <c r="QHH10" s="97"/>
      <c r="QHI10" s="97"/>
      <c r="QHJ10" s="97"/>
      <c r="QHK10" s="97"/>
      <c r="QHL10" s="97"/>
      <c r="QHM10" s="97"/>
      <c r="QHN10" s="97"/>
      <c r="QHO10" s="97"/>
      <c r="QHP10" s="97"/>
      <c r="QHQ10" s="97"/>
      <c r="QHR10" s="97"/>
      <c r="QHS10" s="97"/>
      <c r="QHT10" s="97"/>
      <c r="QHU10" s="97"/>
      <c r="QHV10" s="97"/>
      <c r="QHW10" s="97"/>
      <c r="QHX10" s="97"/>
      <c r="QHY10" s="97"/>
      <c r="QHZ10" s="97"/>
      <c r="QIA10" s="97"/>
      <c r="QIB10" s="97"/>
      <c r="QIC10" s="97"/>
      <c r="QID10" s="97"/>
      <c r="QIE10" s="97"/>
      <c r="QIF10" s="97"/>
      <c r="QIG10" s="97"/>
      <c r="QIH10" s="97"/>
      <c r="QII10" s="97"/>
      <c r="QIJ10" s="97"/>
      <c r="QIK10" s="97"/>
      <c r="QIL10" s="97"/>
      <c r="QIM10" s="97"/>
      <c r="QIN10" s="97"/>
      <c r="QIO10" s="97"/>
      <c r="QIP10" s="97"/>
      <c r="QIQ10" s="97"/>
      <c r="QIR10" s="97"/>
      <c r="QIS10" s="97"/>
      <c r="QIT10" s="97"/>
      <c r="QIU10" s="97"/>
      <c r="QIV10" s="97"/>
      <c r="QIW10" s="97"/>
      <c r="QIX10" s="97"/>
      <c r="QIY10" s="97"/>
      <c r="QIZ10" s="97"/>
      <c r="QJA10" s="97"/>
      <c r="QJB10" s="97"/>
      <c r="QJC10" s="97"/>
      <c r="QJD10" s="97"/>
      <c r="QJE10" s="97"/>
      <c r="QJF10" s="97"/>
      <c r="QJG10" s="97"/>
      <c r="QJH10" s="97"/>
      <c r="QJI10" s="97"/>
      <c r="QJJ10" s="97"/>
      <c r="QJK10" s="97"/>
      <c r="QJL10" s="97"/>
      <c r="QJM10" s="97"/>
      <c r="QJN10" s="97"/>
      <c r="QJO10" s="97"/>
      <c r="QJP10" s="97"/>
      <c r="QJQ10" s="97"/>
      <c r="QJR10" s="97"/>
      <c r="QJS10" s="97"/>
      <c r="QJT10" s="97"/>
      <c r="QJU10" s="97"/>
      <c r="QJV10" s="97"/>
      <c r="QJW10" s="97"/>
      <c r="QJX10" s="97"/>
      <c r="QJY10" s="97"/>
      <c r="QJZ10" s="97"/>
      <c r="QKA10" s="97"/>
      <c r="QKB10" s="97"/>
      <c r="QKC10" s="97"/>
      <c r="QKD10" s="97"/>
      <c r="QKE10" s="97"/>
      <c r="QKF10" s="97"/>
      <c r="QKG10" s="97"/>
      <c r="QKH10" s="97"/>
      <c r="QKI10" s="97"/>
      <c r="QKJ10" s="97"/>
      <c r="QKK10" s="97"/>
      <c r="QKL10" s="97"/>
      <c r="QKM10" s="97"/>
      <c r="QKN10" s="97"/>
      <c r="QKO10" s="97"/>
      <c r="QKP10" s="97"/>
      <c r="QKQ10" s="97"/>
      <c r="QKR10" s="97"/>
      <c r="QKS10" s="97"/>
      <c r="QKT10" s="97"/>
      <c r="QKU10" s="97"/>
      <c r="QKV10" s="97"/>
      <c r="QKW10" s="97"/>
      <c r="QKX10" s="97"/>
      <c r="QKY10" s="97"/>
      <c r="QKZ10" s="97"/>
      <c r="QLA10" s="97"/>
      <c r="QLB10" s="97"/>
      <c r="QLC10" s="97"/>
      <c r="QLD10" s="97"/>
      <c r="QLE10" s="97"/>
      <c r="QLF10" s="97"/>
      <c r="QLG10" s="97"/>
      <c r="QLH10" s="97"/>
      <c r="QLI10" s="97"/>
      <c r="QLJ10" s="97"/>
      <c r="QLK10" s="97"/>
      <c r="QLL10" s="97"/>
      <c r="QLM10" s="97"/>
      <c r="QLN10" s="97"/>
      <c r="QLO10" s="97"/>
      <c r="QLP10" s="97"/>
      <c r="QLQ10" s="97"/>
      <c r="QLR10" s="97"/>
      <c r="QLS10" s="97"/>
      <c r="QLT10" s="97"/>
      <c r="QLU10" s="97"/>
      <c r="QLV10" s="97"/>
      <c r="QLW10" s="97"/>
      <c r="QLX10" s="97"/>
      <c r="QLY10" s="97"/>
      <c r="QLZ10" s="97"/>
      <c r="QMA10" s="97"/>
      <c r="QMB10" s="97"/>
      <c r="QMC10" s="97"/>
      <c r="QMD10" s="97"/>
      <c r="QME10" s="97"/>
      <c r="QMF10" s="97"/>
      <c r="QMG10" s="97"/>
      <c r="QMH10" s="97"/>
      <c r="QMI10" s="97"/>
      <c r="QMJ10" s="97"/>
      <c r="QMK10" s="97"/>
      <c r="QML10" s="97"/>
      <c r="QMM10" s="97"/>
      <c r="QMN10" s="97"/>
      <c r="QMO10" s="97"/>
      <c r="QMP10" s="97"/>
      <c r="QMQ10" s="97"/>
      <c r="QMR10" s="97"/>
      <c r="QMS10" s="97"/>
      <c r="QMT10" s="97"/>
      <c r="QMU10" s="97"/>
      <c r="QMV10" s="97"/>
      <c r="QMW10" s="97"/>
      <c r="QMX10" s="97"/>
      <c r="QMY10" s="97"/>
      <c r="QMZ10" s="97"/>
      <c r="QNA10" s="97"/>
      <c r="QNB10" s="97"/>
      <c r="QNC10" s="97"/>
      <c r="QND10" s="97"/>
      <c r="QNE10" s="97"/>
      <c r="QNF10" s="97"/>
      <c r="QNG10" s="97"/>
      <c r="QNH10" s="97"/>
      <c r="QNI10" s="97"/>
      <c r="QNJ10" s="97"/>
      <c r="QNK10" s="97"/>
      <c r="QNL10" s="97"/>
      <c r="QNM10" s="97"/>
      <c r="QNN10" s="97"/>
      <c r="QNO10" s="97"/>
      <c r="QNP10" s="97"/>
      <c r="QNQ10" s="97"/>
      <c r="QNR10" s="97"/>
      <c r="QNS10" s="97"/>
      <c r="QNT10" s="97"/>
      <c r="QNU10" s="97"/>
      <c r="QNV10" s="97"/>
      <c r="QNW10" s="97"/>
      <c r="QNX10" s="97"/>
      <c r="QNY10" s="97"/>
      <c r="QNZ10" s="97"/>
      <c r="QOA10" s="97"/>
      <c r="QOB10" s="97"/>
      <c r="QOC10" s="97"/>
      <c r="QOD10" s="97"/>
      <c r="QOE10" s="97"/>
      <c r="QOF10" s="97"/>
      <c r="QOG10" s="97"/>
      <c r="QOH10" s="97"/>
      <c r="QOI10" s="97"/>
      <c r="QOJ10" s="97"/>
      <c r="QOK10" s="97"/>
      <c r="QOL10" s="97"/>
      <c r="QOM10" s="97"/>
      <c r="QON10" s="97"/>
      <c r="QOO10" s="97"/>
      <c r="QOP10" s="97"/>
      <c r="QOQ10" s="97"/>
      <c r="QOR10" s="97"/>
      <c r="QOS10" s="97"/>
      <c r="QOT10" s="97"/>
      <c r="QOU10" s="97"/>
      <c r="QOV10" s="97"/>
      <c r="QOW10" s="97"/>
      <c r="QOX10" s="97"/>
      <c r="QOY10" s="97"/>
      <c r="QOZ10" s="97"/>
      <c r="QPA10" s="97"/>
      <c r="QPB10" s="97"/>
      <c r="QPC10" s="97"/>
      <c r="QPD10" s="97"/>
      <c r="QPE10" s="97"/>
      <c r="QPF10" s="97"/>
      <c r="QPG10" s="97"/>
      <c r="QPH10" s="97"/>
      <c r="QPI10" s="97"/>
      <c r="QPJ10" s="97"/>
      <c r="QPK10" s="97"/>
      <c r="QPL10" s="97"/>
      <c r="QPM10" s="97"/>
      <c r="QPN10" s="97"/>
      <c r="QPO10" s="97"/>
      <c r="QPP10" s="97"/>
      <c r="QPQ10" s="97"/>
      <c r="QPR10" s="97"/>
      <c r="QPS10" s="97"/>
      <c r="QPT10" s="97"/>
      <c r="QPU10" s="97"/>
      <c r="QPV10" s="97"/>
      <c r="QPW10" s="97"/>
      <c r="QPX10" s="97"/>
      <c r="QPY10" s="97"/>
      <c r="QPZ10" s="97"/>
      <c r="QQA10" s="97"/>
      <c r="QQB10" s="97"/>
      <c r="QQC10" s="97"/>
      <c r="QQD10" s="97"/>
      <c r="QQE10" s="97"/>
      <c r="QQF10" s="97"/>
      <c r="QQG10" s="97"/>
      <c r="QQH10" s="97"/>
      <c r="QQI10" s="97"/>
      <c r="QQJ10" s="97"/>
      <c r="QQK10" s="97"/>
      <c r="QQL10" s="97"/>
      <c r="QQM10" s="97"/>
      <c r="QQN10" s="97"/>
      <c r="QQO10" s="97"/>
      <c r="QQP10" s="97"/>
      <c r="QQQ10" s="97"/>
      <c r="QQR10" s="97"/>
      <c r="QQS10" s="97"/>
      <c r="QQT10" s="97"/>
      <c r="QQU10" s="97"/>
      <c r="QQV10" s="97"/>
      <c r="QQW10" s="97"/>
      <c r="QQX10" s="97"/>
      <c r="QQY10" s="97"/>
      <c r="QQZ10" s="97"/>
      <c r="QRA10" s="97"/>
      <c r="QRB10" s="97"/>
      <c r="QRC10" s="97"/>
      <c r="QRD10" s="97"/>
      <c r="QRE10" s="97"/>
      <c r="QRF10" s="97"/>
      <c r="QRG10" s="97"/>
      <c r="QRH10" s="97"/>
      <c r="QRI10" s="97"/>
      <c r="QRJ10" s="97"/>
      <c r="QRK10" s="97"/>
      <c r="QRL10" s="97"/>
      <c r="QRM10" s="97"/>
      <c r="QRN10" s="97"/>
      <c r="QRO10" s="97"/>
      <c r="QRP10" s="97"/>
      <c r="QRQ10" s="97"/>
      <c r="QRR10" s="97"/>
      <c r="QRS10" s="97"/>
      <c r="QRT10" s="97"/>
      <c r="QRU10" s="97"/>
      <c r="QRV10" s="97"/>
      <c r="QRW10" s="97"/>
      <c r="QRX10" s="97"/>
      <c r="QRY10" s="97"/>
      <c r="QRZ10" s="97"/>
      <c r="QSA10" s="97"/>
      <c r="QSB10" s="97"/>
      <c r="QSC10" s="97"/>
      <c r="QSD10" s="97"/>
      <c r="QSE10" s="97"/>
      <c r="QSF10" s="97"/>
      <c r="QSG10" s="97"/>
      <c r="QSH10" s="97"/>
      <c r="QSI10" s="97"/>
      <c r="QSJ10" s="97"/>
      <c r="QSK10" s="97"/>
      <c r="QSL10" s="97"/>
      <c r="QSM10" s="97"/>
      <c r="QSN10" s="97"/>
      <c r="QSO10" s="97"/>
      <c r="QSP10" s="97"/>
      <c r="QSQ10" s="97"/>
      <c r="QSR10" s="97"/>
      <c r="QSS10" s="97"/>
      <c r="QST10" s="97"/>
      <c r="QSU10" s="97"/>
      <c r="QSV10" s="97"/>
      <c r="QSW10" s="97"/>
      <c r="QSX10" s="97"/>
      <c r="QSY10" s="97"/>
      <c r="QSZ10" s="97"/>
      <c r="QTA10" s="97"/>
      <c r="QTB10" s="97"/>
      <c r="QTC10" s="97"/>
      <c r="QTD10" s="97"/>
      <c r="QTE10" s="97"/>
      <c r="QTF10" s="97"/>
      <c r="QTG10" s="97"/>
      <c r="QTH10" s="97"/>
      <c r="QTI10" s="97"/>
      <c r="QTJ10" s="97"/>
      <c r="QTK10" s="97"/>
      <c r="QTL10" s="97"/>
      <c r="QTM10" s="97"/>
      <c r="QTN10" s="97"/>
      <c r="QTO10" s="97"/>
      <c r="QTP10" s="97"/>
      <c r="QTQ10" s="97"/>
      <c r="QTR10" s="97"/>
      <c r="QTS10" s="97"/>
      <c r="QTT10" s="97"/>
      <c r="QTU10" s="97"/>
      <c r="QTV10" s="97"/>
      <c r="QTW10" s="97"/>
      <c r="QTX10" s="97"/>
      <c r="QTY10" s="97"/>
      <c r="QTZ10" s="97"/>
      <c r="QUA10" s="97"/>
      <c r="QUB10" s="97"/>
      <c r="QUC10" s="97"/>
      <c r="QUD10" s="97"/>
      <c r="QUE10" s="97"/>
      <c r="QUF10" s="97"/>
      <c r="QUG10" s="97"/>
      <c r="QUH10" s="97"/>
      <c r="QUI10" s="97"/>
      <c r="QUJ10" s="97"/>
      <c r="QUK10" s="97"/>
      <c r="QUL10" s="97"/>
      <c r="QUM10" s="97"/>
      <c r="QUN10" s="97"/>
      <c r="QUO10" s="97"/>
      <c r="QUP10" s="97"/>
      <c r="QUQ10" s="97"/>
      <c r="QUR10" s="97"/>
      <c r="QUS10" s="97"/>
      <c r="QUT10" s="97"/>
      <c r="QUU10" s="97"/>
      <c r="QUV10" s="97"/>
      <c r="QUW10" s="97"/>
      <c r="QUX10" s="97"/>
      <c r="QUY10" s="97"/>
      <c r="QUZ10" s="97"/>
      <c r="QVA10" s="97"/>
      <c r="QVB10" s="97"/>
      <c r="QVC10" s="97"/>
      <c r="QVD10" s="97"/>
      <c r="QVE10" s="97"/>
      <c r="QVF10" s="97"/>
      <c r="QVG10" s="97"/>
      <c r="QVH10" s="97"/>
      <c r="QVI10" s="97"/>
      <c r="QVJ10" s="97"/>
      <c r="QVK10" s="97"/>
      <c r="QVL10" s="97"/>
      <c r="QVM10" s="97"/>
      <c r="QVN10" s="97"/>
      <c r="QVO10" s="97"/>
      <c r="QVP10" s="97"/>
      <c r="QVQ10" s="97"/>
      <c r="QVR10" s="97"/>
      <c r="QVS10" s="97"/>
      <c r="QVT10" s="97"/>
      <c r="QVU10" s="97"/>
      <c r="QVV10" s="97"/>
      <c r="QVW10" s="97"/>
      <c r="QVX10" s="97"/>
      <c r="QVY10" s="97"/>
      <c r="QVZ10" s="97"/>
      <c r="QWA10" s="97"/>
      <c r="QWB10" s="97"/>
      <c r="QWC10" s="97"/>
      <c r="QWD10" s="97"/>
      <c r="QWE10" s="97"/>
      <c r="QWF10" s="97"/>
      <c r="QWG10" s="97"/>
      <c r="QWH10" s="97"/>
      <c r="QWI10" s="97"/>
      <c r="QWJ10" s="97"/>
      <c r="QWK10" s="97"/>
      <c r="QWL10" s="97"/>
      <c r="QWM10" s="97"/>
      <c r="QWN10" s="97"/>
      <c r="QWO10" s="97"/>
      <c r="QWP10" s="97"/>
      <c r="QWQ10" s="97"/>
      <c r="QWR10" s="97"/>
      <c r="QWS10" s="97"/>
      <c r="QWT10" s="97"/>
      <c r="QWU10" s="97"/>
      <c r="QWV10" s="97"/>
      <c r="QWW10" s="97"/>
      <c r="QWX10" s="97"/>
      <c r="QWY10" s="97"/>
      <c r="QWZ10" s="97"/>
      <c r="QXA10" s="97"/>
      <c r="QXB10" s="97"/>
      <c r="QXC10" s="97"/>
      <c r="QXD10" s="97"/>
      <c r="QXE10" s="97"/>
      <c r="QXF10" s="97"/>
      <c r="QXG10" s="97"/>
      <c r="QXH10" s="97"/>
      <c r="QXI10" s="97"/>
      <c r="QXJ10" s="97"/>
      <c r="QXK10" s="97"/>
      <c r="QXL10" s="97"/>
      <c r="QXM10" s="97"/>
      <c r="QXN10" s="97"/>
      <c r="QXO10" s="97"/>
      <c r="QXP10" s="97"/>
      <c r="QXQ10" s="97"/>
      <c r="QXR10" s="97"/>
      <c r="QXS10" s="97"/>
      <c r="QXT10" s="97"/>
      <c r="QXU10" s="97"/>
      <c r="QXV10" s="97"/>
      <c r="QXW10" s="97"/>
      <c r="QXX10" s="97"/>
      <c r="QXY10" s="97"/>
      <c r="QXZ10" s="97"/>
      <c r="QYA10" s="97"/>
      <c r="QYB10" s="97"/>
      <c r="QYC10" s="97"/>
      <c r="QYD10" s="97"/>
      <c r="QYE10" s="97"/>
      <c r="QYF10" s="97"/>
      <c r="QYG10" s="97"/>
      <c r="QYH10" s="97"/>
      <c r="QYI10" s="97"/>
      <c r="QYJ10" s="97"/>
      <c r="QYK10" s="97"/>
      <c r="QYL10" s="97"/>
      <c r="QYM10" s="97"/>
      <c r="QYN10" s="97"/>
      <c r="QYO10" s="97"/>
      <c r="QYP10" s="97"/>
      <c r="QYQ10" s="97"/>
      <c r="QYR10" s="97"/>
      <c r="QYS10" s="97"/>
      <c r="QYT10" s="97"/>
      <c r="QYU10" s="97"/>
      <c r="QYV10" s="97"/>
      <c r="QYW10" s="97"/>
      <c r="QYX10" s="97"/>
      <c r="QYY10" s="97"/>
      <c r="QYZ10" s="97"/>
      <c r="QZA10" s="97"/>
      <c r="QZB10" s="97"/>
      <c r="QZC10" s="97"/>
      <c r="QZD10" s="97"/>
      <c r="QZE10" s="97"/>
      <c r="QZF10" s="97"/>
      <c r="QZG10" s="97"/>
      <c r="QZH10" s="97"/>
      <c r="QZI10" s="97"/>
      <c r="QZJ10" s="97"/>
      <c r="QZK10" s="97"/>
      <c r="QZL10" s="97"/>
      <c r="QZM10" s="97"/>
      <c r="QZN10" s="97"/>
      <c r="QZO10" s="97"/>
      <c r="QZP10" s="97"/>
      <c r="QZQ10" s="97"/>
      <c r="QZR10" s="97"/>
      <c r="QZS10" s="97"/>
      <c r="QZT10" s="97"/>
      <c r="QZU10" s="97"/>
      <c r="QZV10" s="97"/>
      <c r="QZW10" s="97"/>
      <c r="QZX10" s="97"/>
      <c r="QZY10" s="97"/>
      <c r="QZZ10" s="97"/>
      <c r="RAA10" s="97"/>
      <c r="RAB10" s="97"/>
      <c r="RAC10" s="97"/>
      <c r="RAD10" s="97"/>
      <c r="RAE10" s="97"/>
      <c r="RAF10" s="97"/>
      <c r="RAG10" s="97"/>
      <c r="RAH10" s="97"/>
      <c r="RAI10" s="97"/>
      <c r="RAJ10" s="97"/>
      <c r="RAK10" s="97"/>
      <c r="RAL10" s="97"/>
      <c r="RAM10" s="97"/>
      <c r="RAN10" s="97"/>
      <c r="RAO10" s="97"/>
      <c r="RAP10" s="97"/>
      <c r="RAQ10" s="97"/>
      <c r="RAR10" s="97"/>
      <c r="RAS10" s="97"/>
      <c r="RAT10" s="97"/>
      <c r="RAU10" s="97"/>
      <c r="RAV10" s="97"/>
      <c r="RAW10" s="97"/>
      <c r="RAX10" s="97"/>
      <c r="RAY10" s="97"/>
      <c r="RAZ10" s="97"/>
      <c r="RBA10" s="97"/>
      <c r="RBB10" s="97"/>
      <c r="RBC10" s="97"/>
      <c r="RBD10" s="97"/>
      <c r="RBE10" s="97"/>
      <c r="RBF10" s="97"/>
      <c r="RBG10" s="97"/>
      <c r="RBH10" s="97"/>
      <c r="RBI10" s="97"/>
      <c r="RBJ10" s="97"/>
      <c r="RBK10" s="97"/>
      <c r="RBL10" s="97"/>
      <c r="RBM10" s="97"/>
      <c r="RBN10" s="97"/>
      <c r="RBO10" s="97"/>
      <c r="RBP10" s="97"/>
      <c r="RBQ10" s="97"/>
      <c r="RBR10" s="97"/>
      <c r="RBS10" s="97"/>
      <c r="RBT10" s="97"/>
      <c r="RBU10" s="97"/>
      <c r="RBV10" s="97"/>
      <c r="RBW10" s="97"/>
      <c r="RBX10" s="97"/>
      <c r="RBY10" s="97"/>
      <c r="RBZ10" s="97"/>
      <c r="RCA10" s="97"/>
      <c r="RCB10" s="97"/>
      <c r="RCC10" s="97"/>
      <c r="RCD10" s="97"/>
      <c r="RCE10" s="97"/>
      <c r="RCF10" s="97"/>
      <c r="RCG10" s="97"/>
      <c r="RCH10" s="97"/>
      <c r="RCI10" s="97"/>
      <c r="RCJ10" s="97"/>
      <c r="RCK10" s="97"/>
      <c r="RCL10" s="97"/>
      <c r="RCM10" s="97"/>
      <c r="RCN10" s="97"/>
      <c r="RCO10" s="97"/>
      <c r="RCP10" s="97"/>
      <c r="RCQ10" s="97"/>
      <c r="RCR10" s="97"/>
      <c r="RCS10" s="97"/>
      <c r="RCT10" s="97"/>
      <c r="RCU10" s="97"/>
      <c r="RCV10" s="97"/>
      <c r="RCW10" s="97"/>
      <c r="RCX10" s="97"/>
      <c r="RCY10" s="97"/>
      <c r="RCZ10" s="97"/>
      <c r="RDA10" s="97"/>
      <c r="RDB10" s="97"/>
      <c r="RDC10" s="97"/>
      <c r="RDD10" s="97"/>
      <c r="RDE10" s="97"/>
      <c r="RDF10" s="97"/>
      <c r="RDG10" s="97"/>
      <c r="RDH10" s="97"/>
      <c r="RDI10" s="97"/>
      <c r="RDJ10" s="97"/>
      <c r="RDK10" s="97"/>
      <c r="RDL10" s="97"/>
      <c r="RDM10" s="97"/>
      <c r="RDN10" s="97"/>
      <c r="RDO10" s="97"/>
      <c r="RDP10" s="97"/>
      <c r="RDQ10" s="97"/>
      <c r="RDR10" s="97"/>
      <c r="RDS10" s="97"/>
      <c r="RDT10" s="97"/>
      <c r="RDU10" s="97"/>
      <c r="RDV10" s="97"/>
      <c r="RDW10" s="97"/>
      <c r="RDX10" s="97"/>
      <c r="RDY10" s="97"/>
      <c r="RDZ10" s="97"/>
      <c r="REA10" s="97"/>
      <c r="REB10" s="97"/>
      <c r="REC10" s="97"/>
      <c r="RED10" s="97"/>
      <c r="REE10" s="97"/>
      <c r="REF10" s="97"/>
      <c r="REG10" s="97"/>
      <c r="REH10" s="97"/>
      <c r="REI10" s="97"/>
      <c r="REJ10" s="97"/>
      <c r="REK10" s="97"/>
      <c r="REL10" s="97"/>
      <c r="REM10" s="97"/>
      <c r="REN10" s="97"/>
      <c r="REO10" s="97"/>
      <c r="REP10" s="97"/>
      <c r="REQ10" s="97"/>
      <c r="RER10" s="97"/>
      <c r="RES10" s="97"/>
      <c r="RET10" s="97"/>
      <c r="REU10" s="97"/>
      <c r="REV10" s="97"/>
      <c r="REW10" s="97"/>
      <c r="REX10" s="97"/>
      <c r="REY10" s="97"/>
      <c r="REZ10" s="97"/>
      <c r="RFA10" s="97"/>
      <c r="RFB10" s="97"/>
      <c r="RFC10" s="97"/>
      <c r="RFD10" s="97"/>
      <c r="RFE10" s="97"/>
      <c r="RFF10" s="97"/>
      <c r="RFG10" s="97"/>
      <c r="RFH10" s="97"/>
      <c r="RFI10" s="97"/>
      <c r="RFJ10" s="97"/>
      <c r="RFK10" s="97"/>
      <c r="RFL10" s="97"/>
      <c r="RFM10" s="97"/>
      <c r="RFN10" s="97"/>
      <c r="RFO10" s="97"/>
      <c r="RFP10" s="97"/>
      <c r="RFQ10" s="97"/>
      <c r="RFR10" s="97"/>
      <c r="RFS10" s="97"/>
      <c r="RFT10" s="97"/>
      <c r="RFU10" s="97"/>
      <c r="RFV10" s="97"/>
      <c r="RFW10" s="97"/>
      <c r="RFX10" s="97"/>
      <c r="RFY10" s="97"/>
      <c r="RFZ10" s="97"/>
      <c r="RGA10" s="97"/>
      <c r="RGB10" s="97"/>
      <c r="RGC10" s="97"/>
      <c r="RGD10" s="97"/>
      <c r="RGE10" s="97"/>
      <c r="RGF10" s="97"/>
      <c r="RGG10" s="97"/>
      <c r="RGH10" s="97"/>
      <c r="RGI10" s="97"/>
      <c r="RGJ10" s="97"/>
      <c r="RGK10" s="97"/>
      <c r="RGL10" s="97"/>
      <c r="RGM10" s="97"/>
      <c r="RGN10" s="97"/>
      <c r="RGO10" s="97"/>
      <c r="RGP10" s="97"/>
      <c r="RGQ10" s="97"/>
      <c r="RGR10" s="97"/>
      <c r="RGS10" s="97"/>
      <c r="RGT10" s="97"/>
      <c r="RGU10" s="97"/>
      <c r="RGV10" s="97"/>
      <c r="RGW10" s="97"/>
      <c r="RGX10" s="97"/>
      <c r="RGY10" s="97"/>
      <c r="RGZ10" s="97"/>
      <c r="RHA10" s="97"/>
      <c r="RHB10" s="97"/>
      <c r="RHC10" s="97"/>
      <c r="RHD10" s="97"/>
      <c r="RHE10" s="97"/>
      <c r="RHF10" s="97"/>
      <c r="RHG10" s="97"/>
      <c r="RHH10" s="97"/>
      <c r="RHI10" s="97"/>
      <c r="RHJ10" s="97"/>
      <c r="RHK10" s="97"/>
      <c r="RHL10" s="97"/>
      <c r="RHM10" s="97"/>
      <c r="RHN10" s="97"/>
      <c r="RHO10" s="97"/>
      <c r="RHP10" s="97"/>
      <c r="RHQ10" s="97"/>
      <c r="RHR10" s="97"/>
      <c r="RHS10" s="97"/>
      <c r="RHT10" s="97"/>
      <c r="RHU10" s="97"/>
      <c r="RHV10" s="97"/>
      <c r="RHW10" s="97"/>
      <c r="RHX10" s="97"/>
      <c r="RHY10" s="97"/>
      <c r="RHZ10" s="97"/>
      <c r="RIA10" s="97"/>
      <c r="RIB10" s="97"/>
      <c r="RIC10" s="97"/>
      <c r="RID10" s="97"/>
      <c r="RIE10" s="97"/>
      <c r="RIF10" s="97"/>
      <c r="RIG10" s="97"/>
      <c r="RIH10" s="97"/>
      <c r="RII10" s="97"/>
      <c r="RIJ10" s="97"/>
      <c r="RIK10" s="97"/>
      <c r="RIL10" s="97"/>
      <c r="RIM10" s="97"/>
      <c r="RIN10" s="97"/>
      <c r="RIO10" s="97"/>
      <c r="RIP10" s="97"/>
      <c r="RIQ10" s="97"/>
      <c r="RIR10" s="97"/>
      <c r="RIS10" s="97"/>
      <c r="RIT10" s="97"/>
      <c r="RIU10" s="97"/>
      <c r="RIV10" s="97"/>
      <c r="RIW10" s="97"/>
      <c r="RIX10" s="97"/>
      <c r="RIY10" s="97"/>
      <c r="RIZ10" s="97"/>
      <c r="RJA10" s="97"/>
      <c r="RJB10" s="97"/>
      <c r="RJC10" s="97"/>
      <c r="RJD10" s="97"/>
      <c r="RJE10" s="97"/>
      <c r="RJF10" s="97"/>
      <c r="RJG10" s="97"/>
      <c r="RJH10" s="97"/>
      <c r="RJI10" s="97"/>
      <c r="RJJ10" s="97"/>
      <c r="RJK10" s="97"/>
      <c r="RJL10" s="97"/>
      <c r="RJM10" s="97"/>
      <c r="RJN10" s="97"/>
      <c r="RJO10" s="97"/>
      <c r="RJP10" s="97"/>
      <c r="RJQ10" s="97"/>
      <c r="RJR10" s="97"/>
      <c r="RJS10" s="97"/>
      <c r="RJT10" s="97"/>
      <c r="RJU10" s="97"/>
      <c r="RJV10" s="97"/>
      <c r="RJW10" s="97"/>
      <c r="RJX10" s="97"/>
      <c r="RJY10" s="97"/>
      <c r="RJZ10" s="97"/>
      <c r="RKA10" s="97"/>
      <c r="RKB10" s="97"/>
      <c r="RKC10" s="97"/>
      <c r="RKD10" s="97"/>
      <c r="RKE10" s="97"/>
      <c r="RKF10" s="97"/>
      <c r="RKG10" s="97"/>
      <c r="RKH10" s="97"/>
      <c r="RKI10" s="97"/>
      <c r="RKJ10" s="97"/>
      <c r="RKK10" s="97"/>
      <c r="RKL10" s="97"/>
      <c r="RKM10" s="97"/>
      <c r="RKN10" s="97"/>
      <c r="RKO10" s="97"/>
      <c r="RKP10" s="97"/>
      <c r="RKQ10" s="97"/>
      <c r="RKR10" s="97"/>
      <c r="RKS10" s="97"/>
      <c r="RKT10" s="97"/>
      <c r="RKU10" s="97"/>
      <c r="RKV10" s="97"/>
      <c r="RKW10" s="97"/>
      <c r="RKX10" s="97"/>
      <c r="RKY10" s="97"/>
      <c r="RKZ10" s="97"/>
      <c r="RLA10" s="97"/>
      <c r="RLB10" s="97"/>
      <c r="RLC10" s="97"/>
      <c r="RLD10" s="97"/>
      <c r="RLE10" s="97"/>
      <c r="RLF10" s="97"/>
      <c r="RLG10" s="97"/>
      <c r="RLH10" s="97"/>
      <c r="RLI10" s="97"/>
      <c r="RLJ10" s="97"/>
      <c r="RLK10" s="97"/>
      <c r="RLL10" s="97"/>
      <c r="RLM10" s="97"/>
      <c r="RLN10" s="97"/>
      <c r="RLO10" s="97"/>
      <c r="RLP10" s="97"/>
      <c r="RLQ10" s="97"/>
      <c r="RLR10" s="97"/>
      <c r="RLS10" s="97"/>
      <c r="RLT10" s="97"/>
      <c r="RLU10" s="97"/>
      <c r="RLV10" s="97"/>
      <c r="RLW10" s="97"/>
      <c r="RLX10" s="97"/>
      <c r="RLY10" s="97"/>
      <c r="RLZ10" s="97"/>
      <c r="RMA10" s="97"/>
      <c r="RMB10" s="97"/>
      <c r="RMC10" s="97"/>
      <c r="RMD10" s="97"/>
      <c r="RME10" s="97"/>
      <c r="RMF10" s="97"/>
      <c r="RMG10" s="97"/>
      <c r="RMH10" s="97"/>
      <c r="RMI10" s="97"/>
      <c r="RMJ10" s="97"/>
      <c r="RMK10" s="97"/>
      <c r="RML10" s="97"/>
      <c r="RMM10" s="97"/>
      <c r="RMN10" s="97"/>
      <c r="RMO10" s="97"/>
      <c r="RMP10" s="97"/>
      <c r="RMQ10" s="97"/>
      <c r="RMR10" s="97"/>
      <c r="RMS10" s="97"/>
      <c r="RMT10" s="97"/>
      <c r="RMU10" s="97"/>
      <c r="RMV10" s="97"/>
      <c r="RMW10" s="97"/>
      <c r="RMX10" s="97"/>
      <c r="RMY10" s="97"/>
      <c r="RMZ10" s="97"/>
      <c r="RNA10" s="97"/>
      <c r="RNB10" s="97"/>
      <c r="RNC10" s="97"/>
      <c r="RND10" s="97"/>
      <c r="RNE10" s="97"/>
      <c r="RNF10" s="97"/>
      <c r="RNG10" s="97"/>
      <c r="RNH10" s="97"/>
      <c r="RNI10" s="97"/>
      <c r="RNJ10" s="97"/>
      <c r="RNK10" s="97"/>
      <c r="RNL10" s="97"/>
      <c r="RNM10" s="97"/>
      <c r="RNN10" s="97"/>
      <c r="RNO10" s="97"/>
      <c r="RNP10" s="97"/>
      <c r="RNQ10" s="97"/>
      <c r="RNR10" s="97"/>
      <c r="RNS10" s="97"/>
      <c r="RNT10" s="97"/>
      <c r="RNU10" s="97"/>
      <c r="RNV10" s="97"/>
      <c r="RNW10" s="97"/>
      <c r="RNX10" s="97"/>
      <c r="RNY10" s="97"/>
      <c r="RNZ10" s="97"/>
      <c r="ROA10" s="97"/>
      <c r="ROB10" s="97"/>
      <c r="ROC10" s="97"/>
      <c r="ROD10" s="97"/>
      <c r="ROE10" s="97"/>
      <c r="ROF10" s="97"/>
      <c r="ROG10" s="97"/>
      <c r="ROH10" s="97"/>
      <c r="ROI10" s="97"/>
      <c r="ROJ10" s="97"/>
      <c r="ROK10" s="97"/>
      <c r="ROL10" s="97"/>
      <c r="ROM10" s="97"/>
      <c r="RON10" s="97"/>
      <c r="ROO10" s="97"/>
      <c r="ROP10" s="97"/>
      <c r="ROQ10" s="97"/>
      <c r="ROR10" s="97"/>
      <c r="ROS10" s="97"/>
      <c r="ROT10" s="97"/>
      <c r="ROU10" s="97"/>
      <c r="ROV10" s="97"/>
      <c r="ROW10" s="97"/>
      <c r="ROX10" s="97"/>
      <c r="ROY10" s="97"/>
      <c r="ROZ10" s="97"/>
      <c r="RPA10" s="97"/>
      <c r="RPB10" s="97"/>
      <c r="RPC10" s="97"/>
      <c r="RPD10" s="97"/>
      <c r="RPE10" s="97"/>
      <c r="RPF10" s="97"/>
      <c r="RPG10" s="97"/>
      <c r="RPH10" s="97"/>
      <c r="RPI10" s="97"/>
      <c r="RPJ10" s="97"/>
      <c r="RPK10" s="97"/>
      <c r="RPL10" s="97"/>
      <c r="RPM10" s="97"/>
      <c r="RPN10" s="97"/>
      <c r="RPO10" s="97"/>
      <c r="RPP10" s="97"/>
      <c r="RPQ10" s="97"/>
      <c r="RPR10" s="97"/>
      <c r="RPS10" s="97"/>
      <c r="RPT10" s="97"/>
      <c r="RPU10" s="97"/>
      <c r="RPV10" s="97"/>
      <c r="RPW10" s="97"/>
      <c r="RPX10" s="97"/>
      <c r="RPY10" s="97"/>
      <c r="RPZ10" s="97"/>
      <c r="RQA10" s="97"/>
      <c r="RQB10" s="97"/>
      <c r="RQC10" s="97"/>
      <c r="RQD10" s="97"/>
      <c r="RQE10" s="97"/>
      <c r="RQF10" s="97"/>
      <c r="RQG10" s="97"/>
      <c r="RQH10" s="97"/>
      <c r="RQI10" s="97"/>
      <c r="RQJ10" s="97"/>
      <c r="RQK10" s="97"/>
      <c r="RQL10" s="97"/>
      <c r="RQM10" s="97"/>
      <c r="RQN10" s="97"/>
      <c r="RQO10" s="97"/>
      <c r="RQP10" s="97"/>
      <c r="RQQ10" s="97"/>
      <c r="RQR10" s="97"/>
      <c r="RQS10" s="97"/>
      <c r="RQT10" s="97"/>
      <c r="RQU10" s="97"/>
      <c r="RQV10" s="97"/>
      <c r="RQW10" s="97"/>
      <c r="RQX10" s="97"/>
      <c r="RQY10" s="97"/>
      <c r="RQZ10" s="97"/>
      <c r="RRA10" s="97"/>
      <c r="RRB10" s="97"/>
      <c r="RRC10" s="97"/>
      <c r="RRD10" s="97"/>
      <c r="RRE10" s="97"/>
      <c r="RRF10" s="97"/>
      <c r="RRG10" s="97"/>
      <c r="RRH10" s="97"/>
      <c r="RRI10" s="97"/>
      <c r="RRJ10" s="97"/>
      <c r="RRK10" s="97"/>
      <c r="RRL10" s="97"/>
      <c r="RRM10" s="97"/>
      <c r="RRN10" s="97"/>
      <c r="RRO10" s="97"/>
      <c r="RRP10" s="97"/>
      <c r="RRQ10" s="97"/>
      <c r="RRR10" s="97"/>
      <c r="RRS10" s="97"/>
      <c r="RRT10" s="97"/>
      <c r="RRU10" s="97"/>
      <c r="RRV10" s="97"/>
      <c r="RRW10" s="97"/>
      <c r="RRX10" s="97"/>
      <c r="RRY10" s="97"/>
      <c r="RRZ10" s="97"/>
      <c r="RSA10" s="97"/>
      <c r="RSB10" s="97"/>
      <c r="RSC10" s="97"/>
      <c r="RSD10" s="97"/>
      <c r="RSE10" s="97"/>
      <c r="RSF10" s="97"/>
      <c r="RSG10" s="97"/>
      <c r="RSH10" s="97"/>
      <c r="RSI10" s="97"/>
      <c r="RSJ10" s="97"/>
      <c r="RSK10" s="97"/>
      <c r="RSL10" s="97"/>
      <c r="RSM10" s="97"/>
      <c r="RSN10" s="97"/>
      <c r="RSO10" s="97"/>
      <c r="RSP10" s="97"/>
      <c r="RSQ10" s="97"/>
      <c r="RSR10" s="97"/>
      <c r="RSS10" s="97"/>
      <c r="RST10" s="97"/>
      <c r="RSU10" s="97"/>
      <c r="RSV10" s="97"/>
      <c r="RSW10" s="97"/>
      <c r="RSX10" s="97"/>
      <c r="RSY10" s="97"/>
      <c r="RSZ10" s="97"/>
      <c r="RTA10" s="97"/>
      <c r="RTB10" s="97"/>
      <c r="RTC10" s="97"/>
      <c r="RTD10" s="97"/>
      <c r="RTE10" s="97"/>
      <c r="RTF10" s="97"/>
      <c r="RTG10" s="97"/>
      <c r="RTH10" s="97"/>
      <c r="RTI10" s="97"/>
      <c r="RTJ10" s="97"/>
      <c r="RTK10" s="97"/>
      <c r="RTL10" s="97"/>
      <c r="RTM10" s="97"/>
      <c r="RTN10" s="97"/>
      <c r="RTO10" s="97"/>
      <c r="RTP10" s="97"/>
      <c r="RTQ10" s="97"/>
      <c r="RTR10" s="97"/>
      <c r="RTS10" s="97"/>
      <c r="RTT10" s="97"/>
      <c r="RTU10" s="97"/>
      <c r="RTV10" s="97"/>
      <c r="RTW10" s="97"/>
      <c r="RTX10" s="97"/>
      <c r="RTY10" s="97"/>
      <c r="RTZ10" s="97"/>
      <c r="RUA10" s="97"/>
      <c r="RUB10" s="97"/>
      <c r="RUC10" s="97"/>
      <c r="RUD10" s="97"/>
      <c r="RUE10" s="97"/>
      <c r="RUF10" s="97"/>
      <c r="RUG10" s="97"/>
      <c r="RUH10" s="97"/>
      <c r="RUI10" s="97"/>
      <c r="RUJ10" s="97"/>
      <c r="RUK10" s="97"/>
      <c r="RUL10" s="97"/>
      <c r="RUM10" s="97"/>
      <c r="RUN10" s="97"/>
      <c r="RUO10" s="97"/>
      <c r="RUP10" s="97"/>
      <c r="RUQ10" s="97"/>
      <c r="RUR10" s="97"/>
      <c r="RUS10" s="97"/>
      <c r="RUT10" s="97"/>
      <c r="RUU10" s="97"/>
      <c r="RUV10" s="97"/>
      <c r="RUW10" s="97"/>
      <c r="RUX10" s="97"/>
      <c r="RUY10" s="97"/>
      <c r="RUZ10" s="97"/>
      <c r="RVA10" s="97"/>
      <c r="RVB10" s="97"/>
      <c r="RVC10" s="97"/>
      <c r="RVD10" s="97"/>
      <c r="RVE10" s="97"/>
      <c r="RVF10" s="97"/>
      <c r="RVG10" s="97"/>
      <c r="RVH10" s="97"/>
      <c r="RVI10" s="97"/>
      <c r="RVJ10" s="97"/>
      <c r="RVK10" s="97"/>
      <c r="RVL10" s="97"/>
      <c r="RVM10" s="97"/>
      <c r="RVN10" s="97"/>
      <c r="RVO10" s="97"/>
      <c r="RVP10" s="97"/>
      <c r="RVQ10" s="97"/>
      <c r="RVR10" s="97"/>
      <c r="RVS10" s="97"/>
      <c r="RVT10" s="97"/>
      <c r="RVU10" s="97"/>
      <c r="RVV10" s="97"/>
      <c r="RVW10" s="97"/>
      <c r="RVX10" s="97"/>
      <c r="RVY10" s="97"/>
      <c r="RVZ10" s="97"/>
      <c r="RWA10" s="97"/>
      <c r="RWB10" s="97"/>
      <c r="RWC10" s="97"/>
      <c r="RWD10" s="97"/>
      <c r="RWE10" s="97"/>
      <c r="RWF10" s="97"/>
      <c r="RWG10" s="97"/>
      <c r="RWH10" s="97"/>
      <c r="RWI10" s="97"/>
      <c r="RWJ10" s="97"/>
      <c r="RWK10" s="97"/>
      <c r="RWL10" s="97"/>
      <c r="RWM10" s="97"/>
      <c r="RWN10" s="97"/>
      <c r="RWO10" s="97"/>
      <c r="RWP10" s="97"/>
      <c r="RWQ10" s="97"/>
      <c r="RWR10" s="97"/>
      <c r="RWS10" s="97"/>
      <c r="RWT10" s="97"/>
      <c r="RWU10" s="97"/>
      <c r="RWV10" s="97"/>
      <c r="RWW10" s="97"/>
      <c r="RWX10" s="97"/>
      <c r="RWY10" s="97"/>
      <c r="RWZ10" s="97"/>
      <c r="RXA10" s="97"/>
      <c r="RXB10" s="97"/>
      <c r="RXC10" s="97"/>
      <c r="RXD10" s="97"/>
      <c r="RXE10" s="97"/>
      <c r="RXF10" s="97"/>
      <c r="RXG10" s="97"/>
      <c r="RXH10" s="97"/>
      <c r="RXI10" s="97"/>
      <c r="RXJ10" s="97"/>
      <c r="RXK10" s="97"/>
      <c r="RXL10" s="97"/>
      <c r="RXM10" s="97"/>
      <c r="RXN10" s="97"/>
      <c r="RXO10" s="97"/>
      <c r="RXP10" s="97"/>
      <c r="RXQ10" s="97"/>
      <c r="RXR10" s="97"/>
      <c r="RXS10" s="97"/>
      <c r="RXT10" s="97"/>
      <c r="RXU10" s="97"/>
      <c r="RXV10" s="97"/>
      <c r="RXW10" s="97"/>
      <c r="RXX10" s="97"/>
      <c r="RXY10" s="97"/>
      <c r="RXZ10" s="97"/>
      <c r="RYA10" s="97"/>
      <c r="RYB10" s="97"/>
      <c r="RYC10" s="97"/>
      <c r="RYD10" s="97"/>
      <c r="RYE10" s="97"/>
      <c r="RYF10" s="97"/>
      <c r="RYG10" s="97"/>
      <c r="RYH10" s="97"/>
      <c r="RYI10" s="97"/>
      <c r="RYJ10" s="97"/>
      <c r="RYK10" s="97"/>
      <c r="RYL10" s="97"/>
      <c r="RYM10" s="97"/>
      <c r="RYN10" s="97"/>
      <c r="RYO10" s="97"/>
      <c r="RYP10" s="97"/>
      <c r="RYQ10" s="97"/>
      <c r="RYR10" s="97"/>
      <c r="RYS10" s="97"/>
      <c r="RYT10" s="97"/>
      <c r="RYU10" s="97"/>
      <c r="RYV10" s="97"/>
      <c r="RYW10" s="97"/>
      <c r="RYX10" s="97"/>
      <c r="RYY10" s="97"/>
      <c r="RYZ10" s="97"/>
      <c r="RZA10" s="97"/>
      <c r="RZB10" s="97"/>
      <c r="RZC10" s="97"/>
      <c r="RZD10" s="97"/>
      <c r="RZE10" s="97"/>
      <c r="RZF10" s="97"/>
      <c r="RZG10" s="97"/>
      <c r="RZH10" s="97"/>
      <c r="RZI10" s="97"/>
      <c r="RZJ10" s="97"/>
      <c r="RZK10" s="97"/>
      <c r="RZL10" s="97"/>
      <c r="RZM10" s="97"/>
      <c r="RZN10" s="97"/>
      <c r="RZO10" s="97"/>
      <c r="RZP10" s="97"/>
      <c r="RZQ10" s="97"/>
      <c r="RZR10" s="97"/>
      <c r="RZS10" s="97"/>
      <c r="RZT10" s="97"/>
      <c r="RZU10" s="97"/>
      <c r="RZV10" s="97"/>
      <c r="RZW10" s="97"/>
      <c r="RZX10" s="97"/>
      <c r="RZY10" s="97"/>
      <c r="RZZ10" s="97"/>
      <c r="SAA10" s="97"/>
      <c r="SAB10" s="97"/>
      <c r="SAC10" s="97"/>
      <c r="SAD10" s="97"/>
      <c r="SAE10" s="97"/>
      <c r="SAF10" s="97"/>
      <c r="SAG10" s="97"/>
      <c r="SAH10" s="97"/>
      <c r="SAI10" s="97"/>
      <c r="SAJ10" s="97"/>
      <c r="SAK10" s="97"/>
      <c r="SAL10" s="97"/>
      <c r="SAM10" s="97"/>
      <c r="SAN10" s="97"/>
      <c r="SAO10" s="97"/>
      <c r="SAP10" s="97"/>
      <c r="SAQ10" s="97"/>
      <c r="SAR10" s="97"/>
      <c r="SAS10" s="97"/>
      <c r="SAT10" s="97"/>
      <c r="SAU10" s="97"/>
      <c r="SAV10" s="97"/>
      <c r="SAW10" s="97"/>
      <c r="SAX10" s="97"/>
      <c r="SAY10" s="97"/>
      <c r="SAZ10" s="97"/>
      <c r="SBA10" s="97"/>
      <c r="SBB10" s="97"/>
      <c r="SBC10" s="97"/>
      <c r="SBD10" s="97"/>
      <c r="SBE10" s="97"/>
      <c r="SBF10" s="97"/>
      <c r="SBG10" s="97"/>
      <c r="SBH10" s="97"/>
      <c r="SBI10" s="97"/>
      <c r="SBJ10" s="97"/>
      <c r="SBK10" s="97"/>
      <c r="SBL10" s="97"/>
      <c r="SBM10" s="97"/>
      <c r="SBN10" s="97"/>
      <c r="SBO10" s="97"/>
      <c r="SBP10" s="97"/>
      <c r="SBQ10" s="97"/>
      <c r="SBR10" s="97"/>
      <c r="SBS10" s="97"/>
      <c r="SBT10" s="97"/>
      <c r="SBU10" s="97"/>
      <c r="SBV10" s="97"/>
      <c r="SBW10" s="97"/>
      <c r="SBX10" s="97"/>
      <c r="SBY10" s="97"/>
      <c r="SBZ10" s="97"/>
      <c r="SCA10" s="97"/>
      <c r="SCB10" s="97"/>
      <c r="SCC10" s="97"/>
      <c r="SCD10" s="97"/>
      <c r="SCE10" s="97"/>
      <c r="SCF10" s="97"/>
      <c r="SCG10" s="97"/>
      <c r="SCH10" s="97"/>
      <c r="SCI10" s="97"/>
      <c r="SCJ10" s="97"/>
      <c r="SCK10" s="97"/>
      <c r="SCL10" s="97"/>
      <c r="SCM10" s="97"/>
      <c r="SCN10" s="97"/>
      <c r="SCO10" s="97"/>
      <c r="SCP10" s="97"/>
      <c r="SCQ10" s="97"/>
      <c r="SCR10" s="97"/>
      <c r="SCS10" s="97"/>
      <c r="SCT10" s="97"/>
      <c r="SCU10" s="97"/>
      <c r="SCV10" s="97"/>
      <c r="SCW10" s="97"/>
      <c r="SCX10" s="97"/>
      <c r="SCY10" s="97"/>
      <c r="SCZ10" s="97"/>
      <c r="SDA10" s="97"/>
      <c r="SDB10" s="97"/>
      <c r="SDC10" s="97"/>
      <c r="SDD10" s="97"/>
      <c r="SDE10" s="97"/>
      <c r="SDF10" s="97"/>
      <c r="SDG10" s="97"/>
      <c r="SDH10" s="97"/>
      <c r="SDI10" s="97"/>
      <c r="SDJ10" s="97"/>
      <c r="SDK10" s="97"/>
      <c r="SDL10" s="97"/>
      <c r="SDM10" s="97"/>
      <c r="SDN10" s="97"/>
      <c r="SDO10" s="97"/>
      <c r="SDP10" s="97"/>
      <c r="SDQ10" s="97"/>
      <c r="SDR10" s="97"/>
      <c r="SDS10" s="97"/>
      <c r="SDT10" s="97"/>
      <c r="SDU10" s="97"/>
      <c r="SDV10" s="97"/>
      <c r="SDW10" s="97"/>
      <c r="SDX10" s="97"/>
      <c r="SDY10" s="97"/>
      <c r="SDZ10" s="97"/>
      <c r="SEA10" s="97"/>
      <c r="SEB10" s="97"/>
      <c r="SEC10" s="97"/>
      <c r="SED10" s="97"/>
      <c r="SEE10" s="97"/>
      <c r="SEF10" s="97"/>
      <c r="SEG10" s="97"/>
      <c r="SEH10" s="97"/>
      <c r="SEI10" s="97"/>
      <c r="SEJ10" s="97"/>
      <c r="SEK10" s="97"/>
      <c r="SEL10" s="97"/>
      <c r="SEM10" s="97"/>
      <c r="SEN10" s="97"/>
      <c r="SEO10" s="97"/>
      <c r="SEP10" s="97"/>
      <c r="SEQ10" s="97"/>
      <c r="SER10" s="97"/>
      <c r="SES10" s="97"/>
      <c r="SET10" s="97"/>
      <c r="SEU10" s="97"/>
      <c r="SEV10" s="97"/>
      <c r="SEW10" s="97"/>
      <c r="SEX10" s="97"/>
      <c r="SEY10" s="97"/>
      <c r="SEZ10" s="97"/>
      <c r="SFA10" s="97"/>
      <c r="SFB10" s="97"/>
      <c r="SFC10" s="97"/>
      <c r="SFD10" s="97"/>
      <c r="SFE10" s="97"/>
      <c r="SFF10" s="97"/>
      <c r="SFG10" s="97"/>
      <c r="SFH10" s="97"/>
      <c r="SFI10" s="97"/>
      <c r="SFJ10" s="97"/>
      <c r="SFK10" s="97"/>
      <c r="SFL10" s="97"/>
      <c r="SFM10" s="97"/>
      <c r="SFN10" s="97"/>
      <c r="SFO10" s="97"/>
      <c r="SFP10" s="97"/>
      <c r="SFQ10" s="97"/>
      <c r="SFR10" s="97"/>
      <c r="SFS10" s="97"/>
      <c r="SFT10" s="97"/>
      <c r="SFU10" s="97"/>
      <c r="SFV10" s="97"/>
      <c r="SFW10" s="97"/>
      <c r="SFX10" s="97"/>
      <c r="SFY10" s="97"/>
      <c r="SFZ10" s="97"/>
      <c r="SGA10" s="97"/>
      <c r="SGB10" s="97"/>
      <c r="SGC10" s="97"/>
      <c r="SGD10" s="97"/>
      <c r="SGE10" s="97"/>
      <c r="SGF10" s="97"/>
      <c r="SGG10" s="97"/>
      <c r="SGH10" s="97"/>
      <c r="SGI10" s="97"/>
      <c r="SGJ10" s="97"/>
      <c r="SGK10" s="97"/>
      <c r="SGL10" s="97"/>
      <c r="SGM10" s="97"/>
      <c r="SGN10" s="97"/>
      <c r="SGO10" s="97"/>
      <c r="SGP10" s="97"/>
      <c r="SGQ10" s="97"/>
      <c r="SGR10" s="97"/>
      <c r="SGS10" s="97"/>
      <c r="SGT10" s="97"/>
      <c r="SGU10" s="97"/>
      <c r="SGV10" s="97"/>
      <c r="SGW10" s="97"/>
      <c r="SGX10" s="97"/>
      <c r="SGY10" s="97"/>
      <c r="SGZ10" s="97"/>
      <c r="SHA10" s="97"/>
      <c r="SHB10" s="97"/>
      <c r="SHC10" s="97"/>
      <c r="SHD10" s="97"/>
      <c r="SHE10" s="97"/>
      <c r="SHF10" s="97"/>
      <c r="SHG10" s="97"/>
      <c r="SHH10" s="97"/>
      <c r="SHI10" s="97"/>
      <c r="SHJ10" s="97"/>
      <c r="SHK10" s="97"/>
      <c r="SHL10" s="97"/>
      <c r="SHM10" s="97"/>
      <c r="SHN10" s="97"/>
      <c r="SHO10" s="97"/>
      <c r="SHP10" s="97"/>
      <c r="SHQ10" s="97"/>
      <c r="SHR10" s="97"/>
      <c r="SHS10" s="97"/>
      <c r="SHT10" s="97"/>
      <c r="SHU10" s="97"/>
      <c r="SHV10" s="97"/>
      <c r="SHW10" s="97"/>
      <c r="SHX10" s="97"/>
      <c r="SHY10" s="97"/>
      <c r="SHZ10" s="97"/>
      <c r="SIA10" s="97"/>
      <c r="SIB10" s="97"/>
      <c r="SIC10" s="97"/>
      <c r="SID10" s="97"/>
      <c r="SIE10" s="97"/>
      <c r="SIF10" s="97"/>
      <c r="SIG10" s="97"/>
      <c r="SIH10" s="97"/>
      <c r="SII10" s="97"/>
      <c r="SIJ10" s="97"/>
      <c r="SIK10" s="97"/>
      <c r="SIL10" s="97"/>
      <c r="SIM10" s="97"/>
      <c r="SIN10" s="97"/>
      <c r="SIO10" s="97"/>
      <c r="SIP10" s="97"/>
      <c r="SIQ10" s="97"/>
      <c r="SIR10" s="97"/>
      <c r="SIS10" s="97"/>
      <c r="SIT10" s="97"/>
      <c r="SIU10" s="97"/>
      <c r="SIV10" s="97"/>
      <c r="SIW10" s="97"/>
      <c r="SIX10" s="97"/>
      <c r="SIY10" s="97"/>
      <c r="SIZ10" s="97"/>
      <c r="SJA10" s="97"/>
      <c r="SJB10" s="97"/>
      <c r="SJC10" s="97"/>
      <c r="SJD10" s="97"/>
      <c r="SJE10" s="97"/>
      <c r="SJF10" s="97"/>
      <c r="SJG10" s="97"/>
      <c r="SJH10" s="97"/>
      <c r="SJI10" s="97"/>
      <c r="SJJ10" s="97"/>
      <c r="SJK10" s="97"/>
      <c r="SJL10" s="97"/>
      <c r="SJM10" s="97"/>
      <c r="SJN10" s="97"/>
      <c r="SJO10" s="97"/>
      <c r="SJP10" s="97"/>
      <c r="SJQ10" s="97"/>
      <c r="SJR10" s="97"/>
      <c r="SJS10" s="97"/>
      <c r="SJT10" s="97"/>
      <c r="SJU10" s="97"/>
      <c r="SJV10" s="97"/>
      <c r="SJW10" s="97"/>
      <c r="SJX10" s="97"/>
      <c r="SJY10" s="97"/>
      <c r="SJZ10" s="97"/>
      <c r="SKA10" s="97"/>
      <c r="SKB10" s="97"/>
      <c r="SKC10" s="97"/>
      <c r="SKD10" s="97"/>
      <c r="SKE10" s="97"/>
      <c r="SKF10" s="97"/>
      <c r="SKG10" s="97"/>
      <c r="SKH10" s="97"/>
      <c r="SKI10" s="97"/>
      <c r="SKJ10" s="97"/>
      <c r="SKK10" s="97"/>
      <c r="SKL10" s="97"/>
      <c r="SKM10" s="97"/>
      <c r="SKN10" s="97"/>
      <c r="SKO10" s="97"/>
      <c r="SKP10" s="97"/>
      <c r="SKQ10" s="97"/>
      <c r="SKR10" s="97"/>
      <c r="SKS10" s="97"/>
      <c r="SKT10" s="97"/>
      <c r="SKU10" s="97"/>
      <c r="SKV10" s="97"/>
      <c r="SKW10" s="97"/>
      <c r="SKX10" s="97"/>
      <c r="SKY10" s="97"/>
      <c r="SKZ10" s="97"/>
      <c r="SLA10" s="97"/>
      <c r="SLB10" s="97"/>
      <c r="SLC10" s="97"/>
      <c r="SLD10" s="97"/>
      <c r="SLE10" s="97"/>
      <c r="SLF10" s="97"/>
      <c r="SLG10" s="97"/>
      <c r="SLH10" s="97"/>
      <c r="SLI10" s="97"/>
      <c r="SLJ10" s="97"/>
      <c r="SLK10" s="97"/>
      <c r="SLL10" s="97"/>
      <c r="SLM10" s="97"/>
      <c r="SLN10" s="97"/>
      <c r="SLO10" s="97"/>
      <c r="SLP10" s="97"/>
      <c r="SLQ10" s="97"/>
      <c r="SLR10" s="97"/>
      <c r="SLS10" s="97"/>
      <c r="SLT10" s="97"/>
      <c r="SLU10" s="97"/>
      <c r="SLV10" s="97"/>
      <c r="SLW10" s="97"/>
      <c r="SLX10" s="97"/>
      <c r="SLY10" s="97"/>
      <c r="SLZ10" s="97"/>
      <c r="SMA10" s="97"/>
      <c r="SMB10" s="97"/>
      <c r="SMC10" s="97"/>
      <c r="SMD10" s="97"/>
      <c r="SME10" s="97"/>
      <c r="SMF10" s="97"/>
      <c r="SMG10" s="97"/>
      <c r="SMH10" s="97"/>
      <c r="SMI10" s="97"/>
      <c r="SMJ10" s="97"/>
      <c r="SMK10" s="97"/>
      <c r="SML10" s="97"/>
      <c r="SMM10" s="97"/>
      <c r="SMN10" s="97"/>
      <c r="SMO10" s="97"/>
      <c r="SMP10" s="97"/>
      <c r="SMQ10" s="97"/>
      <c r="SMR10" s="97"/>
      <c r="SMS10" s="97"/>
      <c r="SMT10" s="97"/>
      <c r="SMU10" s="97"/>
      <c r="SMV10" s="97"/>
      <c r="SMW10" s="97"/>
      <c r="SMX10" s="97"/>
      <c r="SMY10" s="97"/>
      <c r="SMZ10" s="97"/>
      <c r="SNA10" s="97"/>
      <c r="SNB10" s="97"/>
      <c r="SNC10" s="97"/>
      <c r="SND10" s="97"/>
      <c r="SNE10" s="97"/>
      <c r="SNF10" s="97"/>
      <c r="SNG10" s="97"/>
      <c r="SNH10" s="97"/>
      <c r="SNI10" s="97"/>
      <c r="SNJ10" s="97"/>
      <c r="SNK10" s="97"/>
      <c r="SNL10" s="97"/>
      <c r="SNM10" s="97"/>
      <c r="SNN10" s="97"/>
      <c r="SNO10" s="97"/>
      <c r="SNP10" s="97"/>
      <c r="SNQ10" s="97"/>
      <c r="SNR10" s="97"/>
      <c r="SNS10" s="97"/>
      <c r="SNT10" s="97"/>
      <c r="SNU10" s="97"/>
      <c r="SNV10" s="97"/>
      <c r="SNW10" s="97"/>
      <c r="SNX10" s="97"/>
      <c r="SNY10" s="97"/>
      <c r="SNZ10" s="97"/>
      <c r="SOA10" s="97"/>
      <c r="SOB10" s="97"/>
      <c r="SOC10" s="97"/>
      <c r="SOD10" s="97"/>
      <c r="SOE10" s="97"/>
      <c r="SOF10" s="97"/>
      <c r="SOG10" s="97"/>
      <c r="SOH10" s="97"/>
      <c r="SOI10" s="97"/>
      <c r="SOJ10" s="97"/>
      <c r="SOK10" s="97"/>
      <c r="SOL10" s="97"/>
      <c r="SOM10" s="97"/>
      <c r="SON10" s="97"/>
      <c r="SOO10" s="97"/>
      <c r="SOP10" s="97"/>
      <c r="SOQ10" s="97"/>
      <c r="SOR10" s="97"/>
      <c r="SOS10" s="97"/>
      <c r="SOT10" s="97"/>
      <c r="SOU10" s="97"/>
      <c r="SOV10" s="97"/>
      <c r="SOW10" s="97"/>
      <c r="SOX10" s="97"/>
      <c r="SOY10" s="97"/>
      <c r="SOZ10" s="97"/>
      <c r="SPA10" s="97"/>
      <c r="SPB10" s="97"/>
      <c r="SPC10" s="97"/>
      <c r="SPD10" s="97"/>
      <c r="SPE10" s="97"/>
      <c r="SPF10" s="97"/>
      <c r="SPG10" s="97"/>
      <c r="SPH10" s="97"/>
      <c r="SPI10" s="97"/>
      <c r="SPJ10" s="97"/>
      <c r="SPK10" s="97"/>
      <c r="SPL10" s="97"/>
      <c r="SPM10" s="97"/>
      <c r="SPN10" s="97"/>
      <c r="SPO10" s="97"/>
      <c r="SPP10" s="97"/>
      <c r="SPQ10" s="97"/>
      <c r="SPR10" s="97"/>
      <c r="SPS10" s="97"/>
      <c r="SPT10" s="97"/>
      <c r="SPU10" s="97"/>
      <c r="SPV10" s="97"/>
      <c r="SPW10" s="97"/>
      <c r="SPX10" s="97"/>
      <c r="SPY10" s="97"/>
      <c r="SPZ10" s="97"/>
      <c r="SQA10" s="97"/>
      <c r="SQB10" s="97"/>
      <c r="SQC10" s="97"/>
      <c r="SQD10" s="97"/>
      <c r="SQE10" s="97"/>
      <c r="SQF10" s="97"/>
      <c r="SQG10" s="97"/>
      <c r="SQH10" s="97"/>
      <c r="SQI10" s="97"/>
      <c r="SQJ10" s="97"/>
      <c r="SQK10" s="97"/>
      <c r="SQL10" s="97"/>
      <c r="SQM10" s="97"/>
      <c r="SQN10" s="97"/>
      <c r="SQO10" s="97"/>
      <c r="SQP10" s="97"/>
      <c r="SQQ10" s="97"/>
      <c r="SQR10" s="97"/>
      <c r="SQS10" s="97"/>
      <c r="SQT10" s="97"/>
      <c r="SQU10" s="97"/>
      <c r="SQV10" s="97"/>
      <c r="SQW10" s="97"/>
      <c r="SQX10" s="97"/>
      <c r="SQY10" s="97"/>
      <c r="SQZ10" s="97"/>
      <c r="SRA10" s="97"/>
      <c r="SRB10" s="97"/>
      <c r="SRC10" s="97"/>
      <c r="SRD10" s="97"/>
      <c r="SRE10" s="97"/>
      <c r="SRF10" s="97"/>
      <c r="SRG10" s="97"/>
      <c r="SRH10" s="97"/>
      <c r="SRI10" s="97"/>
      <c r="SRJ10" s="97"/>
      <c r="SRK10" s="97"/>
      <c r="SRL10" s="97"/>
      <c r="SRM10" s="97"/>
      <c r="SRN10" s="97"/>
      <c r="SRO10" s="97"/>
      <c r="SRP10" s="97"/>
      <c r="SRQ10" s="97"/>
      <c r="SRR10" s="97"/>
      <c r="SRS10" s="97"/>
      <c r="SRT10" s="97"/>
      <c r="SRU10" s="97"/>
      <c r="SRV10" s="97"/>
      <c r="SRW10" s="97"/>
      <c r="SRX10" s="97"/>
      <c r="SRY10" s="97"/>
      <c r="SRZ10" s="97"/>
      <c r="SSA10" s="97"/>
      <c r="SSB10" s="97"/>
      <c r="SSC10" s="97"/>
      <c r="SSD10" s="97"/>
      <c r="SSE10" s="97"/>
      <c r="SSF10" s="97"/>
      <c r="SSG10" s="97"/>
      <c r="SSH10" s="97"/>
      <c r="SSI10" s="97"/>
      <c r="SSJ10" s="97"/>
      <c r="SSK10" s="97"/>
      <c r="SSL10" s="97"/>
      <c r="SSM10" s="97"/>
      <c r="SSN10" s="97"/>
      <c r="SSO10" s="97"/>
      <c r="SSP10" s="97"/>
      <c r="SSQ10" s="97"/>
      <c r="SSR10" s="97"/>
      <c r="SSS10" s="97"/>
      <c r="SST10" s="97"/>
      <c r="SSU10" s="97"/>
      <c r="SSV10" s="97"/>
      <c r="SSW10" s="97"/>
      <c r="SSX10" s="97"/>
      <c r="SSY10" s="97"/>
      <c r="SSZ10" s="97"/>
      <c r="STA10" s="97"/>
      <c r="STB10" s="97"/>
      <c r="STC10" s="97"/>
      <c r="STD10" s="97"/>
      <c r="STE10" s="97"/>
      <c r="STF10" s="97"/>
      <c r="STG10" s="97"/>
      <c r="STH10" s="97"/>
      <c r="STI10" s="97"/>
      <c r="STJ10" s="97"/>
      <c r="STK10" s="97"/>
      <c r="STL10" s="97"/>
      <c r="STM10" s="97"/>
      <c r="STN10" s="97"/>
      <c r="STO10" s="97"/>
      <c r="STP10" s="97"/>
      <c r="STQ10" s="97"/>
      <c r="STR10" s="97"/>
      <c r="STS10" s="97"/>
      <c r="STT10" s="97"/>
      <c r="STU10" s="97"/>
      <c r="STV10" s="97"/>
      <c r="STW10" s="97"/>
      <c r="STX10" s="97"/>
      <c r="STY10" s="97"/>
      <c r="STZ10" s="97"/>
      <c r="SUA10" s="97"/>
      <c r="SUB10" s="97"/>
      <c r="SUC10" s="97"/>
      <c r="SUD10" s="97"/>
      <c r="SUE10" s="97"/>
      <c r="SUF10" s="97"/>
      <c r="SUG10" s="97"/>
      <c r="SUH10" s="97"/>
      <c r="SUI10" s="97"/>
      <c r="SUJ10" s="97"/>
      <c r="SUK10" s="97"/>
      <c r="SUL10" s="97"/>
      <c r="SUM10" s="97"/>
      <c r="SUN10" s="97"/>
      <c r="SUO10" s="97"/>
      <c r="SUP10" s="97"/>
      <c r="SUQ10" s="97"/>
      <c r="SUR10" s="97"/>
      <c r="SUS10" s="97"/>
      <c r="SUT10" s="97"/>
      <c r="SUU10" s="97"/>
      <c r="SUV10" s="97"/>
      <c r="SUW10" s="97"/>
      <c r="SUX10" s="97"/>
      <c r="SUY10" s="97"/>
      <c r="SUZ10" s="97"/>
      <c r="SVA10" s="97"/>
      <c r="SVB10" s="97"/>
      <c r="SVC10" s="97"/>
      <c r="SVD10" s="97"/>
      <c r="SVE10" s="97"/>
      <c r="SVF10" s="97"/>
      <c r="SVG10" s="97"/>
      <c r="SVH10" s="97"/>
      <c r="SVI10" s="97"/>
      <c r="SVJ10" s="97"/>
      <c r="SVK10" s="97"/>
      <c r="SVL10" s="97"/>
      <c r="SVM10" s="97"/>
      <c r="SVN10" s="97"/>
      <c r="SVO10" s="97"/>
      <c r="SVP10" s="97"/>
      <c r="SVQ10" s="97"/>
      <c r="SVR10" s="97"/>
      <c r="SVS10" s="97"/>
      <c r="SVT10" s="97"/>
      <c r="SVU10" s="97"/>
      <c r="SVV10" s="97"/>
      <c r="SVW10" s="97"/>
      <c r="SVX10" s="97"/>
      <c r="SVY10" s="97"/>
      <c r="SVZ10" s="97"/>
      <c r="SWA10" s="97"/>
      <c r="SWB10" s="97"/>
      <c r="SWC10" s="97"/>
      <c r="SWD10" s="97"/>
      <c r="SWE10" s="97"/>
      <c r="SWF10" s="97"/>
      <c r="SWG10" s="97"/>
      <c r="SWH10" s="97"/>
      <c r="SWI10" s="97"/>
      <c r="SWJ10" s="97"/>
      <c r="SWK10" s="97"/>
      <c r="SWL10" s="97"/>
      <c r="SWM10" s="97"/>
      <c r="SWN10" s="97"/>
      <c r="SWO10" s="97"/>
      <c r="SWP10" s="97"/>
      <c r="SWQ10" s="97"/>
      <c r="SWR10" s="97"/>
      <c r="SWS10" s="97"/>
      <c r="SWT10" s="97"/>
      <c r="SWU10" s="97"/>
      <c r="SWV10" s="97"/>
      <c r="SWW10" s="97"/>
      <c r="SWX10" s="97"/>
      <c r="SWY10" s="97"/>
      <c r="SWZ10" s="97"/>
      <c r="SXA10" s="97"/>
      <c r="SXB10" s="97"/>
      <c r="SXC10" s="97"/>
      <c r="SXD10" s="97"/>
      <c r="SXE10" s="97"/>
      <c r="SXF10" s="97"/>
      <c r="SXG10" s="97"/>
      <c r="SXH10" s="97"/>
      <c r="SXI10" s="97"/>
      <c r="SXJ10" s="97"/>
      <c r="SXK10" s="97"/>
      <c r="SXL10" s="97"/>
      <c r="SXM10" s="97"/>
      <c r="SXN10" s="97"/>
      <c r="SXO10" s="97"/>
      <c r="SXP10" s="97"/>
      <c r="SXQ10" s="97"/>
      <c r="SXR10" s="97"/>
      <c r="SXS10" s="97"/>
      <c r="SXT10" s="97"/>
      <c r="SXU10" s="97"/>
      <c r="SXV10" s="97"/>
      <c r="SXW10" s="97"/>
      <c r="SXX10" s="97"/>
      <c r="SXY10" s="97"/>
      <c r="SXZ10" s="97"/>
      <c r="SYA10" s="97"/>
      <c r="SYB10" s="97"/>
      <c r="SYC10" s="97"/>
      <c r="SYD10" s="97"/>
      <c r="SYE10" s="97"/>
      <c r="SYF10" s="97"/>
      <c r="SYG10" s="97"/>
      <c r="SYH10" s="97"/>
      <c r="SYI10" s="97"/>
      <c r="SYJ10" s="97"/>
      <c r="SYK10" s="97"/>
      <c r="SYL10" s="97"/>
      <c r="SYM10" s="97"/>
      <c r="SYN10" s="97"/>
      <c r="SYO10" s="97"/>
      <c r="SYP10" s="97"/>
      <c r="SYQ10" s="97"/>
      <c r="SYR10" s="97"/>
      <c r="SYS10" s="97"/>
      <c r="SYT10" s="97"/>
      <c r="SYU10" s="97"/>
      <c r="SYV10" s="97"/>
      <c r="SYW10" s="97"/>
      <c r="SYX10" s="97"/>
      <c r="SYY10" s="97"/>
      <c r="SYZ10" s="97"/>
      <c r="SZA10" s="97"/>
      <c r="SZB10" s="97"/>
      <c r="SZC10" s="97"/>
      <c r="SZD10" s="97"/>
      <c r="SZE10" s="97"/>
      <c r="SZF10" s="97"/>
      <c r="SZG10" s="97"/>
      <c r="SZH10" s="97"/>
      <c r="SZI10" s="97"/>
      <c r="SZJ10" s="97"/>
      <c r="SZK10" s="97"/>
      <c r="SZL10" s="97"/>
      <c r="SZM10" s="97"/>
      <c r="SZN10" s="97"/>
      <c r="SZO10" s="97"/>
      <c r="SZP10" s="97"/>
      <c r="SZQ10" s="97"/>
      <c r="SZR10" s="97"/>
      <c r="SZS10" s="97"/>
      <c r="SZT10" s="97"/>
      <c r="SZU10" s="97"/>
      <c r="SZV10" s="97"/>
      <c r="SZW10" s="97"/>
      <c r="SZX10" s="97"/>
      <c r="SZY10" s="97"/>
      <c r="SZZ10" s="97"/>
      <c r="TAA10" s="97"/>
      <c r="TAB10" s="97"/>
      <c r="TAC10" s="97"/>
      <c r="TAD10" s="97"/>
      <c r="TAE10" s="97"/>
      <c r="TAF10" s="97"/>
      <c r="TAG10" s="97"/>
      <c r="TAH10" s="97"/>
      <c r="TAI10" s="97"/>
      <c r="TAJ10" s="97"/>
      <c r="TAK10" s="97"/>
      <c r="TAL10" s="97"/>
      <c r="TAM10" s="97"/>
      <c r="TAN10" s="97"/>
      <c r="TAO10" s="97"/>
      <c r="TAP10" s="97"/>
      <c r="TAQ10" s="97"/>
      <c r="TAR10" s="97"/>
      <c r="TAS10" s="97"/>
      <c r="TAT10" s="97"/>
      <c r="TAU10" s="97"/>
      <c r="TAV10" s="97"/>
      <c r="TAW10" s="97"/>
      <c r="TAX10" s="97"/>
      <c r="TAY10" s="97"/>
      <c r="TAZ10" s="97"/>
      <c r="TBA10" s="97"/>
      <c r="TBB10" s="97"/>
      <c r="TBC10" s="97"/>
      <c r="TBD10" s="97"/>
      <c r="TBE10" s="97"/>
      <c r="TBF10" s="97"/>
      <c r="TBG10" s="97"/>
      <c r="TBH10" s="97"/>
      <c r="TBI10" s="97"/>
      <c r="TBJ10" s="97"/>
      <c r="TBK10" s="97"/>
      <c r="TBL10" s="97"/>
      <c r="TBM10" s="97"/>
      <c r="TBN10" s="97"/>
      <c r="TBO10" s="97"/>
      <c r="TBP10" s="97"/>
      <c r="TBQ10" s="97"/>
      <c r="TBR10" s="97"/>
      <c r="TBS10" s="97"/>
      <c r="TBT10" s="97"/>
      <c r="TBU10" s="97"/>
      <c r="TBV10" s="97"/>
      <c r="TBW10" s="97"/>
      <c r="TBX10" s="97"/>
      <c r="TBY10" s="97"/>
      <c r="TBZ10" s="97"/>
      <c r="TCA10" s="97"/>
      <c r="TCB10" s="97"/>
      <c r="TCC10" s="97"/>
      <c r="TCD10" s="97"/>
      <c r="TCE10" s="97"/>
      <c r="TCF10" s="97"/>
      <c r="TCG10" s="97"/>
      <c r="TCH10" s="97"/>
      <c r="TCI10" s="97"/>
      <c r="TCJ10" s="97"/>
      <c r="TCK10" s="97"/>
      <c r="TCL10" s="97"/>
      <c r="TCM10" s="97"/>
      <c r="TCN10" s="97"/>
      <c r="TCO10" s="97"/>
      <c r="TCP10" s="97"/>
      <c r="TCQ10" s="97"/>
      <c r="TCR10" s="97"/>
      <c r="TCS10" s="97"/>
      <c r="TCT10" s="97"/>
      <c r="TCU10" s="97"/>
      <c r="TCV10" s="97"/>
      <c r="TCW10" s="97"/>
      <c r="TCX10" s="97"/>
      <c r="TCY10" s="97"/>
      <c r="TCZ10" s="97"/>
      <c r="TDA10" s="97"/>
      <c r="TDB10" s="97"/>
      <c r="TDC10" s="97"/>
      <c r="TDD10" s="97"/>
      <c r="TDE10" s="97"/>
      <c r="TDF10" s="97"/>
      <c r="TDG10" s="97"/>
      <c r="TDH10" s="97"/>
      <c r="TDI10" s="97"/>
      <c r="TDJ10" s="97"/>
      <c r="TDK10" s="97"/>
      <c r="TDL10" s="97"/>
      <c r="TDM10" s="97"/>
      <c r="TDN10" s="97"/>
      <c r="TDO10" s="97"/>
      <c r="TDP10" s="97"/>
      <c r="TDQ10" s="97"/>
      <c r="TDR10" s="97"/>
      <c r="TDS10" s="97"/>
      <c r="TDT10" s="97"/>
      <c r="TDU10" s="97"/>
      <c r="TDV10" s="97"/>
      <c r="TDW10" s="97"/>
      <c r="TDX10" s="97"/>
      <c r="TDY10" s="97"/>
      <c r="TDZ10" s="97"/>
      <c r="TEA10" s="97"/>
      <c r="TEB10" s="97"/>
      <c r="TEC10" s="97"/>
      <c r="TED10" s="97"/>
      <c r="TEE10" s="97"/>
      <c r="TEF10" s="97"/>
      <c r="TEG10" s="97"/>
      <c r="TEH10" s="97"/>
      <c r="TEI10" s="97"/>
      <c r="TEJ10" s="97"/>
      <c r="TEK10" s="97"/>
      <c r="TEL10" s="97"/>
      <c r="TEM10" s="97"/>
      <c r="TEN10" s="97"/>
      <c r="TEO10" s="97"/>
      <c r="TEP10" s="97"/>
      <c r="TEQ10" s="97"/>
      <c r="TER10" s="97"/>
      <c r="TES10" s="97"/>
      <c r="TET10" s="97"/>
      <c r="TEU10" s="97"/>
      <c r="TEV10" s="97"/>
      <c r="TEW10" s="97"/>
      <c r="TEX10" s="97"/>
      <c r="TEY10" s="97"/>
      <c r="TEZ10" s="97"/>
      <c r="TFA10" s="97"/>
      <c r="TFB10" s="97"/>
      <c r="TFC10" s="97"/>
      <c r="TFD10" s="97"/>
      <c r="TFE10" s="97"/>
      <c r="TFF10" s="97"/>
      <c r="TFG10" s="97"/>
      <c r="TFH10" s="97"/>
      <c r="TFI10" s="97"/>
      <c r="TFJ10" s="97"/>
      <c r="TFK10" s="97"/>
      <c r="TFL10" s="97"/>
      <c r="TFM10" s="97"/>
      <c r="TFN10" s="97"/>
      <c r="TFO10" s="97"/>
      <c r="TFP10" s="97"/>
      <c r="TFQ10" s="97"/>
      <c r="TFR10" s="97"/>
      <c r="TFS10" s="97"/>
      <c r="TFT10" s="97"/>
      <c r="TFU10" s="97"/>
      <c r="TFV10" s="97"/>
      <c r="TFW10" s="97"/>
      <c r="TFX10" s="97"/>
      <c r="TFY10" s="97"/>
      <c r="TFZ10" s="97"/>
      <c r="TGA10" s="97"/>
      <c r="TGB10" s="97"/>
      <c r="TGC10" s="97"/>
      <c r="TGD10" s="97"/>
      <c r="TGE10" s="97"/>
      <c r="TGF10" s="97"/>
      <c r="TGG10" s="97"/>
      <c r="TGH10" s="97"/>
      <c r="TGI10" s="97"/>
      <c r="TGJ10" s="97"/>
      <c r="TGK10" s="97"/>
      <c r="TGL10" s="97"/>
      <c r="TGM10" s="97"/>
      <c r="TGN10" s="97"/>
      <c r="TGO10" s="97"/>
      <c r="TGP10" s="97"/>
      <c r="TGQ10" s="97"/>
      <c r="TGR10" s="97"/>
      <c r="TGS10" s="97"/>
      <c r="TGT10" s="97"/>
      <c r="TGU10" s="97"/>
      <c r="TGV10" s="97"/>
      <c r="TGW10" s="97"/>
      <c r="TGX10" s="97"/>
      <c r="TGY10" s="97"/>
      <c r="TGZ10" s="97"/>
      <c r="THA10" s="97"/>
      <c r="THB10" s="97"/>
      <c r="THC10" s="97"/>
      <c r="THD10" s="97"/>
      <c r="THE10" s="97"/>
      <c r="THF10" s="97"/>
      <c r="THG10" s="97"/>
      <c r="THH10" s="97"/>
      <c r="THI10" s="97"/>
      <c r="THJ10" s="97"/>
      <c r="THK10" s="97"/>
      <c r="THL10" s="97"/>
      <c r="THM10" s="97"/>
      <c r="THN10" s="97"/>
      <c r="THO10" s="97"/>
      <c r="THP10" s="97"/>
      <c r="THQ10" s="97"/>
      <c r="THR10" s="97"/>
      <c r="THS10" s="97"/>
      <c r="THT10" s="97"/>
      <c r="THU10" s="97"/>
      <c r="THV10" s="97"/>
      <c r="THW10" s="97"/>
      <c r="THX10" s="97"/>
      <c r="THY10" s="97"/>
      <c r="THZ10" s="97"/>
      <c r="TIA10" s="97"/>
      <c r="TIB10" s="97"/>
      <c r="TIC10" s="97"/>
      <c r="TID10" s="97"/>
      <c r="TIE10" s="97"/>
      <c r="TIF10" s="97"/>
      <c r="TIG10" s="97"/>
      <c r="TIH10" s="97"/>
      <c r="TII10" s="97"/>
      <c r="TIJ10" s="97"/>
      <c r="TIK10" s="97"/>
      <c r="TIL10" s="97"/>
      <c r="TIM10" s="97"/>
      <c r="TIN10" s="97"/>
      <c r="TIO10" s="97"/>
      <c r="TIP10" s="97"/>
      <c r="TIQ10" s="97"/>
      <c r="TIR10" s="97"/>
      <c r="TIS10" s="97"/>
      <c r="TIT10" s="97"/>
      <c r="TIU10" s="97"/>
      <c r="TIV10" s="97"/>
      <c r="TIW10" s="97"/>
      <c r="TIX10" s="97"/>
      <c r="TIY10" s="97"/>
      <c r="TIZ10" s="97"/>
      <c r="TJA10" s="97"/>
      <c r="TJB10" s="97"/>
      <c r="TJC10" s="97"/>
      <c r="TJD10" s="97"/>
      <c r="TJE10" s="97"/>
      <c r="TJF10" s="97"/>
      <c r="TJG10" s="97"/>
      <c r="TJH10" s="97"/>
      <c r="TJI10" s="97"/>
      <c r="TJJ10" s="97"/>
      <c r="TJK10" s="97"/>
      <c r="TJL10" s="97"/>
      <c r="TJM10" s="97"/>
      <c r="TJN10" s="97"/>
      <c r="TJO10" s="97"/>
      <c r="TJP10" s="97"/>
      <c r="TJQ10" s="97"/>
      <c r="TJR10" s="97"/>
      <c r="TJS10" s="97"/>
      <c r="TJT10" s="97"/>
      <c r="TJU10" s="97"/>
      <c r="TJV10" s="97"/>
      <c r="TJW10" s="97"/>
      <c r="TJX10" s="97"/>
      <c r="TJY10" s="97"/>
      <c r="TJZ10" s="97"/>
      <c r="TKA10" s="97"/>
      <c r="TKB10" s="97"/>
      <c r="TKC10" s="97"/>
      <c r="TKD10" s="97"/>
      <c r="TKE10" s="97"/>
      <c r="TKF10" s="97"/>
      <c r="TKG10" s="97"/>
      <c r="TKH10" s="97"/>
      <c r="TKI10" s="97"/>
      <c r="TKJ10" s="97"/>
      <c r="TKK10" s="97"/>
      <c r="TKL10" s="97"/>
      <c r="TKM10" s="97"/>
      <c r="TKN10" s="97"/>
      <c r="TKO10" s="97"/>
      <c r="TKP10" s="97"/>
      <c r="TKQ10" s="97"/>
      <c r="TKR10" s="97"/>
      <c r="TKS10" s="97"/>
      <c r="TKT10" s="97"/>
      <c r="TKU10" s="97"/>
      <c r="TKV10" s="97"/>
      <c r="TKW10" s="97"/>
      <c r="TKX10" s="97"/>
      <c r="TKY10" s="97"/>
      <c r="TKZ10" s="97"/>
      <c r="TLA10" s="97"/>
      <c r="TLB10" s="97"/>
      <c r="TLC10" s="97"/>
      <c r="TLD10" s="97"/>
      <c r="TLE10" s="97"/>
      <c r="TLF10" s="97"/>
      <c r="TLG10" s="97"/>
      <c r="TLH10" s="97"/>
      <c r="TLI10" s="97"/>
      <c r="TLJ10" s="97"/>
      <c r="TLK10" s="97"/>
      <c r="TLL10" s="97"/>
      <c r="TLM10" s="97"/>
      <c r="TLN10" s="97"/>
      <c r="TLO10" s="97"/>
      <c r="TLP10" s="97"/>
      <c r="TLQ10" s="97"/>
      <c r="TLR10" s="97"/>
      <c r="TLS10" s="97"/>
      <c r="TLT10" s="97"/>
      <c r="TLU10" s="97"/>
      <c r="TLV10" s="97"/>
      <c r="TLW10" s="97"/>
      <c r="TLX10" s="97"/>
      <c r="TLY10" s="97"/>
      <c r="TLZ10" s="97"/>
      <c r="TMA10" s="97"/>
      <c r="TMB10" s="97"/>
      <c r="TMC10" s="97"/>
      <c r="TMD10" s="97"/>
      <c r="TME10" s="97"/>
      <c r="TMF10" s="97"/>
      <c r="TMG10" s="97"/>
      <c r="TMH10" s="97"/>
      <c r="TMI10" s="97"/>
      <c r="TMJ10" s="97"/>
      <c r="TMK10" s="97"/>
      <c r="TML10" s="97"/>
      <c r="TMM10" s="97"/>
      <c r="TMN10" s="97"/>
      <c r="TMO10" s="97"/>
      <c r="TMP10" s="97"/>
      <c r="TMQ10" s="97"/>
      <c r="TMR10" s="97"/>
      <c r="TMS10" s="97"/>
      <c r="TMT10" s="97"/>
      <c r="TMU10" s="97"/>
      <c r="TMV10" s="97"/>
      <c r="TMW10" s="97"/>
      <c r="TMX10" s="97"/>
      <c r="TMY10" s="97"/>
      <c r="TMZ10" s="97"/>
      <c r="TNA10" s="97"/>
      <c r="TNB10" s="97"/>
      <c r="TNC10" s="97"/>
      <c r="TND10" s="97"/>
      <c r="TNE10" s="97"/>
      <c r="TNF10" s="97"/>
      <c r="TNG10" s="97"/>
      <c r="TNH10" s="97"/>
      <c r="TNI10" s="97"/>
      <c r="TNJ10" s="97"/>
      <c r="TNK10" s="97"/>
      <c r="TNL10" s="97"/>
      <c r="TNM10" s="97"/>
      <c r="TNN10" s="97"/>
      <c r="TNO10" s="97"/>
      <c r="TNP10" s="97"/>
      <c r="TNQ10" s="97"/>
      <c r="TNR10" s="97"/>
      <c r="TNS10" s="97"/>
      <c r="TNT10" s="97"/>
      <c r="TNU10" s="97"/>
      <c r="TNV10" s="97"/>
      <c r="TNW10" s="97"/>
      <c r="TNX10" s="97"/>
      <c r="TNY10" s="97"/>
      <c r="TNZ10" s="97"/>
      <c r="TOA10" s="97"/>
      <c r="TOB10" s="97"/>
      <c r="TOC10" s="97"/>
      <c r="TOD10" s="97"/>
      <c r="TOE10" s="97"/>
      <c r="TOF10" s="97"/>
      <c r="TOG10" s="97"/>
      <c r="TOH10" s="97"/>
      <c r="TOI10" s="97"/>
      <c r="TOJ10" s="97"/>
      <c r="TOK10" s="97"/>
      <c r="TOL10" s="97"/>
      <c r="TOM10" s="97"/>
      <c r="TON10" s="97"/>
      <c r="TOO10" s="97"/>
      <c r="TOP10" s="97"/>
      <c r="TOQ10" s="97"/>
      <c r="TOR10" s="97"/>
      <c r="TOS10" s="97"/>
      <c r="TOT10" s="97"/>
      <c r="TOU10" s="97"/>
      <c r="TOV10" s="97"/>
      <c r="TOW10" s="97"/>
      <c r="TOX10" s="97"/>
      <c r="TOY10" s="97"/>
      <c r="TOZ10" s="97"/>
      <c r="TPA10" s="97"/>
      <c r="TPB10" s="97"/>
      <c r="TPC10" s="97"/>
      <c r="TPD10" s="97"/>
      <c r="TPE10" s="97"/>
      <c r="TPF10" s="97"/>
      <c r="TPG10" s="97"/>
      <c r="TPH10" s="97"/>
      <c r="TPI10" s="97"/>
      <c r="TPJ10" s="97"/>
      <c r="TPK10" s="97"/>
      <c r="TPL10" s="97"/>
      <c r="TPM10" s="97"/>
      <c r="TPN10" s="97"/>
      <c r="TPO10" s="97"/>
      <c r="TPP10" s="97"/>
      <c r="TPQ10" s="97"/>
      <c r="TPR10" s="97"/>
      <c r="TPS10" s="97"/>
      <c r="TPT10" s="97"/>
      <c r="TPU10" s="97"/>
      <c r="TPV10" s="97"/>
      <c r="TPW10" s="97"/>
      <c r="TPX10" s="97"/>
      <c r="TPY10" s="97"/>
      <c r="TPZ10" s="97"/>
      <c r="TQA10" s="97"/>
      <c r="TQB10" s="97"/>
      <c r="TQC10" s="97"/>
      <c r="TQD10" s="97"/>
      <c r="TQE10" s="97"/>
      <c r="TQF10" s="97"/>
      <c r="TQG10" s="97"/>
      <c r="TQH10" s="97"/>
      <c r="TQI10" s="97"/>
      <c r="TQJ10" s="97"/>
      <c r="TQK10" s="97"/>
      <c r="TQL10" s="97"/>
      <c r="TQM10" s="97"/>
      <c r="TQN10" s="97"/>
      <c r="TQO10" s="97"/>
      <c r="TQP10" s="97"/>
      <c r="TQQ10" s="97"/>
      <c r="TQR10" s="97"/>
      <c r="TQS10" s="97"/>
      <c r="TQT10" s="97"/>
      <c r="TQU10" s="97"/>
      <c r="TQV10" s="97"/>
      <c r="TQW10" s="97"/>
      <c r="TQX10" s="97"/>
      <c r="TQY10" s="97"/>
      <c r="TQZ10" s="97"/>
      <c r="TRA10" s="97"/>
      <c r="TRB10" s="97"/>
      <c r="TRC10" s="97"/>
      <c r="TRD10" s="97"/>
      <c r="TRE10" s="97"/>
      <c r="TRF10" s="97"/>
      <c r="TRG10" s="97"/>
      <c r="TRH10" s="97"/>
      <c r="TRI10" s="97"/>
      <c r="TRJ10" s="97"/>
      <c r="TRK10" s="97"/>
      <c r="TRL10" s="97"/>
      <c r="TRM10" s="97"/>
      <c r="TRN10" s="97"/>
      <c r="TRO10" s="97"/>
      <c r="TRP10" s="97"/>
      <c r="TRQ10" s="97"/>
      <c r="TRR10" s="97"/>
      <c r="TRS10" s="97"/>
      <c r="TRT10" s="97"/>
      <c r="TRU10" s="97"/>
      <c r="TRV10" s="97"/>
      <c r="TRW10" s="97"/>
      <c r="TRX10" s="97"/>
      <c r="TRY10" s="97"/>
      <c r="TRZ10" s="97"/>
      <c r="TSA10" s="97"/>
      <c r="TSB10" s="97"/>
      <c r="TSC10" s="97"/>
      <c r="TSD10" s="97"/>
      <c r="TSE10" s="97"/>
      <c r="TSF10" s="97"/>
      <c r="TSG10" s="97"/>
      <c r="TSH10" s="97"/>
      <c r="TSI10" s="97"/>
      <c r="TSJ10" s="97"/>
      <c r="TSK10" s="97"/>
      <c r="TSL10" s="97"/>
      <c r="TSM10" s="97"/>
      <c r="TSN10" s="97"/>
      <c r="TSO10" s="97"/>
      <c r="TSP10" s="97"/>
      <c r="TSQ10" s="97"/>
      <c r="TSR10" s="97"/>
      <c r="TSS10" s="97"/>
      <c r="TST10" s="97"/>
      <c r="TSU10" s="97"/>
      <c r="TSV10" s="97"/>
      <c r="TSW10" s="97"/>
      <c r="TSX10" s="97"/>
      <c r="TSY10" s="97"/>
      <c r="TSZ10" s="97"/>
      <c r="TTA10" s="97"/>
      <c r="TTB10" s="97"/>
      <c r="TTC10" s="97"/>
      <c r="TTD10" s="97"/>
      <c r="TTE10" s="97"/>
      <c r="TTF10" s="97"/>
      <c r="TTG10" s="97"/>
      <c r="TTH10" s="97"/>
      <c r="TTI10" s="97"/>
      <c r="TTJ10" s="97"/>
      <c r="TTK10" s="97"/>
      <c r="TTL10" s="97"/>
      <c r="TTM10" s="97"/>
      <c r="TTN10" s="97"/>
      <c r="TTO10" s="97"/>
      <c r="TTP10" s="97"/>
      <c r="TTQ10" s="97"/>
      <c r="TTR10" s="97"/>
      <c r="TTS10" s="97"/>
      <c r="TTT10" s="97"/>
      <c r="TTU10" s="97"/>
      <c r="TTV10" s="97"/>
      <c r="TTW10" s="97"/>
      <c r="TTX10" s="97"/>
      <c r="TTY10" s="97"/>
      <c r="TTZ10" s="97"/>
      <c r="TUA10" s="97"/>
      <c r="TUB10" s="97"/>
      <c r="TUC10" s="97"/>
      <c r="TUD10" s="97"/>
      <c r="TUE10" s="97"/>
      <c r="TUF10" s="97"/>
      <c r="TUG10" s="97"/>
      <c r="TUH10" s="97"/>
      <c r="TUI10" s="97"/>
      <c r="TUJ10" s="97"/>
      <c r="TUK10" s="97"/>
      <c r="TUL10" s="97"/>
      <c r="TUM10" s="97"/>
      <c r="TUN10" s="97"/>
      <c r="TUO10" s="97"/>
      <c r="TUP10" s="97"/>
      <c r="TUQ10" s="97"/>
      <c r="TUR10" s="97"/>
      <c r="TUS10" s="97"/>
      <c r="TUT10" s="97"/>
      <c r="TUU10" s="97"/>
      <c r="TUV10" s="97"/>
      <c r="TUW10" s="97"/>
      <c r="TUX10" s="97"/>
      <c r="TUY10" s="97"/>
      <c r="TUZ10" s="97"/>
      <c r="TVA10" s="97"/>
      <c r="TVB10" s="97"/>
      <c r="TVC10" s="97"/>
      <c r="TVD10" s="97"/>
      <c r="TVE10" s="97"/>
      <c r="TVF10" s="97"/>
      <c r="TVG10" s="97"/>
      <c r="TVH10" s="97"/>
      <c r="TVI10" s="97"/>
      <c r="TVJ10" s="97"/>
      <c r="TVK10" s="97"/>
      <c r="TVL10" s="97"/>
      <c r="TVM10" s="97"/>
      <c r="TVN10" s="97"/>
      <c r="TVO10" s="97"/>
      <c r="TVP10" s="97"/>
      <c r="TVQ10" s="97"/>
      <c r="TVR10" s="97"/>
      <c r="TVS10" s="97"/>
      <c r="TVT10" s="97"/>
      <c r="TVU10" s="97"/>
      <c r="TVV10" s="97"/>
      <c r="TVW10" s="97"/>
      <c r="TVX10" s="97"/>
      <c r="TVY10" s="97"/>
      <c r="TVZ10" s="97"/>
      <c r="TWA10" s="97"/>
      <c r="TWB10" s="97"/>
      <c r="TWC10" s="97"/>
      <c r="TWD10" s="97"/>
      <c r="TWE10" s="97"/>
      <c r="TWF10" s="97"/>
      <c r="TWG10" s="97"/>
      <c r="TWH10" s="97"/>
      <c r="TWI10" s="97"/>
      <c r="TWJ10" s="97"/>
      <c r="TWK10" s="97"/>
      <c r="TWL10" s="97"/>
      <c r="TWM10" s="97"/>
      <c r="TWN10" s="97"/>
      <c r="TWO10" s="97"/>
      <c r="TWP10" s="97"/>
      <c r="TWQ10" s="97"/>
      <c r="TWR10" s="97"/>
      <c r="TWS10" s="97"/>
      <c r="TWT10" s="97"/>
      <c r="TWU10" s="97"/>
      <c r="TWV10" s="97"/>
      <c r="TWW10" s="97"/>
      <c r="TWX10" s="97"/>
      <c r="TWY10" s="97"/>
      <c r="TWZ10" s="97"/>
      <c r="TXA10" s="97"/>
      <c r="TXB10" s="97"/>
      <c r="TXC10" s="97"/>
      <c r="TXD10" s="97"/>
      <c r="TXE10" s="97"/>
      <c r="TXF10" s="97"/>
      <c r="TXG10" s="97"/>
      <c r="TXH10" s="97"/>
      <c r="TXI10" s="97"/>
      <c r="TXJ10" s="97"/>
      <c r="TXK10" s="97"/>
      <c r="TXL10" s="97"/>
      <c r="TXM10" s="97"/>
      <c r="TXN10" s="97"/>
      <c r="TXO10" s="97"/>
      <c r="TXP10" s="97"/>
      <c r="TXQ10" s="97"/>
      <c r="TXR10" s="97"/>
      <c r="TXS10" s="97"/>
      <c r="TXT10" s="97"/>
      <c r="TXU10" s="97"/>
      <c r="TXV10" s="97"/>
      <c r="TXW10" s="97"/>
      <c r="TXX10" s="97"/>
      <c r="TXY10" s="97"/>
      <c r="TXZ10" s="97"/>
      <c r="TYA10" s="97"/>
      <c r="TYB10" s="97"/>
      <c r="TYC10" s="97"/>
      <c r="TYD10" s="97"/>
      <c r="TYE10" s="97"/>
      <c r="TYF10" s="97"/>
      <c r="TYG10" s="97"/>
      <c r="TYH10" s="97"/>
      <c r="TYI10" s="97"/>
      <c r="TYJ10" s="97"/>
      <c r="TYK10" s="97"/>
      <c r="TYL10" s="97"/>
      <c r="TYM10" s="97"/>
      <c r="TYN10" s="97"/>
      <c r="TYO10" s="97"/>
      <c r="TYP10" s="97"/>
      <c r="TYQ10" s="97"/>
      <c r="TYR10" s="97"/>
      <c r="TYS10" s="97"/>
      <c r="TYT10" s="97"/>
      <c r="TYU10" s="97"/>
      <c r="TYV10" s="97"/>
      <c r="TYW10" s="97"/>
      <c r="TYX10" s="97"/>
      <c r="TYY10" s="97"/>
      <c r="TYZ10" s="97"/>
      <c r="TZA10" s="97"/>
      <c r="TZB10" s="97"/>
      <c r="TZC10" s="97"/>
      <c r="TZD10" s="97"/>
      <c r="TZE10" s="97"/>
      <c r="TZF10" s="97"/>
      <c r="TZG10" s="97"/>
      <c r="TZH10" s="97"/>
      <c r="TZI10" s="97"/>
      <c r="TZJ10" s="97"/>
      <c r="TZK10" s="97"/>
      <c r="TZL10" s="97"/>
      <c r="TZM10" s="97"/>
      <c r="TZN10" s="97"/>
      <c r="TZO10" s="97"/>
      <c r="TZP10" s="97"/>
      <c r="TZQ10" s="97"/>
      <c r="TZR10" s="97"/>
      <c r="TZS10" s="97"/>
      <c r="TZT10" s="97"/>
      <c r="TZU10" s="97"/>
      <c r="TZV10" s="97"/>
      <c r="TZW10" s="97"/>
      <c r="TZX10" s="97"/>
      <c r="TZY10" s="97"/>
      <c r="TZZ10" s="97"/>
      <c r="UAA10" s="97"/>
      <c r="UAB10" s="97"/>
      <c r="UAC10" s="97"/>
      <c r="UAD10" s="97"/>
      <c r="UAE10" s="97"/>
      <c r="UAF10" s="97"/>
      <c r="UAG10" s="97"/>
      <c r="UAH10" s="97"/>
      <c r="UAI10" s="97"/>
      <c r="UAJ10" s="97"/>
      <c r="UAK10" s="97"/>
      <c r="UAL10" s="97"/>
      <c r="UAM10" s="97"/>
      <c r="UAN10" s="97"/>
      <c r="UAO10" s="97"/>
      <c r="UAP10" s="97"/>
      <c r="UAQ10" s="97"/>
      <c r="UAR10" s="97"/>
      <c r="UAS10" s="97"/>
      <c r="UAT10" s="97"/>
      <c r="UAU10" s="97"/>
      <c r="UAV10" s="97"/>
      <c r="UAW10" s="97"/>
      <c r="UAX10" s="97"/>
      <c r="UAY10" s="97"/>
      <c r="UAZ10" s="97"/>
      <c r="UBA10" s="97"/>
      <c r="UBB10" s="97"/>
      <c r="UBC10" s="97"/>
      <c r="UBD10" s="97"/>
      <c r="UBE10" s="97"/>
      <c r="UBF10" s="97"/>
      <c r="UBG10" s="97"/>
      <c r="UBH10" s="97"/>
      <c r="UBI10" s="97"/>
      <c r="UBJ10" s="97"/>
      <c r="UBK10" s="97"/>
      <c r="UBL10" s="97"/>
      <c r="UBM10" s="97"/>
      <c r="UBN10" s="97"/>
      <c r="UBO10" s="97"/>
      <c r="UBP10" s="97"/>
      <c r="UBQ10" s="97"/>
      <c r="UBR10" s="97"/>
      <c r="UBS10" s="97"/>
      <c r="UBT10" s="97"/>
      <c r="UBU10" s="97"/>
      <c r="UBV10" s="97"/>
      <c r="UBW10" s="97"/>
      <c r="UBX10" s="97"/>
      <c r="UBY10" s="97"/>
      <c r="UBZ10" s="97"/>
      <c r="UCA10" s="97"/>
      <c r="UCB10" s="97"/>
      <c r="UCC10" s="97"/>
      <c r="UCD10" s="97"/>
      <c r="UCE10" s="97"/>
      <c r="UCF10" s="97"/>
      <c r="UCG10" s="97"/>
      <c r="UCH10" s="97"/>
      <c r="UCI10" s="97"/>
      <c r="UCJ10" s="97"/>
      <c r="UCK10" s="97"/>
      <c r="UCL10" s="97"/>
      <c r="UCM10" s="97"/>
      <c r="UCN10" s="97"/>
      <c r="UCO10" s="97"/>
      <c r="UCP10" s="97"/>
      <c r="UCQ10" s="97"/>
      <c r="UCR10" s="97"/>
      <c r="UCS10" s="97"/>
      <c r="UCT10" s="97"/>
      <c r="UCU10" s="97"/>
      <c r="UCV10" s="97"/>
      <c r="UCW10" s="97"/>
      <c r="UCX10" s="97"/>
      <c r="UCY10" s="97"/>
      <c r="UCZ10" s="97"/>
      <c r="UDA10" s="97"/>
      <c r="UDB10" s="97"/>
      <c r="UDC10" s="97"/>
      <c r="UDD10" s="97"/>
      <c r="UDE10" s="97"/>
      <c r="UDF10" s="97"/>
      <c r="UDG10" s="97"/>
      <c r="UDH10" s="97"/>
      <c r="UDI10" s="97"/>
      <c r="UDJ10" s="97"/>
      <c r="UDK10" s="97"/>
      <c r="UDL10" s="97"/>
      <c r="UDM10" s="97"/>
      <c r="UDN10" s="97"/>
      <c r="UDO10" s="97"/>
      <c r="UDP10" s="97"/>
      <c r="UDQ10" s="97"/>
      <c r="UDR10" s="97"/>
      <c r="UDS10" s="97"/>
      <c r="UDT10" s="97"/>
      <c r="UDU10" s="97"/>
      <c r="UDV10" s="97"/>
      <c r="UDW10" s="97"/>
      <c r="UDX10" s="97"/>
      <c r="UDY10" s="97"/>
      <c r="UDZ10" s="97"/>
      <c r="UEA10" s="97"/>
      <c r="UEB10" s="97"/>
      <c r="UEC10" s="97"/>
      <c r="UED10" s="97"/>
      <c r="UEE10" s="97"/>
      <c r="UEF10" s="97"/>
      <c r="UEG10" s="97"/>
      <c r="UEH10" s="97"/>
      <c r="UEI10" s="97"/>
      <c r="UEJ10" s="97"/>
      <c r="UEK10" s="97"/>
      <c r="UEL10" s="97"/>
      <c r="UEM10" s="97"/>
      <c r="UEN10" s="97"/>
      <c r="UEO10" s="97"/>
      <c r="UEP10" s="97"/>
      <c r="UEQ10" s="97"/>
      <c r="UER10" s="97"/>
      <c r="UES10" s="97"/>
      <c r="UET10" s="97"/>
      <c r="UEU10" s="97"/>
      <c r="UEV10" s="97"/>
      <c r="UEW10" s="97"/>
      <c r="UEX10" s="97"/>
      <c r="UEY10" s="97"/>
      <c r="UEZ10" s="97"/>
      <c r="UFA10" s="97"/>
      <c r="UFB10" s="97"/>
      <c r="UFC10" s="97"/>
      <c r="UFD10" s="97"/>
      <c r="UFE10" s="97"/>
      <c r="UFF10" s="97"/>
      <c r="UFG10" s="97"/>
      <c r="UFH10" s="97"/>
      <c r="UFI10" s="97"/>
      <c r="UFJ10" s="97"/>
      <c r="UFK10" s="97"/>
      <c r="UFL10" s="97"/>
      <c r="UFM10" s="97"/>
      <c r="UFN10" s="97"/>
      <c r="UFO10" s="97"/>
      <c r="UFP10" s="97"/>
      <c r="UFQ10" s="97"/>
      <c r="UFR10" s="97"/>
      <c r="UFS10" s="97"/>
      <c r="UFT10" s="97"/>
      <c r="UFU10" s="97"/>
      <c r="UFV10" s="97"/>
      <c r="UFW10" s="97"/>
      <c r="UFX10" s="97"/>
      <c r="UFY10" s="97"/>
      <c r="UFZ10" s="97"/>
      <c r="UGA10" s="97"/>
      <c r="UGB10" s="97"/>
      <c r="UGC10" s="97"/>
      <c r="UGD10" s="97"/>
      <c r="UGE10" s="97"/>
      <c r="UGF10" s="97"/>
      <c r="UGG10" s="97"/>
      <c r="UGH10" s="97"/>
      <c r="UGI10" s="97"/>
      <c r="UGJ10" s="97"/>
      <c r="UGK10" s="97"/>
      <c r="UGL10" s="97"/>
      <c r="UGM10" s="97"/>
      <c r="UGN10" s="97"/>
      <c r="UGO10" s="97"/>
      <c r="UGP10" s="97"/>
      <c r="UGQ10" s="97"/>
      <c r="UGR10" s="97"/>
      <c r="UGS10" s="97"/>
      <c r="UGT10" s="97"/>
      <c r="UGU10" s="97"/>
      <c r="UGV10" s="97"/>
      <c r="UGW10" s="97"/>
      <c r="UGX10" s="97"/>
      <c r="UGY10" s="97"/>
      <c r="UGZ10" s="97"/>
      <c r="UHA10" s="97"/>
      <c r="UHB10" s="97"/>
      <c r="UHC10" s="97"/>
      <c r="UHD10" s="97"/>
      <c r="UHE10" s="97"/>
      <c r="UHF10" s="97"/>
      <c r="UHG10" s="97"/>
      <c r="UHH10" s="97"/>
      <c r="UHI10" s="97"/>
      <c r="UHJ10" s="97"/>
      <c r="UHK10" s="97"/>
      <c r="UHL10" s="97"/>
      <c r="UHM10" s="97"/>
      <c r="UHN10" s="97"/>
      <c r="UHO10" s="97"/>
      <c r="UHP10" s="97"/>
      <c r="UHQ10" s="97"/>
      <c r="UHR10" s="97"/>
      <c r="UHS10" s="97"/>
      <c r="UHT10" s="97"/>
      <c r="UHU10" s="97"/>
      <c r="UHV10" s="97"/>
      <c r="UHW10" s="97"/>
      <c r="UHX10" s="97"/>
      <c r="UHY10" s="97"/>
      <c r="UHZ10" s="97"/>
      <c r="UIA10" s="97"/>
      <c r="UIB10" s="97"/>
      <c r="UIC10" s="97"/>
      <c r="UID10" s="97"/>
      <c r="UIE10" s="97"/>
      <c r="UIF10" s="97"/>
      <c r="UIG10" s="97"/>
      <c r="UIH10" s="97"/>
      <c r="UII10" s="97"/>
      <c r="UIJ10" s="97"/>
      <c r="UIK10" s="97"/>
      <c r="UIL10" s="97"/>
      <c r="UIM10" s="97"/>
      <c r="UIN10" s="97"/>
      <c r="UIO10" s="97"/>
      <c r="UIP10" s="97"/>
      <c r="UIQ10" s="97"/>
      <c r="UIR10" s="97"/>
      <c r="UIS10" s="97"/>
      <c r="UIT10" s="97"/>
      <c r="UIU10" s="97"/>
      <c r="UIV10" s="97"/>
      <c r="UIW10" s="97"/>
      <c r="UIX10" s="97"/>
      <c r="UIY10" s="97"/>
      <c r="UIZ10" s="97"/>
      <c r="UJA10" s="97"/>
      <c r="UJB10" s="97"/>
      <c r="UJC10" s="97"/>
      <c r="UJD10" s="97"/>
      <c r="UJE10" s="97"/>
      <c r="UJF10" s="97"/>
      <c r="UJG10" s="97"/>
      <c r="UJH10" s="97"/>
      <c r="UJI10" s="97"/>
      <c r="UJJ10" s="97"/>
      <c r="UJK10" s="97"/>
      <c r="UJL10" s="97"/>
      <c r="UJM10" s="97"/>
      <c r="UJN10" s="97"/>
      <c r="UJO10" s="97"/>
      <c r="UJP10" s="97"/>
      <c r="UJQ10" s="97"/>
      <c r="UJR10" s="97"/>
      <c r="UJS10" s="97"/>
      <c r="UJT10" s="97"/>
      <c r="UJU10" s="97"/>
      <c r="UJV10" s="97"/>
      <c r="UJW10" s="97"/>
      <c r="UJX10" s="97"/>
      <c r="UJY10" s="97"/>
      <c r="UJZ10" s="97"/>
      <c r="UKA10" s="97"/>
      <c r="UKB10" s="97"/>
      <c r="UKC10" s="97"/>
      <c r="UKD10" s="97"/>
      <c r="UKE10" s="97"/>
      <c r="UKF10" s="97"/>
      <c r="UKG10" s="97"/>
      <c r="UKH10" s="97"/>
      <c r="UKI10" s="97"/>
      <c r="UKJ10" s="97"/>
      <c r="UKK10" s="97"/>
      <c r="UKL10" s="97"/>
      <c r="UKM10" s="97"/>
      <c r="UKN10" s="97"/>
      <c r="UKO10" s="97"/>
      <c r="UKP10" s="97"/>
      <c r="UKQ10" s="97"/>
      <c r="UKR10" s="97"/>
      <c r="UKS10" s="97"/>
      <c r="UKT10" s="97"/>
      <c r="UKU10" s="97"/>
      <c r="UKV10" s="97"/>
      <c r="UKW10" s="97"/>
      <c r="UKX10" s="97"/>
      <c r="UKY10" s="97"/>
      <c r="UKZ10" s="97"/>
      <c r="ULA10" s="97"/>
      <c r="ULB10" s="97"/>
      <c r="ULC10" s="97"/>
      <c r="ULD10" s="97"/>
      <c r="ULE10" s="97"/>
      <c r="ULF10" s="97"/>
      <c r="ULG10" s="97"/>
      <c r="ULH10" s="97"/>
      <c r="ULI10" s="97"/>
      <c r="ULJ10" s="97"/>
      <c r="ULK10" s="97"/>
      <c r="ULL10" s="97"/>
      <c r="ULM10" s="97"/>
      <c r="ULN10" s="97"/>
      <c r="ULO10" s="97"/>
      <c r="ULP10" s="97"/>
      <c r="ULQ10" s="97"/>
      <c r="ULR10" s="97"/>
      <c r="ULS10" s="97"/>
      <c r="ULT10" s="97"/>
      <c r="ULU10" s="97"/>
      <c r="ULV10" s="97"/>
      <c r="ULW10" s="97"/>
      <c r="ULX10" s="97"/>
      <c r="ULY10" s="97"/>
      <c r="ULZ10" s="97"/>
      <c r="UMA10" s="97"/>
      <c r="UMB10" s="97"/>
      <c r="UMC10" s="97"/>
      <c r="UMD10" s="97"/>
      <c r="UME10" s="97"/>
      <c r="UMF10" s="97"/>
      <c r="UMG10" s="97"/>
      <c r="UMH10" s="97"/>
      <c r="UMI10" s="97"/>
      <c r="UMJ10" s="97"/>
      <c r="UMK10" s="97"/>
      <c r="UML10" s="97"/>
      <c r="UMM10" s="97"/>
      <c r="UMN10" s="97"/>
      <c r="UMO10" s="97"/>
      <c r="UMP10" s="97"/>
      <c r="UMQ10" s="97"/>
      <c r="UMR10" s="97"/>
      <c r="UMS10" s="97"/>
      <c r="UMT10" s="97"/>
      <c r="UMU10" s="97"/>
      <c r="UMV10" s="97"/>
      <c r="UMW10" s="97"/>
      <c r="UMX10" s="97"/>
      <c r="UMY10" s="97"/>
      <c r="UMZ10" s="97"/>
      <c r="UNA10" s="97"/>
      <c r="UNB10" s="97"/>
      <c r="UNC10" s="97"/>
      <c r="UND10" s="97"/>
      <c r="UNE10" s="97"/>
      <c r="UNF10" s="97"/>
      <c r="UNG10" s="97"/>
      <c r="UNH10" s="97"/>
      <c r="UNI10" s="97"/>
      <c r="UNJ10" s="97"/>
      <c r="UNK10" s="97"/>
      <c r="UNL10" s="97"/>
      <c r="UNM10" s="97"/>
      <c r="UNN10" s="97"/>
      <c r="UNO10" s="97"/>
      <c r="UNP10" s="97"/>
      <c r="UNQ10" s="97"/>
      <c r="UNR10" s="97"/>
      <c r="UNS10" s="97"/>
      <c r="UNT10" s="97"/>
      <c r="UNU10" s="97"/>
      <c r="UNV10" s="97"/>
      <c r="UNW10" s="97"/>
      <c r="UNX10" s="97"/>
      <c r="UNY10" s="97"/>
      <c r="UNZ10" s="97"/>
      <c r="UOA10" s="97"/>
      <c r="UOB10" s="97"/>
      <c r="UOC10" s="97"/>
      <c r="UOD10" s="97"/>
      <c r="UOE10" s="97"/>
      <c r="UOF10" s="97"/>
      <c r="UOG10" s="97"/>
      <c r="UOH10" s="97"/>
      <c r="UOI10" s="97"/>
      <c r="UOJ10" s="97"/>
      <c r="UOK10" s="97"/>
      <c r="UOL10" s="97"/>
      <c r="UOM10" s="97"/>
      <c r="UON10" s="97"/>
      <c r="UOO10" s="97"/>
      <c r="UOP10" s="97"/>
      <c r="UOQ10" s="97"/>
      <c r="UOR10" s="97"/>
      <c r="UOS10" s="97"/>
      <c r="UOT10" s="97"/>
      <c r="UOU10" s="97"/>
      <c r="UOV10" s="97"/>
      <c r="UOW10" s="97"/>
      <c r="UOX10" s="97"/>
      <c r="UOY10" s="97"/>
      <c r="UOZ10" s="97"/>
      <c r="UPA10" s="97"/>
      <c r="UPB10" s="97"/>
      <c r="UPC10" s="97"/>
      <c r="UPD10" s="97"/>
      <c r="UPE10" s="97"/>
      <c r="UPF10" s="97"/>
      <c r="UPG10" s="97"/>
      <c r="UPH10" s="97"/>
      <c r="UPI10" s="97"/>
      <c r="UPJ10" s="97"/>
      <c r="UPK10" s="97"/>
      <c r="UPL10" s="97"/>
      <c r="UPM10" s="97"/>
      <c r="UPN10" s="97"/>
      <c r="UPO10" s="97"/>
      <c r="UPP10" s="97"/>
      <c r="UPQ10" s="97"/>
      <c r="UPR10" s="97"/>
      <c r="UPS10" s="97"/>
      <c r="UPT10" s="97"/>
      <c r="UPU10" s="97"/>
      <c r="UPV10" s="97"/>
      <c r="UPW10" s="97"/>
      <c r="UPX10" s="97"/>
      <c r="UPY10" s="97"/>
      <c r="UPZ10" s="97"/>
      <c r="UQA10" s="97"/>
      <c r="UQB10" s="97"/>
      <c r="UQC10" s="97"/>
      <c r="UQD10" s="97"/>
      <c r="UQE10" s="97"/>
      <c r="UQF10" s="97"/>
      <c r="UQG10" s="97"/>
      <c r="UQH10" s="97"/>
      <c r="UQI10" s="97"/>
      <c r="UQJ10" s="97"/>
      <c r="UQK10" s="97"/>
      <c r="UQL10" s="97"/>
      <c r="UQM10" s="97"/>
      <c r="UQN10" s="97"/>
      <c r="UQO10" s="97"/>
      <c r="UQP10" s="97"/>
      <c r="UQQ10" s="97"/>
      <c r="UQR10" s="97"/>
      <c r="UQS10" s="97"/>
      <c r="UQT10" s="97"/>
      <c r="UQU10" s="97"/>
      <c r="UQV10" s="97"/>
      <c r="UQW10" s="97"/>
      <c r="UQX10" s="97"/>
      <c r="UQY10" s="97"/>
      <c r="UQZ10" s="97"/>
      <c r="URA10" s="97"/>
      <c r="URB10" s="97"/>
      <c r="URC10" s="97"/>
      <c r="URD10" s="97"/>
      <c r="URE10" s="97"/>
      <c r="URF10" s="97"/>
      <c r="URG10" s="97"/>
      <c r="URH10" s="97"/>
      <c r="URI10" s="97"/>
      <c r="URJ10" s="97"/>
      <c r="URK10" s="97"/>
      <c r="URL10" s="97"/>
      <c r="URM10" s="97"/>
      <c r="URN10" s="97"/>
      <c r="URO10" s="97"/>
      <c r="URP10" s="97"/>
      <c r="URQ10" s="97"/>
      <c r="URR10" s="97"/>
      <c r="URS10" s="97"/>
      <c r="URT10" s="97"/>
      <c r="URU10" s="97"/>
      <c r="URV10" s="97"/>
      <c r="URW10" s="97"/>
      <c r="URX10" s="97"/>
      <c r="URY10" s="97"/>
      <c r="URZ10" s="97"/>
      <c r="USA10" s="97"/>
      <c r="USB10" s="97"/>
      <c r="USC10" s="97"/>
      <c r="USD10" s="97"/>
      <c r="USE10" s="97"/>
      <c r="USF10" s="97"/>
      <c r="USG10" s="97"/>
      <c r="USH10" s="97"/>
      <c r="USI10" s="97"/>
      <c r="USJ10" s="97"/>
      <c r="USK10" s="97"/>
      <c r="USL10" s="97"/>
      <c r="USM10" s="97"/>
      <c r="USN10" s="97"/>
      <c r="USO10" s="97"/>
      <c r="USP10" s="97"/>
      <c r="USQ10" s="97"/>
      <c r="USR10" s="97"/>
      <c r="USS10" s="97"/>
      <c r="UST10" s="97"/>
      <c r="USU10" s="97"/>
      <c r="USV10" s="97"/>
      <c r="USW10" s="97"/>
      <c r="USX10" s="97"/>
      <c r="USY10" s="97"/>
      <c r="USZ10" s="97"/>
      <c r="UTA10" s="97"/>
      <c r="UTB10" s="97"/>
      <c r="UTC10" s="97"/>
      <c r="UTD10" s="97"/>
      <c r="UTE10" s="97"/>
      <c r="UTF10" s="97"/>
      <c r="UTG10" s="97"/>
      <c r="UTH10" s="97"/>
      <c r="UTI10" s="97"/>
      <c r="UTJ10" s="97"/>
      <c r="UTK10" s="97"/>
      <c r="UTL10" s="97"/>
      <c r="UTM10" s="97"/>
      <c r="UTN10" s="97"/>
      <c r="UTO10" s="97"/>
      <c r="UTP10" s="97"/>
      <c r="UTQ10" s="97"/>
      <c r="UTR10" s="97"/>
      <c r="UTS10" s="97"/>
      <c r="UTT10" s="97"/>
      <c r="UTU10" s="97"/>
      <c r="UTV10" s="97"/>
      <c r="UTW10" s="97"/>
      <c r="UTX10" s="97"/>
      <c r="UTY10" s="97"/>
      <c r="UTZ10" s="97"/>
      <c r="UUA10" s="97"/>
      <c r="UUB10" s="97"/>
      <c r="UUC10" s="97"/>
      <c r="UUD10" s="97"/>
      <c r="UUE10" s="97"/>
      <c r="UUF10" s="97"/>
      <c r="UUG10" s="97"/>
      <c r="UUH10" s="97"/>
      <c r="UUI10" s="97"/>
      <c r="UUJ10" s="97"/>
      <c r="UUK10" s="97"/>
      <c r="UUL10" s="97"/>
      <c r="UUM10" s="97"/>
      <c r="UUN10" s="97"/>
      <c r="UUO10" s="97"/>
      <c r="UUP10" s="97"/>
      <c r="UUQ10" s="97"/>
      <c r="UUR10" s="97"/>
      <c r="UUS10" s="97"/>
      <c r="UUT10" s="97"/>
      <c r="UUU10" s="97"/>
      <c r="UUV10" s="97"/>
      <c r="UUW10" s="97"/>
      <c r="UUX10" s="97"/>
      <c r="UUY10" s="97"/>
      <c r="UUZ10" s="97"/>
      <c r="UVA10" s="97"/>
      <c r="UVB10" s="97"/>
      <c r="UVC10" s="97"/>
      <c r="UVD10" s="97"/>
      <c r="UVE10" s="97"/>
      <c r="UVF10" s="97"/>
      <c r="UVG10" s="97"/>
      <c r="UVH10" s="97"/>
      <c r="UVI10" s="97"/>
      <c r="UVJ10" s="97"/>
      <c r="UVK10" s="97"/>
      <c r="UVL10" s="97"/>
      <c r="UVM10" s="97"/>
      <c r="UVN10" s="97"/>
      <c r="UVO10" s="97"/>
      <c r="UVP10" s="97"/>
      <c r="UVQ10" s="97"/>
      <c r="UVR10" s="97"/>
      <c r="UVS10" s="97"/>
      <c r="UVT10" s="97"/>
      <c r="UVU10" s="97"/>
      <c r="UVV10" s="97"/>
      <c r="UVW10" s="97"/>
      <c r="UVX10" s="97"/>
      <c r="UVY10" s="97"/>
      <c r="UVZ10" s="97"/>
      <c r="UWA10" s="97"/>
      <c r="UWB10" s="97"/>
      <c r="UWC10" s="97"/>
      <c r="UWD10" s="97"/>
      <c r="UWE10" s="97"/>
      <c r="UWF10" s="97"/>
      <c r="UWG10" s="97"/>
      <c r="UWH10" s="97"/>
      <c r="UWI10" s="97"/>
      <c r="UWJ10" s="97"/>
      <c r="UWK10" s="97"/>
      <c r="UWL10" s="97"/>
      <c r="UWM10" s="97"/>
      <c r="UWN10" s="97"/>
      <c r="UWO10" s="97"/>
      <c r="UWP10" s="97"/>
      <c r="UWQ10" s="97"/>
      <c r="UWR10" s="97"/>
      <c r="UWS10" s="97"/>
      <c r="UWT10" s="97"/>
      <c r="UWU10" s="97"/>
      <c r="UWV10" s="97"/>
      <c r="UWW10" s="97"/>
      <c r="UWX10" s="97"/>
      <c r="UWY10" s="97"/>
      <c r="UWZ10" s="97"/>
      <c r="UXA10" s="97"/>
      <c r="UXB10" s="97"/>
      <c r="UXC10" s="97"/>
      <c r="UXD10" s="97"/>
      <c r="UXE10" s="97"/>
      <c r="UXF10" s="97"/>
      <c r="UXG10" s="97"/>
      <c r="UXH10" s="97"/>
      <c r="UXI10" s="97"/>
      <c r="UXJ10" s="97"/>
      <c r="UXK10" s="97"/>
      <c r="UXL10" s="97"/>
      <c r="UXM10" s="97"/>
      <c r="UXN10" s="97"/>
      <c r="UXO10" s="97"/>
      <c r="UXP10" s="97"/>
      <c r="UXQ10" s="97"/>
      <c r="UXR10" s="97"/>
      <c r="UXS10" s="97"/>
      <c r="UXT10" s="97"/>
      <c r="UXU10" s="97"/>
      <c r="UXV10" s="97"/>
      <c r="UXW10" s="97"/>
      <c r="UXX10" s="97"/>
      <c r="UXY10" s="97"/>
      <c r="UXZ10" s="97"/>
      <c r="UYA10" s="97"/>
      <c r="UYB10" s="97"/>
      <c r="UYC10" s="97"/>
      <c r="UYD10" s="97"/>
      <c r="UYE10" s="97"/>
      <c r="UYF10" s="97"/>
      <c r="UYG10" s="97"/>
      <c r="UYH10" s="97"/>
      <c r="UYI10" s="97"/>
      <c r="UYJ10" s="97"/>
      <c r="UYK10" s="97"/>
      <c r="UYL10" s="97"/>
      <c r="UYM10" s="97"/>
      <c r="UYN10" s="97"/>
      <c r="UYO10" s="97"/>
      <c r="UYP10" s="97"/>
      <c r="UYQ10" s="97"/>
      <c r="UYR10" s="97"/>
      <c r="UYS10" s="97"/>
      <c r="UYT10" s="97"/>
      <c r="UYU10" s="97"/>
      <c r="UYV10" s="97"/>
      <c r="UYW10" s="97"/>
      <c r="UYX10" s="97"/>
      <c r="UYY10" s="97"/>
      <c r="UYZ10" s="97"/>
      <c r="UZA10" s="97"/>
      <c r="UZB10" s="97"/>
      <c r="UZC10" s="97"/>
      <c r="UZD10" s="97"/>
      <c r="UZE10" s="97"/>
      <c r="UZF10" s="97"/>
      <c r="UZG10" s="97"/>
      <c r="UZH10" s="97"/>
      <c r="UZI10" s="97"/>
      <c r="UZJ10" s="97"/>
      <c r="UZK10" s="97"/>
      <c r="UZL10" s="97"/>
      <c r="UZM10" s="97"/>
      <c r="UZN10" s="97"/>
      <c r="UZO10" s="97"/>
      <c r="UZP10" s="97"/>
      <c r="UZQ10" s="97"/>
      <c r="UZR10" s="97"/>
      <c r="UZS10" s="97"/>
      <c r="UZT10" s="97"/>
      <c r="UZU10" s="97"/>
      <c r="UZV10" s="97"/>
      <c r="UZW10" s="97"/>
      <c r="UZX10" s="97"/>
      <c r="UZY10" s="97"/>
      <c r="UZZ10" s="97"/>
      <c r="VAA10" s="97"/>
      <c r="VAB10" s="97"/>
      <c r="VAC10" s="97"/>
      <c r="VAD10" s="97"/>
      <c r="VAE10" s="97"/>
      <c r="VAF10" s="97"/>
      <c r="VAG10" s="97"/>
      <c r="VAH10" s="97"/>
      <c r="VAI10" s="97"/>
      <c r="VAJ10" s="97"/>
      <c r="VAK10" s="97"/>
      <c r="VAL10" s="97"/>
      <c r="VAM10" s="97"/>
      <c r="VAN10" s="97"/>
      <c r="VAO10" s="97"/>
      <c r="VAP10" s="97"/>
      <c r="VAQ10" s="97"/>
      <c r="VAR10" s="97"/>
      <c r="VAS10" s="97"/>
      <c r="VAT10" s="97"/>
      <c r="VAU10" s="97"/>
      <c r="VAV10" s="97"/>
      <c r="VAW10" s="97"/>
      <c r="VAX10" s="97"/>
      <c r="VAY10" s="97"/>
      <c r="VAZ10" s="97"/>
      <c r="VBA10" s="97"/>
      <c r="VBB10" s="97"/>
      <c r="VBC10" s="97"/>
      <c r="VBD10" s="97"/>
      <c r="VBE10" s="97"/>
      <c r="VBF10" s="97"/>
      <c r="VBG10" s="97"/>
      <c r="VBH10" s="97"/>
      <c r="VBI10" s="97"/>
      <c r="VBJ10" s="97"/>
      <c r="VBK10" s="97"/>
      <c r="VBL10" s="97"/>
      <c r="VBM10" s="97"/>
      <c r="VBN10" s="97"/>
      <c r="VBO10" s="97"/>
      <c r="VBP10" s="97"/>
      <c r="VBQ10" s="97"/>
      <c r="VBR10" s="97"/>
      <c r="VBS10" s="97"/>
      <c r="VBT10" s="97"/>
      <c r="VBU10" s="97"/>
      <c r="VBV10" s="97"/>
      <c r="VBW10" s="97"/>
      <c r="VBX10" s="97"/>
      <c r="VBY10" s="97"/>
      <c r="VBZ10" s="97"/>
      <c r="VCA10" s="97"/>
      <c r="VCB10" s="97"/>
      <c r="VCC10" s="97"/>
      <c r="VCD10" s="97"/>
      <c r="VCE10" s="97"/>
      <c r="VCF10" s="97"/>
      <c r="VCG10" s="97"/>
      <c r="VCH10" s="97"/>
      <c r="VCI10" s="97"/>
      <c r="VCJ10" s="97"/>
      <c r="VCK10" s="97"/>
      <c r="VCL10" s="97"/>
      <c r="VCM10" s="97"/>
      <c r="VCN10" s="97"/>
      <c r="VCO10" s="97"/>
      <c r="VCP10" s="97"/>
      <c r="VCQ10" s="97"/>
      <c r="VCR10" s="97"/>
      <c r="VCS10" s="97"/>
      <c r="VCT10" s="97"/>
      <c r="VCU10" s="97"/>
      <c r="VCV10" s="97"/>
      <c r="VCW10" s="97"/>
      <c r="VCX10" s="97"/>
      <c r="VCY10" s="97"/>
      <c r="VCZ10" s="97"/>
      <c r="VDA10" s="97"/>
      <c r="VDB10" s="97"/>
      <c r="VDC10" s="97"/>
      <c r="VDD10" s="97"/>
      <c r="VDE10" s="97"/>
      <c r="VDF10" s="97"/>
      <c r="VDG10" s="97"/>
      <c r="VDH10" s="97"/>
      <c r="VDI10" s="97"/>
      <c r="VDJ10" s="97"/>
      <c r="VDK10" s="97"/>
      <c r="VDL10" s="97"/>
      <c r="VDM10" s="97"/>
      <c r="VDN10" s="97"/>
      <c r="VDO10" s="97"/>
      <c r="VDP10" s="97"/>
      <c r="VDQ10" s="97"/>
      <c r="VDR10" s="97"/>
      <c r="VDS10" s="97"/>
      <c r="VDT10" s="97"/>
      <c r="VDU10" s="97"/>
      <c r="VDV10" s="97"/>
      <c r="VDW10" s="97"/>
      <c r="VDX10" s="97"/>
      <c r="VDY10" s="97"/>
      <c r="VDZ10" s="97"/>
      <c r="VEA10" s="97"/>
      <c r="VEB10" s="97"/>
      <c r="VEC10" s="97"/>
      <c r="VED10" s="97"/>
      <c r="VEE10" s="97"/>
      <c r="VEF10" s="97"/>
      <c r="VEG10" s="97"/>
      <c r="VEH10" s="97"/>
      <c r="VEI10" s="97"/>
      <c r="VEJ10" s="97"/>
      <c r="VEK10" s="97"/>
      <c r="VEL10" s="97"/>
      <c r="VEM10" s="97"/>
      <c r="VEN10" s="97"/>
      <c r="VEO10" s="97"/>
      <c r="VEP10" s="97"/>
      <c r="VEQ10" s="97"/>
      <c r="VER10" s="97"/>
      <c r="VES10" s="97"/>
      <c r="VET10" s="97"/>
      <c r="VEU10" s="97"/>
      <c r="VEV10" s="97"/>
      <c r="VEW10" s="97"/>
      <c r="VEX10" s="97"/>
      <c r="VEY10" s="97"/>
      <c r="VEZ10" s="97"/>
      <c r="VFA10" s="97"/>
      <c r="VFB10" s="97"/>
      <c r="VFC10" s="97"/>
      <c r="VFD10" s="97"/>
      <c r="VFE10" s="97"/>
      <c r="VFF10" s="97"/>
      <c r="VFG10" s="97"/>
      <c r="VFH10" s="97"/>
      <c r="VFI10" s="97"/>
      <c r="VFJ10" s="97"/>
      <c r="VFK10" s="97"/>
      <c r="VFL10" s="97"/>
      <c r="VFM10" s="97"/>
      <c r="VFN10" s="97"/>
      <c r="VFO10" s="97"/>
      <c r="VFP10" s="97"/>
      <c r="VFQ10" s="97"/>
      <c r="VFR10" s="97"/>
      <c r="VFS10" s="97"/>
      <c r="VFT10" s="97"/>
      <c r="VFU10" s="97"/>
      <c r="VFV10" s="97"/>
      <c r="VFW10" s="97"/>
      <c r="VFX10" s="97"/>
      <c r="VFY10" s="97"/>
      <c r="VFZ10" s="97"/>
      <c r="VGA10" s="97"/>
      <c r="VGB10" s="97"/>
      <c r="VGC10" s="97"/>
      <c r="VGD10" s="97"/>
      <c r="VGE10" s="97"/>
      <c r="VGF10" s="97"/>
      <c r="VGG10" s="97"/>
      <c r="VGH10" s="97"/>
      <c r="VGI10" s="97"/>
      <c r="VGJ10" s="97"/>
      <c r="VGK10" s="97"/>
      <c r="VGL10" s="97"/>
      <c r="VGM10" s="97"/>
      <c r="VGN10" s="97"/>
      <c r="VGO10" s="97"/>
      <c r="VGP10" s="97"/>
      <c r="VGQ10" s="97"/>
      <c r="VGR10" s="97"/>
      <c r="VGS10" s="97"/>
      <c r="VGT10" s="97"/>
      <c r="VGU10" s="97"/>
      <c r="VGV10" s="97"/>
      <c r="VGW10" s="97"/>
      <c r="VGX10" s="97"/>
      <c r="VGY10" s="97"/>
      <c r="VGZ10" s="97"/>
      <c r="VHA10" s="97"/>
      <c r="VHB10" s="97"/>
      <c r="VHC10" s="97"/>
      <c r="VHD10" s="97"/>
      <c r="VHE10" s="97"/>
      <c r="VHF10" s="97"/>
      <c r="VHG10" s="97"/>
      <c r="VHH10" s="97"/>
      <c r="VHI10" s="97"/>
      <c r="VHJ10" s="97"/>
      <c r="VHK10" s="97"/>
      <c r="VHL10" s="97"/>
      <c r="VHM10" s="97"/>
      <c r="VHN10" s="97"/>
      <c r="VHO10" s="97"/>
      <c r="VHP10" s="97"/>
      <c r="VHQ10" s="97"/>
      <c r="VHR10" s="97"/>
      <c r="VHS10" s="97"/>
      <c r="VHT10" s="97"/>
      <c r="VHU10" s="97"/>
      <c r="VHV10" s="97"/>
      <c r="VHW10" s="97"/>
      <c r="VHX10" s="97"/>
      <c r="VHY10" s="97"/>
      <c r="VHZ10" s="97"/>
      <c r="VIA10" s="97"/>
      <c r="VIB10" s="97"/>
      <c r="VIC10" s="97"/>
      <c r="VID10" s="97"/>
      <c r="VIE10" s="97"/>
      <c r="VIF10" s="97"/>
      <c r="VIG10" s="97"/>
      <c r="VIH10" s="97"/>
      <c r="VII10" s="97"/>
      <c r="VIJ10" s="97"/>
      <c r="VIK10" s="97"/>
      <c r="VIL10" s="97"/>
      <c r="VIM10" s="97"/>
      <c r="VIN10" s="97"/>
      <c r="VIO10" s="97"/>
      <c r="VIP10" s="97"/>
      <c r="VIQ10" s="97"/>
      <c r="VIR10" s="97"/>
      <c r="VIS10" s="97"/>
      <c r="VIT10" s="97"/>
      <c r="VIU10" s="97"/>
      <c r="VIV10" s="97"/>
      <c r="VIW10" s="97"/>
      <c r="VIX10" s="97"/>
      <c r="VIY10" s="97"/>
      <c r="VIZ10" s="97"/>
      <c r="VJA10" s="97"/>
      <c r="VJB10" s="97"/>
      <c r="VJC10" s="97"/>
      <c r="VJD10" s="97"/>
      <c r="VJE10" s="97"/>
      <c r="VJF10" s="97"/>
      <c r="VJG10" s="97"/>
      <c r="VJH10" s="97"/>
      <c r="VJI10" s="97"/>
      <c r="VJJ10" s="97"/>
      <c r="VJK10" s="97"/>
      <c r="VJL10" s="97"/>
      <c r="VJM10" s="97"/>
      <c r="VJN10" s="97"/>
      <c r="VJO10" s="97"/>
      <c r="VJP10" s="97"/>
      <c r="VJQ10" s="97"/>
      <c r="VJR10" s="97"/>
      <c r="VJS10" s="97"/>
      <c r="VJT10" s="97"/>
      <c r="VJU10" s="97"/>
      <c r="VJV10" s="97"/>
      <c r="VJW10" s="97"/>
      <c r="VJX10" s="97"/>
      <c r="VJY10" s="97"/>
      <c r="VJZ10" s="97"/>
      <c r="VKA10" s="97"/>
      <c r="VKB10" s="97"/>
      <c r="VKC10" s="97"/>
      <c r="VKD10" s="97"/>
      <c r="VKE10" s="97"/>
      <c r="VKF10" s="97"/>
      <c r="VKG10" s="97"/>
      <c r="VKH10" s="97"/>
      <c r="VKI10" s="97"/>
      <c r="VKJ10" s="97"/>
      <c r="VKK10" s="97"/>
      <c r="VKL10" s="97"/>
      <c r="VKM10" s="97"/>
      <c r="VKN10" s="97"/>
      <c r="VKO10" s="97"/>
      <c r="VKP10" s="97"/>
      <c r="VKQ10" s="97"/>
      <c r="VKR10" s="97"/>
      <c r="VKS10" s="97"/>
      <c r="VKT10" s="97"/>
      <c r="VKU10" s="97"/>
      <c r="VKV10" s="97"/>
      <c r="VKW10" s="97"/>
      <c r="VKX10" s="97"/>
      <c r="VKY10" s="97"/>
      <c r="VKZ10" s="97"/>
      <c r="VLA10" s="97"/>
      <c r="VLB10" s="97"/>
      <c r="VLC10" s="97"/>
      <c r="VLD10" s="97"/>
      <c r="VLE10" s="97"/>
      <c r="VLF10" s="97"/>
      <c r="VLG10" s="97"/>
      <c r="VLH10" s="97"/>
      <c r="VLI10" s="97"/>
      <c r="VLJ10" s="97"/>
      <c r="VLK10" s="97"/>
      <c r="VLL10" s="97"/>
      <c r="VLM10" s="97"/>
      <c r="VLN10" s="97"/>
      <c r="VLO10" s="97"/>
      <c r="VLP10" s="97"/>
      <c r="VLQ10" s="97"/>
      <c r="VLR10" s="97"/>
      <c r="VLS10" s="97"/>
      <c r="VLT10" s="97"/>
      <c r="VLU10" s="97"/>
      <c r="VLV10" s="97"/>
      <c r="VLW10" s="97"/>
      <c r="VLX10" s="97"/>
      <c r="VLY10" s="97"/>
      <c r="VLZ10" s="97"/>
      <c r="VMA10" s="97"/>
      <c r="VMB10" s="97"/>
      <c r="VMC10" s="97"/>
      <c r="VMD10" s="97"/>
      <c r="VME10" s="97"/>
      <c r="VMF10" s="97"/>
      <c r="VMG10" s="97"/>
      <c r="VMH10" s="97"/>
      <c r="VMI10" s="97"/>
      <c r="VMJ10" s="97"/>
      <c r="VMK10" s="97"/>
      <c r="VML10" s="97"/>
      <c r="VMM10" s="97"/>
      <c r="VMN10" s="97"/>
      <c r="VMO10" s="97"/>
      <c r="VMP10" s="97"/>
      <c r="VMQ10" s="97"/>
      <c r="VMR10" s="97"/>
      <c r="VMS10" s="97"/>
      <c r="VMT10" s="97"/>
      <c r="VMU10" s="97"/>
      <c r="VMV10" s="97"/>
      <c r="VMW10" s="97"/>
      <c r="VMX10" s="97"/>
      <c r="VMY10" s="97"/>
      <c r="VMZ10" s="97"/>
      <c r="VNA10" s="97"/>
      <c r="VNB10" s="97"/>
      <c r="VNC10" s="97"/>
      <c r="VND10" s="97"/>
      <c r="VNE10" s="97"/>
      <c r="VNF10" s="97"/>
      <c r="VNG10" s="97"/>
      <c r="VNH10" s="97"/>
      <c r="VNI10" s="97"/>
      <c r="VNJ10" s="97"/>
      <c r="VNK10" s="97"/>
      <c r="VNL10" s="97"/>
      <c r="VNM10" s="97"/>
      <c r="VNN10" s="97"/>
      <c r="VNO10" s="97"/>
      <c r="VNP10" s="97"/>
      <c r="VNQ10" s="97"/>
      <c r="VNR10" s="97"/>
      <c r="VNS10" s="97"/>
      <c r="VNT10" s="97"/>
      <c r="VNU10" s="97"/>
      <c r="VNV10" s="97"/>
      <c r="VNW10" s="97"/>
      <c r="VNX10" s="97"/>
      <c r="VNY10" s="97"/>
      <c r="VNZ10" s="97"/>
      <c r="VOA10" s="97"/>
      <c r="VOB10" s="97"/>
      <c r="VOC10" s="97"/>
      <c r="VOD10" s="97"/>
      <c r="VOE10" s="97"/>
      <c r="VOF10" s="97"/>
      <c r="VOG10" s="97"/>
      <c r="VOH10" s="97"/>
      <c r="VOI10" s="97"/>
      <c r="VOJ10" s="97"/>
      <c r="VOK10" s="97"/>
      <c r="VOL10" s="97"/>
      <c r="VOM10" s="97"/>
      <c r="VON10" s="97"/>
      <c r="VOO10" s="97"/>
      <c r="VOP10" s="97"/>
      <c r="VOQ10" s="97"/>
      <c r="VOR10" s="97"/>
      <c r="VOS10" s="97"/>
      <c r="VOT10" s="97"/>
      <c r="VOU10" s="97"/>
      <c r="VOV10" s="97"/>
      <c r="VOW10" s="97"/>
      <c r="VOX10" s="97"/>
      <c r="VOY10" s="97"/>
      <c r="VOZ10" s="97"/>
      <c r="VPA10" s="97"/>
      <c r="VPB10" s="97"/>
      <c r="VPC10" s="97"/>
      <c r="VPD10" s="97"/>
      <c r="VPE10" s="97"/>
      <c r="VPF10" s="97"/>
      <c r="VPG10" s="97"/>
      <c r="VPH10" s="97"/>
      <c r="VPI10" s="97"/>
      <c r="VPJ10" s="97"/>
      <c r="VPK10" s="97"/>
      <c r="VPL10" s="97"/>
      <c r="VPM10" s="97"/>
      <c r="VPN10" s="97"/>
      <c r="VPO10" s="97"/>
      <c r="VPP10" s="97"/>
      <c r="VPQ10" s="97"/>
      <c r="VPR10" s="97"/>
      <c r="VPS10" s="97"/>
      <c r="VPT10" s="97"/>
      <c r="VPU10" s="97"/>
      <c r="VPV10" s="97"/>
      <c r="VPW10" s="97"/>
      <c r="VPX10" s="97"/>
      <c r="VPY10" s="97"/>
      <c r="VPZ10" s="97"/>
      <c r="VQA10" s="97"/>
      <c r="VQB10" s="97"/>
      <c r="VQC10" s="97"/>
      <c r="VQD10" s="97"/>
      <c r="VQE10" s="97"/>
      <c r="VQF10" s="97"/>
      <c r="VQG10" s="97"/>
      <c r="VQH10" s="97"/>
      <c r="VQI10" s="97"/>
      <c r="VQJ10" s="97"/>
      <c r="VQK10" s="97"/>
      <c r="VQL10" s="97"/>
      <c r="VQM10" s="97"/>
      <c r="VQN10" s="97"/>
      <c r="VQO10" s="97"/>
      <c r="VQP10" s="97"/>
      <c r="VQQ10" s="97"/>
      <c r="VQR10" s="97"/>
      <c r="VQS10" s="97"/>
      <c r="VQT10" s="97"/>
      <c r="VQU10" s="97"/>
      <c r="VQV10" s="97"/>
      <c r="VQW10" s="97"/>
      <c r="VQX10" s="97"/>
      <c r="VQY10" s="97"/>
      <c r="VQZ10" s="97"/>
      <c r="VRA10" s="97"/>
      <c r="VRB10" s="97"/>
      <c r="VRC10" s="97"/>
      <c r="VRD10" s="97"/>
      <c r="VRE10" s="97"/>
      <c r="VRF10" s="97"/>
      <c r="VRG10" s="97"/>
      <c r="VRH10" s="97"/>
      <c r="VRI10" s="97"/>
      <c r="VRJ10" s="97"/>
      <c r="VRK10" s="97"/>
      <c r="VRL10" s="97"/>
      <c r="VRM10" s="97"/>
      <c r="VRN10" s="97"/>
      <c r="VRO10" s="97"/>
      <c r="VRP10" s="97"/>
      <c r="VRQ10" s="97"/>
      <c r="VRR10" s="97"/>
      <c r="VRS10" s="97"/>
      <c r="VRT10" s="97"/>
      <c r="VRU10" s="97"/>
      <c r="VRV10" s="97"/>
      <c r="VRW10" s="97"/>
      <c r="VRX10" s="97"/>
      <c r="VRY10" s="97"/>
      <c r="VRZ10" s="97"/>
      <c r="VSA10" s="97"/>
      <c r="VSB10" s="97"/>
      <c r="VSC10" s="97"/>
      <c r="VSD10" s="97"/>
      <c r="VSE10" s="97"/>
      <c r="VSF10" s="97"/>
      <c r="VSG10" s="97"/>
      <c r="VSH10" s="97"/>
      <c r="VSI10" s="97"/>
      <c r="VSJ10" s="97"/>
      <c r="VSK10" s="97"/>
      <c r="VSL10" s="97"/>
      <c r="VSM10" s="97"/>
      <c r="VSN10" s="97"/>
      <c r="VSO10" s="97"/>
      <c r="VSP10" s="97"/>
      <c r="VSQ10" s="97"/>
      <c r="VSR10" s="97"/>
      <c r="VSS10" s="97"/>
      <c r="VST10" s="97"/>
      <c r="VSU10" s="97"/>
      <c r="VSV10" s="97"/>
      <c r="VSW10" s="97"/>
      <c r="VSX10" s="97"/>
      <c r="VSY10" s="97"/>
      <c r="VSZ10" s="97"/>
      <c r="VTA10" s="97"/>
      <c r="VTB10" s="97"/>
      <c r="VTC10" s="97"/>
      <c r="VTD10" s="97"/>
      <c r="VTE10" s="97"/>
      <c r="VTF10" s="97"/>
      <c r="VTG10" s="97"/>
      <c r="VTH10" s="97"/>
      <c r="VTI10" s="97"/>
      <c r="VTJ10" s="97"/>
      <c r="VTK10" s="97"/>
      <c r="VTL10" s="97"/>
      <c r="VTM10" s="97"/>
      <c r="VTN10" s="97"/>
      <c r="VTO10" s="97"/>
      <c r="VTP10" s="97"/>
      <c r="VTQ10" s="97"/>
      <c r="VTR10" s="97"/>
      <c r="VTS10" s="97"/>
      <c r="VTT10" s="97"/>
      <c r="VTU10" s="97"/>
      <c r="VTV10" s="97"/>
      <c r="VTW10" s="97"/>
      <c r="VTX10" s="97"/>
      <c r="VTY10" s="97"/>
      <c r="VTZ10" s="97"/>
      <c r="VUA10" s="97"/>
      <c r="VUB10" s="97"/>
      <c r="VUC10" s="97"/>
      <c r="VUD10" s="97"/>
      <c r="VUE10" s="97"/>
      <c r="VUF10" s="97"/>
      <c r="VUG10" s="97"/>
      <c r="VUH10" s="97"/>
      <c r="VUI10" s="97"/>
      <c r="VUJ10" s="97"/>
      <c r="VUK10" s="97"/>
      <c r="VUL10" s="97"/>
      <c r="VUM10" s="97"/>
      <c r="VUN10" s="97"/>
      <c r="VUO10" s="97"/>
      <c r="VUP10" s="97"/>
      <c r="VUQ10" s="97"/>
      <c r="VUR10" s="97"/>
      <c r="VUS10" s="97"/>
      <c r="VUT10" s="97"/>
      <c r="VUU10" s="97"/>
      <c r="VUV10" s="97"/>
      <c r="VUW10" s="97"/>
      <c r="VUX10" s="97"/>
      <c r="VUY10" s="97"/>
      <c r="VUZ10" s="97"/>
      <c r="VVA10" s="97"/>
      <c r="VVB10" s="97"/>
      <c r="VVC10" s="97"/>
      <c r="VVD10" s="97"/>
      <c r="VVE10" s="97"/>
      <c r="VVF10" s="97"/>
      <c r="VVG10" s="97"/>
      <c r="VVH10" s="97"/>
      <c r="VVI10" s="97"/>
      <c r="VVJ10" s="97"/>
      <c r="VVK10" s="97"/>
      <c r="VVL10" s="97"/>
      <c r="VVM10" s="97"/>
      <c r="VVN10" s="97"/>
      <c r="VVO10" s="97"/>
      <c r="VVP10" s="97"/>
      <c r="VVQ10" s="97"/>
      <c r="VVR10" s="97"/>
      <c r="VVS10" s="97"/>
      <c r="VVT10" s="97"/>
      <c r="VVU10" s="97"/>
      <c r="VVV10" s="97"/>
      <c r="VVW10" s="97"/>
      <c r="VVX10" s="97"/>
      <c r="VVY10" s="97"/>
      <c r="VVZ10" s="97"/>
      <c r="VWA10" s="97"/>
      <c r="VWB10" s="97"/>
      <c r="VWC10" s="97"/>
      <c r="VWD10" s="97"/>
      <c r="VWE10" s="97"/>
      <c r="VWF10" s="97"/>
      <c r="VWG10" s="97"/>
      <c r="VWH10" s="97"/>
      <c r="VWI10" s="97"/>
      <c r="VWJ10" s="97"/>
      <c r="VWK10" s="97"/>
      <c r="VWL10" s="97"/>
      <c r="VWM10" s="97"/>
      <c r="VWN10" s="97"/>
      <c r="VWO10" s="97"/>
      <c r="VWP10" s="97"/>
      <c r="VWQ10" s="97"/>
      <c r="VWR10" s="97"/>
      <c r="VWS10" s="97"/>
      <c r="VWT10" s="97"/>
      <c r="VWU10" s="97"/>
      <c r="VWV10" s="97"/>
      <c r="VWW10" s="97"/>
      <c r="VWX10" s="97"/>
      <c r="VWY10" s="97"/>
      <c r="VWZ10" s="97"/>
      <c r="VXA10" s="97"/>
      <c r="VXB10" s="97"/>
      <c r="VXC10" s="97"/>
      <c r="VXD10" s="97"/>
      <c r="VXE10" s="97"/>
      <c r="VXF10" s="97"/>
      <c r="VXG10" s="97"/>
      <c r="VXH10" s="97"/>
      <c r="VXI10" s="97"/>
      <c r="VXJ10" s="97"/>
      <c r="VXK10" s="97"/>
      <c r="VXL10" s="97"/>
      <c r="VXM10" s="97"/>
      <c r="VXN10" s="97"/>
      <c r="VXO10" s="97"/>
      <c r="VXP10" s="97"/>
      <c r="VXQ10" s="97"/>
      <c r="VXR10" s="97"/>
      <c r="VXS10" s="97"/>
      <c r="VXT10" s="97"/>
      <c r="VXU10" s="97"/>
      <c r="VXV10" s="97"/>
      <c r="VXW10" s="97"/>
      <c r="VXX10" s="97"/>
      <c r="VXY10" s="97"/>
      <c r="VXZ10" s="97"/>
      <c r="VYA10" s="97"/>
      <c r="VYB10" s="97"/>
      <c r="VYC10" s="97"/>
      <c r="VYD10" s="97"/>
      <c r="VYE10" s="97"/>
      <c r="VYF10" s="97"/>
      <c r="VYG10" s="97"/>
      <c r="VYH10" s="97"/>
      <c r="VYI10" s="97"/>
      <c r="VYJ10" s="97"/>
      <c r="VYK10" s="97"/>
      <c r="VYL10" s="97"/>
      <c r="VYM10" s="97"/>
      <c r="VYN10" s="97"/>
      <c r="VYO10" s="97"/>
      <c r="VYP10" s="97"/>
      <c r="VYQ10" s="97"/>
      <c r="VYR10" s="97"/>
      <c r="VYS10" s="97"/>
      <c r="VYT10" s="97"/>
      <c r="VYU10" s="97"/>
      <c r="VYV10" s="97"/>
      <c r="VYW10" s="97"/>
      <c r="VYX10" s="97"/>
      <c r="VYY10" s="97"/>
      <c r="VYZ10" s="97"/>
      <c r="VZA10" s="97"/>
      <c r="VZB10" s="97"/>
      <c r="VZC10" s="97"/>
      <c r="VZD10" s="97"/>
      <c r="VZE10" s="97"/>
      <c r="VZF10" s="97"/>
      <c r="VZG10" s="97"/>
      <c r="VZH10" s="97"/>
      <c r="VZI10" s="97"/>
      <c r="VZJ10" s="97"/>
      <c r="VZK10" s="97"/>
      <c r="VZL10" s="97"/>
      <c r="VZM10" s="97"/>
      <c r="VZN10" s="97"/>
      <c r="VZO10" s="97"/>
      <c r="VZP10" s="97"/>
      <c r="VZQ10" s="97"/>
      <c r="VZR10" s="97"/>
      <c r="VZS10" s="97"/>
      <c r="VZT10" s="97"/>
      <c r="VZU10" s="97"/>
      <c r="VZV10" s="97"/>
      <c r="VZW10" s="97"/>
      <c r="VZX10" s="97"/>
      <c r="VZY10" s="97"/>
      <c r="VZZ10" s="97"/>
      <c r="WAA10" s="97"/>
      <c r="WAB10" s="97"/>
      <c r="WAC10" s="97"/>
      <c r="WAD10" s="97"/>
      <c r="WAE10" s="97"/>
      <c r="WAF10" s="97"/>
      <c r="WAG10" s="97"/>
      <c r="WAH10" s="97"/>
      <c r="WAI10" s="97"/>
      <c r="WAJ10" s="97"/>
      <c r="WAK10" s="97"/>
      <c r="WAL10" s="97"/>
      <c r="WAM10" s="97"/>
      <c r="WAN10" s="97"/>
      <c r="WAO10" s="97"/>
      <c r="WAP10" s="97"/>
      <c r="WAQ10" s="97"/>
      <c r="WAR10" s="97"/>
      <c r="WAS10" s="97"/>
      <c r="WAT10" s="97"/>
      <c r="WAU10" s="97"/>
      <c r="WAV10" s="97"/>
      <c r="WAW10" s="97"/>
      <c r="WAX10" s="97"/>
      <c r="WAY10" s="97"/>
      <c r="WAZ10" s="97"/>
      <c r="WBA10" s="97"/>
      <c r="WBB10" s="97"/>
      <c r="WBC10" s="97"/>
      <c r="WBD10" s="97"/>
      <c r="WBE10" s="97"/>
      <c r="WBF10" s="97"/>
      <c r="WBG10" s="97"/>
      <c r="WBH10" s="97"/>
      <c r="WBI10" s="97"/>
      <c r="WBJ10" s="97"/>
      <c r="WBK10" s="97"/>
      <c r="WBL10" s="97"/>
      <c r="WBM10" s="97"/>
      <c r="WBN10" s="97"/>
      <c r="WBO10" s="97"/>
      <c r="WBP10" s="97"/>
      <c r="WBQ10" s="97"/>
      <c r="WBR10" s="97"/>
      <c r="WBS10" s="97"/>
      <c r="WBT10" s="97"/>
      <c r="WBU10" s="97"/>
      <c r="WBV10" s="97"/>
      <c r="WBW10" s="97"/>
      <c r="WBX10" s="97"/>
      <c r="WBY10" s="97"/>
      <c r="WBZ10" s="97"/>
      <c r="WCA10" s="97"/>
      <c r="WCB10" s="97"/>
      <c r="WCC10" s="97"/>
      <c r="WCD10" s="97"/>
      <c r="WCE10" s="97"/>
      <c r="WCF10" s="97"/>
      <c r="WCG10" s="97"/>
      <c r="WCH10" s="97"/>
      <c r="WCI10" s="97"/>
      <c r="WCJ10" s="97"/>
      <c r="WCK10" s="97"/>
      <c r="WCL10" s="97"/>
      <c r="WCM10" s="97"/>
      <c r="WCN10" s="97"/>
      <c r="WCO10" s="97"/>
      <c r="WCP10" s="97"/>
      <c r="WCQ10" s="97"/>
      <c r="WCR10" s="97"/>
      <c r="WCS10" s="97"/>
      <c r="WCT10" s="97"/>
      <c r="WCU10" s="97"/>
      <c r="WCV10" s="97"/>
      <c r="WCW10" s="97"/>
      <c r="WCX10" s="97"/>
      <c r="WCY10" s="97"/>
      <c r="WCZ10" s="97"/>
      <c r="WDA10" s="97"/>
      <c r="WDB10" s="97"/>
      <c r="WDC10" s="97"/>
      <c r="WDD10" s="97"/>
      <c r="WDE10" s="97"/>
      <c r="WDF10" s="97"/>
      <c r="WDG10" s="97"/>
      <c r="WDH10" s="97"/>
      <c r="WDI10" s="97"/>
      <c r="WDJ10" s="97"/>
      <c r="WDK10" s="97"/>
      <c r="WDL10" s="97"/>
      <c r="WDM10" s="97"/>
      <c r="WDN10" s="97"/>
      <c r="WDO10" s="97"/>
      <c r="WDP10" s="97"/>
      <c r="WDQ10" s="97"/>
      <c r="WDR10" s="97"/>
      <c r="WDS10" s="97"/>
      <c r="WDT10" s="97"/>
      <c r="WDU10" s="97"/>
      <c r="WDV10" s="97"/>
      <c r="WDW10" s="97"/>
      <c r="WDX10" s="97"/>
      <c r="WDY10" s="97"/>
      <c r="WDZ10" s="97"/>
      <c r="WEA10" s="97"/>
      <c r="WEB10" s="97"/>
      <c r="WEC10" s="97"/>
      <c r="WED10" s="97"/>
      <c r="WEE10" s="97"/>
      <c r="WEF10" s="97"/>
      <c r="WEG10" s="97"/>
      <c r="WEH10" s="97"/>
      <c r="WEI10" s="97"/>
      <c r="WEJ10" s="97"/>
      <c r="WEK10" s="97"/>
      <c r="WEL10" s="97"/>
      <c r="WEM10" s="97"/>
      <c r="WEN10" s="97"/>
      <c r="WEO10" s="97"/>
      <c r="WEP10" s="97"/>
      <c r="WEQ10" s="97"/>
      <c r="WER10" s="97"/>
      <c r="WES10" s="97"/>
      <c r="WET10" s="97"/>
      <c r="WEU10" s="97"/>
      <c r="WEV10" s="97"/>
      <c r="WEW10" s="97"/>
      <c r="WEX10" s="97"/>
      <c r="WEY10" s="97"/>
      <c r="WEZ10" s="97"/>
      <c r="WFA10" s="97"/>
      <c r="WFB10" s="97"/>
      <c r="WFC10" s="97"/>
      <c r="WFD10" s="97"/>
      <c r="WFE10" s="97"/>
      <c r="WFF10" s="97"/>
      <c r="WFG10" s="97"/>
      <c r="WFH10" s="97"/>
      <c r="WFI10" s="97"/>
      <c r="WFJ10" s="97"/>
      <c r="WFK10" s="97"/>
      <c r="WFL10" s="97"/>
      <c r="WFM10" s="97"/>
      <c r="WFN10" s="97"/>
      <c r="WFO10" s="97"/>
      <c r="WFP10" s="97"/>
      <c r="WFQ10" s="97"/>
      <c r="WFR10" s="97"/>
      <c r="WFS10" s="97"/>
      <c r="WFT10" s="97"/>
      <c r="WFU10" s="97"/>
      <c r="WFV10" s="97"/>
      <c r="WFW10" s="97"/>
      <c r="WFX10" s="97"/>
      <c r="WFY10" s="97"/>
      <c r="WFZ10" s="97"/>
      <c r="WGA10" s="97"/>
      <c r="WGB10" s="97"/>
      <c r="WGC10" s="97"/>
      <c r="WGD10" s="97"/>
      <c r="WGE10" s="97"/>
      <c r="WGF10" s="97"/>
      <c r="WGG10" s="97"/>
      <c r="WGH10" s="97"/>
      <c r="WGI10" s="97"/>
      <c r="WGJ10" s="97"/>
      <c r="WGK10" s="97"/>
      <c r="WGL10" s="97"/>
      <c r="WGM10" s="97"/>
      <c r="WGN10" s="97"/>
      <c r="WGO10" s="97"/>
      <c r="WGP10" s="97"/>
      <c r="WGQ10" s="97"/>
      <c r="WGR10" s="97"/>
      <c r="WGS10" s="97"/>
      <c r="WGT10" s="97"/>
      <c r="WGU10" s="97"/>
      <c r="WGV10" s="97"/>
      <c r="WGW10" s="97"/>
      <c r="WGX10" s="97"/>
      <c r="WGY10" s="97"/>
      <c r="WGZ10" s="97"/>
      <c r="WHA10" s="97"/>
      <c r="WHB10" s="97"/>
      <c r="WHC10" s="97"/>
      <c r="WHD10" s="97"/>
      <c r="WHE10" s="97"/>
      <c r="WHF10" s="97"/>
      <c r="WHG10" s="97"/>
      <c r="WHH10" s="97"/>
      <c r="WHI10" s="97"/>
      <c r="WHJ10" s="97"/>
      <c r="WHK10" s="97"/>
      <c r="WHL10" s="97"/>
      <c r="WHM10" s="97"/>
      <c r="WHN10" s="97"/>
      <c r="WHO10" s="97"/>
      <c r="WHP10" s="97"/>
      <c r="WHQ10" s="97"/>
      <c r="WHR10" s="97"/>
      <c r="WHS10" s="97"/>
      <c r="WHT10" s="97"/>
      <c r="WHU10" s="97"/>
      <c r="WHV10" s="97"/>
      <c r="WHW10" s="97"/>
      <c r="WHX10" s="97"/>
      <c r="WHY10" s="97"/>
      <c r="WHZ10" s="97"/>
      <c r="WIA10" s="97"/>
      <c r="WIB10" s="97"/>
      <c r="WIC10" s="97"/>
      <c r="WID10" s="97"/>
      <c r="WIE10" s="97"/>
      <c r="WIF10" s="97"/>
      <c r="WIG10" s="97"/>
      <c r="WIH10" s="97"/>
      <c r="WII10" s="97"/>
      <c r="WIJ10" s="97"/>
      <c r="WIK10" s="97"/>
      <c r="WIL10" s="97"/>
      <c r="WIM10" s="97"/>
      <c r="WIN10" s="97"/>
      <c r="WIO10" s="97"/>
      <c r="WIP10" s="97"/>
      <c r="WIQ10" s="97"/>
      <c r="WIR10" s="97"/>
      <c r="WIS10" s="97"/>
      <c r="WIT10" s="97"/>
      <c r="WIU10" s="97"/>
      <c r="WIV10" s="97"/>
      <c r="WIW10" s="97"/>
      <c r="WIX10" s="97"/>
      <c r="WIY10" s="97"/>
      <c r="WIZ10" s="97"/>
      <c r="WJA10" s="97"/>
      <c r="WJB10" s="97"/>
      <c r="WJC10" s="97"/>
      <c r="WJD10" s="97"/>
      <c r="WJE10" s="97"/>
      <c r="WJF10" s="97"/>
      <c r="WJG10" s="97"/>
      <c r="WJH10" s="97"/>
      <c r="WJI10" s="97"/>
      <c r="WJJ10" s="97"/>
      <c r="WJK10" s="97"/>
      <c r="WJL10" s="97"/>
      <c r="WJM10" s="97"/>
      <c r="WJN10" s="97"/>
      <c r="WJO10" s="97"/>
      <c r="WJP10" s="97"/>
      <c r="WJQ10" s="97"/>
      <c r="WJR10" s="97"/>
      <c r="WJS10" s="97"/>
      <c r="WJT10" s="97"/>
      <c r="WJU10" s="97"/>
      <c r="WJV10" s="97"/>
      <c r="WJW10" s="97"/>
      <c r="WJX10" s="97"/>
      <c r="WJY10" s="97"/>
      <c r="WJZ10" s="97"/>
      <c r="WKA10" s="97"/>
      <c r="WKB10" s="97"/>
      <c r="WKC10" s="97"/>
      <c r="WKD10" s="97"/>
      <c r="WKE10" s="97"/>
      <c r="WKF10" s="97"/>
      <c r="WKG10" s="97"/>
      <c r="WKH10" s="97"/>
      <c r="WKI10" s="97"/>
      <c r="WKJ10" s="97"/>
      <c r="WKK10" s="97"/>
      <c r="WKL10" s="97"/>
      <c r="WKM10" s="97"/>
      <c r="WKN10" s="97"/>
      <c r="WKO10" s="97"/>
      <c r="WKP10" s="97"/>
      <c r="WKQ10" s="97"/>
      <c r="WKR10" s="97"/>
      <c r="WKS10" s="97"/>
      <c r="WKT10" s="97"/>
      <c r="WKU10" s="97"/>
      <c r="WKV10" s="97"/>
      <c r="WKW10" s="97"/>
      <c r="WKX10" s="97"/>
      <c r="WKY10" s="97"/>
      <c r="WKZ10" s="97"/>
      <c r="WLA10" s="97"/>
      <c r="WLB10" s="97"/>
      <c r="WLC10" s="97"/>
      <c r="WLD10" s="97"/>
      <c r="WLE10" s="97"/>
      <c r="WLF10" s="97"/>
      <c r="WLG10" s="97"/>
      <c r="WLH10" s="97"/>
      <c r="WLI10" s="97"/>
      <c r="WLJ10" s="97"/>
      <c r="WLK10" s="97"/>
      <c r="WLL10" s="97"/>
      <c r="WLM10" s="97"/>
      <c r="WLN10" s="97"/>
      <c r="WLO10" s="97"/>
      <c r="WLP10" s="97"/>
      <c r="WLQ10" s="97"/>
      <c r="WLR10" s="97"/>
      <c r="WLS10" s="97"/>
      <c r="WLT10" s="97"/>
      <c r="WLU10" s="97"/>
      <c r="WLV10" s="97"/>
      <c r="WLW10" s="97"/>
      <c r="WLX10" s="97"/>
      <c r="WLY10" s="97"/>
      <c r="WLZ10" s="97"/>
      <c r="WMA10" s="97"/>
      <c r="WMB10" s="97"/>
      <c r="WMC10" s="97"/>
      <c r="WMD10" s="97"/>
      <c r="WME10" s="97"/>
      <c r="WMF10" s="97"/>
      <c r="WMG10" s="97"/>
      <c r="WMH10" s="97"/>
      <c r="WMI10" s="97"/>
      <c r="WMJ10" s="97"/>
      <c r="WMK10" s="97"/>
      <c r="WML10" s="97"/>
      <c r="WMM10" s="97"/>
      <c r="WMN10" s="97"/>
      <c r="WMO10" s="97"/>
      <c r="WMP10" s="97"/>
      <c r="WMQ10" s="97"/>
      <c r="WMR10" s="97"/>
      <c r="WMS10" s="97"/>
      <c r="WMT10" s="97"/>
      <c r="WMU10" s="97"/>
      <c r="WMV10" s="97"/>
      <c r="WMW10" s="97"/>
      <c r="WMX10" s="97"/>
      <c r="WMY10" s="97"/>
      <c r="WMZ10" s="97"/>
      <c r="WNA10" s="97"/>
      <c r="WNB10" s="97"/>
      <c r="WNC10" s="97"/>
      <c r="WND10" s="97"/>
      <c r="WNE10" s="97"/>
      <c r="WNF10" s="97"/>
      <c r="WNG10" s="97"/>
      <c r="WNH10" s="97"/>
      <c r="WNI10" s="97"/>
      <c r="WNJ10" s="97"/>
      <c r="WNK10" s="97"/>
      <c r="WNL10" s="97"/>
      <c r="WNM10" s="97"/>
      <c r="WNN10" s="97"/>
      <c r="WNO10" s="97"/>
      <c r="WNP10" s="97"/>
      <c r="WNQ10" s="97"/>
      <c r="WNR10" s="97"/>
      <c r="WNS10" s="97"/>
      <c r="WNT10" s="97"/>
      <c r="WNU10" s="97"/>
      <c r="WNV10" s="97"/>
      <c r="WNW10" s="97"/>
      <c r="WNX10" s="97"/>
      <c r="WNY10" s="97"/>
      <c r="WNZ10" s="97"/>
      <c r="WOA10" s="97"/>
      <c r="WOB10" s="97"/>
      <c r="WOC10" s="97"/>
      <c r="WOD10" s="97"/>
      <c r="WOE10" s="97"/>
      <c r="WOF10" s="97"/>
      <c r="WOG10" s="97"/>
      <c r="WOH10" s="97"/>
      <c r="WOI10" s="97"/>
      <c r="WOJ10" s="97"/>
      <c r="WOK10" s="97"/>
      <c r="WOL10" s="97"/>
      <c r="WOM10" s="97"/>
      <c r="WON10" s="97"/>
      <c r="WOO10" s="97"/>
      <c r="WOP10" s="97"/>
      <c r="WOQ10" s="97"/>
      <c r="WOR10" s="97"/>
      <c r="WOS10" s="97"/>
      <c r="WOT10" s="97"/>
      <c r="WOU10" s="97"/>
      <c r="WOV10" s="97"/>
      <c r="WOW10" s="97"/>
      <c r="WOX10" s="97"/>
      <c r="WOY10" s="97"/>
      <c r="WOZ10" s="97"/>
      <c r="WPA10" s="97"/>
      <c r="WPB10" s="97"/>
      <c r="WPC10" s="97"/>
      <c r="WPD10" s="97"/>
      <c r="WPE10" s="97"/>
      <c r="WPF10" s="97"/>
      <c r="WPG10" s="97"/>
      <c r="WPH10" s="97"/>
      <c r="WPI10" s="97"/>
      <c r="WPJ10" s="97"/>
      <c r="WPK10" s="97"/>
      <c r="WPL10" s="97"/>
      <c r="WPM10" s="97"/>
      <c r="WPN10" s="97"/>
      <c r="WPO10" s="97"/>
      <c r="WPP10" s="97"/>
      <c r="WPQ10" s="97"/>
      <c r="WPR10" s="97"/>
      <c r="WPS10" s="97"/>
      <c r="WPT10" s="97"/>
      <c r="WPU10" s="97"/>
      <c r="WPV10" s="97"/>
      <c r="WPW10" s="97"/>
      <c r="WPX10" s="97"/>
      <c r="WPY10" s="97"/>
      <c r="WPZ10" s="97"/>
      <c r="WQA10" s="97"/>
      <c r="WQB10" s="97"/>
      <c r="WQC10" s="97"/>
      <c r="WQD10" s="97"/>
      <c r="WQE10" s="97"/>
      <c r="WQF10" s="97"/>
      <c r="WQG10" s="97"/>
      <c r="WQH10" s="97"/>
      <c r="WQI10" s="97"/>
      <c r="WQJ10" s="97"/>
      <c r="WQK10" s="97"/>
      <c r="WQL10" s="97"/>
      <c r="WQM10" s="97"/>
      <c r="WQN10" s="97"/>
      <c r="WQO10" s="97"/>
      <c r="WQP10" s="97"/>
      <c r="WQQ10" s="97"/>
      <c r="WQR10" s="97"/>
      <c r="WQS10" s="97"/>
      <c r="WQT10" s="97"/>
      <c r="WQU10" s="97"/>
      <c r="WQV10" s="97"/>
      <c r="WQW10" s="97"/>
      <c r="WQX10" s="97"/>
      <c r="WQY10" s="97"/>
      <c r="WQZ10" s="97"/>
      <c r="WRA10" s="97"/>
      <c r="WRB10" s="97"/>
      <c r="WRC10" s="97"/>
      <c r="WRD10" s="97"/>
      <c r="WRE10" s="97"/>
      <c r="WRF10" s="97"/>
      <c r="WRG10" s="97"/>
      <c r="WRH10" s="97"/>
      <c r="WRI10" s="97"/>
      <c r="WRJ10" s="97"/>
      <c r="WRK10" s="97"/>
      <c r="WRL10" s="97"/>
      <c r="WRM10" s="97"/>
      <c r="WRN10" s="97"/>
      <c r="WRO10" s="97"/>
      <c r="WRP10" s="97"/>
      <c r="WRQ10" s="97"/>
      <c r="WRR10" s="97"/>
      <c r="WRS10" s="97"/>
      <c r="WRT10" s="97"/>
      <c r="WRU10" s="97"/>
      <c r="WRV10" s="97"/>
      <c r="WRW10" s="97"/>
      <c r="WRX10" s="97"/>
      <c r="WRY10" s="97"/>
      <c r="WRZ10" s="97"/>
      <c r="WSA10" s="97"/>
      <c r="WSB10" s="97"/>
      <c r="WSC10" s="97"/>
      <c r="WSD10" s="97"/>
      <c r="WSE10" s="97"/>
      <c r="WSF10" s="97"/>
      <c r="WSG10" s="97"/>
      <c r="WSH10" s="97"/>
      <c r="WSI10" s="97"/>
      <c r="WSJ10" s="97"/>
      <c r="WSK10" s="97"/>
      <c r="WSL10" s="97"/>
      <c r="WSM10" s="97"/>
      <c r="WSN10" s="97"/>
      <c r="WSO10" s="97"/>
      <c r="WSP10" s="97"/>
      <c r="WSQ10" s="97"/>
      <c r="WSR10" s="97"/>
      <c r="WSS10" s="97"/>
      <c r="WST10" s="97"/>
      <c r="WSU10" s="97"/>
      <c r="WSV10" s="97"/>
      <c r="WSW10" s="97"/>
      <c r="WSX10" s="97"/>
      <c r="WSY10" s="97"/>
      <c r="WSZ10" s="97"/>
      <c r="WTA10" s="97"/>
      <c r="WTB10" s="97"/>
      <c r="WTC10" s="97"/>
      <c r="WTD10" s="97"/>
      <c r="WTE10" s="97"/>
      <c r="WTF10" s="97"/>
      <c r="WTG10" s="97"/>
      <c r="WTH10" s="97"/>
      <c r="WTI10" s="97"/>
      <c r="WTJ10" s="97"/>
      <c r="WTK10" s="97"/>
      <c r="WTL10" s="97"/>
      <c r="WTM10" s="97"/>
      <c r="WTN10" s="97"/>
      <c r="WTO10" s="97"/>
      <c r="WTP10" s="97"/>
      <c r="WTQ10" s="97"/>
      <c r="WTR10" s="97"/>
      <c r="WTS10" s="97"/>
      <c r="WTT10" s="97"/>
      <c r="WTU10" s="97"/>
      <c r="WTV10" s="97"/>
      <c r="WTW10" s="97"/>
      <c r="WTX10" s="97"/>
      <c r="WTY10" s="97"/>
      <c r="WTZ10" s="97"/>
      <c r="WUA10" s="97"/>
      <c r="WUB10" s="97"/>
      <c r="WUC10" s="97"/>
      <c r="WUD10" s="97"/>
      <c r="WUE10" s="97"/>
      <c r="WUF10" s="97"/>
      <c r="WUG10" s="97"/>
      <c r="WUH10" s="97"/>
      <c r="WUI10" s="97"/>
      <c r="WUJ10" s="97"/>
      <c r="WUK10" s="97"/>
      <c r="WUL10" s="97"/>
      <c r="WUM10" s="97"/>
      <c r="WUN10" s="97"/>
      <c r="WUO10" s="97"/>
      <c r="WUP10" s="97"/>
      <c r="WUQ10" s="97"/>
      <c r="WUR10" s="97"/>
      <c r="WUS10" s="97"/>
      <c r="WUT10" s="97"/>
      <c r="WUU10" s="97"/>
      <c r="WUV10" s="97"/>
      <c r="WUW10" s="97"/>
      <c r="WUX10" s="97"/>
      <c r="WUY10" s="97"/>
      <c r="WUZ10" s="97"/>
      <c r="WVA10" s="97"/>
      <c r="WVB10" s="97"/>
      <c r="WVC10" s="97"/>
      <c r="WVD10" s="97"/>
      <c r="WVE10" s="97"/>
      <c r="WVF10" s="97"/>
      <c r="WVG10" s="97"/>
      <c r="WVH10" s="97"/>
      <c r="WVI10" s="97"/>
      <c r="WVJ10" s="97"/>
      <c r="WVK10" s="97"/>
      <c r="WVL10" s="97"/>
      <c r="WVM10" s="97"/>
      <c r="WVN10" s="97"/>
      <c r="WVO10" s="97"/>
      <c r="WVP10" s="97"/>
      <c r="WVQ10" s="97"/>
      <c r="WVR10" s="97"/>
      <c r="WVS10" s="97"/>
      <c r="WVT10" s="97"/>
      <c r="WVU10" s="97"/>
      <c r="WVV10" s="97"/>
      <c r="WVW10" s="97"/>
      <c r="WVX10" s="97"/>
    </row>
    <row r="11" spans="1:16144" ht="40" customHeight="1" x14ac:dyDescent="0.15">
      <c r="A11" s="133" t="s">
        <v>230</v>
      </c>
      <c r="B11" s="188">
        <f>'Prog costs'!AB$4</f>
        <v>28</v>
      </c>
      <c r="C11" s="93"/>
      <c r="D11" s="511"/>
      <c r="E11" s="94" t="s">
        <v>231</v>
      </c>
      <c r="F11" s="95"/>
      <c r="G11" s="95"/>
      <c r="H11" s="154">
        <f>398301+5592</f>
        <v>403893</v>
      </c>
      <c r="I11" s="164">
        <v>0</v>
      </c>
      <c r="J11" s="163">
        <f>H11-I11</f>
        <v>403893</v>
      </c>
      <c r="K11" s="130">
        <f>IF(H11=0,"-",J11/H11)</f>
        <v>1</v>
      </c>
      <c r="L11" s="95"/>
      <c r="M11" s="87"/>
      <c r="N11" s="154">
        <v>0</v>
      </c>
      <c r="O11" s="154">
        <v>0</v>
      </c>
      <c r="P11" s="154">
        <v>0</v>
      </c>
      <c r="Q11" s="154">
        <v>0</v>
      </c>
      <c r="R11" s="154">
        <v>0</v>
      </c>
      <c r="S11" s="155">
        <f>SUM(N11:P11,Q11:R11)</f>
        <v>0</v>
      </c>
      <c r="T11" s="187"/>
    </row>
    <row r="12" spans="1:16144" ht="40" customHeight="1" x14ac:dyDescent="0.15">
      <c r="A12" s="133" t="s">
        <v>239</v>
      </c>
      <c r="B12" s="188">
        <f>'Prog costs'!AB$4</f>
        <v>28</v>
      </c>
      <c r="C12" s="93"/>
      <c r="D12" s="511"/>
      <c r="E12" s="98" t="s">
        <v>329</v>
      </c>
      <c r="F12" s="95"/>
      <c r="G12" s="95"/>
      <c r="H12" s="154">
        <v>1914756</v>
      </c>
      <c r="I12" s="164">
        <v>80063.02</v>
      </c>
      <c r="J12" s="163">
        <f>H12-I12</f>
        <v>1834692.98</v>
      </c>
      <c r="K12" s="130">
        <f>IF(H12=0,"-",J12/H12)</f>
        <v>0.9581863067670241</v>
      </c>
      <c r="L12" s="95"/>
      <c r="M12" s="87"/>
      <c r="N12" s="154">
        <v>80063.02</v>
      </c>
      <c r="O12" s="154">
        <v>0</v>
      </c>
      <c r="P12" s="154">
        <v>0</v>
      </c>
      <c r="Q12" s="154">
        <v>0</v>
      </c>
      <c r="R12" s="154">
        <v>0</v>
      </c>
      <c r="S12" s="155">
        <f>SUM(N12:P12,Q12:R12)</f>
        <v>80063.02</v>
      </c>
      <c r="T12" s="187"/>
    </row>
    <row r="13" spans="1:16144" ht="12.75" customHeight="1" x14ac:dyDescent="0.15">
      <c r="A13" s="133"/>
      <c r="B13" s="132"/>
      <c r="C13" s="50"/>
      <c r="D13" s="50"/>
      <c r="E13" s="79"/>
      <c r="F13" s="64"/>
      <c r="G13" s="64"/>
      <c r="H13" s="180">
        <f>SUM(H9:H12)</f>
        <v>5845430</v>
      </c>
      <c r="I13" s="209">
        <f>SUM(I9:I12)</f>
        <v>2854459.54</v>
      </c>
      <c r="J13" s="209">
        <f>SUM(J9:J12)</f>
        <v>2990970.46</v>
      </c>
      <c r="K13" s="50"/>
      <c r="L13" s="64"/>
      <c r="M13" s="87"/>
      <c r="N13" s="127"/>
      <c r="O13" s="127"/>
      <c r="P13" s="127"/>
      <c r="Q13" s="127"/>
      <c r="R13" s="127"/>
      <c r="S13" s="128"/>
      <c r="T13" s="184"/>
    </row>
    <row r="14" spans="1:16144" ht="9" customHeight="1" x14ac:dyDescent="0.15">
      <c r="A14" s="133"/>
      <c r="B14" s="132"/>
      <c r="C14" s="50"/>
      <c r="D14" s="50"/>
      <c r="E14" s="229"/>
      <c r="F14" s="64"/>
      <c r="G14" s="64"/>
      <c r="H14" s="99"/>
      <c r="I14" s="231"/>
      <c r="J14" s="101"/>
      <c r="K14" s="101"/>
      <c r="L14" s="64"/>
      <c r="M14" s="87"/>
      <c r="N14" s="50"/>
      <c r="O14" s="50"/>
      <c r="P14" s="50"/>
      <c r="Q14" s="50"/>
      <c r="R14" s="50"/>
      <c r="S14" s="50"/>
      <c r="T14" s="50"/>
    </row>
    <row r="15" spans="1:16144" ht="45" customHeight="1" x14ac:dyDescent="0.15">
      <c r="A15" s="133" t="s">
        <v>226</v>
      </c>
      <c r="B15" s="188">
        <f>'Prog costs'!AB$4</f>
        <v>28</v>
      </c>
      <c r="C15" s="93"/>
      <c r="D15" s="512" t="s">
        <v>330</v>
      </c>
      <c r="E15" s="169" t="s">
        <v>227</v>
      </c>
      <c r="F15" s="95"/>
      <c r="G15" s="95"/>
      <c r="H15" s="154">
        <v>1893702</v>
      </c>
      <c r="I15" s="164">
        <v>53538</v>
      </c>
      <c r="J15" s="163">
        <f t="shared" ref="J15:J21" si="0">H15-I15</f>
        <v>1840164</v>
      </c>
      <c r="K15" s="130">
        <f t="shared" ref="K15:K21" si="1">IF(H15=0,"-",J15/H15)</f>
        <v>0.97172839232360742</v>
      </c>
      <c r="L15" s="95"/>
      <c r="M15" s="87"/>
      <c r="N15" s="154">
        <v>0</v>
      </c>
      <c r="O15" s="154">
        <v>0</v>
      </c>
      <c r="P15" s="154">
        <v>0</v>
      </c>
      <c r="Q15" s="154">
        <v>0</v>
      </c>
      <c r="R15" s="154">
        <v>53538</v>
      </c>
      <c r="S15" s="155">
        <f t="shared" ref="S15:S21" si="2">SUM(N15:P15,Q15:R15)</f>
        <v>53538</v>
      </c>
      <c r="T15" s="187"/>
    </row>
    <row r="16" spans="1:16144" ht="45" customHeight="1" x14ac:dyDescent="0.15">
      <c r="A16" s="133" t="s">
        <v>237</v>
      </c>
      <c r="B16" s="188">
        <f>'Prog costs'!AB$4</f>
        <v>28</v>
      </c>
      <c r="C16" s="93"/>
      <c r="D16" s="508"/>
      <c r="E16" s="170" t="s">
        <v>238</v>
      </c>
      <c r="F16" s="95"/>
      <c r="G16" s="95"/>
      <c r="H16" s="154">
        <v>1268349</v>
      </c>
      <c r="I16" s="164">
        <v>1432442.6</v>
      </c>
      <c r="J16" s="163">
        <f t="shared" si="0"/>
        <v>-164093.60000000009</v>
      </c>
      <c r="K16" s="130">
        <f t="shared" si="1"/>
        <v>-0.12937574752690315</v>
      </c>
      <c r="L16" s="95"/>
      <c r="M16" s="87"/>
      <c r="N16" s="154">
        <v>0</v>
      </c>
      <c r="O16" s="154">
        <v>0</v>
      </c>
      <c r="P16" s="154">
        <v>0</v>
      </c>
      <c r="Q16" s="154">
        <v>0</v>
      </c>
      <c r="R16" s="154">
        <v>1432442.6</v>
      </c>
      <c r="S16" s="155">
        <f t="shared" si="2"/>
        <v>1432442.6</v>
      </c>
      <c r="T16" s="187"/>
    </row>
    <row r="17" spans="1:46" ht="30" customHeight="1" x14ac:dyDescent="0.15">
      <c r="A17" s="133" t="s">
        <v>343</v>
      </c>
      <c r="B17" s="188">
        <f>'Prog costs'!AB$4</f>
        <v>28</v>
      </c>
      <c r="C17" s="93"/>
      <c r="D17" s="508"/>
      <c r="E17" s="169" t="s">
        <v>248</v>
      </c>
      <c r="F17" s="95"/>
      <c r="G17" s="95"/>
      <c r="H17" s="154">
        <v>814357</v>
      </c>
      <c r="I17" s="164">
        <v>0</v>
      </c>
      <c r="J17" s="163">
        <f t="shared" si="0"/>
        <v>814357</v>
      </c>
      <c r="K17" s="130">
        <f t="shared" si="1"/>
        <v>1</v>
      </c>
      <c r="L17" s="95"/>
      <c r="M17" s="87"/>
      <c r="N17" s="154">
        <v>0</v>
      </c>
      <c r="O17" s="154">
        <v>0</v>
      </c>
      <c r="P17" s="154">
        <v>0</v>
      </c>
      <c r="Q17" s="154">
        <v>0</v>
      </c>
      <c r="R17" s="154">
        <v>0</v>
      </c>
      <c r="S17" s="155">
        <f t="shared" si="2"/>
        <v>0</v>
      </c>
      <c r="T17" s="187"/>
    </row>
    <row r="18" spans="1:46" ht="40" customHeight="1" x14ac:dyDescent="0.15">
      <c r="A18" s="133" t="s">
        <v>249</v>
      </c>
      <c r="B18" s="188">
        <f>'Prog costs'!AB$4</f>
        <v>28</v>
      </c>
      <c r="C18" s="93"/>
      <c r="D18" s="508"/>
      <c r="E18" s="169" t="s">
        <v>250</v>
      </c>
      <c r="F18" s="95"/>
      <c r="G18" s="95"/>
      <c r="H18" s="154">
        <v>1120658</v>
      </c>
      <c r="I18" s="164">
        <v>937821.15000000014</v>
      </c>
      <c r="J18" s="163">
        <f t="shared" si="0"/>
        <v>182836.84999999986</v>
      </c>
      <c r="K18" s="130">
        <f t="shared" si="1"/>
        <v>0.16315133609004698</v>
      </c>
      <c r="L18" s="95"/>
      <c r="M18" s="87"/>
      <c r="N18" s="154">
        <v>0</v>
      </c>
      <c r="O18" s="154">
        <v>0</v>
      </c>
      <c r="P18" s="154">
        <v>0</v>
      </c>
      <c r="Q18" s="154">
        <v>0</v>
      </c>
      <c r="R18" s="154">
        <v>937821.15000000014</v>
      </c>
      <c r="S18" s="155">
        <f t="shared" si="2"/>
        <v>937821.15000000014</v>
      </c>
      <c r="T18" s="187"/>
    </row>
    <row r="19" spans="1:46" ht="40" customHeight="1" x14ac:dyDescent="0.15">
      <c r="A19" s="133" t="s">
        <v>251</v>
      </c>
      <c r="B19" s="188">
        <f>'Prog costs'!AB$4</f>
        <v>28</v>
      </c>
      <c r="C19" s="93"/>
      <c r="D19" s="508"/>
      <c r="E19" s="169" t="s">
        <v>252</v>
      </c>
      <c r="F19" s="95"/>
      <c r="G19" s="95"/>
      <c r="H19" s="154">
        <v>751590</v>
      </c>
      <c r="I19" s="164">
        <v>194090</v>
      </c>
      <c r="J19" s="163">
        <f t="shared" si="0"/>
        <v>557500</v>
      </c>
      <c r="K19" s="130">
        <f t="shared" si="1"/>
        <v>0.74176080043640813</v>
      </c>
      <c r="L19" s="95"/>
      <c r="M19" s="87"/>
      <c r="N19" s="154">
        <v>0</v>
      </c>
      <c r="O19" s="154">
        <v>0</v>
      </c>
      <c r="P19" s="154">
        <v>0</v>
      </c>
      <c r="Q19" s="154">
        <v>0</v>
      </c>
      <c r="R19" s="154">
        <v>194090</v>
      </c>
      <c r="S19" s="155">
        <f t="shared" si="2"/>
        <v>194090</v>
      </c>
      <c r="T19" s="187"/>
    </row>
    <row r="20" spans="1:46" ht="40" customHeight="1" x14ac:dyDescent="0.15">
      <c r="A20" s="133" t="s">
        <v>260</v>
      </c>
      <c r="B20" s="188">
        <f>'Prog costs'!AB$4</f>
        <v>28</v>
      </c>
      <c r="C20" s="93"/>
      <c r="D20" s="513"/>
      <c r="E20" s="171" t="s">
        <v>332</v>
      </c>
      <c r="F20" s="95"/>
      <c r="G20" s="95"/>
      <c r="H20" s="154">
        <v>0</v>
      </c>
      <c r="I20" s="164">
        <v>51996</v>
      </c>
      <c r="J20" s="163">
        <f t="shared" si="0"/>
        <v>-51996</v>
      </c>
      <c r="K20" s="130" t="str">
        <f t="shared" si="1"/>
        <v>-</v>
      </c>
      <c r="L20" s="95"/>
      <c r="M20" s="87"/>
      <c r="N20" s="154">
        <v>0</v>
      </c>
      <c r="O20" s="154">
        <v>0</v>
      </c>
      <c r="P20" s="154">
        <v>0</v>
      </c>
      <c r="Q20" s="154">
        <v>0</v>
      </c>
      <c r="R20" s="154">
        <v>51996</v>
      </c>
      <c r="S20" s="155">
        <f t="shared" si="2"/>
        <v>51996</v>
      </c>
      <c r="T20" s="187"/>
    </row>
    <row r="21" spans="1:46" ht="30" customHeight="1" x14ac:dyDescent="0.15">
      <c r="A21" s="133" t="s">
        <v>259</v>
      </c>
      <c r="B21" s="188">
        <f>'Prog costs'!AB$4</f>
        <v>28</v>
      </c>
      <c r="C21" s="93"/>
      <c r="D21" s="514"/>
      <c r="E21" s="171" t="s">
        <v>333</v>
      </c>
      <c r="F21" s="95"/>
      <c r="G21" s="95"/>
      <c r="H21" s="154">
        <v>0</v>
      </c>
      <c r="I21" s="164">
        <v>65365.42</v>
      </c>
      <c r="J21" s="163">
        <f t="shared" si="0"/>
        <v>-65365.42</v>
      </c>
      <c r="K21" s="130" t="str">
        <f t="shared" si="1"/>
        <v>-</v>
      </c>
      <c r="L21" s="95"/>
      <c r="M21" s="87"/>
      <c r="N21" s="154">
        <v>0</v>
      </c>
      <c r="O21" s="154">
        <v>0</v>
      </c>
      <c r="P21" s="154">
        <v>0</v>
      </c>
      <c r="Q21" s="154">
        <v>0</v>
      </c>
      <c r="R21" s="154">
        <v>65365.42</v>
      </c>
      <c r="S21" s="155">
        <f t="shared" si="2"/>
        <v>65365.42</v>
      </c>
      <c r="T21" s="187"/>
    </row>
    <row r="22" spans="1:46" ht="12.75" customHeight="1" x14ac:dyDescent="0.15">
      <c r="A22" s="133"/>
      <c r="B22" s="132"/>
      <c r="C22" s="50"/>
      <c r="E22" s="105"/>
      <c r="F22" s="64"/>
      <c r="G22" s="64"/>
      <c r="H22" s="180">
        <f>SUM(H15:H21)</f>
        <v>5848656</v>
      </c>
      <c r="I22" s="209">
        <f t="shared" ref="I22" si="3">SUM(I15:I21)</f>
        <v>2735253.17</v>
      </c>
      <c r="J22" s="209">
        <f t="shared" ref="J22" si="4">SUM(J15:J21)</f>
        <v>3113402.83</v>
      </c>
      <c r="K22" s="50"/>
      <c r="L22" s="64"/>
      <c r="M22" s="87"/>
      <c r="N22" s="127"/>
      <c r="O22" s="127"/>
      <c r="P22" s="127"/>
      <c r="Q22" s="127"/>
      <c r="R22" s="127"/>
      <c r="S22" s="128"/>
      <c r="T22" s="184"/>
    </row>
    <row r="23" spans="1:46" ht="10.5" customHeight="1" x14ac:dyDescent="0.15">
      <c r="A23" s="133"/>
      <c r="B23" s="132"/>
      <c r="C23" s="50"/>
      <c r="E23" s="106"/>
      <c r="F23" s="64"/>
      <c r="G23" s="64"/>
      <c r="H23" s="107"/>
      <c r="I23" s="268"/>
      <c r="J23" s="108"/>
      <c r="K23" s="108"/>
      <c r="L23" s="64"/>
      <c r="M23" s="87"/>
      <c r="N23" s="50"/>
      <c r="O23" s="50"/>
      <c r="P23" s="50"/>
      <c r="Q23" s="50"/>
      <c r="R23" s="50"/>
      <c r="S23" s="50"/>
      <c r="T23" s="50"/>
    </row>
    <row r="24" spans="1:46" ht="40" customHeight="1" x14ac:dyDescent="0.15">
      <c r="A24" s="133" t="s">
        <v>213</v>
      </c>
      <c r="B24" s="188">
        <f>'Prog costs'!AB$4</f>
        <v>28</v>
      </c>
      <c r="C24" s="93"/>
      <c r="D24" s="507" t="s">
        <v>334</v>
      </c>
      <c r="E24" s="102" t="s">
        <v>335</v>
      </c>
      <c r="F24" s="95"/>
      <c r="G24" s="95"/>
      <c r="H24" s="154">
        <v>284118</v>
      </c>
      <c r="I24" s="164">
        <v>267645</v>
      </c>
      <c r="J24" s="163">
        <f>H24-I24</f>
        <v>16473</v>
      </c>
      <c r="K24" s="130">
        <f>IF(H24=0,"-",J24/H24)</f>
        <v>5.7979431081452072E-2</v>
      </c>
      <c r="L24" s="95"/>
      <c r="M24" s="87"/>
      <c r="N24" s="154">
        <v>0</v>
      </c>
      <c r="O24" s="154">
        <v>0</v>
      </c>
      <c r="P24" s="154">
        <v>0</v>
      </c>
      <c r="Q24" s="154">
        <v>0</v>
      </c>
      <c r="R24" s="154">
        <v>267645</v>
      </c>
      <c r="S24" s="155">
        <f>SUM(N24:P24,Q24:R24)</f>
        <v>267645</v>
      </c>
      <c r="T24" s="187"/>
    </row>
    <row r="25" spans="1:46" ht="60" customHeight="1" x14ac:dyDescent="0.15">
      <c r="A25" s="133" t="s">
        <v>234</v>
      </c>
      <c r="B25" s="188">
        <f>'Prog costs'!AB$4</f>
        <v>28</v>
      </c>
      <c r="C25" s="93"/>
      <c r="D25" s="508"/>
      <c r="E25" s="103" t="s">
        <v>235</v>
      </c>
      <c r="F25" s="95"/>
      <c r="G25" s="95"/>
      <c r="H25" s="154">
        <v>1032184</v>
      </c>
      <c r="I25" s="164">
        <v>144236.79999999999</v>
      </c>
      <c r="J25" s="163">
        <f>H25-I25</f>
        <v>887947.2</v>
      </c>
      <c r="K25" s="130">
        <f>IF(H25=0,"-",J25/H25)</f>
        <v>0.8602605736961626</v>
      </c>
      <c r="L25" s="95"/>
      <c r="M25" s="87"/>
      <c r="N25" s="154">
        <v>0</v>
      </c>
      <c r="O25" s="154">
        <v>-62867.8</v>
      </c>
      <c r="P25" s="163">
        <v>0</v>
      </c>
      <c r="Q25" s="154">
        <v>0</v>
      </c>
      <c r="R25" s="154">
        <v>207104.6</v>
      </c>
      <c r="S25" s="155">
        <f>SUM(N25:P25,Q25:R25)</f>
        <v>144236.79999999999</v>
      </c>
      <c r="T25" s="187"/>
    </row>
    <row r="26" spans="1:46" ht="30" customHeight="1" x14ac:dyDescent="0.15">
      <c r="A26" s="133" t="s">
        <v>232</v>
      </c>
      <c r="B26" s="188">
        <f>'Prog costs'!AB$4</f>
        <v>28</v>
      </c>
      <c r="C26" s="93"/>
      <c r="D26" s="508"/>
      <c r="E26" s="103" t="s">
        <v>233</v>
      </c>
      <c r="F26" s="95"/>
      <c r="G26" s="95"/>
      <c r="H26" s="154">
        <v>54210</v>
      </c>
      <c r="I26" s="164">
        <v>0</v>
      </c>
      <c r="J26" s="163">
        <f>H26-I26</f>
        <v>54210</v>
      </c>
      <c r="K26" s="130">
        <f>IF(H26=0,"-",J26/H26)</f>
        <v>1</v>
      </c>
      <c r="L26" s="95"/>
      <c r="M26" s="87"/>
      <c r="N26" s="154">
        <v>0</v>
      </c>
      <c r="O26" s="154">
        <v>0</v>
      </c>
      <c r="P26" s="154">
        <v>0</v>
      </c>
      <c r="Q26" s="154">
        <v>0</v>
      </c>
      <c r="R26" s="154">
        <v>0</v>
      </c>
      <c r="S26" s="155">
        <f>SUM(N26:P26,Q26:R26)</f>
        <v>0</v>
      </c>
      <c r="T26" s="187"/>
    </row>
    <row r="27" spans="1:46" ht="30" customHeight="1" x14ac:dyDescent="0.15">
      <c r="A27" s="188"/>
      <c r="B27" s="188"/>
      <c r="C27" s="93"/>
      <c r="D27" s="509"/>
      <c r="E27" s="103" t="s">
        <v>460</v>
      </c>
      <c r="F27" s="95"/>
      <c r="G27" s="95"/>
      <c r="H27" s="154">
        <v>184364</v>
      </c>
      <c r="I27" s="164">
        <v>0</v>
      </c>
      <c r="J27" s="163">
        <f>H27-I27</f>
        <v>184364</v>
      </c>
      <c r="K27" s="130">
        <f>IF(H27=0,"-",J27/H27)</f>
        <v>1</v>
      </c>
      <c r="L27" s="95"/>
      <c r="M27" s="87"/>
      <c r="N27" s="154">
        <v>0</v>
      </c>
      <c r="O27" s="154">
        <v>0</v>
      </c>
      <c r="P27" s="154">
        <v>0</v>
      </c>
      <c r="Q27" s="154">
        <v>0</v>
      </c>
      <c r="R27" s="154">
        <v>0</v>
      </c>
      <c r="S27" s="155">
        <f>SUM(N27:P27,Q27:R27)</f>
        <v>0</v>
      </c>
      <c r="T27" s="187"/>
    </row>
    <row r="28" spans="1:46" s="55" customFormat="1" ht="12.75" customHeight="1" x14ac:dyDescent="0.15">
      <c r="A28" s="132"/>
      <c r="B28" s="132"/>
      <c r="C28" s="50"/>
      <c r="D28" s="49"/>
      <c r="E28" s="105"/>
      <c r="F28" s="64"/>
      <c r="G28" s="64"/>
      <c r="H28" s="180">
        <f>SUM(H24:H27)</f>
        <v>1554876</v>
      </c>
      <c r="I28" s="209">
        <f>SUM(I24:I27)</f>
        <v>411881.8</v>
      </c>
      <c r="J28" s="209">
        <f>SUM(J24:J27)</f>
        <v>1142994.2</v>
      </c>
      <c r="K28" s="50"/>
      <c r="L28" s="64"/>
      <c r="M28" s="49"/>
      <c r="N28" s="127"/>
      <c r="O28" s="127"/>
      <c r="P28" s="127"/>
      <c r="Q28" s="127"/>
      <c r="R28" s="127"/>
      <c r="S28" s="128"/>
      <c r="T28" s="184"/>
    </row>
    <row r="29" spans="1:46" s="55" customFormat="1" ht="18" customHeight="1" x14ac:dyDescent="0.15">
      <c r="A29" s="189"/>
      <c r="B29" s="189"/>
      <c r="C29" s="50"/>
      <c r="D29" s="49"/>
      <c r="E29" s="106" t="s">
        <v>336</v>
      </c>
      <c r="F29" s="64"/>
      <c r="G29" s="64"/>
      <c r="H29" s="107"/>
      <c r="I29" s="268"/>
      <c r="J29" s="108"/>
      <c r="K29" s="108"/>
      <c r="L29" s="64"/>
      <c r="M29" s="49"/>
      <c r="N29" s="50"/>
      <c r="O29" s="50"/>
      <c r="P29" s="50"/>
      <c r="Q29" s="50"/>
      <c r="R29" s="50"/>
      <c r="S29" s="50"/>
      <c r="T29" s="50"/>
    </row>
    <row r="30" spans="1:46" ht="30" customHeight="1" x14ac:dyDescent="0.15">
      <c r="A30" s="133" t="s">
        <v>226</v>
      </c>
      <c r="B30" s="188">
        <f>'Prog costs'!H$4</f>
        <v>8</v>
      </c>
      <c r="C30" s="50"/>
      <c r="D30" s="49"/>
      <c r="E30" s="104" t="s">
        <v>461</v>
      </c>
      <c r="F30" s="95"/>
      <c r="G30" s="95"/>
      <c r="H30" s="154">
        <f>76266/4/1.3</f>
        <v>14666.538461538461</v>
      </c>
      <c r="I30" s="164">
        <v>18735.349999999999</v>
      </c>
      <c r="J30" s="163">
        <f t="shared" ref="J30:J35" si="5">H30-I30</f>
        <v>-4068.8115384615376</v>
      </c>
      <c r="K30" s="130">
        <f t="shared" ref="K30:K35" si="6">IF(H30=0,"-",J30/H30)</f>
        <v>-0.27742139354364981</v>
      </c>
      <c r="L30" s="95"/>
      <c r="M30" s="87"/>
      <c r="N30" s="154">
        <v>0</v>
      </c>
      <c r="O30" s="163">
        <v>0</v>
      </c>
      <c r="P30" s="154">
        <v>18735.349999999999</v>
      </c>
      <c r="Q30" s="154">
        <v>0</v>
      </c>
      <c r="R30" s="154">
        <v>0</v>
      </c>
      <c r="S30" s="155">
        <f t="shared" ref="S30:S35" si="7">SUM(N30:P30,Q30:R30)</f>
        <v>18735.349999999999</v>
      </c>
      <c r="T30" s="187"/>
    </row>
    <row r="31" spans="1:46" ht="30" customHeight="1" x14ac:dyDescent="0.15">
      <c r="A31" s="133" t="s">
        <v>217</v>
      </c>
      <c r="B31" s="188">
        <f>'Prog costs'!N$4</f>
        <v>14</v>
      </c>
      <c r="C31" s="50"/>
      <c r="D31" s="49"/>
      <c r="E31" s="104" t="s">
        <v>446</v>
      </c>
      <c r="F31" s="95"/>
      <c r="G31" s="95"/>
      <c r="H31" s="154">
        <f>(216234.87-36962-17341-24026)/1.3</f>
        <v>106081.43846153845</v>
      </c>
      <c r="I31" s="164">
        <v>69660.14</v>
      </c>
      <c r="J31" s="163">
        <f t="shared" si="5"/>
        <v>36421.298461538448</v>
      </c>
      <c r="K31" s="130">
        <f t="shared" si="6"/>
        <v>0.3433333765995602</v>
      </c>
      <c r="L31" s="95"/>
      <c r="M31" s="87"/>
      <c r="N31" s="154">
        <v>0</v>
      </c>
      <c r="O31" s="154">
        <v>0</v>
      </c>
      <c r="P31" s="154">
        <v>0</v>
      </c>
      <c r="Q31" s="154">
        <v>69660.14</v>
      </c>
      <c r="R31" s="154">
        <v>0</v>
      </c>
      <c r="S31" s="155">
        <f t="shared" si="7"/>
        <v>69660.14</v>
      </c>
      <c r="T31" s="187"/>
    </row>
    <row r="32" spans="1:46" ht="30" customHeight="1" x14ac:dyDescent="0.15">
      <c r="A32" s="275" t="s">
        <v>239</v>
      </c>
      <c r="B32" s="132"/>
      <c r="C32" s="50"/>
      <c r="D32" s="49"/>
      <c r="E32" s="104" t="s">
        <v>458</v>
      </c>
      <c r="F32" s="95"/>
      <c r="G32" s="95"/>
      <c r="H32" s="154">
        <v>0</v>
      </c>
      <c r="I32" s="164">
        <v>7097</v>
      </c>
      <c r="J32" s="163">
        <f t="shared" si="5"/>
        <v>-7097</v>
      </c>
      <c r="K32" s="130" t="str">
        <f t="shared" si="6"/>
        <v>-</v>
      </c>
      <c r="L32" s="95"/>
      <c r="M32" s="87"/>
      <c r="N32" s="154">
        <v>0</v>
      </c>
      <c r="O32" s="154">
        <v>0</v>
      </c>
      <c r="P32" s="154">
        <v>0</v>
      </c>
      <c r="Q32" s="154">
        <v>7097</v>
      </c>
      <c r="R32" s="154">
        <v>0</v>
      </c>
      <c r="S32" s="155">
        <f t="shared" si="7"/>
        <v>7097</v>
      </c>
      <c r="T32" s="187"/>
    </row>
    <row r="33" spans="1:20" ht="30" customHeight="1" x14ac:dyDescent="0.15">
      <c r="A33" s="133" t="s">
        <v>217</v>
      </c>
      <c r="B33" s="188">
        <f>'Prog costs'!F$4</f>
        <v>6</v>
      </c>
      <c r="C33" s="50"/>
      <c r="D33" s="49"/>
      <c r="E33" s="104" t="s">
        <v>490</v>
      </c>
      <c r="F33" s="95"/>
      <c r="G33" s="95"/>
      <c r="H33" s="154">
        <v>0</v>
      </c>
      <c r="I33" s="164">
        <v>295165.05</v>
      </c>
      <c r="J33" s="163">
        <f t="shared" si="5"/>
        <v>-295165.05</v>
      </c>
      <c r="K33" s="130" t="str">
        <f t="shared" si="6"/>
        <v>-</v>
      </c>
      <c r="L33" s="95"/>
      <c r="M33" s="87"/>
      <c r="N33" s="154">
        <v>295165.05</v>
      </c>
      <c r="O33" s="154">
        <v>0</v>
      </c>
      <c r="P33" s="154">
        <v>0</v>
      </c>
      <c r="Q33" s="154">
        <v>0</v>
      </c>
      <c r="R33" s="154">
        <v>0</v>
      </c>
      <c r="S33" s="155">
        <f t="shared" si="7"/>
        <v>295165.05</v>
      </c>
      <c r="T33" s="187"/>
    </row>
    <row r="34" spans="1:20" ht="30" customHeight="1" x14ac:dyDescent="0.15">
      <c r="A34" s="133" t="s">
        <v>226</v>
      </c>
      <c r="B34" s="188">
        <f>'Prog costs'!J$4</f>
        <v>10</v>
      </c>
      <c r="C34" s="50"/>
      <c r="D34" s="49"/>
      <c r="E34" s="104" t="s">
        <v>459</v>
      </c>
      <c r="F34" s="95"/>
      <c r="G34" s="95"/>
      <c r="H34" s="154">
        <v>0</v>
      </c>
      <c r="I34" s="164">
        <v>73075.31</v>
      </c>
      <c r="J34" s="163">
        <f t="shared" si="5"/>
        <v>-73075.31</v>
      </c>
      <c r="K34" s="130" t="str">
        <f t="shared" si="6"/>
        <v>-</v>
      </c>
      <c r="L34" s="95"/>
      <c r="M34" s="87"/>
      <c r="N34" s="154">
        <v>0</v>
      </c>
      <c r="O34" s="154">
        <v>0</v>
      </c>
      <c r="P34" s="154">
        <v>0</v>
      </c>
      <c r="Q34" s="154">
        <v>73075.31</v>
      </c>
      <c r="R34" s="154">
        <v>0</v>
      </c>
      <c r="S34" s="155">
        <f t="shared" si="7"/>
        <v>73075.31</v>
      </c>
      <c r="T34" s="187"/>
    </row>
    <row r="35" spans="1:20" ht="30" customHeight="1" x14ac:dyDescent="0.15">
      <c r="A35" s="133" t="s">
        <v>226</v>
      </c>
      <c r="B35" s="188">
        <f>'Prog costs'!AB$4</f>
        <v>28</v>
      </c>
      <c r="C35" s="50"/>
      <c r="D35" s="49"/>
      <c r="E35" s="104" t="s">
        <v>462</v>
      </c>
      <c r="F35" s="95"/>
      <c r="G35" s="95"/>
      <c r="H35" s="154">
        <v>0</v>
      </c>
      <c r="I35" s="164">
        <v>55400.61</v>
      </c>
      <c r="J35" s="163">
        <f t="shared" si="5"/>
        <v>-55400.61</v>
      </c>
      <c r="K35" s="130" t="str">
        <f t="shared" si="6"/>
        <v>-</v>
      </c>
      <c r="L35" s="95"/>
      <c r="M35" s="87"/>
      <c r="N35" s="154">
        <v>0</v>
      </c>
      <c r="O35" s="154">
        <v>0</v>
      </c>
      <c r="P35" s="154">
        <v>0</v>
      </c>
      <c r="Q35" s="154">
        <v>36001.980000000003</v>
      </c>
      <c r="R35" s="154">
        <v>19398.63</v>
      </c>
      <c r="S35" s="155">
        <f t="shared" si="7"/>
        <v>55400.61</v>
      </c>
      <c r="T35" s="187"/>
    </row>
    <row r="36" spans="1:20" ht="12.75" customHeight="1" x14ac:dyDescent="0.15">
      <c r="A36" s="132"/>
      <c r="B36" s="132"/>
      <c r="C36" s="50"/>
      <c r="D36" s="49"/>
      <c r="E36" s="79"/>
      <c r="F36" s="64"/>
      <c r="G36" s="64"/>
      <c r="H36" s="180">
        <f>SUM(H30:H35)</f>
        <v>120747.9769230769</v>
      </c>
      <c r="I36" s="209">
        <f>SUM(I30:I35)</f>
        <v>519133.45999999996</v>
      </c>
      <c r="J36" s="209">
        <f>SUM(J30:J35)</f>
        <v>-398385.48307692306</v>
      </c>
      <c r="K36" s="50"/>
      <c r="L36" s="64"/>
      <c r="M36" s="87"/>
      <c r="N36" s="127"/>
      <c r="O36" s="127"/>
      <c r="P36" s="127"/>
      <c r="Q36" s="127"/>
      <c r="R36" s="127"/>
      <c r="S36" s="128"/>
      <c r="T36" s="184"/>
    </row>
    <row r="37" spans="1:20" ht="12.75" customHeight="1" thickBot="1" x14ac:dyDescent="0.2">
      <c r="A37" s="132"/>
      <c r="B37" s="132"/>
      <c r="C37" s="50"/>
      <c r="D37" s="49"/>
      <c r="E37" s="100"/>
      <c r="F37" s="64"/>
      <c r="G37" s="64"/>
      <c r="H37" s="99"/>
      <c r="I37" s="99"/>
      <c r="J37" s="101"/>
      <c r="K37" s="101"/>
      <c r="L37" s="64"/>
      <c r="M37" s="87"/>
      <c r="N37" s="50"/>
      <c r="O37" s="50"/>
      <c r="P37" s="50"/>
      <c r="Q37" s="50"/>
      <c r="R37" s="50"/>
      <c r="S37" s="50"/>
      <c r="T37" s="50"/>
    </row>
    <row r="38" spans="1:20" s="109" customFormat="1" ht="40" customHeight="1" thickBot="1" x14ac:dyDescent="0.2">
      <c r="A38" s="190"/>
      <c r="B38" s="190"/>
      <c r="C38" s="110"/>
      <c r="D38" s="110"/>
      <c r="E38" s="117" t="s">
        <v>284</v>
      </c>
      <c r="F38" s="111"/>
      <c r="G38" s="111"/>
      <c r="H38" s="120">
        <f>H28+H22+H13+H36</f>
        <v>13369709.976923076</v>
      </c>
      <c r="I38" s="181">
        <f>I28+I22+I13+I36</f>
        <v>6520727.9699999997</v>
      </c>
      <c r="J38" s="118">
        <f>J28+J22+J13+J36</f>
        <v>6848982.0069230776</v>
      </c>
      <c r="K38" s="131">
        <f>IF(H38=0,"",J38/H38)</f>
        <v>0.51227603431524193</v>
      </c>
      <c r="L38" s="111"/>
      <c r="M38" s="110"/>
      <c r="N38" s="153">
        <f>SUM(N9:N37)</f>
        <v>3149624.59</v>
      </c>
      <c r="O38" s="153">
        <f>SUM(O9:O37)</f>
        <v>-62867.8</v>
      </c>
      <c r="P38" s="153">
        <f t="shared" ref="P38:R38" si="8">SUM(P9:P37)</f>
        <v>18735.349999999999</v>
      </c>
      <c r="Q38" s="153">
        <f t="shared" si="8"/>
        <v>185834.43000000002</v>
      </c>
      <c r="R38" s="153">
        <f t="shared" si="8"/>
        <v>3229401.4</v>
      </c>
      <c r="S38" s="153">
        <f>SUM(S9:S37)</f>
        <v>6520727.9699999997</v>
      </c>
      <c r="T38" s="184"/>
    </row>
    <row r="39" spans="1:20" x14ac:dyDescent="0.15">
      <c r="C39" s="49"/>
      <c r="D39" s="49"/>
      <c r="E39" s="49"/>
      <c r="H39" s="49"/>
      <c r="I39" s="49"/>
      <c r="J39" s="112"/>
      <c r="K39" s="49"/>
      <c r="M39" s="87"/>
      <c r="N39" s="49"/>
      <c r="O39" s="49"/>
      <c r="P39" s="49"/>
      <c r="Q39" s="49"/>
      <c r="R39" s="49"/>
      <c r="T39" s="183"/>
    </row>
    <row r="40" spans="1:20" x14ac:dyDescent="0.15">
      <c r="C40" s="49"/>
      <c r="D40" s="49"/>
      <c r="E40" s="49"/>
      <c r="H40" s="49"/>
      <c r="I40" s="49"/>
      <c r="J40" s="49"/>
      <c r="K40" s="49"/>
      <c r="M40" s="87"/>
      <c r="N40" s="49"/>
      <c r="O40" s="49"/>
      <c r="P40" s="49"/>
      <c r="Q40" s="49"/>
      <c r="R40" s="49"/>
      <c r="S40" s="167"/>
      <c r="T40" s="167"/>
    </row>
    <row r="41" spans="1:20" x14ac:dyDescent="0.15">
      <c r="C41" s="49"/>
      <c r="D41" s="49"/>
      <c r="E41" s="49"/>
      <c r="H41" s="49"/>
      <c r="I41" s="167"/>
      <c r="J41" s="49"/>
      <c r="K41" s="49"/>
      <c r="M41" s="87"/>
      <c r="N41" s="49"/>
      <c r="O41" s="49"/>
      <c r="P41" s="49"/>
      <c r="Q41" s="49"/>
      <c r="R41" s="49"/>
      <c r="S41" s="49"/>
      <c r="T41" s="49"/>
    </row>
    <row r="42" spans="1:20" x14ac:dyDescent="0.15">
      <c r="C42" s="55"/>
      <c r="D42" s="55"/>
      <c r="E42" s="55"/>
      <c r="F42" s="71"/>
      <c r="G42" s="71"/>
      <c r="H42" s="55"/>
      <c r="I42" s="55"/>
      <c r="J42" s="55"/>
      <c r="K42" s="55"/>
      <c r="L42" s="71"/>
      <c r="M42" s="119"/>
    </row>
    <row r="43" spans="1:20" x14ac:dyDescent="0.15">
      <c r="C43" s="55"/>
      <c r="D43" s="55"/>
      <c r="E43" s="55"/>
      <c r="F43" s="71"/>
      <c r="G43" s="71"/>
      <c r="H43" s="55"/>
      <c r="I43" s="55"/>
      <c r="J43" s="55"/>
      <c r="K43" s="55"/>
      <c r="L43" s="71"/>
      <c r="M43" s="119"/>
    </row>
    <row r="44" spans="1:20" x14ac:dyDescent="0.15">
      <c r="C44" s="55"/>
      <c r="D44" s="55"/>
      <c r="E44" s="55"/>
      <c r="F44" s="71"/>
      <c r="G44" s="71"/>
      <c r="H44" s="55"/>
      <c r="I44" s="55"/>
      <c r="J44" s="55"/>
      <c r="K44" s="55"/>
      <c r="L44" s="71"/>
      <c r="M44" s="119"/>
    </row>
    <row r="45" spans="1:20" s="55" customFormat="1" x14ac:dyDescent="0.15">
      <c r="F45" s="71"/>
      <c r="G45" s="71"/>
      <c r="L45" s="71"/>
      <c r="M45" s="119"/>
    </row>
    <row r="46" spans="1:20" s="55" customFormat="1" x14ac:dyDescent="0.15">
      <c r="F46" s="71"/>
      <c r="G46" s="71"/>
      <c r="L46" s="71"/>
      <c r="M46" s="119"/>
    </row>
    <row r="47" spans="1:20" s="55" customFormat="1" x14ac:dyDescent="0.15">
      <c r="F47" s="71"/>
      <c r="G47" s="71"/>
      <c r="L47" s="71"/>
      <c r="M47" s="119"/>
    </row>
    <row r="48" spans="1:20" s="55" customFormat="1" x14ac:dyDescent="0.15">
      <c r="F48" s="71"/>
      <c r="G48" s="71"/>
      <c r="L48" s="71"/>
      <c r="M48" s="119"/>
    </row>
    <row r="49" spans="6:13" s="55" customFormat="1" x14ac:dyDescent="0.15">
      <c r="F49" s="71"/>
      <c r="G49" s="71"/>
      <c r="L49" s="71"/>
      <c r="M49" s="119"/>
    </row>
    <row r="50" spans="6:13" s="55" customFormat="1" x14ac:dyDescent="0.15">
      <c r="F50" s="71"/>
      <c r="G50" s="71"/>
      <c r="L50" s="71"/>
      <c r="M50" s="119"/>
    </row>
    <row r="51" spans="6:13" s="55" customFormat="1" x14ac:dyDescent="0.15">
      <c r="F51" s="71"/>
      <c r="G51" s="71"/>
      <c r="L51" s="71"/>
      <c r="M51" s="119"/>
    </row>
    <row r="52" spans="6:13" s="55" customFormat="1" x14ac:dyDescent="0.15">
      <c r="F52" s="71"/>
      <c r="G52" s="71"/>
      <c r="L52" s="71"/>
      <c r="M52" s="119"/>
    </row>
    <row r="53" spans="6:13" s="55" customFormat="1" x14ac:dyDescent="0.15">
      <c r="F53" s="71"/>
      <c r="G53" s="71"/>
      <c r="L53" s="71"/>
      <c r="M53" s="119"/>
    </row>
    <row r="54" spans="6:13" s="55" customFormat="1" x14ac:dyDescent="0.15">
      <c r="F54" s="71"/>
      <c r="G54" s="71"/>
      <c r="L54" s="71"/>
      <c r="M54" s="119"/>
    </row>
    <row r="55" spans="6:13" s="55" customFormat="1" x14ac:dyDescent="0.15">
      <c r="F55" s="71"/>
      <c r="G55" s="71"/>
      <c r="L55" s="71"/>
      <c r="M55" s="119"/>
    </row>
    <row r="56" spans="6:13" s="55" customFormat="1" x14ac:dyDescent="0.15">
      <c r="F56" s="71"/>
      <c r="G56" s="71"/>
      <c r="L56" s="71"/>
      <c r="M56" s="119"/>
    </row>
    <row r="57" spans="6:13" s="55" customFormat="1" x14ac:dyDescent="0.15">
      <c r="F57" s="71"/>
      <c r="G57" s="71"/>
      <c r="L57" s="71"/>
      <c r="M57" s="119"/>
    </row>
    <row r="58" spans="6:13" s="55" customFormat="1" x14ac:dyDescent="0.15">
      <c r="F58" s="71"/>
      <c r="G58" s="71"/>
      <c r="L58" s="71"/>
      <c r="M58" s="119"/>
    </row>
    <row r="59" spans="6:13" s="55" customFormat="1" x14ac:dyDescent="0.15">
      <c r="F59" s="71"/>
      <c r="G59" s="71"/>
      <c r="L59" s="71"/>
      <c r="M59" s="119"/>
    </row>
    <row r="60" spans="6:13" s="55" customFormat="1" x14ac:dyDescent="0.15">
      <c r="F60" s="71"/>
      <c r="G60" s="71"/>
      <c r="L60" s="71"/>
      <c r="M60" s="119"/>
    </row>
    <row r="61" spans="6:13" s="55" customFormat="1" x14ac:dyDescent="0.15">
      <c r="F61" s="71"/>
      <c r="G61" s="71"/>
      <c r="L61" s="71"/>
      <c r="M61" s="119"/>
    </row>
    <row r="62" spans="6:13" s="55" customFormat="1" x14ac:dyDescent="0.15">
      <c r="F62" s="71"/>
      <c r="G62" s="71"/>
      <c r="L62" s="71"/>
      <c r="M62" s="119"/>
    </row>
    <row r="63" spans="6:13" s="55" customFormat="1" x14ac:dyDescent="0.15">
      <c r="F63" s="71"/>
      <c r="G63" s="71"/>
      <c r="L63" s="71"/>
      <c r="M63" s="119"/>
    </row>
    <row r="64" spans="6:13" s="55" customFormat="1" x14ac:dyDescent="0.15">
      <c r="F64" s="71"/>
      <c r="G64" s="71"/>
      <c r="L64" s="71"/>
      <c r="M64" s="119"/>
    </row>
    <row r="65" spans="6:13" s="55" customFormat="1" x14ac:dyDescent="0.15">
      <c r="F65" s="71"/>
      <c r="G65" s="71"/>
      <c r="L65" s="71"/>
      <c r="M65" s="119"/>
    </row>
    <row r="66" spans="6:13" s="55" customFormat="1" x14ac:dyDescent="0.15">
      <c r="F66" s="71"/>
      <c r="G66" s="71"/>
      <c r="L66" s="71"/>
      <c r="M66" s="119"/>
    </row>
    <row r="67" spans="6:13" s="55" customFormat="1" x14ac:dyDescent="0.15">
      <c r="F67" s="71"/>
      <c r="G67" s="71"/>
      <c r="L67" s="71"/>
      <c r="M67" s="119"/>
    </row>
    <row r="68" spans="6:13" s="55" customFormat="1" x14ac:dyDescent="0.15">
      <c r="F68" s="71"/>
      <c r="G68" s="71"/>
      <c r="L68" s="71"/>
      <c r="M68" s="119"/>
    </row>
    <row r="69" spans="6:13" s="55" customFormat="1" x14ac:dyDescent="0.15">
      <c r="F69" s="71"/>
      <c r="G69" s="71"/>
      <c r="L69" s="71"/>
      <c r="M69" s="119"/>
    </row>
    <row r="70" spans="6:13" s="55" customFormat="1" x14ac:dyDescent="0.15">
      <c r="F70" s="71"/>
      <c r="G70" s="71"/>
      <c r="L70" s="71"/>
      <c r="M70" s="119"/>
    </row>
    <row r="71" spans="6:13" s="55" customFormat="1" x14ac:dyDescent="0.15">
      <c r="F71" s="71"/>
      <c r="G71" s="71"/>
      <c r="L71" s="71"/>
      <c r="M71" s="119"/>
    </row>
    <row r="72" spans="6:13" s="55" customFormat="1" x14ac:dyDescent="0.15">
      <c r="F72" s="71"/>
      <c r="G72" s="71"/>
      <c r="L72" s="71"/>
      <c r="M72" s="119"/>
    </row>
    <row r="73" spans="6:13" s="55" customFormat="1" x14ac:dyDescent="0.15">
      <c r="F73" s="71"/>
      <c r="G73" s="71"/>
      <c r="L73" s="71"/>
      <c r="M73" s="119"/>
    </row>
    <row r="74" spans="6:13" s="55" customFormat="1" x14ac:dyDescent="0.15">
      <c r="F74" s="71"/>
      <c r="G74" s="71"/>
      <c r="L74" s="71"/>
      <c r="M74" s="119"/>
    </row>
    <row r="75" spans="6:13" s="55" customFormat="1" x14ac:dyDescent="0.15">
      <c r="F75" s="71"/>
      <c r="G75" s="71"/>
      <c r="L75" s="71"/>
      <c r="M75" s="119"/>
    </row>
    <row r="76" spans="6:13" s="55" customFormat="1" x14ac:dyDescent="0.15">
      <c r="F76" s="71"/>
      <c r="G76" s="71"/>
      <c r="L76" s="71"/>
      <c r="M76" s="119"/>
    </row>
    <row r="77" spans="6:13" s="55" customFormat="1" x14ac:dyDescent="0.15">
      <c r="F77" s="71"/>
      <c r="G77" s="71"/>
      <c r="L77" s="71"/>
      <c r="M77" s="119"/>
    </row>
    <row r="78" spans="6:13" s="55" customFormat="1" x14ac:dyDescent="0.15">
      <c r="F78" s="71"/>
      <c r="G78" s="71"/>
      <c r="L78" s="71"/>
      <c r="M78" s="119"/>
    </row>
    <row r="79" spans="6:13" s="55" customFormat="1" x14ac:dyDescent="0.15">
      <c r="F79" s="71"/>
      <c r="G79" s="71"/>
      <c r="L79" s="71"/>
      <c r="M79" s="119"/>
    </row>
    <row r="80" spans="6:13" s="55" customFormat="1" x14ac:dyDescent="0.15">
      <c r="F80" s="71"/>
      <c r="G80" s="71"/>
      <c r="L80" s="71"/>
      <c r="M80" s="119"/>
    </row>
    <row r="81" spans="6:13" s="55" customFormat="1" x14ac:dyDescent="0.15">
      <c r="F81" s="71"/>
      <c r="G81" s="71"/>
      <c r="L81" s="71"/>
      <c r="M81" s="119"/>
    </row>
    <row r="82" spans="6:13" s="55" customFormat="1" x14ac:dyDescent="0.15">
      <c r="F82" s="71"/>
      <c r="G82" s="71"/>
      <c r="L82" s="71"/>
      <c r="M82" s="119"/>
    </row>
    <row r="83" spans="6:13" s="55" customFormat="1" x14ac:dyDescent="0.15">
      <c r="F83" s="71"/>
      <c r="G83" s="71"/>
      <c r="L83" s="71"/>
      <c r="M83" s="119"/>
    </row>
    <row r="84" spans="6:13" s="55" customFormat="1" x14ac:dyDescent="0.15">
      <c r="F84" s="71"/>
      <c r="G84" s="71"/>
      <c r="L84" s="71"/>
      <c r="M84" s="119"/>
    </row>
    <row r="85" spans="6:13" s="55" customFormat="1" x14ac:dyDescent="0.15">
      <c r="F85" s="71"/>
      <c r="G85" s="71"/>
      <c r="L85" s="71"/>
      <c r="M85" s="119"/>
    </row>
    <row r="86" spans="6:13" s="55" customFormat="1" x14ac:dyDescent="0.15">
      <c r="F86" s="71"/>
      <c r="G86" s="71"/>
      <c r="L86" s="71"/>
      <c r="M86" s="119"/>
    </row>
    <row r="87" spans="6:13" s="55" customFormat="1" x14ac:dyDescent="0.15">
      <c r="F87" s="71"/>
      <c r="G87" s="71"/>
      <c r="L87" s="71"/>
      <c r="M87" s="119"/>
    </row>
    <row r="88" spans="6:13" s="55" customFormat="1" x14ac:dyDescent="0.15">
      <c r="F88" s="71"/>
      <c r="G88" s="71"/>
      <c r="L88" s="71"/>
      <c r="M88" s="119"/>
    </row>
    <row r="89" spans="6:13" s="55" customFormat="1" x14ac:dyDescent="0.15">
      <c r="F89" s="71"/>
      <c r="G89" s="71"/>
      <c r="L89" s="71"/>
      <c r="M89" s="119"/>
    </row>
    <row r="90" spans="6:13" s="55" customFormat="1" x14ac:dyDescent="0.15">
      <c r="F90" s="71"/>
      <c r="G90" s="71"/>
      <c r="L90" s="71"/>
      <c r="M90" s="119"/>
    </row>
    <row r="91" spans="6:13" s="55" customFormat="1" x14ac:dyDescent="0.15">
      <c r="F91" s="71"/>
      <c r="G91" s="71"/>
      <c r="L91" s="71"/>
      <c r="M91" s="119"/>
    </row>
    <row r="92" spans="6:13" s="55" customFormat="1" x14ac:dyDescent="0.15">
      <c r="F92" s="71"/>
      <c r="G92" s="71"/>
      <c r="L92" s="71"/>
      <c r="M92" s="119"/>
    </row>
    <row r="93" spans="6:13" s="55" customFormat="1" x14ac:dyDescent="0.15">
      <c r="F93" s="71"/>
      <c r="G93" s="71"/>
      <c r="L93" s="71"/>
      <c r="M93" s="119"/>
    </row>
    <row r="94" spans="6:13" s="55" customFormat="1" x14ac:dyDescent="0.15">
      <c r="F94" s="71"/>
      <c r="G94" s="71"/>
      <c r="L94" s="71"/>
      <c r="M94" s="119"/>
    </row>
    <row r="95" spans="6:13" s="55" customFormat="1" x14ac:dyDescent="0.15">
      <c r="F95" s="71"/>
      <c r="G95" s="71"/>
      <c r="L95" s="71"/>
      <c r="M95" s="119"/>
    </row>
    <row r="96" spans="6:13" s="55" customFormat="1" x14ac:dyDescent="0.15">
      <c r="F96" s="71"/>
      <c r="G96" s="71"/>
      <c r="L96" s="71"/>
      <c r="M96" s="119"/>
    </row>
    <row r="97" spans="6:13" s="55" customFormat="1" x14ac:dyDescent="0.15">
      <c r="F97" s="71"/>
      <c r="G97" s="71"/>
      <c r="L97" s="71"/>
      <c r="M97" s="119"/>
    </row>
    <row r="98" spans="6:13" s="55" customFormat="1" x14ac:dyDescent="0.15">
      <c r="F98" s="71"/>
      <c r="G98" s="71"/>
      <c r="L98" s="71"/>
      <c r="M98" s="119"/>
    </row>
    <row r="99" spans="6:13" s="55" customFormat="1" x14ac:dyDescent="0.15">
      <c r="F99" s="71"/>
      <c r="G99" s="71"/>
      <c r="L99" s="71"/>
      <c r="M99" s="119"/>
    </row>
    <row r="100" spans="6:13" s="55" customFormat="1" x14ac:dyDescent="0.15">
      <c r="F100" s="71"/>
      <c r="G100" s="71"/>
      <c r="L100" s="71"/>
      <c r="M100" s="119"/>
    </row>
    <row r="101" spans="6:13" s="55" customFormat="1" x14ac:dyDescent="0.15">
      <c r="F101" s="71"/>
      <c r="G101" s="71"/>
      <c r="L101" s="71"/>
      <c r="M101" s="119"/>
    </row>
    <row r="102" spans="6:13" s="55" customFormat="1" x14ac:dyDescent="0.15">
      <c r="F102" s="71"/>
      <c r="G102" s="71"/>
      <c r="L102" s="71"/>
      <c r="M102" s="119"/>
    </row>
    <row r="103" spans="6:13" s="55" customFormat="1" x14ac:dyDescent="0.15">
      <c r="F103" s="71"/>
      <c r="G103" s="71"/>
      <c r="L103" s="71"/>
      <c r="M103" s="119"/>
    </row>
  </sheetData>
  <mergeCells count="3">
    <mergeCell ref="D24:D27"/>
    <mergeCell ref="D9:D12"/>
    <mergeCell ref="D15:D21"/>
  </mergeCells>
  <printOptions horizontalCentered="1"/>
  <pageMargins left="0.31496062992125984" right="0.23622047244094491" top="0.45" bottom="0.21" header="0.31496062992125984" footer="0.11"/>
  <pageSetup paperSize="9" scale="47" orientation="landscape" r:id="rId1"/>
  <ignoredErrors>
    <ignoredError sqref="Q13:Q14 Q22:Q23 Q28:Q29 Q38:Q41 Q42:Q54 Q36:Q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78"/>
  <sheetViews>
    <sheetView zoomScaleNormal="100" workbookViewId="0">
      <pane xSplit="4" ySplit="7" topLeftCell="E23" activePane="bottomRight" state="frozen"/>
      <selection pane="topRight" activeCell="E1" sqref="E1"/>
      <selection pane="bottomLeft" activeCell="A8" sqref="A8"/>
      <selection pane="bottomRight" activeCell="P31" sqref="P31"/>
    </sheetView>
  </sheetViews>
  <sheetFormatPr baseColWidth="10" defaultColWidth="9.1640625" defaultRowHeight="13" outlineLevelRow="1" outlineLevelCol="1" x14ac:dyDescent="0.15"/>
  <cols>
    <col min="1" max="1" width="6.6640625" style="77" hidden="1" customWidth="1" outlineLevel="1"/>
    <col min="2" max="2" width="6.83203125" style="77" hidden="1" customWidth="1" outlineLevel="1"/>
    <col min="3" max="3" width="2.6640625" style="77" customWidth="1" collapsed="1"/>
    <col min="4" max="4" width="36.33203125" style="51" bestFit="1" customWidth="1"/>
    <col min="5" max="5" width="2.6640625" style="51" customWidth="1"/>
    <col min="6" max="6" width="11.6640625" style="84" customWidth="1"/>
    <col min="7" max="8" width="11.6640625" style="51" customWidth="1"/>
    <col min="9" max="9" width="9.6640625" style="51" customWidth="1"/>
    <col min="10" max="10" width="2.6640625" style="51" customWidth="1"/>
    <col min="11" max="11" width="30.6640625" style="51" customWidth="1"/>
    <col min="12" max="12" width="2.6640625" style="51" customWidth="1"/>
    <col min="13" max="16" width="10.6640625" style="51" customWidth="1"/>
    <col min="17" max="17" width="11.6640625" style="51" customWidth="1"/>
    <col min="18" max="18" width="10.6640625" style="51" customWidth="1"/>
    <col min="19" max="16384" width="9.1640625" style="51"/>
  </cols>
  <sheetData>
    <row r="1" spans="1:18" hidden="1" outlineLevel="1" x14ac:dyDescent="0.15">
      <c r="M1" s="78"/>
      <c r="N1" s="78"/>
      <c r="O1" s="78"/>
      <c r="P1" s="78"/>
      <c r="Q1" s="78"/>
    </row>
    <row r="2" spans="1:18" hidden="1" outlineLevel="1" x14ac:dyDescent="0.15">
      <c r="M2" s="78"/>
      <c r="N2" s="78"/>
      <c r="O2" s="78"/>
      <c r="P2" s="78"/>
      <c r="Q2" s="78"/>
    </row>
    <row r="3" spans="1:18" ht="16" collapsed="1" x14ac:dyDescent="0.2">
      <c r="C3" s="85"/>
      <c r="D3" s="114" t="s">
        <v>360</v>
      </c>
      <c r="E3" s="45"/>
      <c r="F3" s="74"/>
      <c r="G3" s="74"/>
      <c r="H3" s="74"/>
      <c r="I3" s="74"/>
      <c r="J3" s="45"/>
      <c r="K3" s="74"/>
      <c r="L3" s="74"/>
      <c r="M3" s="74"/>
      <c r="N3" s="74"/>
      <c r="O3" s="74"/>
      <c r="P3" s="74"/>
      <c r="Q3" s="74"/>
      <c r="R3" s="74"/>
    </row>
    <row r="4" spans="1:18" ht="16" x14ac:dyDescent="0.2">
      <c r="C4" s="85"/>
      <c r="D4" s="115" t="s">
        <v>337</v>
      </c>
      <c r="E4" s="45"/>
      <c r="F4" s="46"/>
      <c r="G4" s="45"/>
      <c r="H4" s="45"/>
      <c r="I4" s="45"/>
      <c r="J4" s="45"/>
      <c r="K4" s="45"/>
      <c r="L4" s="45"/>
      <c r="M4" s="45"/>
      <c r="N4" s="45"/>
      <c r="O4" s="45"/>
      <c r="P4" s="45"/>
      <c r="Q4" s="45"/>
      <c r="R4" s="45"/>
    </row>
    <row r="5" spans="1:18" ht="16" x14ac:dyDescent="0.2">
      <c r="C5" s="85"/>
      <c r="D5" s="115" t="str">
        <f>"For the Year to "&amp;Parameters!$B$14</f>
        <v>For the Year to 31 March 2021</v>
      </c>
      <c r="E5" s="45"/>
      <c r="F5" s="46"/>
      <c r="G5" s="45"/>
      <c r="H5" s="45"/>
      <c r="I5" s="45"/>
      <c r="J5" s="45"/>
      <c r="K5" s="45"/>
      <c r="L5" s="86"/>
      <c r="M5" s="45"/>
      <c r="N5" s="45"/>
      <c r="O5" s="45"/>
      <c r="P5" s="45"/>
      <c r="Q5" s="45"/>
      <c r="R5" s="45"/>
    </row>
    <row r="6" spans="1:18" s="55" customFormat="1" x14ac:dyDescent="0.15">
      <c r="A6" s="146"/>
      <c r="B6" s="146"/>
      <c r="C6" s="165"/>
      <c r="D6" s="165"/>
      <c r="E6" s="165"/>
      <c r="F6" s="166"/>
      <c r="G6" s="168"/>
      <c r="H6" s="49"/>
      <c r="I6" s="49"/>
      <c r="J6" s="165"/>
      <c r="K6" s="49"/>
      <c r="L6" s="49"/>
      <c r="M6" s="60" t="s">
        <v>525</v>
      </c>
      <c r="N6" s="45"/>
      <c r="O6" s="45"/>
      <c r="P6" s="45"/>
      <c r="Q6" s="45"/>
      <c r="R6" s="45"/>
    </row>
    <row r="7" spans="1:18" s="55" customFormat="1" ht="40" customHeight="1" x14ac:dyDescent="0.15">
      <c r="A7" s="146" t="s">
        <v>209</v>
      </c>
      <c r="B7" s="146"/>
      <c r="C7" s="49"/>
      <c r="D7" s="149" t="s">
        <v>424</v>
      </c>
      <c r="E7" s="159"/>
      <c r="F7" s="156" t="s">
        <v>438</v>
      </c>
      <c r="G7" s="225" t="s">
        <v>284</v>
      </c>
      <c r="H7" s="230" t="s">
        <v>471</v>
      </c>
      <c r="I7" s="156" t="s">
        <v>442</v>
      </c>
      <c r="J7" s="159"/>
      <c r="K7" s="156" t="s">
        <v>327</v>
      </c>
      <c r="M7" s="174" t="s">
        <v>350</v>
      </c>
      <c r="N7" s="174" t="s">
        <v>353</v>
      </c>
      <c r="O7" s="174" t="s">
        <v>352</v>
      </c>
      <c r="P7" s="174" t="s">
        <v>435</v>
      </c>
      <c r="Q7" s="174" t="s">
        <v>280</v>
      </c>
      <c r="R7" s="174" t="s">
        <v>284</v>
      </c>
    </row>
    <row r="8" spans="1:18" s="55" customFormat="1" ht="14" x14ac:dyDescent="0.15">
      <c r="A8" s="146"/>
      <c r="B8" s="146"/>
      <c r="C8" s="49"/>
      <c r="D8" s="195" t="s">
        <v>365</v>
      </c>
      <c r="E8" s="165"/>
      <c r="F8" s="196" t="s">
        <v>363</v>
      </c>
      <c r="G8" s="196" t="s">
        <v>363</v>
      </c>
      <c r="H8" s="196" t="s">
        <v>363</v>
      </c>
      <c r="I8" s="168" t="s">
        <v>443</v>
      </c>
      <c r="J8" s="165"/>
      <c r="K8" s="49"/>
      <c r="L8" s="49"/>
      <c r="M8" s="196" t="s">
        <v>363</v>
      </c>
      <c r="N8" s="196" t="s">
        <v>363</v>
      </c>
      <c r="O8" s="196" t="s">
        <v>363</v>
      </c>
      <c r="P8" s="196" t="s">
        <v>363</v>
      </c>
      <c r="Q8" s="196" t="s">
        <v>363</v>
      </c>
      <c r="R8" s="196" t="s">
        <v>363</v>
      </c>
    </row>
    <row r="9" spans="1:18" s="55" customFormat="1" ht="25.5" customHeight="1" x14ac:dyDescent="0.15">
      <c r="A9" s="146"/>
      <c r="B9" s="146"/>
      <c r="C9" s="49"/>
      <c r="D9" s="147" t="s">
        <v>57</v>
      </c>
      <c r="E9" s="165"/>
      <c r="F9" s="161">
        <v>1673456.6900000002</v>
      </c>
      <c r="G9" s="224">
        <v>1600614.9500000002</v>
      </c>
      <c r="H9" s="154">
        <f t="shared" ref="H9:H14" si="0">F9-G9</f>
        <v>72841.739999999991</v>
      </c>
      <c r="I9" s="160">
        <f t="shared" ref="I9:I15" si="1">IF(F9=0,"na",H9/F9)</f>
        <v>4.352771149398553E-2</v>
      </c>
      <c r="J9" s="165"/>
      <c r="K9" s="205" t="s">
        <v>457</v>
      </c>
      <c r="L9" s="49"/>
      <c r="M9" s="154">
        <v>633743.24</v>
      </c>
      <c r="N9" s="154">
        <v>35187.769999999997</v>
      </c>
      <c r="O9" s="154">
        <v>5383.51</v>
      </c>
      <c r="P9" s="154">
        <v>106084.6</v>
      </c>
      <c r="Q9" s="154">
        <v>820215.83</v>
      </c>
      <c r="R9" s="173">
        <f>SUM(M9:Q9)</f>
        <v>1600614.95</v>
      </c>
    </row>
    <row r="10" spans="1:18" s="55" customFormat="1" ht="25.5" customHeight="1" x14ac:dyDescent="0.15">
      <c r="A10" s="146">
        <v>7010</v>
      </c>
      <c r="B10" s="83">
        <f>'Cost Centres'!Q$2</f>
        <v>17</v>
      </c>
      <c r="C10" s="49"/>
      <c r="D10" s="147" t="s">
        <v>59</v>
      </c>
      <c r="E10" s="165"/>
      <c r="F10" s="161">
        <v>279580</v>
      </c>
      <c r="G10" s="224">
        <v>228948.57999999996</v>
      </c>
      <c r="H10" s="154">
        <f t="shared" si="0"/>
        <v>50631.420000000042</v>
      </c>
      <c r="I10" s="160">
        <f t="shared" si="1"/>
        <v>0.1810981472208314</v>
      </c>
      <c r="J10" s="165"/>
      <c r="K10" s="205" t="s">
        <v>457</v>
      </c>
      <c r="L10" s="49"/>
      <c r="M10" s="154">
        <v>44366.7</v>
      </c>
      <c r="N10" s="154">
        <v>0</v>
      </c>
      <c r="O10" s="154">
        <v>0</v>
      </c>
      <c r="P10" s="154">
        <v>27426.78</v>
      </c>
      <c r="Q10" s="154">
        <v>157155.1</v>
      </c>
      <c r="R10" s="173">
        <f>SUM(M10:O10,P10:Q10)</f>
        <v>228948.58000000002</v>
      </c>
    </row>
    <row r="11" spans="1:18" s="55" customFormat="1" ht="25.5" customHeight="1" x14ac:dyDescent="0.15">
      <c r="A11" s="146"/>
      <c r="B11" s="146"/>
      <c r="C11" s="49"/>
      <c r="D11" s="147" t="s">
        <v>508</v>
      </c>
      <c r="E11" s="165"/>
      <c r="F11" s="161">
        <v>10000</v>
      </c>
      <c r="G11" s="224">
        <v>4842.8999999999996</v>
      </c>
      <c r="H11" s="154">
        <f t="shared" si="0"/>
        <v>5157.1000000000004</v>
      </c>
      <c r="I11" s="160">
        <f t="shared" si="1"/>
        <v>0.51571</v>
      </c>
      <c r="J11" s="165"/>
      <c r="K11" s="214"/>
      <c r="L11" s="49"/>
      <c r="M11" s="154">
        <v>0</v>
      </c>
      <c r="N11" s="154">
        <v>0</v>
      </c>
      <c r="O11" s="154">
        <v>0</v>
      </c>
      <c r="P11" s="154">
        <v>0</v>
      </c>
      <c r="Q11" s="154">
        <v>4842.8999999999996</v>
      </c>
      <c r="R11" s="173">
        <f>SUM(M11:O11,P11:Q11)</f>
        <v>4842.8999999999996</v>
      </c>
    </row>
    <row r="12" spans="1:18" s="55" customFormat="1" ht="25.5" customHeight="1" x14ac:dyDescent="0.15">
      <c r="A12" s="83" t="s">
        <v>20</v>
      </c>
      <c r="B12" s="82">
        <f>'Cost Centres'!L$2</f>
        <v>12</v>
      </c>
      <c r="C12" s="49"/>
      <c r="D12" s="147" t="s">
        <v>339</v>
      </c>
      <c r="E12" s="165"/>
      <c r="F12" s="161">
        <v>34500</v>
      </c>
      <c r="G12" s="224">
        <v>12140.57</v>
      </c>
      <c r="H12" s="154">
        <f t="shared" si="0"/>
        <v>22359.43</v>
      </c>
      <c r="I12" s="160">
        <f t="shared" si="1"/>
        <v>0.64809942028985512</v>
      </c>
      <c r="J12" s="165"/>
      <c r="K12" s="214"/>
      <c r="L12" s="49"/>
      <c r="M12" s="81">
        <v>0</v>
      </c>
      <c r="N12" s="81">
        <v>0</v>
      </c>
      <c r="O12" s="81">
        <v>0</v>
      </c>
      <c r="P12" s="154">
        <v>0</v>
      </c>
      <c r="Q12" s="81">
        <v>12140.57</v>
      </c>
      <c r="R12" s="173">
        <f>SUM(M12:O12,P12:Q12)</f>
        <v>12140.57</v>
      </c>
    </row>
    <row r="13" spans="1:18" s="55" customFormat="1" ht="25.5" customHeight="1" x14ac:dyDescent="0.15">
      <c r="A13" s="146">
        <v>7040</v>
      </c>
      <c r="B13" s="83">
        <f>'Cost Centres'!Q$2</f>
        <v>17</v>
      </c>
      <c r="C13" s="49"/>
      <c r="D13" s="147" t="s">
        <v>73</v>
      </c>
      <c r="E13" s="165"/>
      <c r="F13" s="161">
        <v>40000</v>
      </c>
      <c r="G13" s="224">
        <v>23739.4</v>
      </c>
      <c r="H13" s="154">
        <f t="shared" si="0"/>
        <v>16260.599999999999</v>
      </c>
      <c r="I13" s="160">
        <f t="shared" si="1"/>
        <v>0.40651499999999996</v>
      </c>
      <c r="J13" s="165"/>
      <c r="K13" s="214"/>
      <c r="L13" s="49"/>
      <c r="M13" s="81">
        <v>0</v>
      </c>
      <c r="N13" s="81">
        <v>0</v>
      </c>
      <c r="O13" s="81">
        <v>0</v>
      </c>
      <c r="P13" s="154">
        <v>0</v>
      </c>
      <c r="Q13" s="81">
        <v>23739.4</v>
      </c>
      <c r="R13" s="173">
        <f>SUM(M13:O13,P13:Q13)</f>
        <v>23739.4</v>
      </c>
    </row>
    <row r="14" spans="1:18" s="55" customFormat="1" ht="14" x14ac:dyDescent="0.15">
      <c r="A14" s="146"/>
      <c r="B14" s="146"/>
      <c r="C14" s="49"/>
      <c r="D14" s="148" t="s">
        <v>425</v>
      </c>
      <c r="E14" s="165"/>
      <c r="F14" s="161">
        <v>34944</v>
      </c>
      <c r="G14" s="224">
        <v>34799.11</v>
      </c>
      <c r="H14" s="154">
        <f t="shared" si="0"/>
        <v>144.88999999999942</v>
      </c>
      <c r="I14" s="160">
        <f t="shared" si="1"/>
        <v>4.1463484432234269E-3</v>
      </c>
      <c r="J14" s="165"/>
      <c r="K14" s="205"/>
      <c r="L14" s="49"/>
      <c r="M14" s="81">
        <v>0</v>
      </c>
      <c r="N14" s="81">
        <v>0</v>
      </c>
      <c r="O14" s="81">
        <v>0</v>
      </c>
      <c r="P14" s="154">
        <v>0</v>
      </c>
      <c r="Q14" s="81">
        <v>34799.11</v>
      </c>
      <c r="R14" s="173">
        <f>SUM(M14:O14,P14:Q14)</f>
        <v>34799.11</v>
      </c>
    </row>
    <row r="15" spans="1:18" s="55" customFormat="1" x14ac:dyDescent="0.15">
      <c r="A15" s="146"/>
      <c r="B15" s="146"/>
      <c r="C15" s="49"/>
      <c r="D15" s="219"/>
      <c r="E15" s="165"/>
      <c r="F15" s="220">
        <v>2072480.6900000002</v>
      </c>
      <c r="G15" s="220">
        <f>SUM(G9:G10,G11:G13,G14)</f>
        <v>1905085.5100000002</v>
      </c>
      <c r="H15" s="220">
        <f>SUM(H9:H10,H11:H13,H14)</f>
        <v>167395.18000000005</v>
      </c>
      <c r="I15" s="215">
        <f t="shared" si="1"/>
        <v>8.0770441340034888E-2</v>
      </c>
      <c r="J15" s="165"/>
      <c r="K15" s="206"/>
      <c r="L15" s="50"/>
      <c r="M15" s="221"/>
      <c r="N15" s="221"/>
      <c r="O15" s="221"/>
      <c r="P15" s="221"/>
      <c r="Q15" s="221"/>
      <c r="R15" s="221"/>
    </row>
    <row r="16" spans="1:18" s="55" customFormat="1" ht="14" x14ac:dyDescent="0.15">
      <c r="A16" s="146"/>
      <c r="B16" s="146"/>
      <c r="C16" s="49"/>
      <c r="D16" s="216" t="s">
        <v>426</v>
      </c>
      <c r="E16" s="165"/>
      <c r="F16" s="217"/>
      <c r="G16" s="50"/>
      <c r="H16" s="50"/>
      <c r="I16" s="50"/>
      <c r="J16" s="165"/>
      <c r="K16" s="206"/>
      <c r="L16" s="50"/>
      <c r="M16" s="218"/>
      <c r="N16" s="218"/>
      <c r="O16" s="218"/>
      <c r="P16" s="218"/>
      <c r="Q16" s="218"/>
      <c r="R16" s="218"/>
    </row>
    <row r="17" spans="1:18" s="55" customFormat="1" ht="25.5" customHeight="1" x14ac:dyDescent="0.15">
      <c r="A17" s="146">
        <v>7100</v>
      </c>
      <c r="B17" s="83">
        <f>'Cost Centres'!Q$2</f>
        <v>17</v>
      </c>
      <c r="C17" s="49"/>
      <c r="D17" s="148" t="s">
        <v>75</v>
      </c>
      <c r="E17" s="165"/>
      <c r="F17" s="161">
        <v>110459.32250000001</v>
      </c>
      <c r="G17" s="224">
        <v>117382.08</v>
      </c>
      <c r="H17" s="154">
        <f>F17-G17</f>
        <v>-6922.7574999999924</v>
      </c>
      <c r="I17" s="160">
        <f>IF(F17=0,"na",H17/F17)</f>
        <v>-6.2672460262464424E-2</v>
      </c>
      <c r="J17" s="165"/>
      <c r="K17" s="214" t="s">
        <v>453</v>
      </c>
      <c r="L17" s="49"/>
      <c r="M17" s="81">
        <v>0</v>
      </c>
      <c r="N17" s="81">
        <v>0</v>
      </c>
      <c r="O17" s="81">
        <v>0</v>
      </c>
      <c r="P17" s="154">
        <v>0</v>
      </c>
      <c r="Q17" s="81">
        <v>117382.08</v>
      </c>
      <c r="R17" s="173">
        <f>SUM(M17:O17,P17:Q17)</f>
        <v>117382.08</v>
      </c>
    </row>
    <row r="18" spans="1:18" s="55" customFormat="1" ht="25.5" customHeight="1" x14ac:dyDescent="0.15">
      <c r="A18" s="146">
        <v>7162</v>
      </c>
      <c r="B18" s="83">
        <f>'Cost Centres'!Q$2</f>
        <v>17</v>
      </c>
      <c r="C18" s="49"/>
      <c r="D18" s="148" t="s">
        <v>91</v>
      </c>
      <c r="E18" s="165"/>
      <c r="F18" s="211">
        <v>5000</v>
      </c>
      <c r="G18" s="224">
        <v>0</v>
      </c>
      <c r="H18" s="154">
        <f>F18-G18</f>
        <v>5000</v>
      </c>
      <c r="I18" s="226">
        <v>0</v>
      </c>
      <c r="J18" s="165"/>
      <c r="K18" s="214"/>
      <c r="L18" s="49"/>
      <c r="M18" s="81">
        <v>0</v>
      </c>
      <c r="N18" s="81">
        <v>0</v>
      </c>
      <c r="O18" s="81">
        <v>0</v>
      </c>
      <c r="P18" s="154">
        <v>0</v>
      </c>
      <c r="Q18" s="81">
        <v>0</v>
      </c>
      <c r="R18" s="173">
        <f>SUM(M18:O18,P18:Q18)</f>
        <v>0</v>
      </c>
    </row>
    <row r="19" spans="1:18" s="55" customFormat="1" ht="25.5" customHeight="1" x14ac:dyDescent="0.15">
      <c r="A19" s="146"/>
      <c r="B19" s="146"/>
      <c r="C19" s="49"/>
      <c r="D19" s="148" t="s">
        <v>427</v>
      </c>
      <c r="E19" s="165"/>
      <c r="F19" s="161">
        <v>16027.2</v>
      </c>
      <c r="G19" s="224">
        <v>11464.830000000002</v>
      </c>
      <c r="H19" s="154">
        <f>F19-G19</f>
        <v>4562.369999999999</v>
      </c>
      <c r="I19" s="160">
        <f>IF(F19=0,"na",H19/F19)</f>
        <v>0.28466419586702596</v>
      </c>
      <c r="J19" s="165"/>
      <c r="K19" s="205" t="s">
        <v>450</v>
      </c>
      <c r="L19" s="49"/>
      <c r="M19" s="154">
        <v>0</v>
      </c>
      <c r="N19" s="154">
        <v>0</v>
      </c>
      <c r="O19" s="154">
        <v>0</v>
      </c>
      <c r="P19" s="154">
        <v>0</v>
      </c>
      <c r="Q19" s="154">
        <v>11464.830000000002</v>
      </c>
      <c r="R19" s="173">
        <f>SUM(M19:Q19)</f>
        <v>11464.830000000002</v>
      </c>
    </row>
    <row r="20" spans="1:18" s="70" customFormat="1" x14ac:dyDescent="0.15">
      <c r="A20" s="146"/>
      <c r="B20" s="146"/>
      <c r="C20" s="50"/>
      <c r="D20" s="219"/>
      <c r="E20" s="165"/>
      <c r="F20" s="220">
        <v>131486.52250000002</v>
      </c>
      <c r="G20" s="220">
        <f>SUM(G17:G18,G19)</f>
        <v>128846.91</v>
      </c>
      <c r="H20" s="220">
        <f>SUM(H17:H18,H19)</f>
        <v>2639.6125000000065</v>
      </c>
      <c r="I20" s="215">
        <f>IF(F20=0,"na",H20/F20)</f>
        <v>2.0075156372015283E-2</v>
      </c>
      <c r="J20" s="165"/>
      <c r="K20" s="206"/>
      <c r="L20" s="50"/>
      <c r="M20" s="221"/>
      <c r="N20" s="221"/>
      <c r="O20" s="221"/>
      <c r="P20" s="221"/>
      <c r="Q20" s="221"/>
      <c r="R20" s="221"/>
    </row>
    <row r="21" spans="1:18" s="55" customFormat="1" ht="14" x14ac:dyDescent="0.15">
      <c r="A21" s="146"/>
      <c r="B21" s="146"/>
      <c r="C21" s="49"/>
      <c r="D21" s="222" t="s">
        <v>428</v>
      </c>
      <c r="E21" s="165"/>
      <c r="F21" s="223"/>
      <c r="G21" s="50"/>
      <c r="H21" s="50"/>
      <c r="I21" s="50"/>
      <c r="J21" s="165"/>
      <c r="K21" s="206"/>
      <c r="L21" s="50"/>
      <c r="M21" s="50"/>
      <c r="N21" s="50"/>
      <c r="O21" s="50"/>
      <c r="P21" s="50"/>
      <c r="Q21" s="50"/>
      <c r="R21" s="50"/>
    </row>
    <row r="22" spans="1:18" s="55" customFormat="1" ht="40" customHeight="1" x14ac:dyDescent="0.15">
      <c r="A22" s="146"/>
      <c r="B22" s="146"/>
      <c r="C22" s="49"/>
      <c r="D22" s="148" t="s">
        <v>429</v>
      </c>
      <c r="E22" s="165"/>
      <c r="F22" s="162">
        <v>24636</v>
      </c>
      <c r="G22" s="224">
        <v>24877.129999999997</v>
      </c>
      <c r="H22" s="154">
        <f>F22-G22</f>
        <v>-241.12999999999738</v>
      </c>
      <c r="I22" s="160">
        <f>IF(F22=0,"na",H22/F22)</f>
        <v>-9.787709043675815E-3</v>
      </c>
      <c r="J22" s="165"/>
      <c r="K22" s="208" t="s">
        <v>519</v>
      </c>
      <c r="L22" s="49"/>
      <c r="M22" s="81">
        <v>0</v>
      </c>
      <c r="N22" s="81">
        <v>0</v>
      </c>
      <c r="O22" s="81">
        <v>0</v>
      </c>
      <c r="P22" s="154">
        <v>0</v>
      </c>
      <c r="Q22" s="81">
        <v>24877.129999999997</v>
      </c>
      <c r="R22" s="173">
        <f>SUM(M22:O22,P22:Q22)</f>
        <v>24877.129999999997</v>
      </c>
    </row>
    <row r="23" spans="1:18" s="55" customFormat="1" ht="25.5" customHeight="1" x14ac:dyDescent="0.15">
      <c r="A23" s="146"/>
      <c r="B23" s="146"/>
      <c r="C23" s="49"/>
      <c r="D23" s="148" t="s">
        <v>109</v>
      </c>
      <c r="E23" s="165"/>
      <c r="F23" s="161">
        <v>5000</v>
      </c>
      <c r="G23" s="224">
        <v>6604.43</v>
      </c>
      <c r="H23" s="154">
        <f>F23-G23</f>
        <v>-1604.4300000000003</v>
      </c>
      <c r="I23" s="160">
        <f>IF(F23=0,"na",H23/F23)</f>
        <v>-0.32088600000000006</v>
      </c>
      <c r="J23" s="165"/>
      <c r="K23" s="205"/>
      <c r="L23" s="49"/>
      <c r="M23" s="81">
        <v>0</v>
      </c>
      <c r="N23" s="81">
        <v>0</v>
      </c>
      <c r="O23" s="81">
        <v>0</v>
      </c>
      <c r="P23" s="154">
        <v>0</v>
      </c>
      <c r="Q23" s="81">
        <v>6604.43</v>
      </c>
      <c r="R23" s="173">
        <f>SUM(M23:O23,P23:Q23)</f>
        <v>6604.43</v>
      </c>
    </row>
    <row r="24" spans="1:18" s="55" customFormat="1" ht="38.25" customHeight="1" x14ac:dyDescent="0.15">
      <c r="A24" s="146">
        <v>7242</v>
      </c>
      <c r="B24" s="83">
        <f>'Cost Centres'!Q$2</f>
        <v>17</v>
      </c>
      <c r="C24" s="49"/>
      <c r="D24" s="148" t="s">
        <v>430</v>
      </c>
      <c r="E24" s="165"/>
      <c r="F24" s="162">
        <v>42965.596000000005</v>
      </c>
      <c r="G24" s="224">
        <v>44645.69</v>
      </c>
      <c r="H24" s="154">
        <f>F24-G24</f>
        <v>-1680.0939999999973</v>
      </c>
      <c r="I24" s="160">
        <f>IF(F24=0,"na",H24/F24)</f>
        <v>-3.9103239717656821E-2</v>
      </c>
      <c r="J24" s="165"/>
      <c r="K24" s="208" t="s">
        <v>501</v>
      </c>
      <c r="L24" s="49"/>
      <c r="M24" s="81">
        <v>0</v>
      </c>
      <c r="N24" s="81">
        <v>0</v>
      </c>
      <c r="O24" s="81">
        <v>0</v>
      </c>
      <c r="P24" s="154">
        <v>0</v>
      </c>
      <c r="Q24" s="81">
        <v>44645.69</v>
      </c>
      <c r="R24" s="173">
        <f>SUM(M24:O24,P24:Q24)</f>
        <v>44645.69</v>
      </c>
    </row>
    <row r="25" spans="1:18" s="55" customFormat="1" ht="25.5" customHeight="1" x14ac:dyDescent="0.15">
      <c r="A25" s="146"/>
      <c r="B25" s="146"/>
      <c r="C25" s="49"/>
      <c r="D25" s="148" t="s">
        <v>507</v>
      </c>
      <c r="E25" s="165"/>
      <c r="F25" s="161">
        <v>14400</v>
      </c>
      <c r="G25" s="224">
        <v>15529.59</v>
      </c>
      <c r="H25" s="154">
        <f>F25-G25</f>
        <v>-1129.5900000000001</v>
      </c>
      <c r="I25" s="160">
        <f>IF(F25=0,"na",H25/F25)</f>
        <v>-7.8443750000000007E-2</v>
      </c>
      <c r="J25" s="165"/>
      <c r="K25" s="205"/>
      <c r="L25" s="49"/>
      <c r="M25" s="81">
        <v>0</v>
      </c>
      <c r="N25" s="81">
        <v>0</v>
      </c>
      <c r="O25" s="81">
        <v>0</v>
      </c>
      <c r="P25" s="154">
        <v>0</v>
      </c>
      <c r="Q25" s="81">
        <v>15529.59</v>
      </c>
      <c r="R25" s="173">
        <f>SUM(M25:O25,P25:Q25)</f>
        <v>15529.59</v>
      </c>
    </row>
    <row r="26" spans="1:18" s="70" customFormat="1" x14ac:dyDescent="0.15">
      <c r="A26" s="146"/>
      <c r="B26" s="146"/>
      <c r="C26" s="50"/>
      <c r="D26" s="219"/>
      <c r="E26" s="165"/>
      <c r="F26" s="220">
        <v>87001.596000000005</v>
      </c>
      <c r="G26" s="220">
        <f>SUM(G22,G23:G24,G25)</f>
        <v>91656.84</v>
      </c>
      <c r="H26" s="220">
        <f>SUM(H22,H23:H24,H25)</f>
        <v>-4655.2439999999951</v>
      </c>
      <c r="I26" s="215">
        <f>IF(F26=0,"na",H26/F26)</f>
        <v>-5.3507570136989153E-2</v>
      </c>
      <c r="J26" s="165"/>
      <c r="K26" s="206"/>
      <c r="L26" s="50"/>
      <c r="M26" s="221"/>
      <c r="N26" s="221"/>
      <c r="O26" s="221"/>
      <c r="P26" s="221"/>
      <c r="Q26" s="221"/>
      <c r="R26" s="221"/>
    </row>
    <row r="27" spans="1:18" s="70" customFormat="1" ht="14" x14ac:dyDescent="0.15">
      <c r="A27" s="146"/>
      <c r="B27" s="146"/>
      <c r="C27" s="50"/>
      <c r="D27" s="222" t="s">
        <v>211</v>
      </c>
      <c r="E27" s="165"/>
      <c r="F27" s="223"/>
      <c r="G27" s="50"/>
      <c r="H27" s="50"/>
      <c r="I27" s="50"/>
      <c r="J27" s="165"/>
      <c r="K27" s="206"/>
      <c r="L27" s="50"/>
      <c r="M27" s="50"/>
      <c r="N27" s="50"/>
      <c r="O27" s="50"/>
      <c r="P27" s="50"/>
      <c r="Q27" s="50"/>
      <c r="R27" s="50"/>
    </row>
    <row r="28" spans="1:18" s="55" customFormat="1" ht="25.5" customHeight="1" x14ac:dyDescent="0.15">
      <c r="A28" s="146"/>
      <c r="B28" s="146"/>
      <c r="C28" s="49"/>
      <c r="D28" s="148" t="s">
        <v>431</v>
      </c>
      <c r="E28" s="165"/>
      <c r="F28" s="161">
        <v>188000</v>
      </c>
      <c r="G28" s="224">
        <v>-509.59000000000015</v>
      </c>
      <c r="H28" s="154">
        <f t="shared" ref="H28:H36" si="2">F28-G28</f>
        <v>188509.59</v>
      </c>
      <c r="I28" s="160">
        <f t="shared" ref="I28:I38" si="3">IF(F28=0,"na",H28/F28)</f>
        <v>1.0027105851063829</v>
      </c>
      <c r="J28" s="165"/>
      <c r="K28" s="214"/>
      <c r="L28" s="49"/>
      <c r="M28" s="81">
        <v>-846.59000000000026</v>
      </c>
      <c r="N28" s="81">
        <v>-1016.33</v>
      </c>
      <c r="O28" s="81">
        <v>0</v>
      </c>
      <c r="P28" s="154">
        <v>0</v>
      </c>
      <c r="Q28" s="81">
        <v>1353.33</v>
      </c>
      <c r="R28" s="173">
        <f t="shared" ref="R28:R36" si="4">SUM(M28:O28,P28:Q28)</f>
        <v>-509.59000000000037</v>
      </c>
    </row>
    <row r="29" spans="1:18" ht="38.25" customHeight="1" x14ac:dyDescent="0.15">
      <c r="A29" s="146"/>
      <c r="B29" s="146"/>
      <c r="C29" s="85"/>
      <c r="D29" s="148" t="s">
        <v>432</v>
      </c>
      <c r="E29" s="165"/>
      <c r="F29" s="161">
        <v>67800</v>
      </c>
      <c r="G29" s="224">
        <v>50287.33</v>
      </c>
      <c r="H29" s="154">
        <f t="shared" si="2"/>
        <v>17512.669999999998</v>
      </c>
      <c r="I29" s="160">
        <f t="shared" si="3"/>
        <v>0.2582989675516224</v>
      </c>
      <c r="J29" s="165"/>
      <c r="K29" s="208" t="s">
        <v>457</v>
      </c>
      <c r="L29" s="49"/>
      <c r="M29" s="81">
        <v>0</v>
      </c>
      <c r="N29" s="81">
        <v>0</v>
      </c>
      <c r="O29" s="81">
        <v>0</v>
      </c>
      <c r="P29" s="154">
        <v>2199.81</v>
      </c>
      <c r="Q29" s="81">
        <v>48087.519999999997</v>
      </c>
      <c r="R29" s="173">
        <f t="shared" si="4"/>
        <v>50287.329999999994</v>
      </c>
    </row>
    <row r="30" spans="1:18" ht="25.5" customHeight="1" x14ac:dyDescent="0.15">
      <c r="A30" s="83" t="s">
        <v>17</v>
      </c>
      <c r="B30" s="82">
        <f>'Cost Centres'!M$2</f>
        <v>13</v>
      </c>
      <c r="C30" s="85"/>
      <c r="D30" s="148" t="s">
        <v>29</v>
      </c>
      <c r="E30" s="165"/>
      <c r="F30" s="161">
        <v>4000</v>
      </c>
      <c r="G30" s="224">
        <v>180.59</v>
      </c>
      <c r="H30" s="154">
        <f t="shared" si="2"/>
        <v>3819.41</v>
      </c>
      <c r="I30" s="160">
        <f t="shared" si="3"/>
        <v>0.95485249999999999</v>
      </c>
      <c r="J30" s="165"/>
      <c r="K30" s="214"/>
      <c r="L30" s="49"/>
      <c r="M30" s="81">
        <v>0</v>
      </c>
      <c r="N30" s="81">
        <v>0</v>
      </c>
      <c r="O30" s="81">
        <v>0</v>
      </c>
      <c r="P30" s="154">
        <v>0</v>
      </c>
      <c r="Q30" s="81">
        <v>180.59</v>
      </c>
      <c r="R30" s="173">
        <f t="shared" si="4"/>
        <v>180.59</v>
      </c>
    </row>
    <row r="31" spans="1:18" ht="25.5" customHeight="1" x14ac:dyDescent="0.15">
      <c r="A31" s="146">
        <v>7535</v>
      </c>
      <c r="B31" s="83">
        <f>'Cost Centres'!Q$2</f>
        <v>17</v>
      </c>
      <c r="C31" s="85"/>
      <c r="D31" s="148" t="s">
        <v>183</v>
      </c>
      <c r="E31" s="165"/>
      <c r="F31" s="161">
        <v>19015.600000000002</v>
      </c>
      <c r="G31" s="224">
        <v>28342.31</v>
      </c>
      <c r="H31" s="154">
        <f t="shared" si="2"/>
        <v>-9326.7099999999991</v>
      </c>
      <c r="I31" s="160">
        <f t="shared" si="3"/>
        <v>-0.49047676644439292</v>
      </c>
      <c r="J31" s="165"/>
      <c r="K31" s="208" t="s">
        <v>489</v>
      </c>
      <c r="L31" s="49"/>
      <c r="M31" s="154"/>
      <c r="N31" s="154"/>
      <c r="O31" s="154"/>
      <c r="P31" s="154"/>
      <c r="Q31" s="81">
        <v>28342.31</v>
      </c>
      <c r="R31" s="173">
        <f t="shared" si="4"/>
        <v>28342.31</v>
      </c>
    </row>
    <row r="32" spans="1:18" ht="28" x14ac:dyDescent="0.15">
      <c r="A32" s="146"/>
      <c r="B32" s="146"/>
      <c r="C32" s="85"/>
      <c r="D32" s="148" t="s">
        <v>433</v>
      </c>
      <c r="E32" s="165"/>
      <c r="F32" s="161">
        <v>26540</v>
      </c>
      <c r="G32" s="224">
        <v>30609.22</v>
      </c>
      <c r="H32" s="154">
        <f t="shared" si="2"/>
        <v>-4069.2200000000012</v>
      </c>
      <c r="I32" s="160">
        <f t="shared" si="3"/>
        <v>-0.15332403918613419</v>
      </c>
      <c r="J32" s="165"/>
      <c r="K32" s="208" t="s">
        <v>491</v>
      </c>
      <c r="L32" s="49"/>
      <c r="M32" s="81">
        <v>0</v>
      </c>
      <c r="N32" s="81">
        <v>0</v>
      </c>
      <c r="O32" s="81">
        <v>0</v>
      </c>
      <c r="P32" s="154">
        <v>0</v>
      </c>
      <c r="Q32" s="81">
        <v>30609.22</v>
      </c>
      <c r="R32" s="173">
        <f t="shared" si="4"/>
        <v>30609.22</v>
      </c>
    </row>
    <row r="33" spans="1:18" ht="25.5" customHeight="1" x14ac:dyDescent="0.15">
      <c r="A33" s="146">
        <v>7520</v>
      </c>
      <c r="B33" s="83">
        <f>'Cost Centres'!Q$2</f>
        <v>17</v>
      </c>
      <c r="C33" s="85"/>
      <c r="D33" s="148" t="s">
        <v>179</v>
      </c>
      <c r="E33" s="165"/>
      <c r="F33" s="161">
        <v>6800</v>
      </c>
      <c r="G33" s="224">
        <v>40.200000000000003</v>
      </c>
      <c r="H33" s="154">
        <f t="shared" si="2"/>
        <v>6759.8</v>
      </c>
      <c r="I33" s="160">
        <f t="shared" si="3"/>
        <v>0.99408823529411772</v>
      </c>
      <c r="J33" s="165"/>
      <c r="K33" s="214"/>
      <c r="L33" s="49"/>
      <c r="M33" s="81">
        <v>0</v>
      </c>
      <c r="N33" s="81">
        <v>0</v>
      </c>
      <c r="O33" s="81">
        <v>0</v>
      </c>
      <c r="P33" s="154">
        <v>0</v>
      </c>
      <c r="Q33" s="81">
        <v>40.200000000000003</v>
      </c>
      <c r="R33" s="173">
        <f t="shared" si="4"/>
        <v>40.200000000000003</v>
      </c>
    </row>
    <row r="34" spans="1:18" ht="14" x14ac:dyDescent="0.15">
      <c r="A34" s="146">
        <v>7023</v>
      </c>
      <c r="B34" s="83">
        <f>'Cost Centres'!Q$2</f>
        <v>17</v>
      </c>
      <c r="C34" s="85"/>
      <c r="D34" s="148" t="s">
        <v>67</v>
      </c>
      <c r="E34" s="165"/>
      <c r="F34" s="161">
        <v>11800</v>
      </c>
      <c r="G34" s="224">
        <v>7456.5</v>
      </c>
      <c r="H34" s="154">
        <f t="shared" si="2"/>
        <v>4343.5</v>
      </c>
      <c r="I34" s="160">
        <f t="shared" si="3"/>
        <v>0.36809322033898306</v>
      </c>
      <c r="J34" s="165"/>
      <c r="K34" s="205"/>
      <c r="L34" s="49"/>
      <c r="M34" s="81">
        <v>0</v>
      </c>
      <c r="N34" s="81">
        <v>0</v>
      </c>
      <c r="O34" s="81">
        <v>0</v>
      </c>
      <c r="P34" s="154">
        <v>0</v>
      </c>
      <c r="Q34" s="81">
        <v>7456.5</v>
      </c>
      <c r="R34" s="173">
        <f t="shared" si="4"/>
        <v>7456.5</v>
      </c>
    </row>
    <row r="35" spans="1:18" ht="25.5" customHeight="1" x14ac:dyDescent="0.15">
      <c r="A35" s="146">
        <v>7530</v>
      </c>
      <c r="B35" s="83">
        <f>'Cost Centres'!Q$2</f>
        <v>17</v>
      </c>
      <c r="C35" s="85"/>
      <c r="D35" s="148" t="s">
        <v>434</v>
      </c>
      <c r="E35" s="165"/>
      <c r="F35" s="161">
        <v>15711</v>
      </c>
      <c r="G35" s="224">
        <v>5100</v>
      </c>
      <c r="H35" s="154">
        <f t="shared" si="2"/>
        <v>10611</v>
      </c>
      <c r="I35" s="160">
        <f t="shared" si="3"/>
        <v>0.67538667175864042</v>
      </c>
      <c r="J35" s="165"/>
      <c r="K35" s="208" t="s">
        <v>454</v>
      </c>
      <c r="L35" s="49"/>
      <c r="M35" s="81">
        <v>0</v>
      </c>
      <c r="N35" s="81">
        <v>0</v>
      </c>
      <c r="O35" s="81">
        <v>0</v>
      </c>
      <c r="P35" s="154">
        <v>0</v>
      </c>
      <c r="Q35" s="81">
        <v>5100</v>
      </c>
      <c r="R35" s="173">
        <f t="shared" si="4"/>
        <v>5100</v>
      </c>
    </row>
    <row r="36" spans="1:18" ht="25.5" customHeight="1" x14ac:dyDescent="0.15">
      <c r="A36" s="146"/>
      <c r="B36" s="146"/>
      <c r="C36" s="85"/>
      <c r="D36" s="148" t="s">
        <v>211</v>
      </c>
      <c r="E36" s="165"/>
      <c r="F36" s="162">
        <v>3800</v>
      </c>
      <c r="G36" s="224">
        <v>80800.41</v>
      </c>
      <c r="H36" s="154">
        <f t="shared" si="2"/>
        <v>-77000.41</v>
      </c>
      <c r="I36" s="160">
        <f t="shared" si="3"/>
        <v>-20.263265789473685</v>
      </c>
      <c r="J36" s="165"/>
      <c r="K36" s="208" t="s">
        <v>698</v>
      </c>
      <c r="L36" s="49"/>
      <c r="M36" s="81">
        <v>0</v>
      </c>
      <c r="N36" s="81">
        <v>0</v>
      </c>
      <c r="O36" s="81">
        <v>0</v>
      </c>
      <c r="P36" s="154">
        <v>0</v>
      </c>
      <c r="Q36" s="81">
        <v>80800.41</v>
      </c>
      <c r="R36" s="173">
        <f t="shared" si="4"/>
        <v>80800.41</v>
      </c>
    </row>
    <row r="37" spans="1:18" s="70" customFormat="1" ht="14" thickBot="1" x14ac:dyDescent="0.2">
      <c r="A37" s="146"/>
      <c r="B37" s="146"/>
      <c r="C37" s="50"/>
      <c r="D37" s="219"/>
      <c r="E37" s="165"/>
      <c r="F37" s="220">
        <v>343466.6</v>
      </c>
      <c r="G37" s="220">
        <f>SUM(G28,G29:G31,G32:G35,G36)</f>
        <v>202306.97</v>
      </c>
      <c r="H37" s="220">
        <f>SUM(H28,H29:H31,H32:H35,H36)</f>
        <v>141159.63</v>
      </c>
      <c r="I37" s="215">
        <f t="shared" si="3"/>
        <v>0.41098502736510628</v>
      </c>
      <c r="J37" s="165"/>
      <c r="K37" s="207"/>
      <c r="L37" s="50"/>
      <c r="M37" s="221"/>
      <c r="N37" s="221"/>
      <c r="O37" s="221"/>
      <c r="P37" s="221"/>
      <c r="Q37" s="221"/>
      <c r="R37" s="221"/>
    </row>
    <row r="38" spans="1:18" ht="25.5" customHeight="1" thickBot="1" x14ac:dyDescent="0.2">
      <c r="A38" s="80" t="s">
        <v>356</v>
      </c>
      <c r="B38" s="146"/>
      <c r="C38" s="85"/>
      <c r="D38" s="149" t="s">
        <v>284</v>
      </c>
      <c r="E38" s="49"/>
      <c r="F38" s="118">
        <f>SUM(F15,F20,F26,F37)</f>
        <v>2634435.4085000004</v>
      </c>
      <c r="G38" s="181">
        <f>SUM(G15,G20,G26,G37)</f>
        <v>2327896.2300000004</v>
      </c>
      <c r="H38" s="181">
        <f>SUM(H15,H20,H26,H37)</f>
        <v>306539.17850000004</v>
      </c>
      <c r="I38" s="182">
        <f t="shared" si="3"/>
        <v>0.11635858579449396</v>
      </c>
      <c r="J38" s="49"/>
      <c r="L38" s="49"/>
      <c r="M38" s="153">
        <f t="shared" ref="M38:R38" si="5">SUM(M9:M10,M11:M13,M14,M17:M18,M19,M22,M23:M24,M25,M28,M29:M31,M32:M35,M36)</f>
        <v>677263.35</v>
      </c>
      <c r="N38" s="153">
        <f t="shared" si="5"/>
        <v>34171.439999999995</v>
      </c>
      <c r="O38" s="153">
        <f t="shared" si="5"/>
        <v>5383.51</v>
      </c>
      <c r="P38" s="153">
        <f t="shared" si="5"/>
        <v>135711.19</v>
      </c>
      <c r="Q38" s="153">
        <f t="shared" si="5"/>
        <v>1475366.74</v>
      </c>
      <c r="R38" s="153">
        <f t="shared" si="5"/>
        <v>2327896.2300000004</v>
      </c>
    </row>
    <row r="39" spans="1:18" x14ac:dyDescent="0.15">
      <c r="A39" s="80"/>
      <c r="C39" s="85"/>
      <c r="D39" s="49"/>
      <c r="E39" s="49"/>
      <c r="F39" s="48"/>
      <c r="G39" s="49"/>
      <c r="H39" s="49"/>
      <c r="I39" s="49"/>
      <c r="J39" s="49"/>
      <c r="K39" s="49"/>
      <c r="L39" s="49"/>
      <c r="M39" s="49"/>
      <c r="N39" s="49"/>
      <c r="O39" s="49"/>
      <c r="P39" s="49"/>
      <c r="Q39" s="49"/>
      <c r="R39" s="49"/>
    </row>
    <row r="40" spans="1:18" x14ac:dyDescent="0.15">
      <c r="A40" s="80"/>
      <c r="C40" s="85"/>
      <c r="D40" s="49"/>
      <c r="E40" s="49"/>
      <c r="F40" s="48"/>
      <c r="G40" s="49"/>
      <c r="H40" s="49"/>
      <c r="I40" s="49"/>
      <c r="J40" s="49"/>
      <c r="K40" s="49"/>
      <c r="L40" s="49"/>
      <c r="M40" s="49"/>
      <c r="N40" s="49"/>
      <c r="O40" s="49"/>
      <c r="P40" s="49"/>
      <c r="Q40" s="49"/>
      <c r="R40" s="49"/>
    </row>
    <row r="41" spans="1:18" x14ac:dyDescent="0.15">
      <c r="A41" s="80"/>
      <c r="C41" s="85"/>
      <c r="D41" s="49"/>
      <c r="E41" s="49"/>
      <c r="F41" s="48"/>
      <c r="G41" s="49"/>
      <c r="H41" s="49"/>
      <c r="I41" s="49"/>
      <c r="J41" s="49"/>
      <c r="K41" s="49"/>
      <c r="L41" s="49"/>
      <c r="M41" s="49"/>
      <c r="N41" s="49"/>
      <c r="O41" s="49"/>
      <c r="P41" s="49"/>
      <c r="Q41" s="49"/>
      <c r="R41" s="49"/>
    </row>
    <row r="78" spans="1:1" x14ac:dyDescent="0.15"/>
  </sheetData>
  <sortState xmlns:xlrd2="http://schemas.microsoft.com/office/spreadsheetml/2017/richdata2" ref="A107:R114">
    <sortCondition ref="A107:A114"/>
  </sortState>
  <printOptions horizontalCentered="1"/>
  <pageMargins left="0.23622047244094491" right="0.35433070866141736" top="0.56000000000000005" bottom="0.4" header="0.31496062992125984" footer="0.19"/>
  <pageSetup paperSize="9" scale="70" orientation="portrait" r:id="rId1"/>
  <ignoredErrors>
    <ignoredError sqref="L9:L10 R12 R16 K14:L14 L17:L18 R21 L22 K23:L23 K25:L25 L28 L29:L30 L31 L32:L33 K34:L34 L35 L36 P38 R30 R27 L19 R10 L11:L13 L24 K38:O41 K27:L27 K16:L16 K21:L21 H21:I21 H16:I16 H39:I41 H27:I27" formula="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136"/>
  <sheetViews>
    <sheetView workbookViewId="0">
      <selection activeCell="B3" sqref="B3"/>
    </sheetView>
  </sheetViews>
  <sheetFormatPr baseColWidth="10" defaultColWidth="8.83203125" defaultRowHeight="15" x14ac:dyDescent="0.2"/>
  <cols>
    <col min="1" max="1" width="21.1640625" customWidth="1"/>
    <col min="2" max="2" width="18.6640625" customWidth="1"/>
    <col min="3" max="3" width="23.6640625" customWidth="1"/>
    <col min="9" max="9" width="41.83203125" customWidth="1"/>
    <col min="12" max="12" width="33.6640625" customWidth="1"/>
    <col min="14" max="14" width="9.1640625" customWidth="1"/>
    <col min="15" max="15" width="39.6640625" customWidth="1"/>
    <col min="16" max="16" width="12.83203125" customWidth="1"/>
    <col min="19" max="19" width="41.5" customWidth="1"/>
    <col min="21" max="21" width="9.1640625" customWidth="1"/>
    <col min="22" max="22" width="34.5" bestFit="1" customWidth="1"/>
    <col min="24" max="24" width="9.1640625" customWidth="1"/>
    <col min="25" max="25" width="30.6640625" bestFit="1" customWidth="1"/>
  </cols>
  <sheetData>
    <row r="1" spans="1:25" x14ac:dyDescent="0.2">
      <c r="A1" s="2" t="s">
        <v>1</v>
      </c>
      <c r="D1" t="s">
        <v>7</v>
      </c>
      <c r="H1" t="s">
        <v>206</v>
      </c>
      <c r="K1" t="s">
        <v>205</v>
      </c>
      <c r="N1" t="s">
        <v>205</v>
      </c>
      <c r="R1" t="s">
        <v>205</v>
      </c>
      <c r="U1" t="s">
        <v>205</v>
      </c>
      <c r="X1" t="s">
        <v>205</v>
      </c>
    </row>
    <row r="2" spans="1:25" x14ac:dyDescent="0.2">
      <c r="P2" t="s">
        <v>486</v>
      </c>
    </row>
    <row r="3" spans="1:25" x14ac:dyDescent="0.2">
      <c r="A3" t="s">
        <v>0</v>
      </c>
      <c r="B3" s="1">
        <v>1</v>
      </c>
      <c r="C3" t="str">
        <f xml:space="preserve"> IF(TRUE, "SCI Foundation",  _xll.PSFOTITLE(B3))</f>
        <v>SCI Foundation</v>
      </c>
      <c r="D3" t="s">
        <v>4</v>
      </c>
      <c r="H3" t="s">
        <v>203</v>
      </c>
      <c r="K3" t="s">
        <v>202</v>
      </c>
      <c r="N3" t="s">
        <v>204</v>
      </c>
      <c r="P3" t="s">
        <v>487</v>
      </c>
      <c r="R3" t="s">
        <v>207</v>
      </c>
      <c r="U3" t="s">
        <v>374</v>
      </c>
      <c r="X3" t="s">
        <v>389</v>
      </c>
    </row>
    <row r="5" spans="1:25" x14ac:dyDescent="0.2">
      <c r="A5" t="s">
        <v>2</v>
      </c>
      <c r="B5" s="3" t="s">
        <v>463</v>
      </c>
      <c r="C5" s="3" t="s">
        <v>464</v>
      </c>
      <c r="D5" t="s">
        <v>5</v>
      </c>
      <c r="H5" s="6" t="str">
        <f>IF(TRUE,"1140","LI(0,0)")</f>
        <v>1140</v>
      </c>
      <c r="I5" s="7" t="str">
        <f>IF(TRUE,"Furniture, Fixtures and Equipment","LI(0,1)")</f>
        <v>Furniture, Fixtures and Equipment</v>
      </c>
      <c r="K5" s="6" t="str">
        <f>IF(TRUE,"CEN","LI(0,0)")</f>
        <v>CEN</v>
      </c>
      <c r="L5" s="7" t="str">
        <f>IF(TRUE,"Central Costs (Shared Across Teams)","LI(0,1)")</f>
        <v>Central Costs (Shared Across Teams)</v>
      </c>
      <c r="N5" s="6" t="str">
        <f>IF(TRUE,"ARU01","LI(0,0)")</f>
        <v>ARU01</v>
      </c>
      <c r="O5" s="7" t="str">
        <f>IF(TRUE,"ARUP COVID-19 Hot Spot Project","LI(0,1)")</f>
        <v>ARUP COVID-19 Hot Spot Project</v>
      </c>
      <c r="P5" s="266" t="str">
        <f>HLOOKUP(N5,'P&amp;L by Award'!$2:$2,1,FALSE)</f>
        <v>ARU01</v>
      </c>
      <c r="R5" s="4" t="str">
        <f>IF(TRUE,"AUS","LI(0,0)")</f>
        <v>AUS</v>
      </c>
      <c r="S5" s="5" t="str">
        <f>IF(TRUE,"Australia","LI(0,1)")</f>
        <v>Australia</v>
      </c>
      <c r="U5" s="4" t="str">
        <f>IF(TRUE,"ACL01","LI(0,0)")</f>
        <v>ACL01</v>
      </c>
      <c r="V5" s="5" t="str">
        <f>IF(TRUE,"All Consulting and Logistics","LI(0,1)")</f>
        <v>All Consulting and Logistics</v>
      </c>
      <c r="X5" s="4" t="str">
        <f>IF(TRUE,"NI","LI(0,0)")</f>
        <v>NI</v>
      </c>
      <c r="Y5" s="5" t="str">
        <f>IF(TRUE,"Employer's National Insurance","LI(0,1)")</f>
        <v>Employer's National Insurance</v>
      </c>
    </row>
    <row r="6" spans="1:25" x14ac:dyDescent="0.2">
      <c r="A6" t="s">
        <v>3</v>
      </c>
      <c r="B6" s="269" t="s">
        <v>520</v>
      </c>
      <c r="C6" s="269" t="s">
        <v>521</v>
      </c>
      <c r="D6" t="s">
        <v>6</v>
      </c>
      <c r="H6" s="267" t="str">
        <f>IF(TRUE,"1140","LI(0,0)")</f>
        <v>1140</v>
      </c>
      <c r="I6" s="266" t="str">
        <f>IF(TRUE,"Furniture, Fixtures and Equipment","LI(0,1)")</f>
        <v>Furniture, Fixtures and Equipment</v>
      </c>
      <c r="K6" s="267" t="str">
        <f>IF(TRUE,"CEN","LI(0,0)")</f>
        <v>CEN</v>
      </c>
      <c r="L6" s="266" t="str">
        <f>IF(TRUE,"Central Costs (Shared Across Teams)","LI(0,1)")</f>
        <v>Central Costs (Shared Across Teams)</v>
      </c>
      <c r="N6" s="6" t="str">
        <f>IF(TRUE,"ASC01","LI(1,0)")</f>
        <v>ASC01</v>
      </c>
      <c r="O6" s="7" t="str">
        <f>IF(TRUE,"ASCEND","LI(1,1)")</f>
        <v>ASCEND</v>
      </c>
      <c r="P6" s="266" t="str">
        <f>HLOOKUP(N6,'P&amp;L by Award'!$2:$2,1,FALSE)</f>
        <v>ASC01</v>
      </c>
      <c r="R6" s="4" t="str">
        <f>IF(TRUE,"BRD","LI(1,0)")</f>
        <v>BRD</v>
      </c>
      <c r="S6" s="5" t="str">
        <f>IF(TRUE,"Burundi","LI(1,1)")</f>
        <v>Burundi</v>
      </c>
      <c r="U6" s="4" t="str">
        <f>IF(TRUE,"BRD01","LI(1,0)")</f>
        <v>BRD01</v>
      </c>
      <c r="V6" s="5" t="str">
        <f>IF(TRUE,"Ministy of The Public  Health Burundi","LI(1,1)")</f>
        <v>Ministy of The Public  Health Burundi</v>
      </c>
      <c r="X6" s="5" t="str">
        <f>IF(TRUE,"OTH","LI(1,0)")</f>
        <v>OTH</v>
      </c>
      <c r="Y6" s="5" t="str">
        <f>IF(TRUE,"Other Employment Costs","LI(1,1)")</f>
        <v>Other Employment Costs</v>
      </c>
    </row>
    <row r="7" spans="1:25" x14ac:dyDescent="0.2">
      <c r="A7" t="s">
        <v>372</v>
      </c>
      <c r="H7" s="267" t="str">
        <f t="shared" ref="H7:H8" si="0">IF(TRUE,"1140","LI(0,0)")</f>
        <v>1140</v>
      </c>
      <c r="I7" s="266" t="str">
        <f t="shared" ref="I7:I8" si="1">IF(TRUE,"Furniture, Fixtures and Equipment","LI(0,1)")</f>
        <v>Furniture, Fixtures and Equipment</v>
      </c>
      <c r="K7" s="267" t="str">
        <f t="shared" ref="K7:K8" si="2">IF(TRUE,"CEN","LI(0,0)")</f>
        <v>CEN</v>
      </c>
      <c r="L7" s="266" t="str">
        <f t="shared" ref="L7:L8" si="3">IF(TRUE,"Central Costs (Shared Across Teams)","LI(0,1)")</f>
        <v>Central Costs (Shared Across Teams)</v>
      </c>
      <c r="N7" s="6" t="str">
        <f>IF(TRUE,"ASC02","LI(2,0)")</f>
        <v>ASC02</v>
      </c>
      <c r="O7" s="7" t="str">
        <f>IF(TRUE,"ASCEND Innovation Fund - SAPIENs","LI(2,1)")</f>
        <v>ASCEND Innovation Fund - SAPIENs</v>
      </c>
      <c r="P7" s="266" t="str">
        <f>HLOOKUP(N7,'P&amp;L by Award'!$2:$2,1,FALSE)</f>
        <v>ASC02</v>
      </c>
      <c r="R7" s="4" t="str">
        <f>IF(TRUE,"CAN","LI(2,0)")</f>
        <v>CAN</v>
      </c>
      <c r="S7" s="5" t="str">
        <f>IF(TRUE,"Canada","LI(2,1)")</f>
        <v>Canada</v>
      </c>
      <c r="U7" s="5" t="str">
        <f>IF(TRUE,"BRE01","LI(2,0)")</f>
        <v>BRE01</v>
      </c>
      <c r="V7" s="5" t="str">
        <f>IF(TRUE,"BRESDE Consulting ","LI(2,1)")</f>
        <v xml:space="preserve">BRESDE Consulting </v>
      </c>
      <c r="X7" s="5" t="str">
        <f>IF(TRUE,"PEN","LI(2,0)")</f>
        <v>PEN</v>
      </c>
      <c r="Y7" s="5" t="str">
        <f>IF(TRUE,"Employer's Pension Contribution","LI(2,1)")</f>
        <v>Employer's Pension Contribution</v>
      </c>
    </row>
    <row r="8" spans="1:25" x14ac:dyDescent="0.2">
      <c r="A8" t="s">
        <v>2</v>
      </c>
      <c r="B8" s="3" t="s">
        <v>463</v>
      </c>
      <c r="C8" s="202" t="s">
        <v>464</v>
      </c>
      <c r="D8" t="s">
        <v>448</v>
      </c>
      <c r="H8" s="267" t="str">
        <f t="shared" si="0"/>
        <v>1140</v>
      </c>
      <c r="I8" s="266" t="str">
        <f t="shared" si="1"/>
        <v>Furniture, Fixtures and Equipment</v>
      </c>
      <c r="K8" s="267" t="str">
        <f t="shared" si="2"/>
        <v>CEN</v>
      </c>
      <c r="L8" s="266" t="str">
        <f t="shared" si="3"/>
        <v>Central Costs (Shared Across Teams)</v>
      </c>
      <c r="N8" s="6" t="str">
        <f>IF(TRUE,"ASC03","LI(3,0)")</f>
        <v>ASC03</v>
      </c>
      <c r="O8" s="7" t="str">
        <f>IF(TRUE,"ASCEND Innovation Fund - Refugees","LI(3,1)")</f>
        <v>ASCEND Innovation Fund - Refugees</v>
      </c>
      <c r="P8" s="266" t="str">
        <f>HLOOKUP(N8,'P&amp;L by Award'!$2:$2,1,FALSE)</f>
        <v>ASC03</v>
      </c>
      <c r="R8" s="4" t="str">
        <f>IF(TRUE,"CENTRAL","LI(3,0)")</f>
        <v>CENTRAL</v>
      </c>
      <c r="S8" s="5" t="str">
        <f>IF(TRUE,"Central costs","LI(3,1)")</f>
        <v>Central costs</v>
      </c>
      <c r="U8" s="5" t="str">
        <f>IF(TRUE,"CHD01","LI(3,0)")</f>
        <v>CHD01</v>
      </c>
      <c r="V8" s="5" t="str">
        <f>IF(TRUE,"CHAD Malawi","LI(3,1)")</f>
        <v>CHAD Malawi</v>
      </c>
      <c r="X8" s="5" t="str">
        <f>IF(TRUE,"SAL","LI(3,0)")</f>
        <v>SAL</v>
      </c>
      <c r="Y8" s="5" t="str">
        <f>IF(TRUE,"Salaries","LI(3,1)")</f>
        <v>Salaries</v>
      </c>
    </row>
    <row r="9" spans="1:25" x14ac:dyDescent="0.2">
      <c r="H9" s="7" t="str">
        <f>IF(TRUE,"1141","LI(1,0)")</f>
        <v>1141</v>
      </c>
      <c r="I9" s="7" t="str">
        <f>IF(TRUE,"Furniture, Fixtures and Equipment Deprec","LI(1,1)")</f>
        <v>Furniture, Fixtures and Equipment Deprec</v>
      </c>
      <c r="K9" s="7" t="str">
        <f>IF(TRUE,"FOP","LI(1,0)")</f>
        <v>FOP</v>
      </c>
      <c r="L9" s="7" t="str">
        <f>IF(TRUE,"Finance Operations &amp; Executive","LI(1,1)")</f>
        <v>Finance Operations &amp; Executive</v>
      </c>
      <c r="N9" s="5" t="str">
        <f>IF(TRUE,"ASC04","LI(4,0)")</f>
        <v>ASC04</v>
      </c>
      <c r="O9" s="5" t="str">
        <f>IF(TRUE,"Ascend COVID-19 Support CIV","LI(4,1)")</f>
        <v>Ascend COVID-19 Support CIV</v>
      </c>
      <c r="P9" s="266" t="str">
        <f>HLOOKUP(N9,'P&amp;L by Award'!$2:$2,1,FALSE)</f>
        <v>ASC04</v>
      </c>
      <c r="R9" s="5" t="str">
        <f>IF(TRUE,"CHE","LI(4,0)")</f>
        <v>CHE</v>
      </c>
      <c r="S9" s="5" t="str">
        <f>IF(TRUE,"Switzerland","LI(4,1)")</f>
        <v>Switzerland</v>
      </c>
      <c r="U9" s="5" t="str">
        <f>IF(TRUE,"CIV01","LI(4,0)")</f>
        <v>CIV01</v>
      </c>
      <c r="V9" s="5" t="str">
        <f>IF(TRUE,"PNLMTN-CP Cote d'Ivoire","LI(4,1)")</f>
        <v>PNLMTN-CP Cote d'Ivoire</v>
      </c>
    </row>
    <row r="10" spans="1:25" x14ac:dyDescent="0.2">
      <c r="A10" s="3" t="s">
        <v>9</v>
      </c>
      <c r="B10" s="3" t="s">
        <v>10</v>
      </c>
      <c r="D10" t="s">
        <v>11</v>
      </c>
      <c r="H10" s="266" t="str">
        <f>IF(TRUE,"1141","LI(1,0)")</f>
        <v>1141</v>
      </c>
      <c r="I10" s="266" t="str">
        <f>IF(TRUE,"Furniture, Fixtures and Equipment Deprec","LI(1,1)")</f>
        <v>Furniture, Fixtures and Equipment Deprec</v>
      </c>
      <c r="K10" s="266" t="str">
        <f>IF(TRUE,"FOP","LI(1,0)")</f>
        <v>FOP</v>
      </c>
      <c r="L10" s="266" t="str">
        <f>IF(TRUE,"Finance Operations &amp; Executive","LI(1,1)")</f>
        <v>Finance Operations &amp; Executive</v>
      </c>
      <c r="N10" s="5" t="str">
        <f>IF(TRUE,"BAY01","LI(5,0)")</f>
        <v>BAY01</v>
      </c>
      <c r="O10" s="5" t="str">
        <f>IF(TRUE,"Impact of SCH control prog on T.solium","LI(5,1)")</f>
        <v>Impact of SCH control prog on T.solium</v>
      </c>
      <c r="P10" s="266" t="str">
        <f>HLOOKUP(N10,'P&amp;L by Award'!$2:$2,1,FALSE)</f>
        <v>BAY01</v>
      </c>
      <c r="R10" s="5" t="str">
        <f>IF(TRUE,"CIV","LI(5,0)")</f>
        <v>CIV</v>
      </c>
      <c r="S10" s="5" t="str">
        <f>IF(TRUE,"Cote d'Ivoire","LI(5,1)")</f>
        <v>Cote d'Ivoire</v>
      </c>
      <c r="U10" s="5" t="str">
        <f>IF(TRUE,"CIV02","LI(5,0)")</f>
        <v>CIV02</v>
      </c>
      <c r="V10" s="5" t="str">
        <f>IF(TRUE,"MSHP-UCP-FE","LI(5,1)")</f>
        <v>MSHP-UCP-FE</v>
      </c>
    </row>
    <row r="11" spans="1:25" x14ac:dyDescent="0.2">
      <c r="H11" s="7" t="str">
        <f>IF(TRUE,"1400","LI(2,0)")</f>
        <v>1400</v>
      </c>
      <c r="I11" s="7" t="str">
        <f>IF(TRUE,"Debtors Control Account","LI(2,1)")</f>
        <v>Debtors Control Account</v>
      </c>
      <c r="K11" s="7" t="str">
        <f>IF(TRUE,"GEN","LI(2,0)")</f>
        <v>GEN</v>
      </c>
      <c r="L11" s="7" t="str">
        <f>IF(TRUE,"General Revenue","LI(2,1)")</f>
        <v>General Revenue</v>
      </c>
      <c r="N11" s="5" t="str">
        <f>IF(TRUE,"CAF01","LI(6,0)")</f>
        <v>CAF01</v>
      </c>
      <c r="O11" s="5" t="str">
        <f>IF(TRUE,"CAF Canada MDG Poster Distribution Proj.","LI(6,1)")</f>
        <v>CAF Canada MDG Poster Distribution Proj.</v>
      </c>
      <c r="P11" s="266" t="str">
        <f>HLOOKUP(N11,'P&amp;L by Award'!$2:$2,1,FALSE)</f>
        <v>CAF01</v>
      </c>
      <c r="R11" s="5" t="str">
        <f>IF(TRUE,"COD","LI(6,0)")</f>
        <v>COD</v>
      </c>
      <c r="S11" s="5" t="str">
        <f>IF(TRUE,"DRC","LI(6,1)")</f>
        <v>DRC</v>
      </c>
      <c r="U11" s="5" t="str">
        <f>IF(TRUE,"DRC01","LI(6,0)")</f>
        <v>DRC01</v>
      </c>
      <c r="V11" s="5" t="str">
        <f>IF(TRUE,"United Front Against River Blindness DRC","LI(6,1)")</f>
        <v>United Front Against River Blindness DRC</v>
      </c>
    </row>
    <row r="12" spans="1:25" x14ac:dyDescent="0.2">
      <c r="H12" s="7" t="str">
        <f>IF(TRUE,"1403","LI(3,0)")</f>
        <v>1403</v>
      </c>
      <c r="I12" s="7" t="str">
        <f>IF(TRUE,"Gift Aid Receivable","LI(3,1)")</f>
        <v>Gift Aid Receivable</v>
      </c>
      <c r="K12" s="7" t="str">
        <f>IF(TRUE,"GOV","LI(3,0)")</f>
        <v>GOV</v>
      </c>
      <c r="L12" s="7" t="str">
        <f>IF(TRUE,"Governance","LI(3,1)")</f>
        <v>Governance</v>
      </c>
      <c r="N12" s="5" t="str">
        <f>IF(TRUE,"CIF01","LI(7,0)")</f>
        <v>CIF01</v>
      </c>
      <c r="O12" s="5" t="str">
        <f>IF(TRUE,"CIFF ETH Technical Assistance","LI(7,1)")</f>
        <v>CIFF ETH Technical Assistance</v>
      </c>
      <c r="P12" s="266" t="str">
        <f>HLOOKUP(N12,'P&amp;L by Award'!$2:$2,1,FALSE)</f>
        <v>CIF01</v>
      </c>
      <c r="R12" s="5" t="str">
        <f>IF(TRUE,"COR","LI(7,0)")</f>
        <v>COR</v>
      </c>
      <c r="S12" s="5" t="str">
        <f>IF(TRUE,"Consortium Operational Research COR-NTDs","LI(7,1)")</f>
        <v>Consortium Operational Research COR-NTDs</v>
      </c>
      <c r="U12" s="5" t="str">
        <f>IF(TRUE,"ETH01","LI(7,0)")</f>
        <v>ETH01</v>
      </c>
      <c r="V12" s="5" t="str">
        <f>IF(TRUE,"FMOH Ethiopia","LI(7,1)")</f>
        <v>FMOH Ethiopia</v>
      </c>
    </row>
    <row r="13" spans="1:25" x14ac:dyDescent="0.2">
      <c r="A13" t="s">
        <v>439</v>
      </c>
      <c r="B13" s="157">
        <v>44286</v>
      </c>
      <c r="H13" s="7" t="str">
        <f>IF(TRUE,"1405","LI(4,0)")</f>
        <v>1405</v>
      </c>
      <c r="I13" s="7" t="str">
        <f>IF(TRUE,"Deposits Paid","LI(4,1)")</f>
        <v>Deposits Paid</v>
      </c>
      <c r="K13" s="7" t="str">
        <f>IF(TRUE,"MER","LI(4,0)")</f>
        <v>MER</v>
      </c>
      <c r="L13" s="7" t="str">
        <f>IF(TRUE,"MER Team","LI(4,1)")</f>
        <v>MER Team</v>
      </c>
      <c r="N13" s="5" t="str">
        <f>IF(TRUE,"DUMY","LI(8,0)")</f>
        <v>DUMY</v>
      </c>
      <c r="O13" s="5" t="str">
        <f>IF(TRUE,"Account for revaluation","LI(8,1)")</f>
        <v>Account for revaluation</v>
      </c>
      <c r="P13" s="266" t="e">
        <f>HLOOKUP(N13,'P&amp;L by Award'!$2:$2,1,FALSE)</f>
        <v>#N/A</v>
      </c>
      <c r="R13" s="5" t="str">
        <f>IF(TRUE,"DEU","LI(8,0)")</f>
        <v>DEU</v>
      </c>
      <c r="S13" s="5" t="str">
        <f>IF(TRUE,"Germany","LI(8,1)")</f>
        <v>Germany</v>
      </c>
      <c r="U13" s="5" t="str">
        <f>IF(TRUE,"IMA","LI(8,0)")</f>
        <v>IMA</v>
      </c>
      <c r="V13" s="5" t="str">
        <f>IF(TRUE,"IMA World Health ","LI(8,1)")</f>
        <v xml:space="preserve">IMA World Health </v>
      </c>
    </row>
    <row r="14" spans="1:25" x14ac:dyDescent="0.2">
      <c r="A14" t="s">
        <v>441</v>
      </c>
      <c r="B14" t="str">
        <f>TEXT(B$13,"dd mmmm yyyy")</f>
        <v>31 March 2021</v>
      </c>
      <c r="H14" s="7" t="str">
        <f>IF(TRUE,"1450","LI(5,0)")</f>
        <v>1450</v>
      </c>
      <c r="I14" s="7" t="str">
        <f>IF(TRUE,"Prepayments","LI(5,1)")</f>
        <v>Prepayments</v>
      </c>
      <c r="K14" s="7" t="str">
        <f>IF(TRUE,"OFF","LI(5,0)")</f>
        <v>OFF</v>
      </c>
      <c r="L14" s="7" t="str">
        <f>IF(TRUE,"Office Running","LI(5,1)")</f>
        <v>Office Running</v>
      </c>
      <c r="N14" s="5" t="str">
        <f>IF(TRUE,"END01","LI(9,0)")</f>
        <v>END01</v>
      </c>
      <c r="O14" s="5" t="str">
        <f>IF(TRUE,"End Fund Deworming in Madagascar","LI(9,1)")</f>
        <v>End Fund Deworming in Madagascar</v>
      </c>
      <c r="P14" s="266" t="str">
        <f>HLOOKUP(N14,'P&amp;L by Award'!$2:$2,1,FALSE)</f>
        <v>END01</v>
      </c>
      <c r="R14" s="5" t="str">
        <f>IF(TRUE,"EAC","LI(9,0)")</f>
        <v>EAC</v>
      </c>
      <c r="S14" s="5" t="str">
        <f>IF(TRUE,"Effective Altruism Conferences","LI(9,1)")</f>
        <v>Effective Altruism Conferences</v>
      </c>
      <c r="U14" s="5" t="str">
        <f>IF(TRUE,"ISP01","LI(9,0)")</f>
        <v>ISP01</v>
      </c>
      <c r="V14" s="5" t="str">
        <f>IF(TRUE,"Institut de la Sante Publique","LI(9,1)")</f>
        <v>Institut de la Sante Publique</v>
      </c>
    </row>
    <row r="15" spans="1:25" x14ac:dyDescent="0.2">
      <c r="A15" t="s">
        <v>445</v>
      </c>
      <c r="B15" t="str">
        <f>TEXT(B$13,"mmm-yy")</f>
        <v>Mar-21</v>
      </c>
      <c r="H15" s="7" t="str">
        <f>IF(TRUE,"1451","LI(6,0)")</f>
        <v>1451</v>
      </c>
      <c r="I15" s="7" t="str">
        <f>IF(TRUE,"Accrued Income","LI(6,1)")</f>
        <v>Accrued Income</v>
      </c>
      <c r="K15" s="7" t="str">
        <f>IF(TRUE,"PAC","LI(6,0)")</f>
        <v>PAC</v>
      </c>
      <c r="L15" s="7" t="str">
        <f>IF(TRUE,"Partnership and Communications","LI(6,1)")</f>
        <v>Partnership and Communications</v>
      </c>
      <c r="N15" s="5" t="str">
        <f>IF(TRUE,"END02","LI(10,0)")</f>
        <v>END02</v>
      </c>
      <c r="O15" s="5" t="str">
        <f>IF(TRUE,"End Fund ETH Parameter Validation Survey","LI(10,1)")</f>
        <v>End Fund ETH Parameter Validation Survey</v>
      </c>
      <c r="P15" s="266" t="str">
        <f>HLOOKUP(N15,'P&amp;L by Award'!$2:$2,1,FALSE)</f>
        <v>END02</v>
      </c>
      <c r="R15" s="5" t="str">
        <f>IF(TRUE,"ECT","LI(10,0)")</f>
        <v>ECT</v>
      </c>
      <c r="S15" s="5" t="str">
        <f>IF(TRUE,"ECTMIH","LI(10,1)")</f>
        <v>ECTMIH</v>
      </c>
      <c r="U15" s="5" t="str">
        <f>IF(TRUE,"LBR01","LI(10,0)")</f>
        <v>LBR01</v>
      </c>
      <c r="V15" s="5" t="str">
        <f>IF(TRUE,"MOH Liberia ","LI(10,1)")</f>
        <v xml:space="preserve">MOH Liberia </v>
      </c>
    </row>
    <row r="16" spans="1:25" x14ac:dyDescent="0.2">
      <c r="A16" t="s">
        <v>445</v>
      </c>
      <c r="B16" t="str">
        <f>TEXT(B$13,"dd-mmm-yy")</f>
        <v>31-Mar-21</v>
      </c>
      <c r="H16" s="7" t="str">
        <f>IF(TRUE,"1452","LI(7,0)")</f>
        <v>1452</v>
      </c>
      <c r="I16" s="7" t="str">
        <f>IF(TRUE,"Accrued Income EUR","LI(7,1)")</f>
        <v>Accrued Income EUR</v>
      </c>
      <c r="K16" s="7" t="str">
        <f>IF(TRUE,"PDE","LI(7,0)")</f>
        <v>PDE</v>
      </c>
      <c r="L16" s="7" t="str">
        <f>IF(TRUE,"Personal Development","LI(7,1)")</f>
        <v>Personal Development</v>
      </c>
      <c r="N16" s="5" t="str">
        <f>IF(TRUE,"END03","LI(11,0)")</f>
        <v>END03</v>
      </c>
      <c r="O16" s="5" t="str">
        <f>IF(TRUE,"End Fund DIF Support (consulting)","LI(11,1)")</f>
        <v>End Fund DIF Support (consulting)</v>
      </c>
      <c r="P16" s="266" t="str">
        <f>HLOOKUP(N16,'P&amp;L by Award'!$2:$2,1,FALSE)</f>
        <v>END03</v>
      </c>
      <c r="R16" s="5" t="str">
        <f>IF(TRUE,"ESP","LI(11,0)")</f>
        <v>ESP</v>
      </c>
      <c r="S16" s="5" t="str">
        <f>IF(TRUE,"ESPEN","LI(11,1)")</f>
        <v>ESPEN</v>
      </c>
      <c r="U16" s="5" t="str">
        <f>IF(TRUE,"MDG01","LI(11,0)")</f>
        <v>MDG01</v>
      </c>
      <c r="V16" s="5" t="str">
        <f>IF(TRUE,"RISEAL Madagascar","LI(11,1)")</f>
        <v>RISEAL Madagascar</v>
      </c>
    </row>
    <row r="17" spans="1:22" x14ac:dyDescent="0.2">
      <c r="A17" t="s">
        <v>440</v>
      </c>
      <c r="B17" s="158">
        <f>MONTH(B13)+9</f>
        <v>12</v>
      </c>
      <c r="H17" s="266" t="str">
        <f>IF(TRUE,"1452","LI(7,0)")</f>
        <v>1452</v>
      </c>
      <c r="I17" s="266" t="str">
        <f>IF(TRUE,"Accrued Income EUR","LI(7,1)")</f>
        <v>Accrued Income EUR</v>
      </c>
      <c r="K17" s="266" t="str">
        <f>IF(TRUE,"PDE","LI(7,0)")</f>
        <v>PDE</v>
      </c>
      <c r="L17" s="266" t="str">
        <f>IF(TRUE,"Personal Development","LI(7,1)")</f>
        <v>Personal Development</v>
      </c>
      <c r="N17" s="5" t="str">
        <f>IF(TRUE,"END04","LI(12,0)")</f>
        <v>END04</v>
      </c>
      <c r="O17" s="5" t="str">
        <f>IF(TRUE,"End Fund ETH Reassessment Mapping Phase2","LI(12,1)")</f>
        <v>End Fund ETH Reassessment Mapping Phase2</v>
      </c>
      <c r="P17" s="266" t="e">
        <f>HLOOKUP(N17,'P&amp;L by Award'!$2:$2,1,FALSE)</f>
        <v>#N/A</v>
      </c>
      <c r="R17" s="5" t="str">
        <f>IF(TRUE,"ETH","LI(12,0)")</f>
        <v>ETH</v>
      </c>
      <c r="S17" s="5" t="str">
        <f>IF(TRUE,"Ethiopia","LI(12,1)")</f>
        <v>Ethiopia</v>
      </c>
      <c r="U17" s="5" t="str">
        <f>IF(TRUE,"MDG02","LI(12,0)")</f>
        <v>MDG02</v>
      </c>
      <c r="V17" s="5" t="str">
        <f>IF(TRUE,"SLMEN Madagascar","LI(12,1)")</f>
        <v>SLMEN Madagascar</v>
      </c>
    </row>
    <row r="18" spans="1:22" x14ac:dyDescent="0.2">
      <c r="H18" s="7" t="str">
        <f>IF(TRUE,"1453","LI(8,0)")</f>
        <v>1453</v>
      </c>
      <c r="I18" s="7" t="str">
        <f>IF(TRUE,"Accrued Income USD","LI(8,1)")</f>
        <v>Accrued Income USD</v>
      </c>
      <c r="K18" s="7" t="str">
        <f>IF(TRUE,"PRD","LI(8,0)")</f>
        <v>PRD</v>
      </c>
      <c r="L18" s="7" t="str">
        <f>IF(TRUE,"Programme Delivery Team","LI(8,1)")</f>
        <v>Programme Delivery Team</v>
      </c>
      <c r="N18" s="5" t="str">
        <f>IF(TRUE,"KIT01","LI(13,0)")</f>
        <v>KIT01</v>
      </c>
      <c r="O18" s="5" t="str">
        <f>IF(TRUE,"KIT Uganda WASH Tech Assistance 2020","LI(13,1)")</f>
        <v>KIT Uganda WASH Tech Assistance 2020</v>
      </c>
      <c r="P18" s="266" t="str">
        <f>HLOOKUP(N18,'P&amp;L by Award'!$2:$2,1,FALSE)</f>
        <v>KIT01</v>
      </c>
      <c r="R18" s="5" t="str">
        <f>IF(TRUE,"EUR","LI(13,0)")</f>
        <v>EUR</v>
      </c>
      <c r="S18" s="5" t="str">
        <f>IF(TRUE,"Europe - Other","LI(13,1)")</f>
        <v>Europe - Other</v>
      </c>
      <c r="U18" s="5" t="str">
        <f>IF(TRUE,"MRT01","LI(13,0)")</f>
        <v>MRT01</v>
      </c>
      <c r="V18" s="5" t="str">
        <f>IF(TRUE,"MOH Mauritania","LI(13,1)")</f>
        <v>MOH Mauritania</v>
      </c>
    </row>
    <row r="19" spans="1:22" x14ac:dyDescent="0.2">
      <c r="A19" t="s">
        <v>495</v>
      </c>
      <c r="B19" s="270" t="s">
        <v>522</v>
      </c>
      <c r="H19" s="7" t="str">
        <f>IF(TRUE,"1521","LI(9,0)")</f>
        <v>1521</v>
      </c>
      <c r="I19" s="7" t="str">
        <f>IF(TRUE,"Staff Travel Advances","LI(9,1)")</f>
        <v>Staff Travel Advances</v>
      </c>
      <c r="K19" s="7" t="str">
        <f>IF(TRUE,"PRG","LI(9,0)")</f>
        <v>PRG</v>
      </c>
      <c r="L19" s="7" t="str">
        <f>IF(TRUE,"Programme Costs","LI(9,1)")</f>
        <v>Programme Costs</v>
      </c>
      <c r="N19" s="5" t="str">
        <f>IF(TRUE,"MER01","LI(14,0)")</f>
        <v>MER01</v>
      </c>
      <c r="O19" s="5" t="str">
        <f>IF(TRUE,"Merck funding Katharina Khole Consulting","LI(14,1)")</f>
        <v>Merck funding Katharina Khole Consulting</v>
      </c>
      <c r="P19" s="266" t="str">
        <f>HLOOKUP(N19,'P&amp;L by Award'!$2:$2,1,FALSE)</f>
        <v>MER01</v>
      </c>
      <c r="R19" s="5" t="str">
        <f>IF(TRUE,"GBR","LI(14,0)")</f>
        <v>GBR</v>
      </c>
      <c r="S19" s="5" t="str">
        <f>IF(TRUE,"United Kingdom","LI(14,1)")</f>
        <v>United Kingdom</v>
      </c>
      <c r="U19" s="5" t="str">
        <f>IF(TRUE,"NER01","LI(14,0)")</f>
        <v>NER01</v>
      </c>
      <c r="V19" s="5" t="str">
        <f>IF(TRUE,"Ministere de la Sante Publique, Niger ","LI(14,1)")</f>
        <v xml:space="preserve">Ministere de la Sante Publique, Niger </v>
      </c>
    </row>
    <row r="20" spans="1:22" x14ac:dyDescent="0.2">
      <c r="H20" s="7" t="str">
        <f>IF(TRUE,"1540","LI(10,0)")</f>
        <v>1540</v>
      </c>
      <c r="I20" s="7" t="str">
        <f>IF(TRUE,"Sundry Debtors","LI(10,1)")</f>
        <v>Sundry Debtors</v>
      </c>
      <c r="K20" s="7" t="str">
        <f>IF(TRUE,"SUP","LI(10,0)")</f>
        <v>SUP</v>
      </c>
      <c r="L20" s="7" t="str">
        <f>IF(TRUE,"Start-up Costs","LI(10,1)")</f>
        <v>Start-up Costs</v>
      </c>
      <c r="N20" s="5" t="str">
        <f>IF(TRUE,"PPC01","LI(15,0)")</f>
        <v>PPC01</v>
      </c>
      <c r="O20" s="5" t="str">
        <f>IF(TRUE,"Pediatric PZQ Consortium GHIT IV Grant","LI(15,1)")</f>
        <v>Pediatric PZQ Consortium GHIT IV Grant</v>
      </c>
      <c r="P20" s="266" t="str">
        <f>HLOOKUP(N20,'P&amp;L by Award'!$2:$2,1,FALSE)</f>
        <v>PPC01</v>
      </c>
      <c r="R20" s="5" t="str">
        <f>IF(TRUE,"LBR","LI(15,0)")</f>
        <v>LBR</v>
      </c>
      <c r="S20" s="5" t="str">
        <f>IF(TRUE,"Liberia","LI(15,1)")</f>
        <v>Liberia</v>
      </c>
      <c r="U20" s="5" t="str">
        <f>IF(TRUE,"PHL01","LI(15,0)")</f>
        <v>PHL01</v>
      </c>
      <c r="V20" s="5" t="str">
        <f>IF(TRUE,"Public Health Laboratory-IdC","LI(15,1)")</f>
        <v>Public Health Laboratory-IdC</v>
      </c>
    </row>
    <row r="21" spans="1:22" x14ac:dyDescent="0.2">
      <c r="H21" s="7" t="str">
        <f>IF(TRUE,"1700","LI(11,0)")</f>
        <v>1700</v>
      </c>
      <c r="I21" s="7" t="str">
        <f>IF(TRUE,"Current Account GBP","LI(11,1)")</f>
        <v>Current Account GBP</v>
      </c>
      <c r="N21" s="5" t="str">
        <f>IF(TRUE,"PPC02","LI(16,0)")</f>
        <v>PPC02</v>
      </c>
      <c r="O21" s="5" t="str">
        <f>IF(TRUE,"Pediatric PZQ Consortium GHIT V Grant ","LI(16,1)")</f>
        <v xml:space="preserve">Pediatric PZQ Consortium GHIT V Grant </v>
      </c>
      <c r="P21" s="266" t="str">
        <f>HLOOKUP(N21,'P&amp;L by Award'!$2:$2,1,FALSE)</f>
        <v>PPC02</v>
      </c>
      <c r="R21" s="5" t="str">
        <f>IF(TRUE,"MAU","LI(16,0)")</f>
        <v>MAU</v>
      </c>
      <c r="S21" s="5" t="str">
        <f>IF(TRUE,"Mauritania","LI(16,1)")</f>
        <v>Mauritania</v>
      </c>
      <c r="U21" s="5" t="str">
        <f>IF(TRUE,"UGA01","LI(16,0)")</f>
        <v>UGA01</v>
      </c>
      <c r="V21" s="5" t="str">
        <f>IF(TRUE,"VCD Uganda MoH","LI(16,1)")</f>
        <v>VCD Uganda MoH</v>
      </c>
    </row>
    <row r="22" spans="1:22" x14ac:dyDescent="0.2">
      <c r="H22" s="266" t="str">
        <f>IF(TRUE,"1700","LI(11,0)")</f>
        <v>1700</v>
      </c>
      <c r="I22" s="266" t="str">
        <f>IF(TRUE,"Current Account GBP","LI(11,1)")</f>
        <v>Current Account GBP</v>
      </c>
      <c r="N22" s="5" t="str">
        <f>IF(TRUE,"PPC03","LI(17,0)")</f>
        <v>PPC03</v>
      </c>
      <c r="O22" s="5" t="str">
        <f>IF(TRUE,"Pediatric PZQ Consortium EDCTP Adopt","LI(17,1)")</f>
        <v>Pediatric PZQ Consortium EDCTP Adopt</v>
      </c>
      <c r="P22" s="266" t="str">
        <f>HLOOKUP(N22,'P&amp;L by Award'!$2:$2,1,FALSE)</f>
        <v>PPC03</v>
      </c>
      <c r="R22" s="5" t="str">
        <f>IF(TRUE,"MDG","LI(17,0)")</f>
        <v>MDG</v>
      </c>
      <c r="S22" s="5" t="str">
        <f>IF(TRUE,"Madagascar","LI(17,1)")</f>
        <v>Madagascar</v>
      </c>
      <c r="U22" s="5" t="str">
        <f>IF(TRUE,"ZNU01","LI(17,0)")</f>
        <v>ZNU01</v>
      </c>
      <c r="V22" s="5" t="str">
        <f>IF(TRUE,"MOH Zanzibar","LI(17,1)")</f>
        <v>MOH Zanzibar</v>
      </c>
    </row>
    <row r="23" spans="1:22" x14ac:dyDescent="0.2">
      <c r="H23" s="7" t="str">
        <f>IF(TRUE,"1701","LI(12,0)")</f>
        <v>1701</v>
      </c>
      <c r="I23" s="7" t="str">
        <f>IF(TRUE,"Current Account USD","LI(12,1)")</f>
        <v>Current Account USD</v>
      </c>
      <c r="N23" s="5" t="str">
        <f>IF(TRUE,"SVC01","LI(18,0)")</f>
        <v>SVC01</v>
      </c>
      <c r="O23" s="5" t="str">
        <f>IF(TRUE,"Silicon Valley Community Fdn 2019-20","LI(18,1)")</f>
        <v>Silicon Valley Community Fdn 2019-20</v>
      </c>
      <c r="P23" s="266" t="e">
        <f>HLOOKUP(N23,'P&amp;L by Award'!$2:$2,1,FALSE)</f>
        <v>#N/A</v>
      </c>
      <c r="R23" s="5" t="str">
        <f>IF(TRUE,"MOZ","LI(18,0)")</f>
        <v>MOZ</v>
      </c>
      <c r="S23" s="5" t="str">
        <f>IF(TRUE,"Mozambique","LI(18,1)")</f>
        <v>Mozambique</v>
      </c>
    </row>
    <row r="24" spans="1:22" x14ac:dyDescent="0.2">
      <c r="H24" s="7" t="str">
        <f>IF(TRUE,"1705","LI(13,0)")</f>
        <v>1705</v>
      </c>
      <c r="I24" s="7" t="str">
        <f>IF(TRUE,"Bank Deposit Account BPA","LI(13,1)")</f>
        <v>Bank Deposit Account BPA</v>
      </c>
      <c r="N24" s="5" t="str">
        <f>IF(TRUE,"TGH01","LI(19,0)")</f>
        <v>TGH01</v>
      </c>
      <c r="O24" s="5" t="str">
        <f>IF(TRUE,"FGS Preventive Treatment Pilot Study CIV","LI(19,1)")</f>
        <v>FGS Preventive Treatment Pilot Study CIV</v>
      </c>
      <c r="P24" s="266" t="str">
        <f>HLOOKUP(N24,'P&amp;L by Award'!$2:$2,1,FALSE)</f>
        <v>TGH01</v>
      </c>
      <c r="R24" s="5" t="str">
        <f>IF(TRUE,"MWI","LI(19,0)")</f>
        <v>MWI</v>
      </c>
      <c r="S24" s="5" t="str">
        <f>IF(TRUE,"Malawi","LI(19,1)")</f>
        <v>Malawi</v>
      </c>
    </row>
    <row r="25" spans="1:22" x14ac:dyDescent="0.2">
      <c r="H25" s="266" t="str">
        <f>IF(TRUE,"1705","LI(13,0)")</f>
        <v>1705</v>
      </c>
      <c r="I25" s="266" t="str">
        <f>IF(TRUE,"Bank Deposit Account BPA","LI(13,1)")</f>
        <v>Bank Deposit Account BPA</v>
      </c>
      <c r="N25" s="5" t="str">
        <f>IF(TRUE,"TGH02","LI(20,0)")</f>
        <v>TGH02</v>
      </c>
      <c r="O25" s="5" t="str">
        <f>IF(TRUE,"LVCT sub-grant FGS prevention","LI(20,1)")</f>
        <v>LVCT sub-grant FGS prevention</v>
      </c>
      <c r="P25" s="266" t="str">
        <f>HLOOKUP(N25,'P&amp;L by Award'!$2:$2,1,FALSE)</f>
        <v>TGH02</v>
      </c>
      <c r="R25" s="5" t="str">
        <f>IF(TRUE,"NER","LI(20,0)")</f>
        <v>NER</v>
      </c>
      <c r="S25" s="5" t="str">
        <f>IF(TRUE,"Niger","LI(20,1)")</f>
        <v>Niger</v>
      </c>
    </row>
    <row r="26" spans="1:22" x14ac:dyDescent="0.2">
      <c r="H26" s="7" t="str">
        <f>IF(TRUE,"1798","LI(15,0)")</f>
        <v>1798</v>
      </c>
      <c r="I26" s="7" t="str">
        <f>IF(TRUE,"Payment Run Clearing Account","LI(15,1)")</f>
        <v>Payment Run Clearing Account</v>
      </c>
      <c r="N26" s="5" t="str">
        <f>IF(TRUE,"TGH03","LI(21,0)")</f>
        <v>TGH03</v>
      </c>
      <c r="O26" s="5" t="str">
        <f>IF(TRUE,"NTDSC M&amp;E Framework White Paper","LI(21,1)")</f>
        <v>NTDSC M&amp;E Framework White Paper</v>
      </c>
      <c r="P26" s="266" t="str">
        <f>HLOOKUP(N26,'P&amp;L by Award'!$2:$2,1,FALSE)</f>
        <v>TGH03</v>
      </c>
      <c r="R26" s="5" t="str">
        <f>IF(TRUE,"NGA","LI(21,0)")</f>
        <v>NGA</v>
      </c>
      <c r="S26" s="5" t="str">
        <f>IF(TRUE,"Nigeria","LI(21,1)")</f>
        <v>Nigeria</v>
      </c>
    </row>
    <row r="27" spans="1:22" x14ac:dyDescent="0.2">
      <c r="H27" s="7" t="str">
        <f>IF(TRUE,"1799","LI(16,0)")</f>
        <v>1799</v>
      </c>
      <c r="I27" s="7" t="str">
        <f>IF(TRUE,"Paying In Control","LI(16,1)")</f>
        <v>Paying In Control</v>
      </c>
      <c r="N27" s="5" t="str">
        <f>IF(TRUE,"UNR01","LI(22,0)")</f>
        <v>UNR01</v>
      </c>
      <c r="O27" s="5" t="str">
        <f>IF(TRUE,"Unrestricted","LI(22,1)")</f>
        <v>Unrestricted</v>
      </c>
      <c r="P27" s="266" t="str">
        <f>HLOOKUP(N27,'P&amp;L by Award'!$2:$2,1,FALSE)</f>
        <v>UNR01</v>
      </c>
      <c r="R27" s="5" t="str">
        <f>IF(TRUE,"NNN","LI(22,0)")</f>
        <v>NNN</v>
      </c>
      <c r="S27" s="5" t="str">
        <f>IF(TRUE,"NTD NGO Network Conference","LI(22,1)")</f>
        <v>NTD NGO Network Conference</v>
      </c>
    </row>
    <row r="28" spans="1:22" x14ac:dyDescent="0.2">
      <c r="H28" s="7" t="str">
        <f>IF(TRUE,"2000","LI(17,0)")</f>
        <v>2000</v>
      </c>
      <c r="I28" s="7" t="str">
        <f>IF(TRUE,"Creditors Control Account","LI(17,1)")</f>
        <v>Creditors Control Account</v>
      </c>
      <c r="N28" s="5" t="str">
        <f>IF(TRUE,"UNR02","LI(23,0)")</f>
        <v>UNR02</v>
      </c>
      <c r="O28" s="5" t="str">
        <f>IF(TRUE,"UGA VCD Transitional Funding","LI(23,1)")</f>
        <v>UGA VCD Transitional Funding</v>
      </c>
      <c r="P28" s="266" t="str">
        <f>HLOOKUP(N28,'P&amp;L by Award'!$2:$2,1,FALSE)</f>
        <v>UNR02</v>
      </c>
      <c r="R28" s="5" t="str">
        <f>IF(TRUE,"NOR","LI(23,0)")</f>
        <v>NOR</v>
      </c>
      <c r="S28" s="5" t="str">
        <f>IF(TRUE,"Norway","LI(23,1)")</f>
        <v>Norway</v>
      </c>
    </row>
    <row r="29" spans="1:22" x14ac:dyDescent="0.2">
      <c r="H29" s="7" t="str">
        <f>IF(TRUE,"2100","LI(18,0)")</f>
        <v>2100</v>
      </c>
      <c r="I29" s="7" t="str">
        <f>IF(TRUE,"Employee Expenses Control Account","LI(18,1)")</f>
        <v>Employee Expenses Control Account</v>
      </c>
      <c r="N29" s="5" t="str">
        <f>IF(TRUE,"UNR03","LI(24,0)")</f>
        <v>UNR03</v>
      </c>
      <c r="O29" s="5" t="str">
        <f>IF(TRUE,"CIV 2019-20 Bocanda &amp; Mankono STH","LI(24,1)")</f>
        <v>CIV 2019-20 Bocanda &amp; Mankono STH</v>
      </c>
      <c r="P29" s="266" t="str">
        <f>HLOOKUP(N29,'P&amp;L by Award'!$2:$2,1,FALSE)</f>
        <v>UNR03</v>
      </c>
      <c r="R29" s="5" t="str">
        <f>IF(TRUE,"NZL","LI(24,0)")</f>
        <v>NZL</v>
      </c>
      <c r="S29" s="5" t="str">
        <f>IF(TRUE,"New Zealand","LI(24,1)")</f>
        <v>New Zealand</v>
      </c>
    </row>
    <row r="30" spans="1:22" x14ac:dyDescent="0.2">
      <c r="H30" s="7" t="str">
        <f>IF(TRUE,"2201","LI(19,0)")</f>
        <v>2201</v>
      </c>
      <c r="I30" s="7" t="str">
        <f>IF(TRUE,"Output VAT Control","LI(19,1)")</f>
        <v>Output VAT Control</v>
      </c>
      <c r="N30" s="5" t="str">
        <f>IF(TRUE,"UNR04","LI(25,0)")</f>
        <v>UNR04</v>
      </c>
      <c r="O30" s="5" t="str">
        <f>IF(TRUE,"MRT Programme from 2019","LI(25,1)")</f>
        <v>MRT Programme from 2019</v>
      </c>
      <c r="P30" s="266" t="str">
        <f>HLOOKUP(N30,'P&amp;L by Award'!$2:$2,1,FALSE)</f>
        <v>UNR04</v>
      </c>
      <c r="R30" s="5" t="str">
        <f>IF(TRUE,"OTH","LI(25,0)")</f>
        <v>OTH</v>
      </c>
      <c r="S30" s="5" t="str">
        <f>IF(TRUE,"Other Conferences &amp; Meetings","LI(25,1)")</f>
        <v>Other Conferences &amp; Meetings</v>
      </c>
    </row>
    <row r="31" spans="1:22" x14ac:dyDescent="0.2">
      <c r="H31" s="7" t="str">
        <f>IF(TRUE,"2202","LI(20,0)")</f>
        <v>2202</v>
      </c>
      <c r="I31" s="7" t="str">
        <f>IF(TRUE,"Input VAT Control","LI(20,1)")</f>
        <v>Input VAT Control</v>
      </c>
      <c r="N31" s="5" t="str">
        <f>IF(TRUE,"UNR05","LI(26,0)")</f>
        <v>UNR05</v>
      </c>
      <c r="O31" s="5" t="str">
        <f>IF(TRUE,"ETH Programme from 2019","LI(26,1)")</f>
        <v>ETH Programme from 2019</v>
      </c>
      <c r="P31" s="266" t="str">
        <f>HLOOKUP(N31,'P&amp;L by Award'!$2:$2,1,FALSE)</f>
        <v>UNR05</v>
      </c>
      <c r="R31" s="5" t="str">
        <f>IF(TRUE,"PPC","LI(26,0)")</f>
        <v>PPC</v>
      </c>
      <c r="S31" s="5" t="str">
        <f>IF(TRUE,"Pediatric Praziquantel Consortium","LI(26,1)")</f>
        <v>Pediatric Praziquantel Consortium</v>
      </c>
    </row>
    <row r="32" spans="1:22" x14ac:dyDescent="0.2">
      <c r="H32" s="7" t="str">
        <f>IF(TRUE,"2203","LI(21,0)")</f>
        <v>2203</v>
      </c>
      <c r="I32" s="7" t="str">
        <f>IF(TRUE,"VAT Liability","LI(21,1)")</f>
        <v>VAT Liability</v>
      </c>
      <c r="N32" s="5" t="str">
        <f>IF(TRUE,"UNR06","LI(27,0)")</f>
        <v>UNR06</v>
      </c>
      <c r="O32" s="5" t="str">
        <f>IF(TRUE,"BDI Programme from 2020","LI(27,1)")</f>
        <v>BDI Programme from 2020</v>
      </c>
      <c r="P32" s="266" t="str">
        <f>HLOOKUP(N32,'P&amp;L by Award'!$2:$2,1,FALSE)</f>
        <v>UNR06</v>
      </c>
      <c r="R32" s="5" t="str">
        <f>IF(TRUE,"SCI","LI(27,0)")</f>
        <v>SCI</v>
      </c>
      <c r="S32" s="5" t="str">
        <f>IF(TRUE,"SCI Team Meetings","LI(27,1)")</f>
        <v>SCI Team Meetings</v>
      </c>
    </row>
    <row r="33" spans="8:19" x14ac:dyDescent="0.2">
      <c r="H33" s="7" t="str">
        <f>IF(TRUE,"2204","LI(22,0)")</f>
        <v>2204</v>
      </c>
      <c r="I33" s="7" t="str">
        <f>IF(TRUE,"Reverse Charge Output VAT","LI(22,1)")</f>
        <v>Reverse Charge Output VAT</v>
      </c>
      <c r="N33" s="5" t="str">
        <f>IF(TRUE,"UNR07","LI(28,0)")</f>
        <v>UNR07</v>
      </c>
      <c r="O33" s="5" t="str">
        <f>IF(TRUE,"MWI Programme from 2020","LI(28,1)")</f>
        <v>MWI Programme from 2020</v>
      </c>
      <c r="P33" s="266" t="str">
        <f>HLOOKUP(N33,'P&amp;L by Award'!$2:$2,1,FALSE)</f>
        <v>UNR07</v>
      </c>
      <c r="R33" s="5" t="str">
        <f>IF(TRUE,"SDN","LI(28,0)")</f>
        <v>SDN</v>
      </c>
      <c r="S33" s="5" t="str">
        <f>IF(TRUE,"Sudan","LI(28,1)")</f>
        <v>Sudan</v>
      </c>
    </row>
    <row r="34" spans="8:19" x14ac:dyDescent="0.2">
      <c r="H34" s="7" t="str">
        <f>IF(TRUE,"2205","LI(23,0)")</f>
        <v>2205</v>
      </c>
      <c r="I34" s="7" t="str">
        <f>IF(TRUE,"Reverse Charge Input VAT","LI(23,1)")</f>
        <v>Reverse Charge Input VAT</v>
      </c>
      <c r="N34" s="5" t="str">
        <f>IF(TRUE,"UNR08","LI(29,0)")</f>
        <v>UNR08</v>
      </c>
      <c r="O34" s="5" t="str">
        <f>IF(TRUE,"ZNZ Pemba Programme from 2019","LI(29,1)")</f>
        <v>ZNZ Pemba Programme from 2019</v>
      </c>
      <c r="P34" s="266" t="str">
        <f>HLOOKUP(N34,'P&amp;L by Award'!$2:$2,1,FALSE)</f>
        <v>UNR08</v>
      </c>
      <c r="R34" s="5" t="str">
        <f>IF(TRUE,"TZA","LI(29,0)")</f>
        <v>TZA</v>
      </c>
      <c r="S34" s="5" t="str">
        <f>IF(TRUE,"Tanzania","LI(29,1)")</f>
        <v>Tanzania</v>
      </c>
    </row>
    <row r="35" spans="8:19" x14ac:dyDescent="0.2">
      <c r="H35" s="7" t="str">
        <f>IF(TRUE,"2210","LI(24,0)")</f>
        <v>2210</v>
      </c>
      <c r="I35" s="7" t="str">
        <f>IF(TRUE,"VAT Adjustments","LI(24,1)")</f>
        <v>VAT Adjustments</v>
      </c>
      <c r="N35" s="5" t="str">
        <f>IF(TRUE,"UNR09","LI(30,0)")</f>
        <v>UNR09</v>
      </c>
      <c r="O35" s="5" t="str">
        <f>IF(TRUE,"ZNZ Unguja Programme from 2019","LI(30,1)")</f>
        <v>ZNZ Unguja Programme from 2019</v>
      </c>
      <c r="P35" s="266" t="str">
        <f>HLOOKUP(N35,'P&amp;L by Award'!$2:$2,1,FALSE)</f>
        <v>UNR09</v>
      </c>
      <c r="R35" s="5" t="str">
        <f>IF(TRUE,"UGA","LI(30,0)")</f>
        <v>UGA</v>
      </c>
      <c r="S35" s="5" t="str">
        <f>IF(TRUE,"Uganda","LI(30,1)")</f>
        <v>Uganda</v>
      </c>
    </row>
    <row r="36" spans="8:19" x14ac:dyDescent="0.2">
      <c r="H36" s="7" t="str">
        <f>IF(TRUE,"2240","LI(25,0)")</f>
        <v>2240</v>
      </c>
      <c r="I36" s="7" t="str">
        <f>IF(TRUE,"Salaries Control","LI(25,1)")</f>
        <v>Salaries Control</v>
      </c>
      <c r="N36" s="5" t="str">
        <f>IF(TRUE,"UNR10","LI(31,0)")</f>
        <v>UNR10</v>
      </c>
      <c r="O36" s="5" t="str">
        <f>IF(TRUE,"UGA Programme from 2019","LI(31,1)")</f>
        <v>UGA Programme from 2019</v>
      </c>
      <c r="P36" s="266" t="str">
        <f>HLOOKUP(N36,'P&amp;L by Award'!$2:$2,1,FALSE)</f>
        <v>UNR10</v>
      </c>
      <c r="R36" s="5" t="str">
        <f>IF(TRUE,"USA","LI(31,0)")</f>
        <v>USA</v>
      </c>
      <c r="S36" s="5" t="str">
        <f>IF(TRUE,"United States","LI(31,1)")</f>
        <v>United States</v>
      </c>
    </row>
    <row r="37" spans="8:19" x14ac:dyDescent="0.2">
      <c r="H37" s="266" t="str">
        <f>IF(TRUE,"2240","LI(25,0)")</f>
        <v>2240</v>
      </c>
      <c r="I37" s="266" t="str">
        <f>IF(TRUE,"Salaries Control","LI(25,1)")</f>
        <v>Salaries Control</v>
      </c>
      <c r="N37" s="5" t="str">
        <f>IF(TRUE,"UNR11","LI(32,0)")</f>
        <v>UNR11</v>
      </c>
      <c r="O37" s="5" t="str">
        <f>IF(TRUE,"MDG Programme from 2020","LI(32,1)")</f>
        <v>MDG Programme from 2020</v>
      </c>
      <c r="P37" s="266" t="str">
        <f>HLOOKUP(N37,'P&amp;L by Award'!$2:$2,1,FALSE)</f>
        <v>UNR11</v>
      </c>
      <c r="R37" s="5" t="str">
        <f>IF(TRUE,"WHA","LI(32,0)")</f>
        <v>WHA</v>
      </c>
      <c r="S37" s="5" t="str">
        <f>IF(TRUE,"World Health Assembly","LI(32,1)")</f>
        <v>World Health Assembly</v>
      </c>
    </row>
    <row r="38" spans="8:19" x14ac:dyDescent="0.2">
      <c r="H38" s="7" t="str">
        <f>IF(TRUE,"2250","LI(26,0)")</f>
        <v>2250</v>
      </c>
      <c r="I38" s="7" t="str">
        <f>IF(TRUE,"PAYE &amp; NI","LI(26,1)")</f>
        <v>PAYE &amp; NI</v>
      </c>
      <c r="N38" s="5" t="str">
        <f>IF(TRUE,"UNR12","LI(33,0)")</f>
        <v>UNR12</v>
      </c>
      <c r="O38" s="5" t="str">
        <f>IF(TRUE,"TZA Programme from 2020","LI(33,1)")</f>
        <v>TZA Programme from 2020</v>
      </c>
      <c r="P38" s="266" t="str">
        <f>HLOOKUP(N38,'P&amp;L by Award'!$2:$2,1,FALSE)</f>
        <v>UNR12</v>
      </c>
      <c r="R38" s="5" t="str">
        <f>IF(TRUE,"WHO","LI(33,0)")</f>
        <v>WHO</v>
      </c>
      <c r="S38" s="5" t="str">
        <f>IF(TRUE,"Other WHO Meetings","LI(33,1)")</f>
        <v>Other WHO Meetings</v>
      </c>
    </row>
    <row r="39" spans="8:19" x14ac:dyDescent="0.2">
      <c r="H39" s="7" t="str">
        <f>IF(TRUE,"2410","LI(28,0)")</f>
        <v>2410</v>
      </c>
      <c r="I39" s="7" t="str">
        <f>IF(TRUE,"Deferred Income","LI(28,1)")</f>
        <v>Deferred Income</v>
      </c>
      <c r="P39" s="266"/>
      <c r="R39" s="5" t="str">
        <f>IF(TRUE,"WHS","LI(34,0)")</f>
        <v>WHS</v>
      </c>
      <c r="S39" s="5" t="str">
        <f>IF(TRUE,"World Health Summit","LI(34,1)")</f>
        <v>World Health Summit</v>
      </c>
    </row>
    <row r="40" spans="8:19" x14ac:dyDescent="0.2">
      <c r="H40" s="7" t="str">
        <f>IF(TRUE,"2411","LI(29,0)")</f>
        <v>2411</v>
      </c>
      <c r="I40" s="7" t="str">
        <f>IF(TRUE,"Grant Income Received in Advance","LI(29,1)")</f>
        <v>Grant Income Received in Advance</v>
      </c>
      <c r="P40" s="7"/>
      <c r="R40" s="5" t="str">
        <f>IF(TRUE,"WWW","LI(35,0)")</f>
        <v>WWW</v>
      </c>
      <c r="S40" s="5" t="str">
        <f>IF(TRUE,"World Water Week","LI(35,1)")</f>
        <v>World Water Week</v>
      </c>
    </row>
    <row r="41" spans="8:19" x14ac:dyDescent="0.2">
      <c r="H41" s="7" t="str">
        <f>IF(TRUE,"2412","LI(30,0)")</f>
        <v>2412</v>
      </c>
      <c r="I41" s="7" t="str">
        <f>IF(TRUE,"Contract Income Received in Advance","LI(30,1)")</f>
        <v>Contract Income Received in Advance</v>
      </c>
      <c r="R41" s="5" t="str">
        <f>IF(TRUE,"ZMB","LI(36,0)")</f>
        <v>ZMB</v>
      </c>
      <c r="S41" s="5" t="str">
        <f>IF(TRUE,"Zambia","LI(36,1)")</f>
        <v>Zambia</v>
      </c>
    </row>
    <row r="42" spans="8:19" x14ac:dyDescent="0.2">
      <c r="H42" s="7" t="str">
        <f>IF(TRUE,"2413","LI(31,0)")</f>
        <v>2413</v>
      </c>
      <c r="I42" s="7" t="str">
        <f>IF(TRUE,"Grant Income Received in Advance USD","LI(31,1)")</f>
        <v>Grant Income Received in Advance USD</v>
      </c>
      <c r="R42" s="5" t="str">
        <f>IF(TRUE,"ZNZ-PEM","LI(37,0)")</f>
        <v>ZNZ-PEM</v>
      </c>
      <c r="S42" s="5" t="str">
        <f>IF(TRUE,"Zanzibar Pemba","LI(37,1)")</f>
        <v>Zanzibar Pemba</v>
      </c>
    </row>
    <row r="43" spans="8:19" x14ac:dyDescent="0.2">
      <c r="H43" s="7" t="str">
        <f>IF(TRUE,"2414","LI(32,0)")</f>
        <v>2414</v>
      </c>
      <c r="I43" s="7" t="str">
        <f>IF(TRUE,"Contract Income Received in Advance USD","LI(32,1)")</f>
        <v>Contract Income Received in Advance USD</v>
      </c>
      <c r="R43" s="5" t="str">
        <f>IF(TRUE,"ZNZ-UNG","LI(38,0)")</f>
        <v>ZNZ-UNG</v>
      </c>
      <c r="S43" s="5" t="str">
        <f>IF(TRUE,"Zanzibar Unguja","LI(38,1)")</f>
        <v>Zanzibar Unguja</v>
      </c>
    </row>
    <row r="44" spans="8:19" x14ac:dyDescent="0.2">
      <c r="H44" s="7" t="str">
        <f>IF(TRUE,"2500","LI(33,0)")</f>
        <v>2500</v>
      </c>
      <c r="I44" s="7" t="str">
        <f>IF(TRUE,"Sundry Creditors","LI(33,1)")</f>
        <v>Sundry Creditors</v>
      </c>
      <c r="R44" s="5"/>
      <c r="S44" s="5"/>
    </row>
    <row r="45" spans="8:19" x14ac:dyDescent="0.2">
      <c r="H45" s="7" t="str">
        <f>IF(TRUE,"2525","LI(34,0)")</f>
        <v>2525</v>
      </c>
      <c r="I45" s="7" t="str">
        <f>IF(TRUE,"Pensions Control Account","LI(34,1)")</f>
        <v>Pensions Control Account</v>
      </c>
      <c r="R45" s="5"/>
      <c r="S45" s="5"/>
    </row>
    <row r="46" spans="8:19" x14ac:dyDescent="0.2">
      <c r="H46" s="7" t="str">
        <f>IF(TRUE,"2650","LI(35,0)")</f>
        <v>2650</v>
      </c>
      <c r="I46" s="7" t="str">
        <f>IF(TRUE,"Intercompany","LI(35,1)")</f>
        <v>Intercompany</v>
      </c>
      <c r="R46" s="5"/>
      <c r="S46" s="5"/>
    </row>
    <row r="47" spans="8:19" x14ac:dyDescent="0.2">
      <c r="H47" s="7" t="str">
        <f>IF(TRUE,"3000","LI(36,0)")</f>
        <v>3000</v>
      </c>
      <c r="I47" s="7" t="str">
        <f>IF(TRUE,"Share Capital","LI(36,1)")</f>
        <v>Share Capital</v>
      </c>
      <c r="R47" s="5"/>
      <c r="S47" s="5"/>
    </row>
    <row r="48" spans="8:19" x14ac:dyDescent="0.2">
      <c r="H48" s="7" t="str">
        <f>IF(TRUE,"3200","LI(37,0)")</f>
        <v>3200</v>
      </c>
      <c r="I48" s="7" t="str">
        <f>IF(TRUE,"Profit and Loss Account","LI(37,1)")</f>
        <v>Profit and Loss Account</v>
      </c>
      <c r="R48" s="5"/>
      <c r="S48" s="5"/>
    </row>
    <row r="49" spans="8:19" x14ac:dyDescent="0.2">
      <c r="H49" s="7" t="str">
        <f>IF(TRUE,"4000","LI(38,0)")</f>
        <v>4000</v>
      </c>
      <c r="I49" s="7" t="str">
        <f>IF(TRUE,"Donations","LI(38,1)")</f>
        <v>Donations</v>
      </c>
      <c r="R49" s="5"/>
      <c r="S49" s="5"/>
    </row>
    <row r="50" spans="8:19" x14ac:dyDescent="0.2">
      <c r="H50" s="7" t="str">
        <f>IF(TRUE,"4001","LI(39,0)")</f>
        <v>4001</v>
      </c>
      <c r="I50" s="7" t="str">
        <f>IF(TRUE,"Gift Aid Received","LI(39,1)")</f>
        <v>Gift Aid Received</v>
      </c>
      <c r="R50" s="5"/>
      <c r="S50" s="5"/>
    </row>
    <row r="51" spans="8:19" x14ac:dyDescent="0.2">
      <c r="H51" s="7" t="str">
        <f>IF(TRUE,"4010","LI(40,0)")</f>
        <v>4010</v>
      </c>
      <c r="I51" s="7" t="str">
        <f>IF(TRUE,"Grant Income","LI(40,1)")</f>
        <v>Grant Income</v>
      </c>
    </row>
    <row r="52" spans="8:19" x14ac:dyDescent="0.2">
      <c r="H52" s="7" t="str">
        <f>IF(TRUE,"4011","LI(41,0)")</f>
        <v>4011</v>
      </c>
      <c r="I52" s="7" t="str">
        <f>IF(TRUE,"Grant Income - Central Cost Contribution","LI(41,1)")</f>
        <v>Grant Income - Central Cost Contribution</v>
      </c>
    </row>
    <row r="53" spans="8:19" x14ac:dyDescent="0.2">
      <c r="H53" s="7" t="str">
        <f>IF(TRUE,"4020","LI(42,0)")</f>
        <v>4020</v>
      </c>
      <c r="I53" s="7" t="str">
        <f>IF(TRUE,"Contract Income","LI(42,1)")</f>
        <v>Contract Income</v>
      </c>
    </row>
    <row r="54" spans="8:19" x14ac:dyDescent="0.2">
      <c r="H54" s="7" t="str">
        <f>IF(TRUE,"4021","LI(43,0)")</f>
        <v>4021</v>
      </c>
      <c r="I54" s="7" t="str">
        <f>IF(TRUE,"Contract Income - Central Cost Contrib","LI(43,1)")</f>
        <v>Contract Income - Central Cost Contrib</v>
      </c>
    </row>
    <row r="55" spans="8:19" x14ac:dyDescent="0.2">
      <c r="H55" s="7" t="str">
        <f>IF(TRUE,"4050","LI(44,0)")</f>
        <v>4050</v>
      </c>
      <c r="I55" s="7" t="str">
        <f>IF(TRUE,"Consultancy Income","LI(44,1)")</f>
        <v>Consultancy Income</v>
      </c>
    </row>
    <row r="56" spans="8:19" x14ac:dyDescent="0.2">
      <c r="H56" s="7" t="str">
        <f>IF(TRUE,"4060","LI(45,0)")</f>
        <v>4060</v>
      </c>
      <c r="I56" s="7" t="str">
        <f>IF(TRUE,"Other Income","LI(45,1)")</f>
        <v>Other Income</v>
      </c>
    </row>
    <row r="57" spans="8:19" x14ac:dyDescent="0.2">
      <c r="H57" s="7" t="str">
        <f>IF(TRUE,"4100","LI(46,0)")</f>
        <v>4100</v>
      </c>
      <c r="I57" s="7" t="str">
        <f>IF(TRUE,"Bank Interest Received","LI(46,1)")</f>
        <v>Bank Interest Received</v>
      </c>
    </row>
    <row r="58" spans="8:19" x14ac:dyDescent="0.2">
      <c r="H58" s="7" t="str">
        <f>IF(TRUE,"6100","LI(47,0)")</f>
        <v>6100</v>
      </c>
      <c r="I58" s="7" t="str">
        <f>IF(TRUE,"Payments to Partner Organisations","LI(47,1)")</f>
        <v>Payments to Partner Organisations</v>
      </c>
    </row>
    <row r="59" spans="8:19" x14ac:dyDescent="0.2">
      <c r="H59" s="7" t="str">
        <f>IF(TRUE,"6101","LI(48,0)")</f>
        <v>6101</v>
      </c>
      <c r="I59" s="7" t="str">
        <f>IF(TRUE,"Third Party Consultants","LI(48,1)")</f>
        <v>Third Party Consultants</v>
      </c>
    </row>
    <row r="60" spans="8:19" x14ac:dyDescent="0.2">
      <c r="H60" s="7" t="str">
        <f>IF(TRUE,"6102","LI(49,0)")</f>
        <v>6102</v>
      </c>
      <c r="I60" s="7" t="str">
        <f>IF(TRUE,"Supplies &amp; Consumables","LI(49,1)")</f>
        <v>Supplies &amp; Consumables</v>
      </c>
    </row>
    <row r="61" spans="8:19" x14ac:dyDescent="0.2">
      <c r="H61" s="7" t="str">
        <f>IF(TRUE,"6103","LI(50,0)")</f>
        <v>6103</v>
      </c>
      <c r="I61" s="7" t="str">
        <f>IF(TRUE,"Field Work Expenses","LI(50,1)")</f>
        <v>Field Work Expenses</v>
      </c>
    </row>
    <row r="62" spans="8:19" x14ac:dyDescent="0.2">
      <c r="H62" s="7" t="str">
        <f>IF(TRUE,"7000","LI(51,0)")</f>
        <v>7000</v>
      </c>
      <c r="I62" s="7" t="str">
        <f>IF(TRUE,"Salaries","LI(51,1)")</f>
        <v>Salaries</v>
      </c>
    </row>
    <row r="63" spans="8:19" x14ac:dyDescent="0.2">
      <c r="H63" s="7" t="str">
        <f>IF(TRUE,"7001","LI(52,0)")</f>
        <v>7001</v>
      </c>
      <c r="I63" s="7" t="str">
        <f>IF(TRUE,"Employer's National Insurance","LI(52,1)")</f>
        <v>Employer's National Insurance</v>
      </c>
    </row>
    <row r="64" spans="8:19" x14ac:dyDescent="0.2">
      <c r="H64" s="7" t="str">
        <f>IF(TRUE,"7002","LI(53,0)")</f>
        <v>7002</v>
      </c>
      <c r="I64" s="7" t="str">
        <f>IF(TRUE,"Employer's Pension Contributions","LI(53,1)")</f>
        <v>Employer's Pension Contributions</v>
      </c>
    </row>
    <row r="65" spans="8:9" x14ac:dyDescent="0.2">
      <c r="H65" s="7" t="str">
        <f>IF(TRUE,"7010","LI(54,0)")</f>
        <v>7010</v>
      </c>
      <c r="I65" s="7" t="str">
        <f>IF(TRUE,"Consultancy","LI(54,1)")</f>
        <v>Consultancy</v>
      </c>
    </row>
    <row r="66" spans="8:9" x14ac:dyDescent="0.2">
      <c r="H66" s="7" t="str">
        <f>IF(TRUE,"7011","LI(55,0)")</f>
        <v>7011</v>
      </c>
      <c r="I66" s="7" t="str">
        <f>IF(TRUE,"Agency Interim &amp; Temp Staff","LI(55,1)")</f>
        <v>Agency Interim &amp; Temp Staff</v>
      </c>
    </row>
    <row r="67" spans="8:9" x14ac:dyDescent="0.2">
      <c r="H67" s="7" t="str">
        <f>IF(TRUE,"7020","LI(56,0)")</f>
        <v>7020</v>
      </c>
      <c r="I67" s="7" t="str">
        <f>IF(TRUE,"Staff Training","LI(56,1)")</f>
        <v>Staff Training</v>
      </c>
    </row>
    <row r="68" spans="8:9" x14ac:dyDescent="0.2">
      <c r="H68" s="7" t="str">
        <f>IF(TRUE,"7021","LI(57,0)")</f>
        <v>7021</v>
      </c>
      <c r="I68" s="7" t="str">
        <f>IF(TRUE,"Staff Welfare","LI(57,1)")</f>
        <v>Staff Welfare</v>
      </c>
    </row>
    <row r="69" spans="8:9" x14ac:dyDescent="0.2">
      <c r="H69" s="7" t="str">
        <f>IF(TRUE,"7023","LI(58,0)")</f>
        <v>7023</v>
      </c>
      <c r="I69" s="7" t="str">
        <f>IF(TRUE,"Membership Subscriptions","LI(58,1)")</f>
        <v>Membership Subscriptions</v>
      </c>
    </row>
    <row r="70" spans="8:9" x14ac:dyDescent="0.2">
      <c r="H70" s="7" t="str">
        <f>IF(TRUE,"7030","LI(59,0)")</f>
        <v>7030</v>
      </c>
      <c r="I70" s="7" t="str">
        <f>IF(TRUE,"HR Costs","LI(59,1)")</f>
        <v>HR Costs</v>
      </c>
    </row>
    <row r="71" spans="8:9" x14ac:dyDescent="0.2">
      <c r="H71" s="7" t="str">
        <f>IF(TRUE,"7031","LI(60,0)")</f>
        <v>7031</v>
      </c>
      <c r="I71" s="7" t="str">
        <f>IF(TRUE,"Payroll Costs","LI(60,1)")</f>
        <v>Payroll Costs</v>
      </c>
    </row>
    <row r="72" spans="8:9" x14ac:dyDescent="0.2">
      <c r="H72" s="7" t="str">
        <f>IF(TRUE,"7040","LI(61,0)")</f>
        <v>7040</v>
      </c>
      <c r="I72" s="7" t="str">
        <f>IF(TRUE,"Recruitment Costs","LI(61,1)")</f>
        <v>Recruitment Costs</v>
      </c>
    </row>
    <row r="73" spans="8:9" x14ac:dyDescent="0.2">
      <c r="H73" s="7" t="str">
        <f>IF(TRUE,"7100","LI(62,0)")</f>
        <v>7100</v>
      </c>
      <c r="I73" s="7" t="str">
        <f>IF(TRUE,"Rents Payable","LI(62,1)")</f>
        <v>Rents Payable</v>
      </c>
    </row>
    <row r="74" spans="8:9" x14ac:dyDescent="0.2">
      <c r="H74" s="7" t="str">
        <f>IF(TRUE,"7101","LI(63,0)")</f>
        <v>7101</v>
      </c>
      <c r="I74" s="7" t="str">
        <f>IF(TRUE,"Service Charges Payable","LI(63,1)")</f>
        <v>Service Charges Payable</v>
      </c>
    </row>
    <row r="75" spans="8:9" x14ac:dyDescent="0.2">
      <c r="H75" s="7" t="str">
        <f>IF(TRUE,"7120","LI(64,0)")</f>
        <v>7120</v>
      </c>
      <c r="I75" s="7" t="str">
        <f>IF(TRUE,"Business Rates","LI(64,1)")</f>
        <v>Business Rates</v>
      </c>
    </row>
    <row r="76" spans="8:9" x14ac:dyDescent="0.2">
      <c r="H76" s="7" t="str">
        <f>IF(TRUE,"7130","LI(65,0)")</f>
        <v>7130</v>
      </c>
      <c r="I76" s="7" t="str">
        <f>IF(TRUE,"Insurance - Premises","LI(65,1)")</f>
        <v>Insurance - Premises</v>
      </c>
    </row>
    <row r="77" spans="8:9" x14ac:dyDescent="0.2">
      <c r="H77" s="7" t="str">
        <f>IF(TRUE,"7150","LI(66,0)")</f>
        <v>7150</v>
      </c>
      <c r="I77" s="7" t="str">
        <f>IF(TRUE,"Electricity","LI(66,1)")</f>
        <v>Electricity</v>
      </c>
    </row>
    <row r="78" spans="8:9" x14ac:dyDescent="0.2">
      <c r="H78" s="7" t="str">
        <f>IF(TRUE,"7151","LI(67,0)")</f>
        <v>7151</v>
      </c>
      <c r="I78" s="7" t="str">
        <f>IF(TRUE,"Office Heating","LI(67,1)")</f>
        <v>Office Heating</v>
      </c>
    </row>
    <row r="79" spans="8:9" x14ac:dyDescent="0.2">
      <c r="H79" s="7" t="str">
        <f>IF(TRUE,"7160","LI(68,0)")</f>
        <v>7160</v>
      </c>
      <c r="I79" s="7" t="str">
        <f>IF(TRUE,"Cleaning","LI(68,1)")</f>
        <v>Cleaning</v>
      </c>
    </row>
    <row r="80" spans="8:9" x14ac:dyDescent="0.2">
      <c r="H80" s="7" t="str">
        <f>IF(TRUE,"7161","LI(69,0)")</f>
        <v>7161</v>
      </c>
      <c r="I80" s="7" t="str">
        <f>IF(TRUE,"Repairs &amp; Maintenance","LI(69,1)")</f>
        <v>Repairs &amp; Maintenance</v>
      </c>
    </row>
    <row r="81" spans="8:9" x14ac:dyDescent="0.2">
      <c r="H81" s="7" t="str">
        <f>IF(TRUE,"7162","LI(70,0)")</f>
        <v>7162</v>
      </c>
      <c r="I81" s="7" t="str">
        <f>IF(TRUE,"Office Furniture &amp; Fixtures","LI(70,1)")</f>
        <v>Office Furniture &amp; Fixtures</v>
      </c>
    </row>
    <row r="82" spans="8:9" x14ac:dyDescent="0.2">
      <c r="H82" s="7" t="str">
        <f>IF(TRUE,"7163","LI(71,0)")</f>
        <v>7163</v>
      </c>
      <c r="I82" s="7" t="str">
        <f>IF(TRUE,"Sundry Office Costs","LI(71,1)")</f>
        <v>Sundry Office Costs</v>
      </c>
    </row>
    <row r="83" spans="8:9" x14ac:dyDescent="0.2">
      <c r="H83" s="7" t="str">
        <f>IF(TRUE,"7200","LI(72,0)")</f>
        <v>7200</v>
      </c>
      <c r="I83" s="7" t="str">
        <f>IF(TRUE,"Printing &amp; Photocopying","LI(72,1)")</f>
        <v>Printing &amp; Photocopying</v>
      </c>
    </row>
    <row r="84" spans="8:9" x14ac:dyDescent="0.2">
      <c r="H84" s="7" t="str">
        <f>IF(TRUE,"7210","LI(73,0)")</f>
        <v>7210</v>
      </c>
      <c r="I84" s="7" t="str">
        <f>IF(TRUE,"Postage","LI(73,1)")</f>
        <v>Postage</v>
      </c>
    </row>
    <row r="85" spans="8:9" x14ac:dyDescent="0.2">
      <c r="H85" s="7" t="str">
        <f>IF(TRUE,"7211","LI(74,0)")</f>
        <v>7211</v>
      </c>
      <c r="I85" s="7" t="str">
        <f>IF(TRUE,"Couriers &amp; Freight","LI(74,1)")</f>
        <v>Couriers &amp; Freight</v>
      </c>
    </row>
    <row r="86" spans="8:9" x14ac:dyDescent="0.2">
      <c r="H86" s="7" t="str">
        <f>IF(TRUE,"7220","LI(75,0)")</f>
        <v>7220</v>
      </c>
      <c r="I86" s="7" t="str">
        <f>IF(TRUE,"Office Stationery","LI(75,1)")</f>
        <v>Office Stationery</v>
      </c>
    </row>
    <row r="87" spans="8:9" x14ac:dyDescent="0.2">
      <c r="H87" s="7" t="str">
        <f>IF(TRUE,"7230","LI(76,0)")</f>
        <v>7230</v>
      </c>
      <c r="I87" s="7" t="str">
        <f>IF(TRUE,"Telephone","LI(76,1)")</f>
        <v>Telephone</v>
      </c>
    </row>
    <row r="88" spans="8:9" x14ac:dyDescent="0.2">
      <c r="H88" s="7" t="str">
        <f>IF(TRUE,"7231","LI(77,0)")</f>
        <v>7231</v>
      </c>
      <c r="I88" s="7" t="str">
        <f>IF(TRUE,"Internet","LI(77,1)")</f>
        <v>Internet</v>
      </c>
    </row>
    <row r="89" spans="8:9" x14ac:dyDescent="0.2">
      <c r="H89" s="7" t="str">
        <f>IF(TRUE,"7232","LI(78,0)")</f>
        <v>7232</v>
      </c>
      <c r="I89" s="7" t="str">
        <f>IF(TRUE,"Mobile &amp; Tablet Charges","LI(78,1)")</f>
        <v>Mobile &amp; Tablet Charges</v>
      </c>
    </row>
    <row r="90" spans="8:9" x14ac:dyDescent="0.2">
      <c r="H90" s="7" t="str">
        <f>IF(TRUE,"7240","LI(79,0)")</f>
        <v>7240</v>
      </c>
      <c r="I90" s="7" t="str">
        <f>IF(TRUE,"Computer Equipment","LI(79,1)")</f>
        <v>Computer Equipment</v>
      </c>
    </row>
    <row r="91" spans="8:9" x14ac:dyDescent="0.2">
      <c r="H91" s="7" t="str">
        <f>IF(TRUE,"7241","LI(80,0)")</f>
        <v>7241</v>
      </c>
      <c r="I91" s="7" t="str">
        <f>IF(TRUE,"Computer Maintenance &amp; Supplies","LI(80,1)")</f>
        <v>Computer Maintenance &amp; Supplies</v>
      </c>
    </row>
    <row r="92" spans="8:9" x14ac:dyDescent="0.2">
      <c r="H92" s="7" t="str">
        <f>IF(TRUE,"7242","LI(81,0)")</f>
        <v>7242</v>
      </c>
      <c r="I92" s="7" t="str">
        <f>IF(TRUE,"Software Purchases &amp; Licenses","LI(81,1)")</f>
        <v>Software Purchases &amp; Licenses</v>
      </c>
    </row>
    <row r="93" spans="8:9" x14ac:dyDescent="0.2">
      <c r="H93" s="7" t="str">
        <f>IF(TRUE,"7243","LI(82,0)")</f>
        <v>7243</v>
      </c>
      <c r="I93" s="7" t="str">
        <f>IF(TRUE,"IT Support","LI(82,1)")</f>
        <v>IT Support</v>
      </c>
    </row>
    <row r="94" spans="8:9" x14ac:dyDescent="0.2">
      <c r="H94" s="7" t="str">
        <f>IF(TRUE,"7244","LI(83,0)")</f>
        <v>7244</v>
      </c>
      <c r="I94" s="7" t="str">
        <f>IF(TRUE,"Other IT Costs","LI(83,1)")</f>
        <v>Other IT Costs</v>
      </c>
    </row>
    <row r="95" spans="8:9" x14ac:dyDescent="0.2">
      <c r="H95" s="7" t="str">
        <f>IF(TRUE,"7250","LI(84,0)")</f>
        <v>7250</v>
      </c>
      <c r="I95" s="7" t="str">
        <f>IF(TRUE,"Subscriptions","LI(84,1)")</f>
        <v>Subscriptions</v>
      </c>
    </row>
    <row r="96" spans="8:9" x14ac:dyDescent="0.2">
      <c r="H96" s="7" t="str">
        <f>IF(TRUE,"7251","LI(85,0)")</f>
        <v>7251</v>
      </c>
      <c r="I96" s="7" t="str">
        <f>IF(TRUE,"Books / Publications / Research","LI(85,1)")</f>
        <v>Books / Publications / Research</v>
      </c>
    </row>
    <row r="97" spans="8:9" x14ac:dyDescent="0.2">
      <c r="H97" s="7" t="str">
        <f>IF(TRUE,"7260","LI(86,0)")</f>
        <v>7260</v>
      </c>
      <c r="I97" s="7" t="str">
        <f>IF(TRUE,"Equipment Hire","LI(86,1)")</f>
        <v>Equipment Hire</v>
      </c>
    </row>
    <row r="98" spans="8:9" x14ac:dyDescent="0.2">
      <c r="H98" s="7" t="str">
        <f>IF(TRUE,"7300","LI(87,0)")</f>
        <v>7300</v>
      </c>
      <c r="I98" s="7" t="str">
        <f>IF(TRUE,"Travel - Air","LI(87,1)")</f>
        <v>Travel - Air</v>
      </c>
    </row>
    <row r="99" spans="8:9" x14ac:dyDescent="0.2">
      <c r="H99" s="7" t="str">
        <f>IF(TRUE,"7301","LI(88,0)")</f>
        <v>7301</v>
      </c>
      <c r="I99" s="7" t="str">
        <f>IF(TRUE,"Travel - Rail","LI(88,1)")</f>
        <v>Travel - Rail</v>
      </c>
    </row>
    <row r="100" spans="8:9" x14ac:dyDescent="0.2">
      <c r="H100" s="7" t="str">
        <f>IF(TRUE,"7302","LI(89,0)")</f>
        <v>7302</v>
      </c>
      <c r="I100" s="7" t="str">
        <f>IF(TRUE,"Travel - Taxi","LI(89,1)")</f>
        <v>Travel - Taxi</v>
      </c>
    </row>
    <row r="101" spans="8:9" x14ac:dyDescent="0.2">
      <c r="H101" s="7" t="str">
        <f>IF(TRUE,"7303","LI(90,0)")</f>
        <v>7303</v>
      </c>
      <c r="I101" s="7" t="str">
        <f>IF(TRUE,"Travel - Car Hire","LI(90,1)")</f>
        <v>Travel - Car Hire</v>
      </c>
    </row>
    <row r="102" spans="8:9" x14ac:dyDescent="0.2">
      <c r="H102" s="7" t="str">
        <f>IF(TRUE,"7304","LI(91,0)")</f>
        <v>7304</v>
      </c>
      <c r="I102" s="7" t="str">
        <f>IF(TRUE,"Travel - Mileage","LI(91,1)")</f>
        <v>Travel - Mileage</v>
      </c>
    </row>
    <row r="103" spans="8:9" x14ac:dyDescent="0.2">
      <c r="H103" s="7" t="str">
        <f>IF(TRUE,"7305","LI(92,0)")</f>
        <v>7305</v>
      </c>
      <c r="I103" s="7" t="str">
        <f>IF(TRUE,"Travel - Fuel","LI(92,1)")</f>
        <v>Travel - Fuel</v>
      </c>
    </row>
    <row r="104" spans="8:9" x14ac:dyDescent="0.2">
      <c r="H104" s="7" t="str">
        <f>IF(TRUE,"7306","LI(93,0)")</f>
        <v>7306</v>
      </c>
      <c r="I104" s="7" t="str">
        <f>IF(TRUE,"Travel - Other","LI(93,1)")</f>
        <v>Travel - Other</v>
      </c>
    </row>
    <row r="105" spans="8:9" x14ac:dyDescent="0.2">
      <c r="H105" s="7" t="str">
        <f>IF(TRUE,"7310","LI(94,0)")</f>
        <v>7310</v>
      </c>
      <c r="I105" s="7" t="str">
        <f>IF(TRUE,"Accomodation","LI(94,1)")</f>
        <v>Accomodation</v>
      </c>
    </row>
    <row r="106" spans="8:9" x14ac:dyDescent="0.2">
      <c r="H106" s="7" t="str">
        <f>IF(TRUE,"7311","LI(95,0)")</f>
        <v>7311</v>
      </c>
      <c r="I106" s="7" t="str">
        <f>IF(TRUE,"Subsistence","LI(95,1)")</f>
        <v>Subsistence</v>
      </c>
    </row>
    <row r="107" spans="8:9" x14ac:dyDescent="0.2">
      <c r="H107" s="7" t="str">
        <f>IF(TRUE,"7320","LI(96,0)")</f>
        <v>7320</v>
      </c>
      <c r="I107" s="7" t="str">
        <f>IF(TRUE,"Bank charges - Travel Related","LI(96,1)")</f>
        <v>Bank charges - Travel Related</v>
      </c>
    </row>
    <row r="108" spans="8:9" x14ac:dyDescent="0.2">
      <c r="H108" s="7" t="str">
        <f>IF(TRUE,"7321","LI(97,0)")</f>
        <v>7321</v>
      </c>
      <c r="I108" s="7" t="str">
        <f>IF(TRUE,"Laundry - Travel Related","LI(97,1)")</f>
        <v>Laundry - Travel Related</v>
      </c>
    </row>
    <row r="109" spans="8:9" x14ac:dyDescent="0.2">
      <c r="H109" s="7" t="str">
        <f>IF(TRUE,"7322","LI(98,0)")</f>
        <v>7322</v>
      </c>
      <c r="I109" s="7" t="str">
        <f>IF(TRUE,"Healthcare &amp; Medication - Travel Related","LI(98,1)")</f>
        <v>Healthcare &amp; Medication - Travel Related</v>
      </c>
    </row>
    <row r="110" spans="8:9" x14ac:dyDescent="0.2">
      <c r="H110" s="7" t="str">
        <f>IF(TRUE,"7323","LI(99,0)")</f>
        <v>7323</v>
      </c>
      <c r="I110" s="7" t="str">
        <f>IF(TRUE,"Mobile &amp; Internet - Travel Related","LI(99,1)")</f>
        <v>Mobile &amp; Internet - Travel Related</v>
      </c>
    </row>
    <row r="111" spans="8:9" x14ac:dyDescent="0.2">
      <c r="H111" s="7" t="str">
        <f>IF(TRUE,"7324","LI(100,0)")</f>
        <v>7324</v>
      </c>
      <c r="I111" s="7" t="str">
        <f>IF(TRUE,"Visa Fees","LI(100,1)")</f>
        <v>Visa Fees</v>
      </c>
    </row>
    <row r="112" spans="8:9" x14ac:dyDescent="0.2">
      <c r="H112" s="7" t="str">
        <f>IF(TRUE,"7330","LI(101,0)")</f>
        <v>7330</v>
      </c>
      <c r="I112" s="7" t="str">
        <f>IF(TRUE,"Hospitality - Business Meals","LI(101,1)")</f>
        <v>Hospitality - Business Meals</v>
      </c>
    </row>
    <row r="113" spans="8:9" x14ac:dyDescent="0.2">
      <c r="H113" s="7" t="str">
        <f>IF(TRUE,"7331","LI(102,0)")</f>
        <v>7331</v>
      </c>
      <c r="I113" s="7" t="str">
        <f>IF(TRUE,"Hospitality - Staff Only","LI(102,1)")</f>
        <v>Hospitality - Staff Only</v>
      </c>
    </row>
    <row r="114" spans="8:9" x14ac:dyDescent="0.2">
      <c r="H114" s="7" t="str">
        <f>IF(TRUE,"7332","LI(103,0)")</f>
        <v>7332</v>
      </c>
      <c r="I114" s="7" t="str">
        <f>IF(TRUE,"Hospitality - Other","LI(103,1)")</f>
        <v>Hospitality - Other</v>
      </c>
    </row>
    <row r="115" spans="8:9" x14ac:dyDescent="0.2">
      <c r="H115" s="7" t="str">
        <f>IF(TRUE,"7334","LI(104,0)")</f>
        <v>7334</v>
      </c>
      <c r="I115" s="7" t="str">
        <f>IF(TRUE,"Meeting Costs","LI(104,1)")</f>
        <v>Meeting Costs</v>
      </c>
    </row>
    <row r="116" spans="8:9" x14ac:dyDescent="0.2">
      <c r="H116" s="7" t="str">
        <f>IF(TRUE,"7400","LI(105,0)")</f>
        <v>7400</v>
      </c>
      <c r="I116" s="7" t="str">
        <f>IF(TRUE,"Legal &amp; Filing Fees","LI(105,1)")</f>
        <v>Legal &amp; Filing Fees</v>
      </c>
    </row>
    <row r="117" spans="8:9" x14ac:dyDescent="0.2">
      <c r="H117" s="7" t="str">
        <f>IF(TRUE,"7410","LI(106,0)")</f>
        <v>7410</v>
      </c>
      <c r="I117" s="7" t="str">
        <f>IF(TRUE,"Accountancy &amp; Taxation Advice","LI(106,1)")</f>
        <v>Accountancy &amp; Taxation Advice</v>
      </c>
    </row>
    <row r="118" spans="8:9" x14ac:dyDescent="0.2">
      <c r="H118" s="7" t="str">
        <f>IF(TRUE,"7420","LI(107,0)")</f>
        <v>7420</v>
      </c>
      <c r="I118" s="7" t="str">
        <f>IF(TRUE,"Audit Fees","LI(107,1)")</f>
        <v>Audit Fees</v>
      </c>
    </row>
    <row r="119" spans="8:9" x14ac:dyDescent="0.2">
      <c r="H119" s="7" t="str">
        <f>IF(TRUE,"7430","LI(108,0)")</f>
        <v>7430</v>
      </c>
      <c r="I119" s="7" t="str">
        <f>IF(TRUE,"Other Professional Fees","LI(108,1)")</f>
        <v>Other Professional Fees</v>
      </c>
    </row>
    <row r="120" spans="8:9" x14ac:dyDescent="0.2">
      <c r="H120" s="7" t="str">
        <f>IF(TRUE,"7500","LI(109,0)")</f>
        <v>7500</v>
      </c>
      <c r="I120" s="7" t="str">
        <f>IF(TRUE,"Bank Charges","LI(109,1)")</f>
        <v>Bank Charges</v>
      </c>
    </row>
    <row r="121" spans="8:9" x14ac:dyDescent="0.2">
      <c r="H121" s="7" t="str">
        <f>IF(TRUE,"7501","LI(110,0)")</f>
        <v>7501</v>
      </c>
      <c r="I121" s="7" t="str">
        <f>IF(TRUE,"Credit Card Charges","LI(110,1)")</f>
        <v>Credit Card Charges</v>
      </c>
    </row>
    <row r="122" spans="8:9" x14ac:dyDescent="0.2">
      <c r="H122" s="7" t="str">
        <f>IF(TRUE,"7510","LI(111,0)")</f>
        <v>7510</v>
      </c>
      <c r="I122" s="7" t="str">
        <f>IF(TRUE,"Advertising &amp; Marketing","LI(111,1)")</f>
        <v>Advertising &amp; Marketing</v>
      </c>
    </row>
    <row r="123" spans="8:9" x14ac:dyDescent="0.2">
      <c r="H123" s="7" t="str">
        <f>IF(TRUE,"7511","LI(112,0)")</f>
        <v>7511</v>
      </c>
      <c r="I123" s="7" t="str">
        <f>IF(TRUE,"Visibility &amp; Branding","LI(112,1)")</f>
        <v>Visibility &amp; Branding</v>
      </c>
    </row>
    <row r="124" spans="8:9" x14ac:dyDescent="0.2">
      <c r="H124" s="7" t="str">
        <f>IF(TRUE,"7515","LI(113,0)")</f>
        <v>7515</v>
      </c>
      <c r="I124" s="7" t="str">
        <f>IF(TRUE,"Fundraising Costs","LI(113,1)")</f>
        <v>Fundraising Costs</v>
      </c>
    </row>
    <row r="125" spans="8:9" x14ac:dyDescent="0.2">
      <c r="H125" s="7" t="str">
        <f>IF(TRUE,"7520","LI(114,0)")</f>
        <v>7520</v>
      </c>
      <c r="I125" s="7" t="str">
        <f>IF(TRUE,"Conference Fees","LI(114,1)")</f>
        <v>Conference Fees</v>
      </c>
    </row>
    <row r="126" spans="8:9" x14ac:dyDescent="0.2">
      <c r="H126" s="7" t="str">
        <f>IF(TRUE,"7530","LI(115,0)")</f>
        <v>7530</v>
      </c>
      <c r="I126" s="7" t="str">
        <f>IF(TRUE,"Donations &amp; Sponsorship","LI(115,1)")</f>
        <v>Donations &amp; Sponsorship</v>
      </c>
    </row>
    <row r="127" spans="8:9" x14ac:dyDescent="0.2">
      <c r="H127" s="7" t="str">
        <f>IF(TRUE,"7535","LI(116,0)")</f>
        <v>7535</v>
      </c>
      <c r="I127" s="7" t="str">
        <f>IF(TRUE,"Insurance","LI(116,1)")</f>
        <v>Insurance</v>
      </c>
    </row>
    <row r="128" spans="8:9" x14ac:dyDescent="0.2">
      <c r="H128" s="7" t="str">
        <f>IF(TRUE,"7540","LI(117,0)")</f>
        <v>7540</v>
      </c>
      <c r="I128" s="7" t="str">
        <f>IF(TRUE,"Sundry Costs","LI(117,1)")</f>
        <v>Sundry Costs</v>
      </c>
    </row>
    <row r="129" spans="8:9" x14ac:dyDescent="0.2">
      <c r="H129" s="7" t="str">
        <f>IF(TRUE,"7550","LI(118,0)")</f>
        <v>7550</v>
      </c>
      <c r="I129" s="7" t="str">
        <f>IF(TRUE,"Bad Debts Expense","LI(118,1)")</f>
        <v>Bad Debts Expense</v>
      </c>
    </row>
    <row r="130" spans="8:9" x14ac:dyDescent="0.2">
      <c r="H130" s="7" t="str">
        <f>IF(TRUE,"7600","LI(119,0)")</f>
        <v>7600</v>
      </c>
      <c r="I130" s="7" t="str">
        <f>IF(TRUE,"Depn Furniture, Fittings and Equipment","LI(119,1)")</f>
        <v>Depn Furniture, Fittings and Equipment</v>
      </c>
    </row>
    <row r="131" spans="8:9" x14ac:dyDescent="0.2">
      <c r="H131" s="7" t="str">
        <f>IF(TRUE,"7800","LI(120,0)")</f>
        <v>7800</v>
      </c>
      <c r="I131" s="7" t="str">
        <f>IF(TRUE,"Exchange Gains &amp; Losses","LI(120,1)")</f>
        <v>Exchange Gains &amp; Losses</v>
      </c>
    </row>
    <row r="132" spans="8:9" x14ac:dyDescent="0.2">
      <c r="H132" s="7" t="str">
        <f>IF(TRUE,"7900","LI(121,0)")</f>
        <v>7900</v>
      </c>
      <c r="I132" s="7" t="str">
        <f>IF(TRUE,"Exceptional Income &amp; Costs","LI(121,1)")</f>
        <v>Exceptional Income &amp; Costs</v>
      </c>
    </row>
    <row r="133" spans="8:9" x14ac:dyDescent="0.2">
      <c r="H133" s="7" t="str">
        <f>IF(TRUE,"7950","LI(122,0)")</f>
        <v>7950</v>
      </c>
      <c r="I133" s="7" t="str">
        <f>IF(TRUE,"Profit/Loss on Sale of Assets","LI(122,1)")</f>
        <v>Profit/Loss on Sale of Assets</v>
      </c>
    </row>
    <row r="134" spans="8:9" x14ac:dyDescent="0.2">
      <c r="H134" s="7" t="str">
        <f>IF(TRUE,"8101","LI(123,0)")</f>
        <v>8101</v>
      </c>
      <c r="I134" s="7" t="str">
        <f>IF(TRUE,"Bank Account Interest Paid","LI(123,1)")</f>
        <v>Bank Account Interest Paid</v>
      </c>
    </row>
    <row r="135" spans="8:9" x14ac:dyDescent="0.2">
      <c r="H135" s="7" t="str">
        <f>IF(TRUE,"8102","LI(124,0)")</f>
        <v>8102</v>
      </c>
      <c r="I135" s="7" t="str">
        <f>IF(TRUE,"Other Interest Paid","LI(124,1)")</f>
        <v>Other Interest Paid</v>
      </c>
    </row>
    <row r="136" spans="8:9" x14ac:dyDescent="0.2">
      <c r="H136" s="7" t="str">
        <f>IF(TRUE,"9999","LI(125,0)")</f>
        <v>9999</v>
      </c>
      <c r="I136" s="7" t="str">
        <f>IF(TRUE,"Suspense Account","LI(125,1)")</f>
        <v>Suspense Account</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40"/>
  <sheetViews>
    <sheetView workbookViewId="0">
      <pane ySplit="4" topLeftCell="A5" activePane="bottomLeft" state="frozen"/>
      <selection activeCell="B3" sqref="B3"/>
      <selection pane="bottomLeft" activeCell="B3" sqref="B3"/>
    </sheetView>
  </sheetViews>
  <sheetFormatPr baseColWidth="10" defaultColWidth="8.83203125" defaultRowHeight="15" x14ac:dyDescent="0.2"/>
  <cols>
    <col min="2" max="2" width="10.6640625" customWidth="1"/>
    <col min="3" max="3" width="39.1640625" customWidth="1"/>
    <col min="4" max="6" width="12.6640625" customWidth="1"/>
    <col min="9" max="9" width="12.33203125" customWidth="1"/>
    <col min="10" max="10" width="37.33203125" customWidth="1"/>
    <col min="11" max="11" width="13.1640625" customWidth="1"/>
    <col min="12" max="12" width="15.33203125" customWidth="1"/>
  </cols>
  <sheetData>
    <row r="1" spans="1:13" x14ac:dyDescent="0.2">
      <c r="B1" s="30" t="s">
        <v>208</v>
      </c>
      <c r="I1" s="30" t="s">
        <v>299</v>
      </c>
      <c r="K1" s="13" t="s">
        <v>447</v>
      </c>
      <c r="L1" s="33" t="str">
        <f>BSPF</f>
        <v>2021.00</v>
      </c>
    </row>
    <row r="2" spans="1:13" x14ac:dyDescent="0.2">
      <c r="D2" t="s">
        <v>8</v>
      </c>
      <c r="E2" t="s">
        <v>210</v>
      </c>
      <c r="F2" s="13" t="s">
        <v>513</v>
      </c>
    </row>
    <row r="3" spans="1:13" x14ac:dyDescent="0.2">
      <c r="C3" s="8"/>
      <c r="D3" s="8" t="str">
        <f>Parameters!C6</f>
        <v>Mar 2021</v>
      </c>
      <c r="E3" t="str">
        <f>"From "&amp;Parameters!C5</f>
        <v>From B/F 2020</v>
      </c>
      <c r="F3" s="8"/>
      <c r="K3" s="33" t="s">
        <v>301</v>
      </c>
      <c r="L3" s="33" t="s">
        <v>302</v>
      </c>
    </row>
    <row r="4" spans="1:13" x14ac:dyDescent="0.2">
      <c r="A4" s="14"/>
      <c r="B4" s="10" t="s">
        <v>209</v>
      </c>
      <c r="C4" s="10"/>
      <c r="D4" s="10"/>
      <c r="E4" s="10" t="str">
        <f>"To "&amp;Parameters!C6</f>
        <v>To Mar 2021</v>
      </c>
      <c r="F4" s="10"/>
      <c r="I4" t="s">
        <v>300</v>
      </c>
      <c r="K4" s="34" t="str">
        <f>PT</f>
        <v>2021.12</v>
      </c>
      <c r="L4" s="34" t="str">
        <f>PT</f>
        <v>2021.12</v>
      </c>
    </row>
    <row r="5" spans="1:13" x14ac:dyDescent="0.2">
      <c r="A5" s="65">
        <f>VALUE(B5)</f>
        <v>1140</v>
      </c>
      <c r="B5" s="4" t="str">
        <f>IF(TRUE,"1140","LI(0,0)")</f>
        <v>1140</v>
      </c>
      <c r="C5" s="5" t="str">
        <f>IF(TRUE,"Furniture, Fixtures and Equipment","LI(0,1)")</f>
        <v>Furniture, Fixtures and Equipment</v>
      </c>
      <c r="D5" s="9">
        <f>IF(TRUE,0,_xll.PSFx1BAL(CN,"*","GLCode",$B5,PT,PT))</f>
        <v>0</v>
      </c>
      <c r="E5" s="9">
        <f>IF(TRUE,0,_xll.PSFx1BAL(CN,"*","GLCode",$B5,PF,PT))</f>
        <v>0</v>
      </c>
      <c r="F5" s="9">
        <f>IF(TRUE,0,_xll.PSFx1BAL(CN,"*","GLCode",$B5,BSPF,BSPF))</f>
        <v>0</v>
      </c>
      <c r="J5" s="30" t="s">
        <v>303</v>
      </c>
      <c r="K5" s="35"/>
      <c r="L5" s="35"/>
    </row>
    <row r="6" spans="1:13" x14ac:dyDescent="0.2">
      <c r="A6" s="65">
        <f t="shared" ref="A6:A78" si="0">VALUE(B6)</f>
        <v>1141</v>
      </c>
      <c r="B6" s="5" t="str">
        <f>IF(TRUE,"1141","LI(1,0)")</f>
        <v>1141</v>
      </c>
      <c r="C6" s="5" t="str">
        <f>IF(TRUE,"Furniture, Fixtures and Equipment Deprec","LI(1,1)")</f>
        <v>Furniture, Fixtures and Equipment Deprec</v>
      </c>
      <c r="D6" s="9">
        <f>IF(TRUE,0,_xll.PSFx1BAL(CN,"*","GLCode",$B6,PT,PT))</f>
        <v>0</v>
      </c>
      <c r="E6" s="9">
        <f>IF(TRUE,0,_xll.PSFx1BAL(CN,"*","GLCode",$B6,PF,PT))</f>
        <v>0</v>
      </c>
      <c r="F6" s="9">
        <f>IF(TRUE,0,_xll.PSFx1BAL(CN,"*","GLCode",$B6,BSPF,BSPF))</f>
        <v>0</v>
      </c>
      <c r="I6" s="4" t="str">
        <f>IF(TRUE,"105GDW","LI(0,0)")</f>
        <v>105GDW</v>
      </c>
      <c r="J6" s="5" t="str">
        <f>IF(TRUE,"Intangible Assets - Goodwill","LI(0,1)")</f>
        <v>Intangible Assets - Goodwill</v>
      </c>
      <c r="K6" s="26">
        <f>IF(TRUE,0,_xll.PSFx1BAL(CN,"*","Detailed",$I6,PT,PT))</f>
        <v>0</v>
      </c>
      <c r="L6" s="26">
        <f>IF(TRUE,0,_xll.PSFx1BAL(CN,"*","Detailed",$I6,BSPF,PT))</f>
        <v>0</v>
      </c>
    </row>
    <row r="7" spans="1:13" x14ac:dyDescent="0.2">
      <c r="A7" s="65">
        <f t="shared" si="0"/>
        <v>1200</v>
      </c>
      <c r="B7" s="5" t="str">
        <f>IF(TRUE,"1200","LI(2,0)")</f>
        <v>1200</v>
      </c>
      <c r="C7" s="5" t="str">
        <f>IF(TRUE,"Investments","LI(2,1)")</f>
        <v>Investments</v>
      </c>
      <c r="D7" s="9">
        <f>IF(TRUE,53264,_xll.PSFx1BAL(CN,"*","GLCode",$B7,PT,PT))</f>
        <v>53264</v>
      </c>
      <c r="E7" s="9">
        <f>IF(TRUE,2980938,_xll.PSFx1BAL(CN,"*","GLCode",$B7,PF,PT))</f>
        <v>2980938</v>
      </c>
      <c r="F7" s="9">
        <f>IF(TRUE,0,_xll.PSFx1BAL(CN,"*","GLCode",$B7,BSPF,BSPF))</f>
        <v>0</v>
      </c>
      <c r="I7" s="5" t="str">
        <f>IF(TRUE,"110TAN","LI(1,0)")</f>
        <v>110TAN</v>
      </c>
      <c r="J7" s="5" t="str">
        <f>IF(TRUE,"Tangible Assets - Fixed Assets","LI(1,1)")</f>
        <v>Tangible Assets - Fixed Assets</v>
      </c>
      <c r="K7" s="26">
        <f>IF(TRUE,0,_xll.PSFx1BAL(CN,"*","Detailed",$I7,PT,PT))</f>
        <v>0</v>
      </c>
      <c r="L7" s="26">
        <f>IF(TRUE,0,_xll.PSFx1BAL(CN,"*","Detailed",$I7,BSPF,PT))</f>
        <v>0</v>
      </c>
    </row>
    <row r="8" spans="1:13" x14ac:dyDescent="0.2">
      <c r="A8" s="65">
        <f t="shared" si="0"/>
        <v>1400</v>
      </c>
      <c r="B8" s="5" t="str">
        <f>IF(TRUE,"1400","LI(3,0)")</f>
        <v>1400</v>
      </c>
      <c r="C8" s="5" t="str">
        <f>IF(TRUE,"Debtors Control Account","LI(3,1)")</f>
        <v>Debtors Control Account</v>
      </c>
      <c r="D8" s="9">
        <f>IF(TRUE,-147025.61,_xll.PSFx1BAL(CN,"*","GLCode",$B8,PT,PT))</f>
        <v>-147025.60999999999</v>
      </c>
      <c r="E8" s="9">
        <f>IF(TRUE,96092.55,_xll.PSFx1BAL(CN,"*","GLCode",$B8,PF,PT))</f>
        <v>96092.55</v>
      </c>
      <c r="F8" s="9">
        <f>IF(TRUE,118381.4,_xll.PSFx1BAL(CN,"*","GLCode",$B8,BSPF,BSPF))</f>
        <v>118381.4</v>
      </c>
      <c r="I8" s="5" t="str">
        <f>IF(TRUE,"120INV","LI(2,0)")</f>
        <v>120INV</v>
      </c>
      <c r="J8" s="5" t="str">
        <f>IF(TRUE,"Tangible Assets - Investments","LI(2,1)")</f>
        <v>Tangible Assets - Investments</v>
      </c>
      <c r="K8" s="26">
        <f>IF(TRUE,53264,_xll.PSFx1BAL(CN,"*","Detailed",$I8,PT,PT))</f>
        <v>53264</v>
      </c>
      <c r="L8" s="26">
        <f>IF(TRUE,2980938,_xll.PSFx1BAL(CN,"*","Detailed",$I8,BSPF,PT))</f>
        <v>2980938</v>
      </c>
    </row>
    <row r="9" spans="1:13" x14ac:dyDescent="0.2">
      <c r="A9" s="65">
        <f t="shared" si="0"/>
        <v>1403</v>
      </c>
      <c r="B9" s="5" t="str">
        <f>IF(TRUE,"1403","LI(4,0)")</f>
        <v>1403</v>
      </c>
      <c r="C9" s="5" t="str">
        <f>IF(TRUE,"Gift Aid Receivable","LI(4,1)")</f>
        <v>Gift Aid Receivable</v>
      </c>
      <c r="D9" s="9">
        <f>IF(TRUE,18292.52,_xll.PSFx1BAL(CN,"*","GLCode",$B9,PT,PT))</f>
        <v>18292.52</v>
      </c>
      <c r="E9" s="9">
        <f>IF(TRUE,18292.52,_xll.PSFx1BAL(CN,"*","GLCode",$B9,PF,PT))</f>
        <v>18292.52</v>
      </c>
      <c r="F9" s="9">
        <f>IF(TRUE,13343.08,_xll.PSFx1BAL(CN,"*","GLCode",$B9,BSPF,BSPF))</f>
        <v>13343.08</v>
      </c>
      <c r="I9" s="5" t="str">
        <f>IF(TRUE,"130STO","LI(3,0)")</f>
        <v>130STO</v>
      </c>
      <c r="J9" s="5" t="str">
        <f>IF(TRUE,"Stocks","LI(3,1)")</f>
        <v>Stocks</v>
      </c>
      <c r="K9" s="26">
        <f>IF(TRUE,0,_xll.PSFx1BAL(CN,"*","Detailed",$I9,PT,PT))</f>
        <v>0</v>
      </c>
      <c r="L9" s="26">
        <f>IF(TRUE,0,_xll.PSFx1BAL(CN,"*","Detailed",$I9,BSPF,PT))</f>
        <v>0</v>
      </c>
    </row>
    <row r="10" spans="1:13" x14ac:dyDescent="0.2">
      <c r="A10" s="65">
        <f t="shared" si="0"/>
        <v>1405</v>
      </c>
      <c r="B10" s="5" t="str">
        <f>IF(TRUE,"1405","LI(5,0)")</f>
        <v>1405</v>
      </c>
      <c r="C10" s="5" t="str">
        <f>IF(TRUE,"Deposits Paid","LI(5,1)")</f>
        <v>Deposits Paid</v>
      </c>
      <c r="D10" s="9">
        <f>IF(TRUE,0,_xll.PSFx1BAL(CN,"*","GLCode",$B10,PT,PT))</f>
        <v>0</v>
      </c>
      <c r="E10" s="9">
        <f>IF(TRUE,32500,_xll.PSFx1BAL(CN,"*","GLCode",$B10,PF,PT))</f>
        <v>32500</v>
      </c>
      <c r="F10" s="9">
        <f>IF(TRUE,32500,_xll.PSFx1BAL(CN,"*","GLCode",$B10,BSPF,BSPF))</f>
        <v>32500</v>
      </c>
      <c r="I10" s="5" t="str">
        <f>IF(TRUE,"140TDD","LI(4,0)")</f>
        <v>140TDD</v>
      </c>
      <c r="J10" s="5" t="str">
        <f>IF(TRUE,"Debtors - Trade Debtors","LI(4,1)")</f>
        <v>Debtors - Trade Debtors</v>
      </c>
      <c r="K10" s="26">
        <f>IF(TRUE,-128733.09,_xll.PSFx1BAL(CN,"*","Detailed",$I10,PT,PT))</f>
        <v>-128733.09</v>
      </c>
      <c r="L10" s="32">
        <f>IF(TRUE,146885.07,_xll.PSFx1BAL(CN,"*","Detailed",$I10,BSPF,PT))</f>
        <v>146885.07</v>
      </c>
      <c r="M10" s="227"/>
    </row>
    <row r="11" spans="1:13" x14ac:dyDescent="0.2">
      <c r="A11" s="65">
        <f t="shared" si="0"/>
        <v>1450</v>
      </c>
      <c r="B11" s="5" t="str">
        <f>IF(TRUE,"1450","LI(6,0)")</f>
        <v>1450</v>
      </c>
      <c r="C11" s="5" t="str">
        <f>IF(TRUE,"Prepayments","LI(6,1)")</f>
        <v>Prepayments</v>
      </c>
      <c r="D11" s="9">
        <f>IF(TRUE,8452.48,_xll.PSFx1BAL(CN,"*","GLCode",$B11,PT,PT))</f>
        <v>8452.48</v>
      </c>
      <c r="E11" s="9">
        <f>IF(TRUE,50116.29,_xll.PSFx1BAL(CN,"*","GLCode",$B11,PF,PT))</f>
        <v>50116.29</v>
      </c>
      <c r="F11" s="9">
        <f>IF(TRUE,33288.7,_xll.PSFx1BAL(CN,"*","GLCode",$B11,BSPF,BSPF))</f>
        <v>33288.699999999997</v>
      </c>
      <c r="I11" s="5" t="str">
        <f>IF(TRUE,"145PRE","LI(5,0)")</f>
        <v>145PRE</v>
      </c>
      <c r="J11" s="5" t="str">
        <f>IF(TRUE,"Debtors - Prepayments &amp; Acc'd Income","LI(5,1)")</f>
        <v>Debtors - Prepayments &amp; Acc'd Income</v>
      </c>
      <c r="K11" s="26">
        <f>IF(TRUE,173597.85,_xll.PSFx1BAL(CN,"*","Detailed",$I11,PT,PT))</f>
        <v>173597.85</v>
      </c>
      <c r="L11" s="26">
        <f>IF(TRUE,2145098.84,_xll.PSFx1BAL(CN,"*","Detailed",$I11,BSPF,PT))</f>
        <v>2145098.84</v>
      </c>
    </row>
    <row r="12" spans="1:13" x14ac:dyDescent="0.2">
      <c r="A12" s="65">
        <f t="shared" si="0"/>
        <v>1451</v>
      </c>
      <c r="B12" s="5" t="str">
        <f>IF(TRUE,"1451","LI(7,0)")</f>
        <v>1451</v>
      </c>
      <c r="C12" s="5" t="str">
        <f>IF(TRUE,"Accrued Income","LI(7,1)")</f>
        <v>Accrued Income</v>
      </c>
      <c r="D12" s="9">
        <f>IF(TRUE,140186.21,_xll.PSFx1BAL(CN,"*","GLCode",$B12,PT,PT))</f>
        <v>140186.21</v>
      </c>
      <c r="E12" s="9">
        <f>IF(TRUE,2006811.15,_xll.PSFx1BAL(CN,"*","GLCode",$B12,PF,PT))</f>
        <v>2006811.15</v>
      </c>
      <c r="F12" s="9">
        <f>IF(TRUE,119349.2,_xll.PSFx1BAL(CN,"*","GLCode",$B12,BSPF,BSPF))</f>
        <v>119349.2</v>
      </c>
      <c r="I12" s="5" t="str">
        <f>IF(TRUE,"150ODS","LI(6,0)")</f>
        <v>150ODS</v>
      </c>
      <c r="J12" s="5" t="str">
        <f>IF(TRUE,"Other Debtors","LI(6,1)")</f>
        <v>Other Debtors</v>
      </c>
      <c r="K12" s="26">
        <f>IF(TRUE,0,_xll.PSFx1BAL(CN,"*","Detailed",$I12,PT,PT))</f>
        <v>0</v>
      </c>
      <c r="L12" s="26">
        <f>IF(TRUE,0,_xll.PSFx1BAL(CN,"*","Detailed",$I12,BSPF,PT))</f>
        <v>0</v>
      </c>
    </row>
    <row r="13" spans="1:13" x14ac:dyDescent="0.2">
      <c r="A13" s="65">
        <f t="shared" si="0"/>
        <v>1452</v>
      </c>
      <c r="B13" s="5" t="str">
        <f>IF(TRUE,"1452","LI(8,0)")</f>
        <v>1452</v>
      </c>
      <c r="C13" s="5" t="str">
        <f>IF(TRUE,"Accrued Income EUR","LI(8,1)")</f>
        <v>Accrued Income EUR</v>
      </c>
      <c r="D13" s="9">
        <f>IF(TRUE,2735.28,_xll.PSFx1BAL(CN,"*","GLCode",$B13,PT,PT))</f>
        <v>2735.28</v>
      </c>
      <c r="E13" s="9">
        <f>IF(TRUE,3239.56,_xll.PSFx1BAL(CN,"*","GLCode",$B13,PF,PT))</f>
        <v>3239.56</v>
      </c>
      <c r="F13" s="9">
        <f>IF(TRUE,27150.73,_xll.PSFx1BAL(CN,"*","GLCode",$B13,BSPF,BSPF))</f>
        <v>27150.73</v>
      </c>
      <c r="I13" s="5" t="str">
        <f>IF(TRUE,"170CAB","LI(7,0)")</f>
        <v>170CAB</v>
      </c>
      <c r="J13" s="5" t="str">
        <f>IF(TRUE,"Cash - at bank","LI(7,1)")</f>
        <v>Cash - at bank</v>
      </c>
      <c r="K13" s="26">
        <f>IF(TRUE,1556158.4,_xll.PSFx1BAL(CN,"*","Detailed",$I13,PT,PT))</f>
        <v>1556158.4</v>
      </c>
      <c r="L13" s="26">
        <f>IF(TRUE,15582751.82,_xll.PSFx1BAL(CN,"*","Detailed",$I13,BSPF,PT))</f>
        <v>15582751.82</v>
      </c>
    </row>
    <row r="14" spans="1:13" x14ac:dyDescent="0.2">
      <c r="A14" s="65">
        <f t="shared" si="0"/>
        <v>1453</v>
      </c>
      <c r="B14" s="5" t="str">
        <f>IF(TRUE,"1453","LI(9,0)")</f>
        <v>1453</v>
      </c>
      <c r="C14" s="5" t="str">
        <f>IF(TRUE,"Accrued Income USD","LI(9,1)")</f>
        <v>Accrued Income USD</v>
      </c>
      <c r="D14" s="9">
        <f>IF(TRUE,22223.88,_xll.PSFx1BAL(CN,"*","GLCode",$B14,PT,PT))</f>
        <v>22223.88</v>
      </c>
      <c r="E14" s="9">
        <f>IF(TRUE,84931.84,_xll.PSFx1BAL(CN,"*","GLCode",$B14,PF,PT))</f>
        <v>84931.839999999997</v>
      </c>
      <c r="F14" s="9">
        <f>IF(TRUE,97204.59,_xll.PSFx1BAL(CN,"*","GLCode",$B14,BSPF,BSPF))</f>
        <v>97204.59</v>
      </c>
      <c r="I14" s="5" t="str">
        <f>IF(TRUE,"177COH","LI(8,0)")</f>
        <v>177COH</v>
      </c>
      <c r="J14" s="5" t="str">
        <f>IF(TRUE,"Cash - on hand","LI(8,1)")</f>
        <v>Cash - on hand</v>
      </c>
      <c r="K14" s="26">
        <f>IF(TRUE,0,_xll.PSFx1BAL(CN,"*","Detailed",$I14,PT,PT))</f>
        <v>0</v>
      </c>
      <c r="L14" s="26">
        <f>IF(TRUE,0,_xll.PSFx1BAL(CN,"*","Detailed",$I14,BSPF,PT))</f>
        <v>0</v>
      </c>
    </row>
    <row r="15" spans="1:13" x14ac:dyDescent="0.2">
      <c r="A15" s="65">
        <f t="shared" si="0"/>
        <v>1521</v>
      </c>
      <c r="B15" s="5" t="str">
        <f>IF(TRUE,"1521","LI(10,0)")</f>
        <v>1521</v>
      </c>
      <c r="C15" s="5" t="str">
        <f>IF(TRUE,"Staff Advances","LI(10,1)")</f>
        <v>Staff Advances</v>
      </c>
      <c r="D15" s="9">
        <f>IF(TRUE,0,_xll.PSFx1BAL(CN,"*","GLCode",$B15,PT,PT))</f>
        <v>0</v>
      </c>
      <c r="E15" s="9">
        <f>IF(TRUE,0,_xll.PSFx1BAL(CN,"*","GLCode",$B15,PF,PT))</f>
        <v>0</v>
      </c>
      <c r="F15" s="9">
        <f>IF(TRUE,2741.36,_xll.PSFx1BAL(CN,"*","GLCode",$B15,BSPF,BSPF))</f>
        <v>2741.36</v>
      </c>
      <c r="I15" s="72" t="s">
        <v>331</v>
      </c>
      <c r="J15" s="73" t="s">
        <v>304</v>
      </c>
      <c r="K15" s="36">
        <f>SUM(K6:K14)</f>
        <v>1654287.16</v>
      </c>
      <c r="L15" s="36">
        <f>SUM(L6:L14)</f>
        <v>20855673.73</v>
      </c>
    </row>
    <row r="16" spans="1:13" x14ac:dyDescent="0.2">
      <c r="A16" s="65">
        <f t="shared" si="0"/>
        <v>1540</v>
      </c>
      <c r="B16" s="5" t="str">
        <f>IF(TRUE,"1540","LI(11,0)")</f>
        <v>1540</v>
      </c>
      <c r="C16" s="5" t="str">
        <f>IF(TRUE,"Sundry Debtors","LI(11,1)")</f>
        <v>Sundry Debtors</v>
      </c>
      <c r="D16" s="9">
        <f>IF(TRUE,0,_xll.PSFx1BAL(CN,"*","GLCode",$B16,PT,PT))</f>
        <v>0</v>
      </c>
      <c r="E16" s="9">
        <f>IF(TRUE,0,_xll.PSFx1BAL(CN,"*","GLCode",$B16,PF,PT))</f>
        <v>0</v>
      </c>
      <c r="F16" s="9">
        <f>IF(TRUE,6854096.34,_xll.PSFx1BAL(CN,"*","GLCode",$B16,BSPF,BSPF))</f>
        <v>6854096.3399999999</v>
      </c>
      <c r="I16" s="72" t="s">
        <v>331</v>
      </c>
      <c r="J16" s="72" t="s">
        <v>331</v>
      </c>
      <c r="K16" s="26"/>
      <c r="L16" s="26"/>
    </row>
    <row r="17" spans="1:13" x14ac:dyDescent="0.2">
      <c r="A17" s="65">
        <f t="shared" si="0"/>
        <v>1700</v>
      </c>
      <c r="B17" s="5" t="str">
        <f>IF(TRUE,"1700","LI(12,0)")</f>
        <v>1700</v>
      </c>
      <c r="C17" s="5" t="str">
        <f>IF(TRUE,"Current Account GBP","LI(12,1)")</f>
        <v>Current Account GBP</v>
      </c>
      <c r="D17" s="9">
        <f>IF(TRUE,1611163.68,_xll.PSFx1BAL(CN,"*","GLCode",$B17,PT,PT))</f>
        <v>1611163.68</v>
      </c>
      <c r="E17" s="9">
        <f>IF(TRUE,3043415.25,_xll.PSFx1BAL(CN,"*","GLCode",$B17,PF,PT))</f>
        <v>3043415.25</v>
      </c>
      <c r="F17" s="9">
        <f>IF(TRUE,559312.59,_xll.PSFx1BAL(CN,"*","GLCode",$B17,BSPF,BSPF))</f>
        <v>559312.59</v>
      </c>
      <c r="I17" s="5" t="str">
        <f>IF(TRUE,"200TRC","LI(0,0)")</f>
        <v>200TRC</v>
      </c>
      <c r="J17" s="5" t="str">
        <f>IF(TRUE,"Creditors - Trade Creditors","LI(0,1)")</f>
        <v>Creditors - Trade Creditors</v>
      </c>
      <c r="K17" s="26">
        <f>IF(TRUE,-20252.23,_xll.PSFx1BAL(CN,"*","Detailed",$I17,PT,PT))</f>
        <v>-20252.23</v>
      </c>
      <c r="L17" s="26">
        <f>IF(TRUE,-46508.77,_xll.PSFx1BAL(CN,"*","Detailed",$I17,BSPF,PT))</f>
        <v>-46508.77</v>
      </c>
    </row>
    <row r="18" spans="1:13" x14ac:dyDescent="0.2">
      <c r="A18" s="65">
        <f t="shared" si="0"/>
        <v>1701</v>
      </c>
      <c r="B18" s="5" t="str">
        <f>IF(TRUE,"1701","LI(13,0)")</f>
        <v>1701</v>
      </c>
      <c r="C18" s="5" t="str">
        <f>IF(TRUE,"Current Account USD","LI(13,1)")</f>
        <v>Current Account USD</v>
      </c>
      <c r="D18" s="9">
        <f>IF(TRUE,-55775.36,_xll.PSFx1BAL(CN,"*","GLCode",$B18,PT,PT))</f>
        <v>-55775.360000000001</v>
      </c>
      <c r="E18" s="9">
        <f>IF(TRUE,25774.86,_xll.PSFx1BAL(CN,"*","GLCode",$B18,PF,PT))</f>
        <v>25774.86</v>
      </c>
      <c r="F18" s="9">
        <f>IF(TRUE,818357.4,_xll.PSFx1BAL(CN,"*","GLCode",$B18,BSPF,BSPF))</f>
        <v>818357.4</v>
      </c>
      <c r="I18" s="5" t="str">
        <f>IF(TRUE,"220VAT","LI(1,0)")</f>
        <v>220VAT</v>
      </c>
      <c r="J18" s="5" t="str">
        <f>IF(TRUE,"Creditors - VAT","LI(1,1)")</f>
        <v>Creditors - VAT</v>
      </c>
      <c r="K18" s="26">
        <f>IF(TRUE,-6882.63,_xll.PSFx1BAL(CN,"*","Detailed",$I18,PT,PT))</f>
        <v>-6882.63</v>
      </c>
      <c r="L18" s="26">
        <f>IF(TRUE,-23680.9,_xll.PSFx1BAL(CN,"*","Detailed",$I18,BSPF,PT))</f>
        <v>-23680.9</v>
      </c>
    </row>
    <row r="19" spans="1:13" x14ac:dyDescent="0.2">
      <c r="A19" s="65">
        <f t="shared" si="0"/>
        <v>1702</v>
      </c>
      <c r="B19" s="5" t="str">
        <f>IF(TRUE,"1702","LI(14,0)")</f>
        <v>1702</v>
      </c>
      <c r="C19" s="5" t="str">
        <f>IF(TRUE,"Debit Card Bank Account","LI(14,1)")</f>
        <v>Debit Card Bank Account</v>
      </c>
      <c r="D19" s="9">
        <f>IF(TRUE,458.14,_xll.PSFx1BAL(CN,"*","GLCode",$B19,PT,PT))</f>
        <v>458.14</v>
      </c>
      <c r="E19" s="9">
        <f>IF(TRUE,1364.93,_xll.PSFx1BAL(CN,"*","GLCode",$B19,PF,PT))</f>
        <v>1364.93</v>
      </c>
      <c r="F19" s="9">
        <f>IF(TRUE,0,_xll.PSFx1BAL(CN,"*","GLCode",$B19,BSPF,BSPF))</f>
        <v>0</v>
      </c>
      <c r="I19" s="5" t="str">
        <f>IF(TRUE,"225SSC","LI(2,0)")</f>
        <v>225SSC</v>
      </c>
      <c r="J19" s="5" t="str">
        <f>IF(TRUE,"Creditors - Social Security","LI(2,1)")</f>
        <v>Creditors - Social Security</v>
      </c>
      <c r="K19" s="26">
        <f>IF(TRUE,-2789.59,_xll.PSFx1BAL(CN,"*","Detailed",$I19,PT,PT))</f>
        <v>-2789.59</v>
      </c>
      <c r="L19" s="26">
        <f>IF(TRUE,-44376.44,_xll.PSFx1BAL(CN,"*","Detailed",$I19,BSPF,PT))</f>
        <v>-44376.44</v>
      </c>
    </row>
    <row r="20" spans="1:13" x14ac:dyDescent="0.2">
      <c r="A20" s="65">
        <f t="shared" si="0"/>
        <v>1703</v>
      </c>
      <c r="B20" s="5" t="str">
        <f>IF(TRUE,"1703","LI(15,0)")</f>
        <v>1703</v>
      </c>
      <c r="C20" s="5" t="str">
        <f>IF(TRUE,"Current Account EUR","LI(15,1)")</f>
        <v>Current Account EUR</v>
      </c>
      <c r="D20" s="9">
        <f>IF(TRUE,0,_xll.PSFx1BAL(CN,"*","GLCode",$B20,PT,PT))</f>
        <v>0</v>
      </c>
      <c r="E20" s="9">
        <f>IF(TRUE,0,_xll.PSFx1BAL(CN,"*","GLCode",$B20,PF,PT))</f>
        <v>0</v>
      </c>
      <c r="F20" s="9">
        <f>IF(TRUE,0,_xll.PSFx1BAL(CN,"*","GLCode",$B20,BSPF,BSPF))</f>
        <v>0</v>
      </c>
      <c r="I20" s="5" t="str">
        <f>IF(TRUE,"230TAX","LI(3,0)")</f>
        <v>230TAX</v>
      </c>
      <c r="J20" s="5" t="str">
        <f>IF(TRUE,"Creditors - Corporation Tax","LI(3,1)")</f>
        <v>Creditors - Corporation Tax</v>
      </c>
      <c r="K20" s="26">
        <f>IF(TRUE,0,_xll.PSFx1BAL(CN,"*","Detailed",$I20,PT,PT))</f>
        <v>0</v>
      </c>
      <c r="L20" s="26">
        <f>IF(TRUE,0,_xll.PSFx1BAL(CN,"*","Detailed",$I20,BSPF,PT))</f>
        <v>0</v>
      </c>
    </row>
    <row r="21" spans="1:13" x14ac:dyDescent="0.2">
      <c r="A21" s="65">
        <f t="shared" si="0"/>
        <v>1705</v>
      </c>
      <c r="B21" s="5" t="str">
        <f>IF(TRUE,"1705","LI(16,0)")</f>
        <v>1705</v>
      </c>
      <c r="C21" s="5" t="str">
        <f>IF(TRUE,"Bank Deposit Account BPA","LI(16,1)")</f>
        <v>Bank Deposit Account BPA</v>
      </c>
      <c r="D21" s="9">
        <f>IF(TRUE,311.94,_xll.PSFx1BAL(CN,"*","GLCode",$B21,PT,PT))</f>
        <v>311.94</v>
      </c>
      <c r="E21" s="9">
        <f>IF(TRUE,12512196.78,_xll.PSFx1BAL(CN,"*","GLCode",$B21,PF,PT))</f>
        <v>12512196.779999999</v>
      </c>
      <c r="F21" s="9">
        <f>IF(TRUE,12509534.25,_xll.PSFx1BAL(CN,"*","GLCode",$B21,BSPF,BSPF))</f>
        <v>12509534.25</v>
      </c>
      <c r="I21" s="5" t="str">
        <f>IF(TRUE,"240ADI","LI(4,0)")</f>
        <v>240ADI</v>
      </c>
      <c r="J21" s="5" t="str">
        <f>IF(TRUE,"Creditors - Accruals","LI(4,1)")</f>
        <v>Creditors - Accruals</v>
      </c>
      <c r="K21" s="26">
        <f>IF(TRUE,-116915.13,_xll.PSFx1BAL(CN,"*","Detailed",$I21,PT,PT))</f>
        <v>-116915.13</v>
      </c>
      <c r="L21" s="26">
        <f>IF(TRUE,-286786.99,_xll.PSFx1BAL(CN,"*","Detailed",$I21,BSPF,PT))</f>
        <v>-286786.99</v>
      </c>
    </row>
    <row r="22" spans="1:13" x14ac:dyDescent="0.2">
      <c r="A22" s="65">
        <f t="shared" si="0"/>
        <v>1770</v>
      </c>
      <c r="B22" s="5" t="str">
        <f>IF(TRUE,"1770","LI(17,0)")</f>
        <v>1770</v>
      </c>
      <c r="C22" s="5" t="str">
        <f>IF(TRUE,"Petty Cash","LI(17,1)")</f>
        <v>Petty Cash</v>
      </c>
      <c r="D22" s="9">
        <f>IF(TRUE,0,_xll.PSFx1BAL(CN,"*","GLCode",$B22,PT,PT))</f>
        <v>0</v>
      </c>
      <c r="E22" s="9">
        <f>IF(TRUE,0,_xll.PSFx1BAL(CN,"*","GLCode",$B22,PF,PT))</f>
        <v>0</v>
      </c>
      <c r="F22" s="9">
        <f>IF(TRUE,0,_xll.PSFx1BAL(CN,"*","GLCode",$B22,BSPF,BSPF))</f>
        <v>0</v>
      </c>
      <c r="I22" s="5" t="str">
        <f>IF(TRUE,"250OCO","LI(5,0)")</f>
        <v>250OCO</v>
      </c>
      <c r="J22" s="5" t="str">
        <f>IF(TRUE,"Creditors - Other","LI(5,1)")</f>
        <v>Creditors - Other</v>
      </c>
      <c r="K22" s="26">
        <f>IF(TRUE,0,_xll.PSFx1BAL(CN,"*","Detailed",$I22,PT,PT))</f>
        <v>0</v>
      </c>
      <c r="L22" s="26">
        <f>IF(TRUE,0,_xll.PSFx1BAL(CN,"*","Detailed",$I22,BSPF,PT))</f>
        <v>0</v>
      </c>
    </row>
    <row r="23" spans="1:13" x14ac:dyDescent="0.2">
      <c r="A23" s="65">
        <f t="shared" si="0"/>
        <v>1798</v>
      </c>
      <c r="B23" s="5" t="str">
        <f>IF(TRUE,"1798","LI(18,0)")</f>
        <v>1798</v>
      </c>
      <c r="C23" s="5" t="str">
        <f>IF(TRUE,"Payment Run Clearing Account","LI(18,1)")</f>
        <v>Payment Run Clearing Account</v>
      </c>
      <c r="D23" s="9">
        <f>IF(TRUE,0,_xll.PSFx1BAL(CN,"*","GLCode",$B23,PT,PT))</f>
        <v>0</v>
      </c>
      <c r="E23" s="9">
        <f>IF(TRUE,0,_xll.PSFx1BAL(CN,"*","GLCode",$B23,PF,PT))</f>
        <v>0</v>
      </c>
      <c r="F23" s="9">
        <f>IF(TRUE,0,_xll.PSFx1BAL(CN,"*","GLCode",$B23,BSPF,BSPF))</f>
        <v>0</v>
      </c>
      <c r="I23" s="5" t="str">
        <f>IF(TRUE,"252OCW","LI(6,0)")</f>
        <v>252OCW</v>
      </c>
      <c r="J23" s="5" t="str">
        <f>IF(TRUE,"Creditors - Other (Wages)","LI(6,1)")</f>
        <v>Creditors - Other (Wages)</v>
      </c>
      <c r="K23" s="26">
        <f>IF(TRUE,0,_xll.PSFx1BAL(CN,"*","Detailed",$I23,PT,PT))</f>
        <v>0</v>
      </c>
      <c r="L23" s="26">
        <f>IF(TRUE,0,_xll.PSFx1BAL(CN,"*","Detailed",$I23,BSPF,PT))</f>
        <v>0</v>
      </c>
    </row>
    <row r="24" spans="1:13" x14ac:dyDescent="0.2">
      <c r="A24" s="65">
        <f t="shared" si="0"/>
        <v>1799</v>
      </c>
      <c r="B24" s="5" t="str">
        <f>IF(TRUE,"1799","LI(19,0)")</f>
        <v>1799</v>
      </c>
      <c r="C24" s="5" t="str">
        <f>IF(TRUE,"Paying In Control","LI(19,1)")</f>
        <v>Paying In Control</v>
      </c>
      <c r="D24" s="9">
        <f>IF(TRUE,0,_xll.PSFx1BAL(CN,"*","GLCode",$B24,PT,PT))</f>
        <v>0</v>
      </c>
      <c r="E24" s="9">
        <f>IF(TRUE,0,_xll.PSFx1BAL(CN,"*","GLCode",$B24,PF,PT))</f>
        <v>0</v>
      </c>
      <c r="F24" s="9">
        <f>IF(TRUE,0,_xll.PSFx1BAL(CN,"*","GLCode",$B24,BSPF,BSPF))</f>
        <v>0</v>
      </c>
      <c r="I24" s="5" t="str">
        <f>IF(TRUE,"275ICC","LI(7,0)")</f>
        <v>275ICC</v>
      </c>
      <c r="J24" s="5" t="str">
        <f>IF(TRUE,"Creditors - Intercompany","LI(7,1)")</f>
        <v>Creditors - Intercompany</v>
      </c>
      <c r="K24" s="26">
        <f>IF(TRUE,0,_xll.PSFx1BAL(CN,"*","Detailed",$I24,PT,PT))</f>
        <v>0</v>
      </c>
      <c r="L24" s="26">
        <f>IF(TRUE,0,_xll.PSFx1BAL(CN,"*","Detailed",$I24,BSPF,PT))</f>
        <v>0</v>
      </c>
    </row>
    <row r="25" spans="1:13" x14ac:dyDescent="0.2">
      <c r="A25" s="65">
        <f t="shared" si="0"/>
        <v>2000</v>
      </c>
      <c r="B25" s="5" t="str">
        <f>IF(TRUE,"2000","LI(20,0)")</f>
        <v>2000</v>
      </c>
      <c r="C25" s="5" t="str">
        <f>IF(TRUE,"Creditors Control Account","LI(20,1)")</f>
        <v>Creditors Control Account</v>
      </c>
      <c r="D25" s="9">
        <f>IF(TRUE,-20124.23,_xll.PSFx1BAL(CN,"*","GLCode",$B25,PT,PT))</f>
        <v>-20124.23</v>
      </c>
      <c r="E25" s="9">
        <f>IF(TRUE,-46380.76,_xll.PSFx1BAL(CN,"*","GLCode",$B25,PF,PT))</f>
        <v>-46380.76</v>
      </c>
      <c r="F25" s="9">
        <f>IF(TRUE,-44498.87,_xll.PSFx1BAL(CN,"*","GLCode",$B25,BSPF,BSPF))</f>
        <v>-44498.87</v>
      </c>
      <c r="I25" s="5" t="str">
        <f>IF(TRUE,"278FNL","LI(8,0)")</f>
        <v>278FNL</v>
      </c>
      <c r="J25" s="5" t="str">
        <f>IF(TRUE,"Creditors - Finance Leases","LI(8,1)")</f>
        <v>Creditors - Finance Leases</v>
      </c>
      <c r="K25" s="26">
        <f>IF(TRUE,0,_xll.PSFx1BAL(CN,"*","Detailed",$I25,PT,PT))</f>
        <v>0</v>
      </c>
      <c r="L25" s="26">
        <f>IF(TRUE,0,_xll.PSFx1BAL(CN,"*","Detailed",$I25,BSPF,PT))</f>
        <v>0</v>
      </c>
    </row>
    <row r="26" spans="1:13" x14ac:dyDescent="0.2">
      <c r="A26" s="65">
        <f t="shared" si="0"/>
        <v>2100</v>
      </c>
      <c r="B26" s="5" t="str">
        <f>IF(TRUE,"2100","LI(21,0)")</f>
        <v>2100</v>
      </c>
      <c r="C26" s="5" t="str">
        <f>IF(TRUE,"Employee Expenses Control Account","LI(21,1)")</f>
        <v>Employee Expenses Control Account</v>
      </c>
      <c r="D26" s="9">
        <f>IF(TRUE,-128,_xll.PSFx1BAL(CN,"*","GLCode",$B26,PT,PT))</f>
        <v>-128</v>
      </c>
      <c r="E26" s="9">
        <f>IF(TRUE,-128.01,_xll.PSFx1BAL(CN,"*","GLCode",$B26,PF,PT))</f>
        <v>-128.01</v>
      </c>
      <c r="F26" s="9">
        <f>IF(TRUE,758.6,_xll.PSFx1BAL(CN,"*","GLCode",$B26,BSPF,BSPF))</f>
        <v>758.6</v>
      </c>
      <c r="I26" s="72" t="s">
        <v>331</v>
      </c>
      <c r="J26" s="73" t="s">
        <v>305</v>
      </c>
      <c r="K26" s="36">
        <f>SUM(K17:K25)</f>
        <v>-146839.58000000002</v>
      </c>
      <c r="L26" s="36">
        <f>SUM(L17:L25)</f>
        <v>-401353.1</v>
      </c>
    </row>
    <row r="27" spans="1:13" x14ac:dyDescent="0.2">
      <c r="A27" s="65">
        <f t="shared" si="0"/>
        <v>2201</v>
      </c>
      <c r="B27" s="5" t="str">
        <f>IF(TRUE,"2201","LI(22,0)")</f>
        <v>2201</v>
      </c>
      <c r="C27" s="5" t="str">
        <f>IF(TRUE,"Output VAT Control","LI(22,1)")</f>
        <v>Output VAT Control</v>
      </c>
      <c r="D27" s="9">
        <f>IF(TRUE,0,_xll.PSFx1BAL(CN,"*","GLCode",$B27,PT,PT))</f>
        <v>0</v>
      </c>
      <c r="E27" s="9">
        <f>IF(TRUE,0,_xll.PSFx1BAL(CN,"*","GLCode",$B27,PF,PT))</f>
        <v>0</v>
      </c>
      <c r="F27" s="9">
        <f>IF(TRUE,0,_xll.PSFx1BAL(CN,"*","GLCode",$B27,BSPF,BSPF))</f>
        <v>0</v>
      </c>
      <c r="I27" s="72" t="s">
        <v>331</v>
      </c>
      <c r="J27" s="73" t="s">
        <v>331</v>
      </c>
      <c r="K27" s="37"/>
      <c r="L27" s="37"/>
    </row>
    <row r="28" spans="1:13" x14ac:dyDescent="0.2">
      <c r="A28" s="65">
        <f t="shared" si="0"/>
        <v>2202</v>
      </c>
      <c r="B28" s="5" t="str">
        <f>IF(TRUE,"2202","LI(23,0)")</f>
        <v>2202</v>
      </c>
      <c r="C28" s="5" t="str">
        <f>IF(TRUE,"Input VAT Control","LI(23,1)")</f>
        <v>Input VAT Control</v>
      </c>
      <c r="D28" s="9">
        <f>IF(TRUE,0,_xll.PSFx1BAL(CN,"*","GLCode",$B28,PT,PT))</f>
        <v>0</v>
      </c>
      <c r="E28" s="9">
        <f>IF(TRUE,0,_xll.PSFx1BAL(CN,"*","GLCode",$B28,PF,PT))</f>
        <v>0</v>
      </c>
      <c r="F28" s="9">
        <f>IF(TRUE,0,_xll.PSFx1BAL(CN,"*","GLCode",$B28,BSPF,BSPF))</f>
        <v>0</v>
      </c>
      <c r="I28" s="72" t="s">
        <v>331</v>
      </c>
      <c r="J28" s="73" t="s">
        <v>306</v>
      </c>
      <c r="K28" s="27">
        <f>K15+K26</f>
        <v>1507447.5799999998</v>
      </c>
      <c r="L28" s="27">
        <f>L15+L26</f>
        <v>20454320.629999999</v>
      </c>
    </row>
    <row r="29" spans="1:13" x14ac:dyDescent="0.2">
      <c r="A29" s="65">
        <f t="shared" si="0"/>
        <v>2203</v>
      </c>
      <c r="B29" s="5" t="str">
        <f>IF(TRUE,"2203","LI(24,0)")</f>
        <v>2203</v>
      </c>
      <c r="C29" s="5" t="str">
        <f>IF(TRUE,"VAT Liability","LI(24,1)")</f>
        <v>VAT Liability</v>
      </c>
      <c r="D29" s="9">
        <f>IF(TRUE,0.04,_xll.PSFx1BAL(CN,"*","GLCode",$B29,PT,PT))</f>
        <v>0.04</v>
      </c>
      <c r="E29" s="9">
        <f>IF(TRUE,0,_xll.PSFx1BAL(CN,"*","GLCode",$B29,PF,PT))</f>
        <v>0</v>
      </c>
      <c r="F29" s="9">
        <f>IF(TRUE,-109532.86,_xll.PSFx1BAL(CN,"*","GLCode",$B29,BSPF,BSPF))</f>
        <v>-109532.86</v>
      </c>
      <c r="I29" s="72" t="s">
        <v>331</v>
      </c>
      <c r="J29" s="72" t="s">
        <v>331</v>
      </c>
      <c r="K29" s="26"/>
      <c r="L29" s="26"/>
    </row>
    <row r="30" spans="1:13" x14ac:dyDescent="0.2">
      <c r="A30" s="65">
        <f t="shared" si="0"/>
        <v>2204</v>
      </c>
      <c r="B30" s="5" t="str">
        <f>IF(TRUE,"2204","LI(25,0)")</f>
        <v>2204</v>
      </c>
      <c r="C30" s="5" t="str">
        <f>IF(TRUE,"Reverse Charge Output VAT","LI(25,1)")</f>
        <v>Reverse Charge Output VAT</v>
      </c>
      <c r="D30" s="9">
        <f>IF(TRUE,-6882.67,_xll.PSFx1BAL(CN,"*","GLCode",$B30,PT,PT))</f>
        <v>-6882.67</v>
      </c>
      <c r="E30" s="9">
        <f>IF(TRUE,-23680.9,_xll.PSFx1BAL(CN,"*","GLCode",$B30,PF,PT))</f>
        <v>-23680.9</v>
      </c>
      <c r="F30" s="9">
        <f>IF(TRUE,0,_xll.PSFx1BAL(CN,"*","GLCode",$B30,BSPF,BSPF))</f>
        <v>0</v>
      </c>
      <c r="I30" s="5" t="str">
        <f>IF(TRUE,"300RES","LI(0,0)")</f>
        <v>300RES</v>
      </c>
      <c r="J30" s="5" t="str">
        <f>IF(TRUE,"Reserves","LI(0,1)")</f>
        <v>Reserves</v>
      </c>
      <c r="K30" s="26">
        <f>IF(TRUE,0,_xll.PSFx1BAL(CN,"*","Detailed",$I30,PT,PT))</f>
        <v>0</v>
      </c>
      <c r="L30" s="32">
        <f>IF(TRUE,-20823908.01,_xll.PSFx1BAL(CN,"*","Detailed",$I30,BSPF,PT))</f>
        <v>-20823908.010000002</v>
      </c>
      <c r="M30" s="227"/>
    </row>
    <row r="31" spans="1:13" x14ac:dyDescent="0.2">
      <c r="A31" s="65">
        <f t="shared" si="0"/>
        <v>2205</v>
      </c>
      <c r="B31" s="5" t="str">
        <f>IF(TRUE,"2205","LI(26,0)")</f>
        <v>2205</v>
      </c>
      <c r="C31" s="5" t="str">
        <f>IF(TRUE,"Reverse Charge Input VAT","LI(26,1)")</f>
        <v>Reverse Charge Input VAT</v>
      </c>
      <c r="D31" s="9">
        <f>IF(TRUE,0,_xll.PSFx1BAL(CN,"*","GLCode",$B31,PT,PT))</f>
        <v>0</v>
      </c>
      <c r="E31" s="9">
        <f>IF(TRUE,0,_xll.PSFx1BAL(CN,"*","GLCode",$B31,PF,PT))</f>
        <v>0</v>
      </c>
      <c r="F31" s="9">
        <f>IF(TRUE,0,_xll.PSFx1BAL(CN,"*","GLCode",$B31,BSPF,BSPF))</f>
        <v>0</v>
      </c>
      <c r="I31" s="72" t="s">
        <v>331</v>
      </c>
      <c r="J31" s="72" t="s">
        <v>307</v>
      </c>
      <c r="K31" s="26">
        <f>K56</f>
        <v>-1507447.5800000003</v>
      </c>
      <c r="L31" s="26">
        <f>L56</f>
        <v>369587.37999999896</v>
      </c>
    </row>
    <row r="32" spans="1:13" x14ac:dyDescent="0.2">
      <c r="A32" s="65">
        <f t="shared" si="0"/>
        <v>2210</v>
      </c>
      <c r="B32" s="5" t="str">
        <f>IF(TRUE,"2210","LI(27,0)")</f>
        <v>2210</v>
      </c>
      <c r="C32" s="5" t="str">
        <f>IF(TRUE,"VAT Adjustments","LI(27,1)")</f>
        <v>VAT Adjustments</v>
      </c>
      <c r="D32" s="9">
        <f>IF(TRUE,0,_xll.PSFx1BAL(CN,"*","GLCode",$B32,PT,PT))</f>
        <v>0</v>
      </c>
      <c r="E32" s="9">
        <f>IF(TRUE,0,_xll.PSFx1BAL(CN,"*","GLCode",$B32,PF,PT))</f>
        <v>0</v>
      </c>
      <c r="F32" s="9">
        <f>IF(TRUE,0,_xll.PSFx1BAL(CN,"*","GLCode",$B32,BSPF,BSPF))</f>
        <v>0</v>
      </c>
      <c r="I32" s="72" t="s">
        <v>722</v>
      </c>
      <c r="J32" s="72" t="s">
        <v>331</v>
      </c>
      <c r="K32" s="38">
        <f>SUM(K30:K31)</f>
        <v>-1507447.5800000003</v>
      </c>
      <c r="L32" s="38">
        <f>SUM(L30:L31)</f>
        <v>-20454320.630000003</v>
      </c>
    </row>
    <row r="33" spans="1:12" x14ac:dyDescent="0.2">
      <c r="A33" s="65">
        <f t="shared" si="0"/>
        <v>2240</v>
      </c>
      <c r="B33" s="5" t="str">
        <f>IF(TRUE,"2240","LI(28,0)")</f>
        <v>2240</v>
      </c>
      <c r="C33" s="5" t="str">
        <f>IF(TRUE,"Salaries Control","LI(28,1)")</f>
        <v>Salaries Control</v>
      </c>
      <c r="D33" s="9">
        <f>IF(TRUE,0,_xll.PSFx1BAL(CN,"*","GLCode",$B33,PT,PT))</f>
        <v>0</v>
      </c>
      <c r="E33" s="9">
        <f>IF(TRUE,0,_xll.PSFx1BAL(CN,"*","GLCode",$B33,PF,PT))</f>
        <v>0</v>
      </c>
      <c r="F33" s="9">
        <f>IF(TRUE,0,_xll.PSFx1BAL(CN,"*","GLCode",$B33,BSPF,BSPF))</f>
        <v>0</v>
      </c>
      <c r="I33" s="72" t="s">
        <v>331</v>
      </c>
      <c r="J33" s="72" t="s">
        <v>331</v>
      </c>
      <c r="K33" s="271">
        <f>K28+K32</f>
        <v>0</v>
      </c>
      <c r="L33" s="271">
        <f>L28+L32</f>
        <v>0</v>
      </c>
    </row>
    <row r="34" spans="1:12" x14ac:dyDescent="0.2">
      <c r="A34" s="65">
        <f t="shared" si="0"/>
        <v>2250</v>
      </c>
      <c r="B34" s="5" t="str">
        <f>IF(TRUE,"2250","LI(29,0)")</f>
        <v>2250</v>
      </c>
      <c r="C34" s="5" t="str">
        <f>IF(TRUE,"PAYE &amp; NI","LI(29,1)")</f>
        <v>PAYE &amp; NI</v>
      </c>
      <c r="D34" s="9">
        <f>IF(TRUE,-2789.59,_xll.PSFx1BAL(CN,"*","GLCode",$B34,PT,PT))</f>
        <v>-2789.59</v>
      </c>
      <c r="E34" s="9">
        <f>IF(TRUE,-44376.44,_xll.PSFx1BAL(CN,"*","GLCode",$B34,PF,PT))</f>
        <v>-44376.44</v>
      </c>
      <c r="F34" s="9">
        <f>IF(TRUE,-37245.41,_xll.PSFx1BAL(CN,"*","GLCode",$B34,BSPF,BSPF))</f>
        <v>-37245.410000000003</v>
      </c>
      <c r="I34" s="72" t="s">
        <v>331</v>
      </c>
      <c r="J34" s="73" t="s">
        <v>308</v>
      </c>
      <c r="K34" s="26"/>
      <c r="L34" s="26"/>
    </row>
    <row r="35" spans="1:12" x14ac:dyDescent="0.2">
      <c r="A35" s="65">
        <f t="shared" si="0"/>
        <v>2400</v>
      </c>
      <c r="B35" s="5" t="str">
        <f>IF(TRUE,"2400","LI(30,0)")</f>
        <v>2400</v>
      </c>
      <c r="C35" s="5" t="str">
        <f>IF(TRUE,"Accruals","LI(30,1)")</f>
        <v>Accruals</v>
      </c>
      <c r="D35" s="9">
        <f>IF(TRUE,-118314.71,_xll.PSFx1BAL(CN,"*","GLCode",$B35,PT,PT))</f>
        <v>-118314.71</v>
      </c>
      <c r="E35" s="9">
        <f>IF(TRUE,-159870.62,_xll.PSFx1BAL(CN,"*","GLCode",$B35,PF,PT))</f>
        <v>-159870.62</v>
      </c>
      <c r="F35" s="9">
        <f>IF(TRUE,-146562.86,_xll.PSFx1BAL(CN,"*","GLCode",$B35,BSPF,BSPF))</f>
        <v>-146562.85999999999</v>
      </c>
      <c r="I35" s="5" t="str">
        <f>IF(TRUE,"400SAL","LI(0,0)")</f>
        <v>400SAL</v>
      </c>
      <c r="J35" s="5" t="str">
        <f>IF(TRUE,"Sales","LI(0,1)")</f>
        <v>Sales</v>
      </c>
      <c r="K35" s="26">
        <f>IF(TRUE,-3092794.33,_xll.PSFx1BAL(CN,"*","Detailed",$I35,PT,PT))</f>
        <v>-3092794.33</v>
      </c>
      <c r="L35" s="26">
        <f>IF(TRUE,-8603706.07,_xll.PSFx1BAL(CN,"*","Detailed",$I35,BSPF,PT))</f>
        <v>-8603706.0700000003</v>
      </c>
    </row>
    <row r="36" spans="1:12" x14ac:dyDescent="0.2">
      <c r="A36" s="65">
        <f t="shared" si="0"/>
        <v>2410</v>
      </c>
      <c r="B36" s="5" t="str">
        <f>IF(TRUE,"2410","LI(31,0)")</f>
        <v>2410</v>
      </c>
      <c r="C36" s="5" t="str">
        <f>IF(TRUE,"Deferred Income","LI(31,1)")</f>
        <v>Deferred Income</v>
      </c>
      <c r="D36" s="9">
        <f>IF(TRUE,0,_xll.PSFx1BAL(CN,"*","GLCode",$B36,PT,PT))</f>
        <v>0</v>
      </c>
      <c r="E36" s="9">
        <f>IF(TRUE,0,_xll.PSFx1BAL(CN,"*","GLCode",$B36,PF,PT))</f>
        <v>0</v>
      </c>
      <c r="F36" s="9">
        <f>IF(TRUE,0,_xll.PSFx1BAL(CN,"*","GLCode",$B36,BSPF,BSPF))</f>
        <v>0</v>
      </c>
      <c r="I36" s="5" t="str">
        <f>IF(TRUE,"410OIN","LI(1,0)")</f>
        <v>410OIN</v>
      </c>
      <c r="J36" s="5" t="str">
        <f>IF(TRUE,"Other Income","LI(1,1)")</f>
        <v>Other Income</v>
      </c>
      <c r="K36" s="26">
        <f>IF(TRUE,-76450.1,_xll.PSFx1BAL(CN,"*","Detailed",$I36,PT,PT))</f>
        <v>-76450.100000000006</v>
      </c>
      <c r="L36" s="26">
        <f>IF(TRUE,-28505.11,_xll.PSFx1BAL(CN,"*","Detailed",$I36,BSPF,PT))</f>
        <v>-28505.11</v>
      </c>
    </row>
    <row r="37" spans="1:12" x14ac:dyDescent="0.2">
      <c r="A37" s="65">
        <f t="shared" si="0"/>
        <v>2411</v>
      </c>
      <c r="B37" s="5" t="str">
        <f>IF(TRUE,"2411","LI(32,0)")</f>
        <v>2411</v>
      </c>
      <c r="C37" s="5" t="str">
        <f>IF(TRUE,"Grant Income Received in Advance","LI(32,1)")</f>
        <v>Grant Income Received in Advance</v>
      </c>
      <c r="D37" s="9">
        <f>IF(TRUE,-6095,_xll.PSFx1BAL(CN,"*","GLCode",$B37,PT,PT))</f>
        <v>-6095</v>
      </c>
      <c r="E37" s="9">
        <f>IF(TRUE,-6095,_xll.PSFx1BAL(CN,"*","GLCode",$B37,PF,PT))</f>
        <v>-6095</v>
      </c>
      <c r="F37" s="9">
        <f>IF(TRUE,0,_xll.PSFx1BAL(CN,"*","GLCode",$B37,BSPF,BSPF))</f>
        <v>0</v>
      </c>
      <c r="I37" s="72" t="s">
        <v>719</v>
      </c>
      <c r="J37" s="73" t="s">
        <v>309</v>
      </c>
      <c r="K37" s="36">
        <f>SUM(K35:K36)</f>
        <v>-3169244.43</v>
      </c>
      <c r="L37" s="36">
        <f>SUM(L35:L36)</f>
        <v>-8632211.1799999997</v>
      </c>
    </row>
    <row r="38" spans="1:12" x14ac:dyDescent="0.2">
      <c r="A38" s="65">
        <f t="shared" si="0"/>
        <v>2412</v>
      </c>
      <c r="B38" s="5" t="str">
        <f>IF(TRUE,"2412","LI(33,0)")</f>
        <v>2412</v>
      </c>
      <c r="C38" s="5" t="str">
        <f>IF(TRUE,"Contract Income Received in Advance","LI(33,1)")</f>
        <v>Contract Income Received in Advance</v>
      </c>
      <c r="D38" s="9">
        <f>IF(TRUE,0,_xll.PSFx1BAL(CN,"*","GLCode",$B38,PT,PT))</f>
        <v>0</v>
      </c>
      <c r="E38" s="9">
        <f>IF(TRUE,0,_xll.PSFx1BAL(CN,"*","GLCode",$B38,PF,PT))</f>
        <v>0</v>
      </c>
      <c r="F38" s="9">
        <f>IF(TRUE,0,_xll.PSFx1BAL(CN,"*","GLCode",$B38,BSPF,BSPF))</f>
        <v>0</v>
      </c>
      <c r="I38" s="72" t="s">
        <v>331</v>
      </c>
      <c r="J38" s="72" t="s">
        <v>331</v>
      </c>
      <c r="K38" s="26"/>
      <c r="L38" s="26"/>
    </row>
    <row r="39" spans="1:12" x14ac:dyDescent="0.2">
      <c r="A39" s="65">
        <f t="shared" si="0"/>
        <v>2413</v>
      </c>
      <c r="B39" s="5" t="str">
        <f>IF(TRUE,"2413","LI(34,0)")</f>
        <v>2413</v>
      </c>
      <c r="C39" s="5" t="str">
        <f>IF(TRUE,"Grant Income Received in Advance USD","LI(34,1)")</f>
        <v>Grant Income Received in Advance USD</v>
      </c>
      <c r="D39" s="9">
        <f>IF(TRUE,2260.89,_xll.PSFx1BAL(CN,"*","GLCode",$B39,PT,PT))</f>
        <v>2260.89</v>
      </c>
      <c r="E39" s="9">
        <f>IF(TRUE,-46552.73,_xll.PSFx1BAL(CN,"*","GLCode",$B39,PF,PT))</f>
        <v>-46552.73</v>
      </c>
      <c r="F39" s="9">
        <f>IF(TRUE,-24270.23,_xll.PSFx1BAL(CN,"*","GLCode",$B39,BSPF,BSPF))</f>
        <v>-24270.23</v>
      </c>
      <c r="I39" s="5" t="str">
        <f>IF(TRUE,"500DCO","LI(0,0)")</f>
        <v>500DCO</v>
      </c>
      <c r="J39" s="5" t="str">
        <f>IF(TRUE,"Direct Costs","LI(0,1)")</f>
        <v>Direct Costs</v>
      </c>
      <c r="K39" s="26">
        <f>IF(TRUE,1417696.63,_xll.PSFx1BAL(CN,"*","Detailed",$I39,PT,PT))</f>
        <v>1417696.63</v>
      </c>
      <c r="L39" s="26">
        <f>IF(TRUE,6673902.33,_xll.PSFx1BAL(CN,"*","Detailed",$I39,BSPF,PT))</f>
        <v>6673902.3300000001</v>
      </c>
    </row>
    <row r="40" spans="1:12" x14ac:dyDescent="0.2">
      <c r="A40" s="65">
        <f t="shared" si="0"/>
        <v>2414</v>
      </c>
      <c r="B40" s="5" t="str">
        <f>IF(TRUE,"2414","LI(35,0)")</f>
        <v>2414</v>
      </c>
      <c r="C40" s="5" t="str">
        <f>IF(TRUE,"Contract Income Received in Advance USD","LI(35,1)")</f>
        <v>Contract Income Received in Advance USD</v>
      </c>
      <c r="D40" s="9">
        <f>IF(TRUE,-103.95,_xll.PSFx1BAL(CN,"*","GLCode",$B40,PT,PT))</f>
        <v>-103.95</v>
      </c>
      <c r="E40" s="9">
        <f>IF(TRUE,-11256.92,_xll.PSFx1BAL(CN,"*","GLCode",$B40,PF,PT))</f>
        <v>-11256.92</v>
      </c>
      <c r="F40" s="9">
        <f>IF(TRUE,0,_xll.PSFx1BAL(CN,"*","GLCode",$B40,BSPF,BSPF))</f>
        <v>0</v>
      </c>
      <c r="I40" s="5" t="str">
        <f>IF(TRUE,"700STF","LI(1,0)")</f>
        <v>700STF</v>
      </c>
      <c r="J40" s="5" t="str">
        <f>IF(TRUE,"Admin - Staff Costs","LI(1,1)")</f>
        <v>Admin - Staff Costs</v>
      </c>
      <c r="K40" s="26">
        <f>IF(TRUE,193040.07,_xll.PSFx1BAL(CN,"*","Detailed",$I40,PT,PT))</f>
        <v>193040.07</v>
      </c>
      <c r="L40" s="26">
        <f>IF(TRUE,1911642.01,_xll.PSFx1BAL(CN,"*","Detailed",$I40,BSPF,PT))</f>
        <v>1911642.01</v>
      </c>
    </row>
    <row r="41" spans="1:12" x14ac:dyDescent="0.2">
      <c r="A41" s="65">
        <f t="shared" si="0"/>
        <v>2415</v>
      </c>
      <c r="B41" s="5" t="str">
        <f>IF(TRUE,"2415","LI(36,0)")</f>
        <v>2415</v>
      </c>
      <c r="C41" s="5" t="str">
        <f>IF(TRUE,"Grant Income Received in Advance EUR","LI(36,1)")</f>
        <v>Grant Income Received in Advance EUR</v>
      </c>
      <c r="D41" s="9">
        <f>IF(TRUE,5337.64,_xll.PSFx1BAL(CN,"*","GLCode",$B41,PT,PT))</f>
        <v>5337.64</v>
      </c>
      <c r="E41" s="9">
        <f>IF(TRUE,-63011.72,_xll.PSFx1BAL(CN,"*","GLCode",$B41,PF,PT))</f>
        <v>-63011.72</v>
      </c>
      <c r="F41" s="9">
        <f>IF(TRUE,0,_xll.PSFx1BAL(CN,"*","GLCode",$B41,BSPF,BSPF))</f>
        <v>0</v>
      </c>
      <c r="I41" s="5" t="str">
        <f>IF(TRUE,"710OCC","LI(2,0)")</f>
        <v>710OCC</v>
      </c>
      <c r="J41" s="5" t="str">
        <f>IF(TRUE,"Admin - Occupancy","LI(2,1)")</f>
        <v>Admin - Occupancy</v>
      </c>
      <c r="K41" s="26">
        <f>IF(TRUE,11318.26,_xll.PSFx1BAL(CN,"*","Detailed",$I41,PT,PT))</f>
        <v>11318.26</v>
      </c>
      <c r="L41" s="26">
        <f>IF(TRUE,128846.91,_xll.PSFx1BAL(CN,"*","Detailed",$I41,BSPF,PT))</f>
        <v>128846.91</v>
      </c>
    </row>
    <row r="42" spans="1:12" x14ac:dyDescent="0.2">
      <c r="A42" s="65">
        <f t="shared" si="0"/>
        <v>2500</v>
      </c>
      <c r="B42" s="5" t="str">
        <f>IF(TRUE,"2500","LI(37,0)")</f>
        <v>2500</v>
      </c>
      <c r="C42" s="5" t="str">
        <f>IF(TRUE,"Sundry Creditors","LI(37,1)")</f>
        <v>Sundry Creditors</v>
      </c>
      <c r="D42" s="9">
        <f>IF(TRUE,0,_xll.PSFx1BAL(CN,"*","GLCode",$B42,PT,PT))</f>
        <v>0</v>
      </c>
      <c r="E42" s="9">
        <f>IF(TRUE,0,_xll.PSFx1BAL(CN,"*","GLCode",$B42,PF,PT))</f>
        <v>0</v>
      </c>
      <c r="F42" s="9">
        <f>IF(TRUE,0,_xll.PSFx1BAL(CN,"*","GLCode",$B42,BSPF,BSPF))</f>
        <v>0</v>
      </c>
      <c r="I42" s="5" t="str">
        <f>IF(TRUE,"720ITC","LI(3,0)")</f>
        <v>720ITC</v>
      </c>
      <c r="J42" s="5" t="str">
        <f>IF(TRUE,"Admin - IT &amp; Communications","LI(3,1)")</f>
        <v>Admin - IT &amp; Communications</v>
      </c>
      <c r="K42" s="26">
        <f>IF(TRUE,8980.38,_xll.PSFx1BAL(CN,"*","Detailed",$I42,PT,PT))</f>
        <v>8980.3799999999992</v>
      </c>
      <c r="L42" s="26">
        <f>IF(TRUE,91656.84,_xll.PSFx1BAL(CN,"*","Detailed",$I42,BSPF,PT))</f>
        <v>91656.84</v>
      </c>
    </row>
    <row r="43" spans="1:12" x14ac:dyDescent="0.2">
      <c r="A43" s="65">
        <f t="shared" si="0"/>
        <v>2525</v>
      </c>
      <c r="B43" s="5" t="str">
        <f>IF(TRUE,"2525","LI(38,0)")</f>
        <v>2525</v>
      </c>
      <c r="C43" s="5" t="str">
        <f>IF(TRUE,"Pensions Control Account","LI(38,1)")</f>
        <v>Pensions Control Account</v>
      </c>
      <c r="D43" s="9">
        <f>IF(TRUE,0,_xll.PSFx1BAL(CN,"*","GLCode",$B43,PT,PT))</f>
        <v>0</v>
      </c>
      <c r="E43" s="9">
        <f>IF(TRUE,0,_xll.PSFx1BAL(CN,"*","GLCode",$B43,PF,PT))</f>
        <v>0</v>
      </c>
      <c r="F43" s="9">
        <f>IF(TRUE,0,_xll.PSFx1BAL(CN,"*","GLCode",$B43,BSPF,BSPF))</f>
        <v>0</v>
      </c>
      <c r="I43" s="5" t="str">
        <f>IF(TRUE,"730TEN","LI(4,0)")</f>
        <v>730TEN</v>
      </c>
      <c r="J43" s="5" t="str">
        <f>IF(TRUE,"Admin - T&amp;E","LI(4,1)")</f>
        <v>Admin - T&amp;E</v>
      </c>
      <c r="K43" s="26">
        <f>IF(TRUE,237.28,_xll.PSFx1BAL(CN,"*","Detailed",$I43,PT,PT))</f>
        <v>237.28</v>
      </c>
      <c r="L43" s="26">
        <f>IF(TRUE,482.61,_xll.PSFx1BAL(CN,"*","Detailed",$I43,BSPF,PT))</f>
        <v>482.61</v>
      </c>
    </row>
    <row r="44" spans="1:12" x14ac:dyDescent="0.2">
      <c r="A44" s="65">
        <f t="shared" si="0"/>
        <v>2650</v>
      </c>
      <c r="B44" s="5" t="str">
        <f>IF(TRUE,"2650","LI(39,0)")</f>
        <v>2650</v>
      </c>
      <c r="C44" s="5" t="str">
        <f>IF(TRUE,"Intercompany","LI(39,1)")</f>
        <v>Intercompany</v>
      </c>
      <c r="D44" s="9">
        <f>IF(TRUE,0,_xll.PSFx1BAL(CN,"*","GLCode",$B44,PT,PT))</f>
        <v>0</v>
      </c>
      <c r="E44" s="9">
        <f>IF(TRUE,0,_xll.PSFx1BAL(CN,"*","GLCode",$B44,PF,PT))</f>
        <v>0</v>
      </c>
      <c r="F44" s="9">
        <f>IF(TRUE,0,_xll.PSFx1BAL(CN,"*","GLCode",$B44,BSPF,BSPF))</f>
        <v>0</v>
      </c>
      <c r="I44" s="5" t="str">
        <f>IF(TRUE,"740PRF","LI(5,0)")</f>
        <v>740PRF</v>
      </c>
      <c r="J44" s="5" t="str">
        <f>IF(TRUE,"Admin - Professional","LI(5,1)")</f>
        <v>Admin - Professional</v>
      </c>
      <c r="K44" s="26">
        <f>IF(TRUE,25900.71,_xll.PSFx1BAL(CN,"*","Detailed",$I44,PT,PT))</f>
        <v>25900.71</v>
      </c>
      <c r="L44" s="26">
        <f>IF(TRUE,50287.33,_xll.PSFx1BAL(CN,"*","Detailed",$I44,BSPF,PT))</f>
        <v>50287.33</v>
      </c>
    </row>
    <row r="45" spans="1:12" x14ac:dyDescent="0.2">
      <c r="A45" s="65">
        <f t="shared" si="0"/>
        <v>3000</v>
      </c>
      <c r="B45" s="5" t="str">
        <f>IF(TRUE,"3000","LI(40,0)")</f>
        <v>3000</v>
      </c>
      <c r="C45" s="5" t="str">
        <f>IF(TRUE,"Share Capital","LI(40,1)")</f>
        <v>Share Capital</v>
      </c>
      <c r="D45" s="9">
        <f>IF(TRUE,0,_xll.PSFx1BAL(CN,"*","GLCode",$B45,PT,PT))</f>
        <v>0</v>
      </c>
      <c r="E45" s="9">
        <f>IF(TRUE,0,_xll.PSFx1BAL(CN,"*","GLCode",$B45,PF,PT))</f>
        <v>0</v>
      </c>
      <c r="F45" s="9">
        <f>IF(TRUE,0,_xll.PSFx1BAL(CN,"*","GLCode",$B45,BSPF,BSPF))</f>
        <v>0</v>
      </c>
      <c r="I45" s="5" t="str">
        <f>IF(TRUE,"750OTH","LI(6,0)")</f>
        <v>750OTH</v>
      </c>
      <c r="J45" s="5" t="str">
        <f>IF(TRUE,"Admin - Other","LI(6,1)")</f>
        <v>Admin - Other</v>
      </c>
      <c r="K45" s="26">
        <f>IF(TRUE,6189.69,_xll.PSFx1BAL(CN,"*","Detailed",$I45,PT,PT))</f>
        <v>6189.69</v>
      </c>
      <c r="L45" s="26">
        <f>IF(TRUE,61057.45,_xll.PSFx1BAL(CN,"*","Detailed",$I45,BSPF,PT))</f>
        <v>61057.45</v>
      </c>
    </row>
    <row r="46" spans="1:12" x14ac:dyDescent="0.2">
      <c r="A46" s="65">
        <f t="shared" si="0"/>
        <v>3100</v>
      </c>
      <c r="B46" s="5" t="str">
        <f>IF(TRUE,"3100","LI(41,0)")</f>
        <v>3100</v>
      </c>
      <c r="C46" s="5" t="str">
        <f>IF(TRUE,"Designated Funds","LI(41,1)")</f>
        <v>Designated Funds</v>
      </c>
      <c r="D46" s="9">
        <f>IF(TRUE,0,_xll.PSFx1BAL(CN,"*","GLCode",$B46,PT,PT))</f>
        <v>0</v>
      </c>
      <c r="E46" s="9">
        <f>IF(TRUE,-17671179.93,_xll.PSFx1BAL(CN,"*","GLCode",$B46,PF,PT))</f>
        <v>-17671179.93</v>
      </c>
      <c r="F46" s="9">
        <f>IF(TRUE,-17671179.93,_xll.PSFx1BAL(CN,"*","GLCode",$B46,BSPF,BSPF))</f>
        <v>-17671179.93</v>
      </c>
      <c r="I46" s="5" t="str">
        <f>IF(TRUE,"760DEP","LI(7,0)")</f>
        <v>760DEP</v>
      </c>
      <c r="J46" s="5" t="str">
        <f>IF(TRUE,"Admin - Depn","LI(7,1)")</f>
        <v>Admin - Depn</v>
      </c>
      <c r="K46" s="26">
        <f>IF(TRUE,0,_xll.PSFx1BAL(CN,"*","Detailed",$I46,PT,PT))</f>
        <v>0</v>
      </c>
      <c r="L46" s="26">
        <f>IF(TRUE,0,_xll.PSFx1BAL(CN,"*","Detailed",$I46,BSPF,PT))</f>
        <v>0</v>
      </c>
    </row>
    <row r="47" spans="1:12" x14ac:dyDescent="0.2">
      <c r="A47" s="65">
        <f t="shared" si="0"/>
        <v>3200</v>
      </c>
      <c r="B47" s="5" t="str">
        <f>IF(TRUE,"3200","LI(42,0)")</f>
        <v>3200</v>
      </c>
      <c r="C47" s="5" t="str">
        <f>IF(TRUE,"Profit and Loss Account","LI(42,1)")</f>
        <v>Profit and Loss Account</v>
      </c>
      <c r="D47" s="9">
        <f>IF(TRUE,0,_xll.PSFx1BAL(CN,"*","GLCode",$B47,PT,PT))</f>
        <v>0</v>
      </c>
      <c r="E47" s="9">
        <f>IF(TRUE,-3152728.08,_xll.PSFx1BAL(CN,"*","GLCode",$B47,PF,PT))</f>
        <v>-3152728.08</v>
      </c>
      <c r="F47" s="9">
        <f>IF(TRUE,-3152728.08,_xll.PSFx1BAL(CN,"*","GLCode",$B47,BSPF,BSPF))</f>
        <v>-3152728.08</v>
      </c>
      <c r="I47" s="5" t="str">
        <f>IF(TRUE,"762AMT","LI(8,0)")</f>
        <v>762AMT</v>
      </c>
      <c r="J47" s="5" t="str">
        <f>IF(TRUE,"Admin - Amort","LI(8,1)")</f>
        <v>Admin - Amort</v>
      </c>
      <c r="K47" s="26">
        <f>IF(TRUE,0,_xll.PSFx1BAL(CN,"*","Detailed",$I47,PT,PT))</f>
        <v>0</v>
      </c>
      <c r="L47" s="26">
        <f>IF(TRUE,0,_xll.PSFx1BAL(CN,"*","Detailed",$I47,BSPF,PT))</f>
        <v>0</v>
      </c>
    </row>
    <row r="48" spans="1:12" x14ac:dyDescent="0.2">
      <c r="A48" s="65">
        <f t="shared" si="0"/>
        <v>4000</v>
      </c>
      <c r="B48" s="5" t="str">
        <f>IF(TRUE,"4000","LI(43,0)")</f>
        <v>4000</v>
      </c>
      <c r="C48" s="5" t="str">
        <f>IF(TRUE,"Donations","LI(43,1)")</f>
        <v>Donations</v>
      </c>
      <c r="D48" s="9">
        <f>IF(TRUE,-2865055.92,_xll.PSFx1BAL(CN,"*","GLCode",$B48,PT,PT))</f>
        <v>-2865055.92</v>
      </c>
      <c r="E48" s="9">
        <f>IF(TRUE,-4097805.25,_xll.PSFx1BAL(CN,"*","GLCode",$B48,PF,PT))</f>
        <v>-4097805.25</v>
      </c>
      <c r="F48" s="9">
        <f>IF(TRUE,0,_xll.PSFx1BAL(CN,"*","GLCode",$B48,BSPF,BSPF))</f>
        <v>0</v>
      </c>
      <c r="I48" s="5" t="str">
        <f>IF(TRUE,"780EXR","LI(9,0)")</f>
        <v>780EXR</v>
      </c>
      <c r="J48" s="5" t="str">
        <f>IF(TRUE,"Admin - Exchange Rates","LI(9,1)")</f>
        <v>Admin - Exchange Rates</v>
      </c>
      <c r="K48" s="26">
        <f>IF(TRUE,-1566.17,_xll.PSFx1BAL(CN,"*","Detailed",$I48,PT,PT))</f>
        <v>-1566.17</v>
      </c>
      <c r="L48" s="26">
        <f>IF(TRUE,83923.16,_xll.PSFx1BAL(CN,"*","Detailed",$I48,BSPF,PT))</f>
        <v>83923.16</v>
      </c>
    </row>
    <row r="49" spans="1:12" x14ac:dyDescent="0.2">
      <c r="A49" s="65">
        <f t="shared" si="0"/>
        <v>4001</v>
      </c>
      <c r="B49" s="5" t="str">
        <f>IF(TRUE,"4001","LI(44,0)")</f>
        <v>4001</v>
      </c>
      <c r="C49" s="5" t="str">
        <f>IF(TRUE,"Gift Aid Received","LI(44,1)")</f>
        <v>Gift Aid Received</v>
      </c>
      <c r="D49" s="9">
        <f>IF(TRUE,-27267.11,_xll.PSFx1BAL(CN,"*","GLCode",$B49,PT,PT))</f>
        <v>-27267.11</v>
      </c>
      <c r="E49" s="9">
        <f>IF(TRUE,-41158.45,_xll.PSFx1BAL(CN,"*","GLCode",$B49,PF,PT))</f>
        <v>-41158.449999999997</v>
      </c>
      <c r="F49" s="9">
        <f>IF(TRUE,0,_xll.PSFx1BAL(CN,"*","GLCode",$B49,BSPF,BSPF))</f>
        <v>0</v>
      </c>
      <c r="I49" s="5" t="str">
        <f>IF(TRUE,"790EXP","LI(10,0)")</f>
        <v>790EXP</v>
      </c>
      <c r="J49" s="5" t="str">
        <f>IF(TRUE,"Admin - Exceptional","LI(10,1)")</f>
        <v>Admin - Exceptional</v>
      </c>
      <c r="K49" s="26">
        <f>IF(TRUE,0,_xll.PSFx1BAL(CN,"*","Detailed",$I49,PT,PT))</f>
        <v>0</v>
      </c>
      <c r="L49" s="26">
        <f>IF(TRUE,-0.08,_xll.PSFx1BAL(CN,"*","Detailed",$I49,BSPF,PT))</f>
        <v>-0.08</v>
      </c>
    </row>
    <row r="50" spans="1:12" x14ac:dyDescent="0.2">
      <c r="A50" s="65">
        <f t="shared" si="0"/>
        <v>4010</v>
      </c>
      <c r="B50" s="5" t="str">
        <f>IF(TRUE,"4010","LI(45,0)")</f>
        <v>4010</v>
      </c>
      <c r="C50" s="5" t="str">
        <f>IF(TRUE,"Grant Income","LI(45,1)")</f>
        <v>Grant Income</v>
      </c>
      <c r="D50" s="9">
        <f>IF(TRUE,-167430.6,_xll.PSFx1BAL(CN,"*","GLCode",$B50,PT,PT))</f>
        <v>-167430.6</v>
      </c>
      <c r="E50" s="9">
        <f>IF(TRUE,-4007832.31,_xll.PSFx1BAL(CN,"*","GLCode",$B50,PF,PT))</f>
        <v>-4007832.31</v>
      </c>
      <c r="F50" s="9">
        <f>IF(TRUE,0,_xll.PSFx1BAL(CN,"*","GLCode",$B50,BSPF,BSPF))</f>
        <v>0</v>
      </c>
      <c r="I50" s="5" t="str">
        <f>IF(TRUE,"795APL","LI(11,0)")</f>
        <v>795APL</v>
      </c>
      <c r="J50" s="5" t="str">
        <f>IF(TRUE,"Profit/Loss on Sale of Assets","LI(11,1)")</f>
        <v>Profit/Loss on Sale of Assets</v>
      </c>
      <c r="K50" s="26">
        <f>IF(TRUE,0,_xll.PSFx1BAL(CN,"*","Detailed",$I50,PT,PT))</f>
        <v>0</v>
      </c>
      <c r="L50" s="26">
        <f>IF(TRUE,0,_xll.PSFx1BAL(CN,"*","Detailed",$I50,BSPF,PT))</f>
        <v>0</v>
      </c>
    </row>
    <row r="51" spans="1:12" x14ac:dyDescent="0.2">
      <c r="A51" s="65">
        <f t="shared" si="0"/>
        <v>4011</v>
      </c>
      <c r="B51" s="5" t="str">
        <f>IF(TRUE,"4011","LI(46,0)")</f>
        <v>4011</v>
      </c>
      <c r="C51" s="5" t="str">
        <f>IF(TRUE,"Grant Income - Central Cost Contribution","LI(46,1)")</f>
        <v>Grant Income - Central Cost Contribution</v>
      </c>
      <c r="D51" s="9">
        <f>IF(TRUE,-29537.33,_xll.PSFx1BAL(CN,"*","GLCode",$B51,PT,PT))</f>
        <v>-29537.33</v>
      </c>
      <c r="E51" s="9">
        <f>IF(TRUE,-299606.5,_xll.PSFx1BAL(CN,"*","GLCode",$B51,PF,PT))</f>
        <v>-299606.5</v>
      </c>
      <c r="F51" s="9">
        <f>IF(TRUE,0,_xll.PSFx1BAL(CN,"*","GLCode",$B51,BSPF,BSPF))</f>
        <v>0</v>
      </c>
      <c r="I51" s="5" t="str">
        <f>IF(TRUE,"810INP","LI(12,0)")</f>
        <v>810INP</v>
      </c>
      <c r="J51" s="5" t="str">
        <f>IF(TRUE,"Interest Paid","LI(12,1)")</f>
        <v>Interest Paid</v>
      </c>
      <c r="K51" s="26">
        <f>IF(TRUE,0,_xll.PSFx1BAL(CN,"*","Detailed",$I51,PT,PT))</f>
        <v>0</v>
      </c>
      <c r="L51" s="26">
        <f>IF(TRUE,0,_xll.PSFx1BAL(CN,"*","Detailed",$I51,BSPF,PT))</f>
        <v>0</v>
      </c>
    </row>
    <row r="52" spans="1:12" x14ac:dyDescent="0.2">
      <c r="A52" s="65">
        <f t="shared" si="0"/>
        <v>4020</v>
      </c>
      <c r="B52" s="5" t="str">
        <f>IF(TRUE,"4020","LI(47,0)")</f>
        <v>4020</v>
      </c>
      <c r="C52" s="5" t="str">
        <f>IF(TRUE,"Contract Income","LI(47,1)")</f>
        <v>Contract Income</v>
      </c>
      <c r="D52" s="9">
        <f>IF(TRUE,-3397.99,_xll.PSFx1BAL(CN,"*","GLCode",$B52,PT,PT))</f>
        <v>-3397.99</v>
      </c>
      <c r="E52" s="9">
        <f>IF(TRUE,-106070.49,_xll.PSFx1BAL(CN,"*","GLCode",$B52,PF,PT))</f>
        <v>-106070.49</v>
      </c>
      <c r="F52" s="9">
        <f>IF(TRUE,0,_xll.PSFx1BAL(CN,"*","GLCode",$B52,BSPF,BSPF))</f>
        <v>0</v>
      </c>
      <c r="I52" s="5" t="str">
        <f>IF(TRUE,"850CPT","LI(13,0)")</f>
        <v>850CPT</v>
      </c>
      <c r="J52" s="5" t="str">
        <f>IF(TRUE,"Taxation","LI(13,1)")</f>
        <v>Taxation</v>
      </c>
      <c r="K52" s="26">
        <f>IF(TRUE,0,_xll.PSFx1BAL(CN,"*","Detailed",$I52,PT,PT))</f>
        <v>0</v>
      </c>
      <c r="L52" s="26">
        <f>IF(TRUE,0,_xll.PSFx1BAL(CN,"*","Detailed",$I52,BSPF,PT))</f>
        <v>0</v>
      </c>
    </row>
    <row r="53" spans="1:12" x14ac:dyDescent="0.2">
      <c r="A53" s="65">
        <f t="shared" si="0"/>
        <v>4021</v>
      </c>
      <c r="B53" s="5" t="str">
        <f>IF(TRUE,"4021","LI(48,0)")</f>
        <v>4021</v>
      </c>
      <c r="C53" s="5" t="str">
        <f>IF(TRUE,"Contract Income - Central Cost Contrib","LI(48,1)")</f>
        <v>Contract Income - Central Cost Contrib</v>
      </c>
      <c r="D53" s="9">
        <f>IF(TRUE,-105.38,_xll.PSFx1BAL(CN,"*","GLCode",$B53,PT,PT))</f>
        <v>-105.38</v>
      </c>
      <c r="E53" s="9">
        <f>IF(TRUE,-51233.07,_xll.PSFx1BAL(CN,"*","GLCode",$B53,PF,PT))</f>
        <v>-51233.07</v>
      </c>
      <c r="F53" s="9">
        <f>IF(TRUE,0,_xll.PSFx1BAL(CN,"*","GLCode",$B53,BSPF,BSPF))</f>
        <v>0</v>
      </c>
      <c r="I53" s="5" t="str">
        <f>IF(TRUE,"999SUS","LI(14,0)")</f>
        <v>999SUS</v>
      </c>
      <c r="J53" s="5" t="str">
        <f>IF(TRUE,"Suspense","LI(14,1)")</f>
        <v>Suspense</v>
      </c>
      <c r="K53" s="26">
        <f>IF(TRUE,0,_xll.PSFx1BAL(CN,"*","Detailed",$I53,PT,PT))</f>
        <v>0</v>
      </c>
      <c r="L53" s="26">
        <f>IF(TRUE,0,_xll.PSFx1BAL(CN,"*","Detailed",$I53,BSPF,PT))</f>
        <v>0</v>
      </c>
    </row>
    <row r="54" spans="1:12" x14ac:dyDescent="0.2">
      <c r="A54" s="65">
        <f t="shared" si="0"/>
        <v>4050</v>
      </c>
      <c r="B54" s="5" t="str">
        <f>IF(TRUE,"4050","LI(49,0)")</f>
        <v>4050</v>
      </c>
      <c r="C54" s="5" t="str">
        <f>IF(TRUE,"Consultancy Income","LI(49,1)")</f>
        <v>Consultancy Income</v>
      </c>
      <c r="D54" s="9">
        <f>IF(TRUE,0,_xll.PSFx1BAL(CN,"*","GLCode",$B54,PT,PT))</f>
        <v>0</v>
      </c>
      <c r="E54" s="9">
        <f>IF(TRUE,0,_xll.PSFx1BAL(CN,"*","GLCode",$B54,PF,PT))</f>
        <v>0</v>
      </c>
      <c r="F54" s="9">
        <f>IF(TRUE,0,_xll.PSFx1BAL(CN,"*","GLCode",$B54,BSPF,BSPF))</f>
        <v>0</v>
      </c>
      <c r="I54" t="s">
        <v>720</v>
      </c>
      <c r="J54" s="30" t="s">
        <v>310</v>
      </c>
      <c r="K54" s="36">
        <f>SUM(K39:K53)</f>
        <v>1661796.8499999999</v>
      </c>
      <c r="L54" s="36">
        <f>SUM(L39:L53)</f>
        <v>9001798.5599999987</v>
      </c>
    </row>
    <row r="55" spans="1:12" x14ac:dyDescent="0.2">
      <c r="A55" s="65">
        <f t="shared" si="0"/>
        <v>4060</v>
      </c>
      <c r="B55" s="5" t="str">
        <f>IF(TRUE,"4060","LI(50,0)")</f>
        <v>4060</v>
      </c>
      <c r="C55" s="5" t="str">
        <f>IF(TRUE,"Other Income","LI(50,1)")</f>
        <v>Other Income</v>
      </c>
      <c r="D55" s="9">
        <f>IF(TRUE,0,_xll.PSFx1BAL(CN,"*","GLCode",$B55,PT,PT))</f>
        <v>0</v>
      </c>
      <c r="E55" s="9">
        <f>IF(TRUE,-646.51,_xll.PSFx1BAL(CN,"*","GLCode",$B55,PF,PT))</f>
        <v>-646.51</v>
      </c>
      <c r="F55" s="9">
        <f>IF(TRUE,0,_xll.PSFx1BAL(CN,"*","GLCode",$B55,BSPF,BSPF))</f>
        <v>0</v>
      </c>
    </row>
    <row r="56" spans="1:12" x14ac:dyDescent="0.2">
      <c r="A56" s="65">
        <f t="shared" si="0"/>
        <v>4100</v>
      </c>
      <c r="B56" s="5" t="str">
        <f>IF(TRUE,"4100","LI(51,0)")</f>
        <v>4100</v>
      </c>
      <c r="C56" s="5" t="str">
        <f>IF(TRUE,"Bank Interest Received","LI(51,1)")</f>
        <v>Bank Interest Received</v>
      </c>
      <c r="D56" s="9">
        <f>IF(TRUE,-311.94,_xll.PSFx1BAL(CN,"*","GLCode",$B56,PT,PT))</f>
        <v>-311.94</v>
      </c>
      <c r="E56" s="9">
        <f>IF(TRUE,-1172.28,_xll.PSFx1BAL(CN,"*","GLCode",$B56,PF,PT))</f>
        <v>-1172.28</v>
      </c>
      <c r="F56" s="9">
        <f>IF(TRUE,0,_xll.PSFx1BAL(CN,"*","GLCode",$B56,BSPF,BSPF))</f>
        <v>0</v>
      </c>
      <c r="I56" t="s">
        <v>721</v>
      </c>
      <c r="J56" s="30" t="s">
        <v>311</v>
      </c>
      <c r="K56" s="38">
        <f>K37+K54</f>
        <v>-1507447.5800000003</v>
      </c>
      <c r="L56" s="38">
        <f>L37+L54</f>
        <v>369587.37999999896</v>
      </c>
    </row>
    <row r="57" spans="1:12" x14ac:dyDescent="0.2">
      <c r="A57" s="65">
        <f t="shared" si="0"/>
        <v>4105</v>
      </c>
      <c r="B57" s="5" t="str">
        <f>IF(TRUE,"4105","LI(52,0)")</f>
        <v>4105</v>
      </c>
      <c r="C57" s="5" t="str">
        <f>IF(TRUE,"Investment Distributions","LI(52,1)")</f>
        <v>Investment Distributions</v>
      </c>
      <c r="D57" s="9">
        <f>IF(TRUE,-22874.16,_xll.PSFx1BAL(CN,"*","GLCode",$B57,PT,PT))</f>
        <v>-22874.16</v>
      </c>
      <c r="E57" s="9">
        <f>IF(TRUE,-45748.32,_xll.PSFx1BAL(CN,"*","GLCode",$B57,PF,PT))</f>
        <v>-45748.32</v>
      </c>
      <c r="F57" s="9">
        <f>IF(TRUE,0,_xll.PSFx1BAL(CN,"*","GLCode",$B57,BSPF,BSPF))</f>
        <v>0</v>
      </c>
    </row>
    <row r="58" spans="1:12" x14ac:dyDescent="0.2">
      <c r="A58" s="65">
        <f t="shared" si="0"/>
        <v>4106</v>
      </c>
      <c r="B58" s="5" t="str">
        <f>IF(TRUE,"4106","LI(53,0)")</f>
        <v>4106</v>
      </c>
      <c r="C58" s="5" t="str">
        <f>IF(TRUE,"Investment Revaluations","LI(53,1)")</f>
        <v>Investment Revaluations</v>
      </c>
      <c r="D58" s="9">
        <f>IF(TRUE,-53264,_xll.PSFx1BAL(CN,"*","GLCode",$B58,PT,PT))</f>
        <v>-53264</v>
      </c>
      <c r="E58" s="9">
        <f>IF(TRUE,19062,_xll.PSFx1BAL(CN,"*","GLCode",$B58,PF,PT))</f>
        <v>19062</v>
      </c>
      <c r="F58" s="9">
        <f>IF(TRUE,0,_xll.PSFx1BAL(CN,"*","GLCode",$B58,BSPF,BSPF))</f>
        <v>0</v>
      </c>
    </row>
    <row r="59" spans="1:12" x14ac:dyDescent="0.2">
      <c r="A59" s="65">
        <f t="shared" si="0"/>
        <v>6100</v>
      </c>
      <c r="B59" s="5" t="str">
        <f>IF(TRUE,"6100","LI(54,0)")</f>
        <v>6100</v>
      </c>
      <c r="C59" s="5" t="str">
        <f>IF(TRUE,"Payments to Partner Organisations","LI(54,1)")</f>
        <v>Payments to Partner Organisations</v>
      </c>
      <c r="D59" s="9">
        <f>IF(TRUE,1394047.15,_xll.PSFx1BAL(CN,"*","GLCode",$B59,PT,PT))</f>
        <v>1394047.15</v>
      </c>
      <c r="E59" s="454">
        <f>IF(TRUE,6578639.44,_xll.PSFx1BAL(CN,"*","GLCode",$B59,PF,PT))</f>
        <v>6578639.4400000004</v>
      </c>
      <c r="F59" s="9">
        <f>IF(TRUE,0,_xll.PSFx1BAL(CN,"*","GLCode",$B59,BSPF,BSPF))</f>
        <v>0</v>
      </c>
    </row>
    <row r="60" spans="1:12" x14ac:dyDescent="0.2">
      <c r="A60" s="65">
        <f t="shared" si="0"/>
        <v>6101</v>
      </c>
      <c r="B60" s="5" t="str">
        <f>IF(TRUE,"6101","LI(55,0)")</f>
        <v>6101</v>
      </c>
      <c r="C60" s="5" t="str">
        <f>IF(TRUE,"Third Party Consultants","LI(55,1)")</f>
        <v>Third Party Consultants</v>
      </c>
      <c r="D60" s="9">
        <f>IF(TRUE,12395.45,_xll.PSFx1BAL(CN,"*","GLCode",$B60,PT,PT))</f>
        <v>12395.45</v>
      </c>
      <c r="E60" s="9">
        <f>IF(TRUE,74135.96,_xll.PSFx1BAL(CN,"*","GLCode",$B60,PF,PT))</f>
        <v>74135.960000000006</v>
      </c>
      <c r="F60" s="9">
        <f>IF(TRUE,0,_xll.PSFx1BAL(CN,"*","GLCode",$B60,BSPF,BSPF))</f>
        <v>0</v>
      </c>
    </row>
    <row r="61" spans="1:12" x14ac:dyDescent="0.2">
      <c r="A61" s="65">
        <f t="shared" si="0"/>
        <v>6102</v>
      </c>
      <c r="B61" s="5" t="str">
        <f>IF(TRUE,"6102","LI(56,0)")</f>
        <v>6102</v>
      </c>
      <c r="C61" s="5" t="str">
        <f>IF(TRUE,"Supplies &amp; Consumables","LI(56,1)")</f>
        <v>Supplies &amp; Consumables</v>
      </c>
      <c r="D61" s="9">
        <f>IF(TRUE,11254.03,_xll.PSFx1BAL(CN,"*","GLCode",$B61,PT,PT))</f>
        <v>11254.03</v>
      </c>
      <c r="E61" s="9">
        <f>IF(TRUE,16954.08,_xll.PSFx1BAL(CN,"*","GLCode",$B61,PF,PT))</f>
        <v>16954.080000000002</v>
      </c>
      <c r="F61" s="9">
        <f>IF(TRUE,0,_xll.PSFx1BAL(CN,"*","GLCode",$B61,BSPF,BSPF))</f>
        <v>0</v>
      </c>
    </row>
    <row r="62" spans="1:12" x14ac:dyDescent="0.2">
      <c r="A62" s="65">
        <f t="shared" si="0"/>
        <v>6103</v>
      </c>
      <c r="B62" s="5" t="str">
        <f>IF(TRUE,"6103","LI(57,0)")</f>
        <v>6103</v>
      </c>
      <c r="C62" s="5" t="str">
        <f>IF(TRUE,"Field Work Expenses","LI(57,1)")</f>
        <v>Field Work Expenses</v>
      </c>
      <c r="D62" s="9">
        <f>IF(TRUE,0,_xll.PSFx1BAL(CN,"*","GLCode",$B62,PT,PT))</f>
        <v>0</v>
      </c>
      <c r="E62" s="9">
        <f>IF(TRUE,388.52,_xll.PSFx1BAL(CN,"*","GLCode",$B62,PF,PT))</f>
        <v>388.52</v>
      </c>
      <c r="F62" s="9">
        <f>IF(TRUE,0,_xll.PSFx1BAL(CN,"*","GLCode",$B62,BSPF,BSPF))</f>
        <v>0</v>
      </c>
    </row>
    <row r="63" spans="1:12" x14ac:dyDescent="0.2">
      <c r="A63" s="65">
        <f t="shared" si="0"/>
        <v>6104</v>
      </c>
      <c r="B63" s="5" t="str">
        <f>IF(TRUE,"6104","LI(58,0)")</f>
        <v>6104</v>
      </c>
      <c r="C63" s="5" t="str">
        <f>IF(TRUE,"Programme Equipment","LI(58,1)")</f>
        <v>Programme Equipment</v>
      </c>
      <c r="D63" s="9">
        <f>IF(TRUE,0,_xll.PSFx1BAL(CN,"*","GLCode",$B63,PT,PT))</f>
        <v>0</v>
      </c>
      <c r="E63" s="9">
        <f>IF(TRUE,3784.33,_xll.PSFx1BAL(CN,"*","GLCode",$B63,PF,PT))</f>
        <v>3784.33</v>
      </c>
      <c r="F63" s="9">
        <f>IF(TRUE,0,_xll.PSFx1BAL(CN,"*","GLCode",$B63,BSPF,BSPF))</f>
        <v>0</v>
      </c>
    </row>
    <row r="64" spans="1:12" x14ac:dyDescent="0.2">
      <c r="A64" s="65">
        <f t="shared" si="0"/>
        <v>7000</v>
      </c>
      <c r="B64" s="5" t="str">
        <f>IF(TRUE,"7000","LI(59,0)")</f>
        <v>7000</v>
      </c>
      <c r="C64" s="5" t="str">
        <f>IF(TRUE,"Salaries","LI(59,1)")</f>
        <v>Salaries</v>
      </c>
      <c r="D64" s="9">
        <f>IF(TRUE,176059.18,_xll.PSFx1BAL(CN,"*","GLCode",$B64,PT,PT))</f>
        <v>176059.18</v>
      </c>
      <c r="E64" s="9">
        <f>IF(TRUE,1581148.4,_xll.PSFx1BAL(CN,"*","GLCode",$B64,PF,PT))</f>
        <v>1581148.4</v>
      </c>
      <c r="F64" s="9">
        <f>IF(TRUE,0,_xll.PSFx1BAL(CN,"*","GLCode",$B64,BSPF,BSPF))</f>
        <v>0</v>
      </c>
    </row>
    <row r="65" spans="1:6" x14ac:dyDescent="0.2">
      <c r="A65" s="65">
        <f t="shared" si="0"/>
        <v>7001</v>
      </c>
      <c r="B65" s="5" t="str">
        <f>IF(TRUE,"7001","LI(60,0)")</f>
        <v>7001</v>
      </c>
      <c r="C65" s="5" t="str">
        <f>IF(TRUE,"Employer's National Insurance","LI(60,1)")</f>
        <v>Employer's National Insurance</v>
      </c>
      <c r="D65" s="9">
        <f>IF(TRUE,0,_xll.PSFx1BAL(CN,"*","GLCode",$B65,PT,PT))</f>
        <v>0</v>
      </c>
      <c r="E65" s="9">
        <f>IF(TRUE,0,_xll.PSFx1BAL(CN,"*","GLCode",$B65,PF,PT))</f>
        <v>0</v>
      </c>
      <c r="F65" s="9">
        <f>IF(TRUE,0,_xll.PSFx1BAL(CN,"*","GLCode",$B65,BSPF,BSPF))</f>
        <v>0</v>
      </c>
    </row>
    <row r="66" spans="1:6" x14ac:dyDescent="0.2">
      <c r="A66" s="65">
        <f t="shared" si="0"/>
        <v>7002</v>
      </c>
      <c r="B66" s="5" t="str">
        <f>IF(TRUE,"7002","LI(61,0)")</f>
        <v>7002</v>
      </c>
      <c r="C66" s="5" t="str">
        <f>IF(TRUE,"Employer's Pension Contributions","LI(61,1)")</f>
        <v>Employer's Pension Contributions</v>
      </c>
      <c r="D66" s="9">
        <f>IF(TRUE,0,_xll.PSFx1BAL(CN,"*","GLCode",$B66,PT,PT))</f>
        <v>0</v>
      </c>
      <c r="E66" s="9">
        <f>IF(TRUE,0,_xll.PSFx1BAL(CN,"*","GLCode",$B66,PF,PT))</f>
        <v>0</v>
      </c>
      <c r="F66" s="9">
        <f>IF(TRUE,0,_xll.PSFx1BAL(CN,"*","GLCode",$B66,BSPF,BSPF))</f>
        <v>0</v>
      </c>
    </row>
    <row r="67" spans="1:6" x14ac:dyDescent="0.2">
      <c r="A67" s="65">
        <f t="shared" si="0"/>
        <v>7010</v>
      </c>
      <c r="B67" s="5" t="str">
        <f>IF(TRUE,"7010","LI(62,0)")</f>
        <v>7010</v>
      </c>
      <c r="C67" s="5" t="str">
        <f>IF(TRUE,"Consultancy","LI(62,1)")</f>
        <v>Consultancy</v>
      </c>
      <c r="D67" s="9">
        <f>IF(TRUE,9434.44,_xll.PSFx1BAL(CN,"*","GLCode",$B67,PT,PT))</f>
        <v>9434.44</v>
      </c>
      <c r="E67" s="9">
        <f>IF(TRUE,228948.58,_xll.PSFx1BAL(CN,"*","GLCode",$B67,PF,PT))</f>
        <v>228948.58</v>
      </c>
      <c r="F67" s="9">
        <f>IF(TRUE,0,_xll.PSFx1BAL(CN,"*","GLCode",$B67,BSPF,BSPF))</f>
        <v>0</v>
      </c>
    </row>
    <row r="68" spans="1:6" x14ac:dyDescent="0.2">
      <c r="A68" s="65">
        <f t="shared" si="0"/>
        <v>7011</v>
      </c>
      <c r="B68" s="5" t="str">
        <f>IF(TRUE,"7011","LI(63,0)")</f>
        <v>7011</v>
      </c>
      <c r="C68" s="5" t="str">
        <f>IF(TRUE,"Agency Interim &amp; Temp Staff","LI(63,1)")</f>
        <v>Agency Interim &amp; Temp Staff</v>
      </c>
      <c r="D68" s="9">
        <f>IF(TRUE,0,_xll.PSFx1BAL(CN,"*","GLCode",$B68,PT,PT))</f>
        <v>0</v>
      </c>
      <c r="E68" s="9">
        <f>IF(TRUE,19466.55,_xll.PSFx1BAL(CN,"*","GLCode",$B68,PF,PT))</f>
        <v>19466.55</v>
      </c>
      <c r="F68" s="9">
        <f>IF(TRUE,0,_xll.PSFx1BAL(CN,"*","GLCode",$B68,BSPF,BSPF))</f>
        <v>0</v>
      </c>
    </row>
    <row r="69" spans="1:6" x14ac:dyDescent="0.2">
      <c r="A69" s="65">
        <f t="shared" si="0"/>
        <v>7020</v>
      </c>
      <c r="B69" s="5" t="str">
        <f>IF(TRUE,"7020","LI(64,0)")</f>
        <v>7020</v>
      </c>
      <c r="C69" s="5" t="str">
        <f>IF(TRUE,"Staff Training","LI(64,1)")</f>
        <v>Staff Training</v>
      </c>
      <c r="D69" s="9">
        <f>IF(TRUE,1412,_xll.PSFx1BAL(CN,"*","GLCode",$B69,PT,PT))</f>
        <v>1412</v>
      </c>
      <c r="E69" s="9">
        <f>IF(TRUE,11638.57,_xll.PSFx1BAL(CN,"*","GLCode",$B69,PF,PT))</f>
        <v>11638.57</v>
      </c>
      <c r="F69" s="9">
        <f>IF(TRUE,0,_xll.PSFx1BAL(CN,"*","GLCode",$B69,BSPF,BSPF))</f>
        <v>0</v>
      </c>
    </row>
    <row r="70" spans="1:6" x14ac:dyDescent="0.2">
      <c r="A70" s="65">
        <f t="shared" si="0"/>
        <v>7021</v>
      </c>
      <c r="B70" s="5" t="str">
        <f>IF(TRUE,"7021","LI(65,0)")</f>
        <v>7021</v>
      </c>
      <c r="C70" s="5" t="str">
        <f>IF(TRUE,"Staff Welfare","LI(65,1)")</f>
        <v>Staff Welfare</v>
      </c>
      <c r="D70" s="9">
        <f>IF(TRUE,91.2,_xll.PSFx1BAL(CN,"*","GLCode",$B70,PT,PT))</f>
        <v>91.2</v>
      </c>
      <c r="E70" s="9">
        <f>IF(TRUE,4444.9,_xll.PSFx1BAL(CN,"*","GLCode",$B70,PF,PT))</f>
        <v>4444.8999999999996</v>
      </c>
      <c r="F70" s="9">
        <f>IF(TRUE,0,_xll.PSFx1BAL(CN,"*","GLCode",$B70,BSPF,BSPF))</f>
        <v>0</v>
      </c>
    </row>
    <row r="71" spans="1:6" x14ac:dyDescent="0.2">
      <c r="A71" s="65">
        <f t="shared" si="0"/>
        <v>7023</v>
      </c>
      <c r="B71" s="5" t="str">
        <f>IF(TRUE,"7023","LI(66,0)")</f>
        <v>7023</v>
      </c>
      <c r="C71" s="5" t="str">
        <f>IF(TRUE,"Membership Subscriptions","LI(66,1)")</f>
        <v>Membership Subscriptions</v>
      </c>
      <c r="D71" s="9">
        <f>IF(TRUE,0,_xll.PSFx1BAL(CN,"*","GLCode",$B71,PT,PT))</f>
        <v>0</v>
      </c>
      <c r="E71" s="9">
        <f>IF(TRUE,7456.5,_xll.PSFx1BAL(CN,"*","GLCode",$B71,PF,PT))</f>
        <v>7456.5</v>
      </c>
      <c r="F71" s="9">
        <f>IF(TRUE,0,_xll.PSFx1BAL(CN,"*","GLCode",$B71,BSPF,BSPF))</f>
        <v>0</v>
      </c>
    </row>
    <row r="72" spans="1:6" x14ac:dyDescent="0.2">
      <c r="A72" s="65">
        <f t="shared" si="0"/>
        <v>7030</v>
      </c>
      <c r="B72" s="5" t="str">
        <f>IF(TRUE,"7030","LI(67,0)")</f>
        <v>7030</v>
      </c>
      <c r="C72" s="5" t="str">
        <f>IF(TRUE,"HR Costs","LI(67,1)")</f>
        <v>HR Costs</v>
      </c>
      <c r="D72" s="9">
        <f>IF(TRUE,5685.24,_xll.PSFx1BAL(CN,"*","GLCode",$B72,PT,PT))</f>
        <v>5685.24</v>
      </c>
      <c r="E72" s="9">
        <f>IF(TRUE,32907.79,_xll.PSFx1BAL(CN,"*","GLCode",$B72,PF,PT))</f>
        <v>32907.79</v>
      </c>
      <c r="F72" s="9">
        <f>IF(TRUE,0,_xll.PSFx1BAL(CN,"*","GLCode",$B72,BSPF,BSPF))</f>
        <v>0</v>
      </c>
    </row>
    <row r="73" spans="1:6" x14ac:dyDescent="0.2">
      <c r="A73" s="65">
        <f t="shared" si="0"/>
        <v>7031</v>
      </c>
      <c r="B73" s="5" t="str">
        <f>IF(TRUE,"7031","LI(68,0)")</f>
        <v>7031</v>
      </c>
      <c r="C73" s="5" t="str">
        <f>IF(TRUE,"Payroll Costs","LI(68,1)")</f>
        <v>Payroll Costs</v>
      </c>
      <c r="D73" s="9">
        <f>IF(TRUE,358.01,_xll.PSFx1BAL(CN,"*","GLCode",$B73,PT,PT))</f>
        <v>358.01</v>
      </c>
      <c r="E73" s="9">
        <f>IF(TRUE,1891.32,_xll.PSFx1BAL(CN,"*","GLCode",$B73,PF,PT))</f>
        <v>1891.32</v>
      </c>
      <c r="F73" s="9">
        <f>IF(TRUE,0,_xll.PSFx1BAL(CN,"*","GLCode",$B73,BSPF,BSPF))</f>
        <v>0</v>
      </c>
    </row>
    <row r="74" spans="1:6" x14ac:dyDescent="0.2">
      <c r="A74" s="65">
        <f t="shared" si="0"/>
        <v>7040</v>
      </c>
      <c r="B74" s="5" t="str">
        <f>IF(TRUE,"7040","LI(69,0)")</f>
        <v>7040</v>
      </c>
      <c r="C74" s="5" t="str">
        <f>IF(TRUE,"Recruitment Costs","LI(69,1)")</f>
        <v>Recruitment Costs</v>
      </c>
      <c r="D74" s="9">
        <f>IF(TRUE,0,_xll.PSFx1BAL(CN,"*","GLCode",$B74,PT,PT))</f>
        <v>0</v>
      </c>
      <c r="E74" s="9">
        <f>IF(TRUE,23739.4,_xll.PSFx1BAL(CN,"*","GLCode",$B74,PF,PT))</f>
        <v>23739.4</v>
      </c>
      <c r="F74" s="9">
        <f>IF(TRUE,0,_xll.PSFx1BAL(CN,"*","GLCode",$B74,BSPF,BSPF))</f>
        <v>0</v>
      </c>
    </row>
    <row r="75" spans="1:6" x14ac:dyDescent="0.2">
      <c r="A75" s="65">
        <f t="shared" si="0"/>
        <v>7100</v>
      </c>
      <c r="B75" s="5" t="str">
        <f>IF(TRUE,"7100","LI(70,0)")</f>
        <v>7100</v>
      </c>
      <c r="C75" s="5" t="str">
        <f>IF(TRUE,"Rents Payable","LI(70,1)")</f>
        <v>Rents Payable</v>
      </c>
      <c r="D75" s="9">
        <f>IF(TRUE,11072.81,_xll.PSFx1BAL(CN,"*","GLCode",$B75,PT,PT))</f>
        <v>11072.81</v>
      </c>
      <c r="E75" s="9">
        <f>IF(TRUE,117382.08,_xll.PSFx1BAL(CN,"*","GLCode",$B75,PF,PT))</f>
        <v>117382.08</v>
      </c>
      <c r="F75" s="9">
        <f>IF(TRUE,0,_xll.PSFx1BAL(CN,"*","GLCode",$B75,BSPF,BSPF))</f>
        <v>0</v>
      </c>
    </row>
    <row r="76" spans="1:6" x14ac:dyDescent="0.2">
      <c r="A76" s="65">
        <f t="shared" si="0"/>
        <v>7101</v>
      </c>
      <c r="B76" s="5" t="str">
        <f>IF(TRUE,"7101","LI(71,0)")</f>
        <v>7101</v>
      </c>
      <c r="C76" s="5" t="str">
        <f>IF(TRUE,"Service Charges Payable","LI(71,1)")</f>
        <v>Service Charges Payable</v>
      </c>
      <c r="D76" s="9">
        <f>IF(TRUE,0,_xll.PSFx1BAL(CN,"*","GLCode",$B76,PT,PT))</f>
        <v>0</v>
      </c>
      <c r="E76" s="9">
        <f>IF(TRUE,0,_xll.PSFx1BAL(CN,"*","GLCode",$B76,PF,PT))</f>
        <v>0</v>
      </c>
      <c r="F76" s="9">
        <f>IF(TRUE,0,_xll.PSFx1BAL(CN,"*","GLCode",$B76,BSPF,BSPF))</f>
        <v>0</v>
      </c>
    </row>
    <row r="77" spans="1:6" x14ac:dyDescent="0.2">
      <c r="A77" s="65">
        <f t="shared" si="0"/>
        <v>7120</v>
      </c>
      <c r="B77" s="5" t="str">
        <f>IF(TRUE,"7120","LI(72,0)")</f>
        <v>7120</v>
      </c>
      <c r="C77" s="5" t="str">
        <f>IF(TRUE,"Business Rates","LI(72,1)")</f>
        <v>Business Rates</v>
      </c>
      <c r="D77" s="9">
        <f>IF(TRUE,0,_xll.PSFx1BAL(CN,"*","GLCode",$B77,PT,PT))</f>
        <v>0</v>
      </c>
      <c r="E77" s="9">
        <f>IF(TRUE,8628.2,_xll.PSFx1BAL(CN,"*","GLCode",$B77,PF,PT))</f>
        <v>8628.2000000000007</v>
      </c>
      <c r="F77" s="9">
        <f>IF(TRUE,0,_xll.PSFx1BAL(CN,"*","GLCode",$B77,BSPF,BSPF))</f>
        <v>0</v>
      </c>
    </row>
    <row r="78" spans="1:6" x14ac:dyDescent="0.2">
      <c r="A78" s="65">
        <f t="shared" si="0"/>
        <v>7130</v>
      </c>
      <c r="B78" s="5" t="str">
        <f>IF(TRUE,"7130","LI(73,0)")</f>
        <v>7130</v>
      </c>
      <c r="C78" s="5" t="str">
        <f>IF(TRUE,"Insurance - Premises","LI(73,1)")</f>
        <v>Insurance - Premises</v>
      </c>
      <c r="D78" s="9">
        <f>IF(TRUE,0,_xll.PSFx1BAL(CN,"*","GLCode",$B78,PT,PT))</f>
        <v>0</v>
      </c>
      <c r="E78" s="9">
        <f>IF(TRUE,0,_xll.PSFx1BAL(CN,"*","GLCode",$B78,PF,PT))</f>
        <v>0</v>
      </c>
      <c r="F78" s="9">
        <f>IF(TRUE,0,_xll.PSFx1BAL(CN,"*","GLCode",$B78,BSPF,BSPF))</f>
        <v>0</v>
      </c>
    </row>
    <row r="79" spans="1:6" x14ac:dyDescent="0.2">
      <c r="A79" s="65">
        <f t="shared" ref="A79:A139" si="1">VALUE(B79)</f>
        <v>7150</v>
      </c>
      <c r="B79" s="5" t="str">
        <f>IF(TRUE,"7150","LI(74,0)")</f>
        <v>7150</v>
      </c>
      <c r="C79" s="5" t="str">
        <f>IF(TRUE,"Electricity","LI(74,1)")</f>
        <v>Electricity</v>
      </c>
      <c r="D79" s="9">
        <f>IF(TRUE,16.65,_xll.PSFx1BAL(CN,"*","GLCode",$B79,PT,PT))</f>
        <v>16.649999999999999</v>
      </c>
      <c r="E79" s="9">
        <f>IF(TRUE,307.46,_xll.PSFx1BAL(CN,"*","GLCode",$B79,PF,PT))</f>
        <v>307.45999999999998</v>
      </c>
      <c r="F79" s="9">
        <f>IF(TRUE,0,_xll.PSFx1BAL(CN,"*","GLCode",$B79,BSPF,BSPF))</f>
        <v>0</v>
      </c>
    </row>
    <row r="80" spans="1:6" x14ac:dyDescent="0.2">
      <c r="A80" s="65">
        <f t="shared" si="1"/>
        <v>7151</v>
      </c>
      <c r="B80" s="5" t="str">
        <f>IF(TRUE,"7151","LI(75,0)")</f>
        <v>7151</v>
      </c>
      <c r="C80" s="5" t="str">
        <f>IF(TRUE,"Office Heating","LI(75,1)")</f>
        <v>Office Heating</v>
      </c>
      <c r="D80" s="9">
        <f>IF(TRUE,0,_xll.PSFx1BAL(CN,"*","GLCode",$B80,PT,PT))</f>
        <v>0</v>
      </c>
      <c r="E80" s="9">
        <f>IF(TRUE,46.2,_xll.PSFx1BAL(CN,"*","GLCode",$B80,PF,PT))</f>
        <v>46.2</v>
      </c>
      <c r="F80" s="9">
        <f>IF(TRUE,0,_xll.PSFx1BAL(CN,"*","GLCode",$B80,BSPF,BSPF))</f>
        <v>0</v>
      </c>
    </row>
    <row r="81" spans="1:6" x14ac:dyDescent="0.2">
      <c r="A81" s="65">
        <f t="shared" si="1"/>
        <v>7160</v>
      </c>
      <c r="B81" s="5" t="str">
        <f>IF(TRUE,"7160","LI(76,0)")</f>
        <v>7160</v>
      </c>
      <c r="C81" s="5" t="str">
        <f>IF(TRUE,"Cleaning","LI(76,1)")</f>
        <v>Cleaning</v>
      </c>
      <c r="D81" s="9">
        <f>IF(TRUE,228.8,_xll.PSFx1BAL(CN,"*","GLCode",$B81,PT,PT))</f>
        <v>228.8</v>
      </c>
      <c r="E81" s="9">
        <f>IF(TRUE,2273.4,_xll.PSFx1BAL(CN,"*","GLCode",$B81,PF,PT))</f>
        <v>2273.4</v>
      </c>
      <c r="F81" s="9">
        <f>IF(TRUE,0,_xll.PSFx1BAL(CN,"*","GLCode",$B81,BSPF,BSPF))</f>
        <v>0</v>
      </c>
    </row>
    <row r="82" spans="1:6" x14ac:dyDescent="0.2">
      <c r="A82" s="65">
        <f t="shared" si="1"/>
        <v>7161</v>
      </c>
      <c r="B82" s="5" t="str">
        <f>IF(TRUE,"7161","LI(77,0)")</f>
        <v>7161</v>
      </c>
      <c r="C82" s="5" t="str">
        <f>IF(TRUE,"Repairs &amp; Maintenance","LI(77,1)")</f>
        <v>Repairs &amp; Maintenance</v>
      </c>
      <c r="D82" s="9">
        <f>IF(TRUE,0,_xll.PSFx1BAL(CN,"*","GLCode",$B82,PT,PT))</f>
        <v>0</v>
      </c>
      <c r="E82" s="9">
        <f>IF(TRUE,75.28,_xll.PSFx1BAL(CN,"*","GLCode",$B82,PF,PT))</f>
        <v>75.28</v>
      </c>
      <c r="F82" s="9">
        <f>IF(TRUE,0,_xll.PSFx1BAL(CN,"*","GLCode",$B82,BSPF,BSPF))</f>
        <v>0</v>
      </c>
    </row>
    <row r="83" spans="1:6" x14ac:dyDescent="0.2">
      <c r="A83" s="65">
        <f t="shared" si="1"/>
        <v>7162</v>
      </c>
      <c r="B83" s="5" t="str">
        <f>IF(TRUE,"7162","LI(78,0)")</f>
        <v>7162</v>
      </c>
      <c r="C83" s="5" t="str">
        <f>IF(TRUE,"Office Furniture &amp; Fixtures","LI(78,1)")</f>
        <v>Office Furniture &amp; Fixtures</v>
      </c>
      <c r="D83" s="9">
        <f>IF(TRUE,0,_xll.PSFx1BAL(CN,"*","GLCode",$B83,PT,PT))</f>
        <v>0</v>
      </c>
      <c r="E83" s="9">
        <f>IF(TRUE,0,_xll.PSFx1BAL(CN,"*","GLCode",$B83,PF,PT))</f>
        <v>0</v>
      </c>
      <c r="F83" s="9">
        <f>IF(TRUE,0,_xll.PSFx1BAL(CN,"*","GLCode",$B83,BSPF,BSPF))</f>
        <v>0</v>
      </c>
    </row>
    <row r="84" spans="1:6" x14ac:dyDescent="0.2">
      <c r="A84" s="65">
        <f t="shared" si="1"/>
        <v>7163</v>
      </c>
      <c r="B84" s="5" t="str">
        <f>IF(TRUE,"7163","LI(79,0)")</f>
        <v>7163</v>
      </c>
      <c r="C84" s="5" t="str">
        <f>IF(TRUE,"Sundry Office Costs","LI(79,1)")</f>
        <v>Sundry Office Costs</v>
      </c>
      <c r="D84" s="9">
        <f>IF(TRUE,0,_xll.PSFx1BAL(CN,"*","GLCode",$B84,PT,PT))</f>
        <v>0</v>
      </c>
      <c r="E84" s="9">
        <f>IF(TRUE,134.29,_xll.PSFx1BAL(CN,"*","GLCode",$B84,PF,PT))</f>
        <v>134.29</v>
      </c>
      <c r="F84" s="9">
        <f>IF(TRUE,0,_xll.PSFx1BAL(CN,"*","GLCode",$B84,BSPF,BSPF))</f>
        <v>0</v>
      </c>
    </row>
    <row r="85" spans="1:6" x14ac:dyDescent="0.2">
      <c r="A85" s="65">
        <f t="shared" si="1"/>
        <v>7200</v>
      </c>
      <c r="B85" s="5" t="str">
        <f>IF(TRUE,"7200","LI(80,0)")</f>
        <v>7200</v>
      </c>
      <c r="C85" s="5" t="str">
        <f>IF(TRUE,"Printing &amp; Photocopying","LI(80,1)")</f>
        <v>Printing &amp; Photocopying</v>
      </c>
      <c r="D85" s="9">
        <f>IF(TRUE,3.8,_xll.PSFx1BAL(CN,"*","GLCode",$B85,PT,PT))</f>
        <v>3.8</v>
      </c>
      <c r="E85" s="9">
        <f>IF(TRUE,755.84,_xll.PSFx1BAL(CN,"*","GLCode",$B85,PF,PT))</f>
        <v>755.84</v>
      </c>
      <c r="F85" s="9">
        <f>IF(TRUE,0,_xll.PSFx1BAL(CN,"*","GLCode",$B85,BSPF,BSPF))</f>
        <v>0</v>
      </c>
    </row>
    <row r="86" spans="1:6" x14ac:dyDescent="0.2">
      <c r="A86" s="65">
        <f t="shared" si="1"/>
        <v>7210</v>
      </c>
      <c r="B86" s="5" t="str">
        <f>IF(TRUE,"7210","LI(81,0)")</f>
        <v>7210</v>
      </c>
      <c r="C86" s="5" t="str">
        <f>IF(TRUE,"Postage","LI(81,1)")</f>
        <v>Postage</v>
      </c>
      <c r="D86" s="9">
        <f>IF(TRUE,9.52,_xll.PSFx1BAL(CN,"*","GLCode",$B86,PT,PT))</f>
        <v>9.52</v>
      </c>
      <c r="E86" s="9">
        <f>IF(TRUE,189.6,_xll.PSFx1BAL(CN,"*","GLCode",$B86,PF,PT))</f>
        <v>189.6</v>
      </c>
      <c r="F86" s="9">
        <f>IF(TRUE,0,_xll.PSFx1BAL(CN,"*","GLCode",$B86,BSPF,BSPF))</f>
        <v>0</v>
      </c>
    </row>
    <row r="87" spans="1:6" x14ac:dyDescent="0.2">
      <c r="A87" s="65">
        <f t="shared" si="1"/>
        <v>7211</v>
      </c>
      <c r="B87" s="5" t="str">
        <f>IF(TRUE,"7211","LI(82,0)")</f>
        <v>7211</v>
      </c>
      <c r="C87" s="5" t="str">
        <f>IF(TRUE,"Couriers &amp; Freight","LI(82,1)")</f>
        <v>Couriers &amp; Freight</v>
      </c>
      <c r="D87" s="9">
        <f>IF(TRUE,261.99,_xll.PSFx1BAL(CN,"*","GLCode",$B87,PT,PT))</f>
        <v>261.99</v>
      </c>
      <c r="E87" s="9">
        <f>IF(TRUE,1517.47,_xll.PSFx1BAL(CN,"*","GLCode",$B87,PF,PT))</f>
        <v>1517.47</v>
      </c>
      <c r="F87" s="9">
        <f>IF(TRUE,0,_xll.PSFx1BAL(CN,"*","GLCode",$B87,BSPF,BSPF))</f>
        <v>0</v>
      </c>
    </row>
    <row r="88" spans="1:6" x14ac:dyDescent="0.2">
      <c r="A88" s="65">
        <f t="shared" si="1"/>
        <v>7220</v>
      </c>
      <c r="B88" s="5" t="str">
        <f>IF(TRUE,"7220","LI(83,0)")</f>
        <v>7220</v>
      </c>
      <c r="C88" s="5" t="str">
        <f>IF(TRUE,"Office Stationery","LI(83,1)")</f>
        <v>Office Stationery</v>
      </c>
      <c r="D88" s="9">
        <f>IF(TRUE,9.6,_xll.PSFx1BAL(CN,"*","GLCode",$B88,PT,PT))</f>
        <v>9.6</v>
      </c>
      <c r="E88" s="9">
        <f>IF(TRUE,77.15,_xll.PSFx1BAL(CN,"*","GLCode",$B88,PF,PT))</f>
        <v>77.150000000000006</v>
      </c>
      <c r="F88" s="9">
        <f>IF(TRUE,0,_xll.PSFx1BAL(CN,"*","GLCode",$B88,BSPF,BSPF))</f>
        <v>0</v>
      </c>
    </row>
    <row r="89" spans="1:6" x14ac:dyDescent="0.2">
      <c r="A89" s="65">
        <f t="shared" si="1"/>
        <v>7230</v>
      </c>
      <c r="B89" s="5" t="str">
        <f>IF(TRUE,"7230","LI(84,0)")</f>
        <v>7230</v>
      </c>
      <c r="C89" s="5" t="str">
        <f>IF(TRUE,"Telephone","LI(84,1)")</f>
        <v>Telephone</v>
      </c>
      <c r="D89" s="9">
        <f>IF(TRUE,685.74,_xll.PSFx1BAL(CN,"*","GLCode",$B89,PT,PT))</f>
        <v>685.74</v>
      </c>
      <c r="E89" s="9">
        <f>IF(TRUE,13435.9,_xll.PSFx1BAL(CN,"*","GLCode",$B89,PF,PT))</f>
        <v>13435.9</v>
      </c>
      <c r="F89" s="9">
        <f>IF(TRUE,0,_xll.PSFx1BAL(CN,"*","GLCode",$B89,BSPF,BSPF))</f>
        <v>0</v>
      </c>
    </row>
    <row r="90" spans="1:6" x14ac:dyDescent="0.2">
      <c r="A90" s="65">
        <f t="shared" si="1"/>
        <v>7231</v>
      </c>
      <c r="B90" s="5" t="str">
        <f>IF(TRUE,"7231","LI(85,0)")</f>
        <v>7231</v>
      </c>
      <c r="C90" s="5" t="str">
        <f>IF(TRUE,"Internet","LI(85,1)")</f>
        <v>Internet</v>
      </c>
      <c r="D90" s="9">
        <f>IF(TRUE,673.01,_xll.PSFx1BAL(CN,"*","GLCode",$B90,PT,PT))</f>
        <v>673.01</v>
      </c>
      <c r="E90" s="9">
        <f>IF(TRUE,8181.17,_xll.PSFx1BAL(CN,"*","GLCode",$B90,PF,PT))</f>
        <v>8181.17</v>
      </c>
      <c r="F90" s="9">
        <f>IF(TRUE,0,_xll.PSFx1BAL(CN,"*","GLCode",$B90,BSPF,BSPF))</f>
        <v>0</v>
      </c>
    </row>
    <row r="91" spans="1:6" x14ac:dyDescent="0.2">
      <c r="A91" s="65">
        <f t="shared" si="1"/>
        <v>7232</v>
      </c>
      <c r="B91" s="5" t="str">
        <f>IF(TRUE,"7232","LI(86,0)")</f>
        <v>7232</v>
      </c>
      <c r="C91" s="5" t="str">
        <f>IF(TRUE,"Mobile &amp; Tablet Charges","LI(86,1)")</f>
        <v>Mobile &amp; Tablet Charges</v>
      </c>
      <c r="D91" s="9">
        <f>IF(TRUE,0,_xll.PSFx1BAL(CN,"*","GLCode",$B91,PT,PT))</f>
        <v>0</v>
      </c>
      <c r="E91" s="9">
        <f>IF(TRUE,0,_xll.PSFx1BAL(CN,"*","GLCode",$B91,PF,PT))</f>
        <v>0</v>
      </c>
      <c r="F91" s="9">
        <f>IF(TRUE,0,_xll.PSFx1BAL(CN,"*","GLCode",$B91,BSPF,BSPF))</f>
        <v>0</v>
      </c>
    </row>
    <row r="92" spans="1:6" x14ac:dyDescent="0.2">
      <c r="A92" s="65">
        <f t="shared" si="1"/>
        <v>7240</v>
      </c>
      <c r="B92" s="5" t="str">
        <f>IF(TRUE,"7240","LI(87,0)")</f>
        <v>7240</v>
      </c>
      <c r="C92" s="5" t="str">
        <f>IF(TRUE,"Computer Equipment","LI(87,1)")</f>
        <v>Computer Equipment</v>
      </c>
      <c r="D92" s="9">
        <f>IF(TRUE,1132.57,_xll.PSFx1BAL(CN,"*","GLCode",$B92,PT,PT))</f>
        <v>1132.57</v>
      </c>
      <c r="E92" s="9">
        <f>IF(TRUE,6505.8,_xll.PSFx1BAL(CN,"*","GLCode",$B92,PF,PT))</f>
        <v>6505.8</v>
      </c>
      <c r="F92" s="9">
        <f>IF(TRUE,0,_xll.PSFx1BAL(CN,"*","GLCode",$B92,BSPF,BSPF))</f>
        <v>0</v>
      </c>
    </row>
    <row r="93" spans="1:6" x14ac:dyDescent="0.2">
      <c r="A93" s="65">
        <f t="shared" si="1"/>
        <v>7241</v>
      </c>
      <c r="B93" s="5" t="str">
        <f>IF(TRUE,"7241","LI(88,0)")</f>
        <v>7241</v>
      </c>
      <c r="C93" s="5" t="str">
        <f>IF(TRUE,"Computer Maintenance &amp; Supplies","LI(88,1)")</f>
        <v>Computer Maintenance &amp; Supplies</v>
      </c>
      <c r="D93" s="9">
        <f>IF(TRUE,0,_xll.PSFx1BAL(CN,"*","GLCode",$B93,PT,PT))</f>
        <v>0</v>
      </c>
      <c r="E93" s="9">
        <f>IF(TRUE,98.63,_xll.PSFx1BAL(CN,"*","GLCode",$B93,PF,PT))</f>
        <v>98.63</v>
      </c>
      <c r="F93" s="9">
        <f>IF(TRUE,0,_xll.PSFx1BAL(CN,"*","GLCode",$B93,BSPF,BSPF))</f>
        <v>0</v>
      </c>
    </row>
    <row r="94" spans="1:6" x14ac:dyDescent="0.2">
      <c r="A94" s="65">
        <f t="shared" si="1"/>
        <v>7242</v>
      </c>
      <c r="B94" s="5" t="str">
        <f>IF(TRUE,"7242","LI(89,0)")</f>
        <v>7242</v>
      </c>
      <c r="C94" s="5" t="str">
        <f>IF(TRUE,"Software Purchases &amp; Licenses","LI(89,1)")</f>
        <v>Software Purchases &amp; Licenses</v>
      </c>
      <c r="D94" s="9">
        <f>IF(TRUE,3683.17,_xll.PSFx1BAL(CN,"*","GLCode",$B94,PT,PT))</f>
        <v>3683.17</v>
      </c>
      <c r="E94" s="9">
        <f>IF(TRUE,44645.69,_xll.PSFx1BAL(CN,"*","GLCode",$B94,PF,PT))</f>
        <v>44645.69</v>
      </c>
      <c r="F94" s="9">
        <f>IF(TRUE,0,_xll.PSFx1BAL(CN,"*","GLCode",$B94,BSPF,BSPF))</f>
        <v>0</v>
      </c>
    </row>
    <row r="95" spans="1:6" x14ac:dyDescent="0.2">
      <c r="A95" s="65">
        <f t="shared" si="1"/>
        <v>7243</v>
      </c>
      <c r="B95" s="5" t="str">
        <f>IF(TRUE,"7243","LI(90,0)")</f>
        <v>7243</v>
      </c>
      <c r="C95" s="5" t="str">
        <f>IF(TRUE,"IT Support","LI(90,1)")</f>
        <v>IT Support</v>
      </c>
      <c r="D95" s="9">
        <f>IF(TRUE,1207.5,_xll.PSFx1BAL(CN,"*","GLCode",$B95,PT,PT))</f>
        <v>1207.5</v>
      </c>
      <c r="E95" s="9">
        <f>IF(TRUE,11750.73,_xll.PSFx1BAL(CN,"*","GLCode",$B95,PF,PT))</f>
        <v>11750.73</v>
      </c>
      <c r="F95" s="9">
        <f>IF(TRUE,0,_xll.PSFx1BAL(CN,"*","GLCode",$B95,BSPF,BSPF))</f>
        <v>0</v>
      </c>
    </row>
    <row r="96" spans="1:6" x14ac:dyDescent="0.2">
      <c r="A96" s="65">
        <f t="shared" si="1"/>
        <v>7244</v>
      </c>
      <c r="B96" s="5" t="str">
        <f>IF(TRUE,"7244","LI(91,0)")</f>
        <v>7244</v>
      </c>
      <c r="C96" s="5" t="str">
        <f>IF(TRUE,"Other IT Costs","LI(91,1)")</f>
        <v>Other IT Costs</v>
      </c>
      <c r="D96" s="9">
        <f>IF(TRUE,0,_xll.PSFx1BAL(CN,"*","GLCode",$B96,PT,PT))</f>
        <v>0</v>
      </c>
      <c r="E96" s="9">
        <f>IF(TRUE,0,_xll.PSFx1BAL(CN,"*","GLCode",$B96,PF,PT))</f>
        <v>0</v>
      </c>
      <c r="F96" s="9">
        <f>IF(TRUE,0,_xll.PSFx1BAL(CN,"*","GLCode",$B96,BSPF,BSPF))</f>
        <v>0</v>
      </c>
    </row>
    <row r="97" spans="1:6" x14ac:dyDescent="0.2">
      <c r="A97" s="65">
        <f t="shared" si="1"/>
        <v>7250</v>
      </c>
      <c r="B97" s="5" t="str">
        <f>IF(TRUE,"7250","LI(92,0)")</f>
        <v>7250</v>
      </c>
      <c r="C97" s="5" t="str">
        <f>IF(TRUE,"Subscriptions","LI(92,1)")</f>
        <v>Subscriptions</v>
      </c>
      <c r="D97" s="9">
        <f>IF(TRUE,1169.48,_xll.PSFx1BAL(CN,"*","GLCode",$B97,PT,PT))</f>
        <v>1169.48</v>
      </c>
      <c r="E97" s="9">
        <f>IF(TRUE,3778.86,_xll.PSFx1BAL(CN,"*","GLCode",$B97,PF,PT))</f>
        <v>3778.86</v>
      </c>
      <c r="F97" s="9">
        <f>IF(TRUE,0,_xll.PSFx1BAL(CN,"*","GLCode",$B97,BSPF,BSPF))</f>
        <v>0</v>
      </c>
    </row>
    <row r="98" spans="1:6" x14ac:dyDescent="0.2">
      <c r="A98" s="65">
        <f t="shared" si="1"/>
        <v>7251</v>
      </c>
      <c r="B98" s="5" t="str">
        <f>IF(TRUE,"7251","LI(93,0)")</f>
        <v>7251</v>
      </c>
      <c r="C98" s="5" t="str">
        <f>IF(TRUE,"Books / Publications / Research","LI(93,1)")</f>
        <v>Books / Publications / Research</v>
      </c>
      <c r="D98" s="9">
        <f>IF(TRUE,0,_xll.PSFx1BAL(CN,"*","GLCode",$B98,PT,PT))</f>
        <v>0</v>
      </c>
      <c r="E98" s="9">
        <f>IF(TRUE,0,_xll.PSFx1BAL(CN,"*","GLCode",$B98,PF,PT))</f>
        <v>0</v>
      </c>
      <c r="F98" s="9">
        <f>IF(TRUE,0,_xll.PSFx1BAL(CN,"*","GLCode",$B98,BSPF,BSPF))</f>
        <v>0</v>
      </c>
    </row>
    <row r="99" spans="1:6" x14ac:dyDescent="0.2">
      <c r="A99" s="65">
        <f t="shared" si="1"/>
        <v>7260</v>
      </c>
      <c r="B99" s="5" t="str">
        <f>IF(TRUE,"7260","LI(94,0)")</f>
        <v>7260</v>
      </c>
      <c r="C99" s="5" t="str">
        <f>IF(TRUE,"Equipment Hire","LI(94,1)")</f>
        <v>Equipment Hire</v>
      </c>
      <c r="D99" s="9">
        <f>IF(TRUE,144,_xll.PSFx1BAL(CN,"*","GLCode",$B99,PT,PT))</f>
        <v>144</v>
      </c>
      <c r="E99" s="9">
        <f>IF(TRUE,720,_xll.PSFx1BAL(CN,"*","GLCode",$B99,PF,PT))</f>
        <v>720</v>
      </c>
      <c r="F99" s="9">
        <f>IF(TRUE,0,_xll.PSFx1BAL(CN,"*","GLCode",$B99,BSPF,BSPF))</f>
        <v>0</v>
      </c>
    </row>
    <row r="100" spans="1:6" x14ac:dyDescent="0.2">
      <c r="A100" s="65">
        <f t="shared" si="1"/>
        <v>7300</v>
      </c>
      <c r="B100" s="5" t="str">
        <f>IF(TRUE,"7300","LI(95,0)")</f>
        <v>7300</v>
      </c>
      <c r="C100" s="5" t="str">
        <f>IF(TRUE,"Travel - Air","LI(95,1)")</f>
        <v>Travel - Air</v>
      </c>
      <c r="D100" s="9">
        <f>IF(TRUE,0,_xll.PSFx1BAL(CN,"*","GLCode",$B100,PT,PT))</f>
        <v>0</v>
      </c>
      <c r="E100" s="9">
        <f>IF(TRUE,1690.34,_xll.PSFx1BAL(CN,"*","GLCode",$B100,PF,PT))</f>
        <v>1690.34</v>
      </c>
      <c r="F100" s="9">
        <f>IF(TRUE,0,_xll.PSFx1BAL(CN,"*","GLCode",$B100,BSPF,BSPF))</f>
        <v>0</v>
      </c>
    </row>
    <row r="101" spans="1:6" x14ac:dyDescent="0.2">
      <c r="A101" s="65">
        <f t="shared" si="1"/>
        <v>7301</v>
      </c>
      <c r="B101" s="5" t="str">
        <f>IF(TRUE,"7301","LI(96,0)")</f>
        <v>7301</v>
      </c>
      <c r="C101" s="5" t="str">
        <f>IF(TRUE,"Travel - Rail","LI(96,1)")</f>
        <v>Travel - Rail</v>
      </c>
      <c r="D101" s="9">
        <f>IF(TRUE,0,_xll.PSFx1BAL(CN,"*","GLCode",$B101,PT,PT))</f>
        <v>0</v>
      </c>
      <c r="E101" s="9">
        <f>IF(TRUE,92.2,_xll.PSFx1BAL(CN,"*","GLCode",$B101,PF,PT))</f>
        <v>92.2</v>
      </c>
      <c r="F101" s="9">
        <f>IF(TRUE,0,_xll.PSFx1BAL(CN,"*","GLCode",$B101,BSPF,BSPF))</f>
        <v>0</v>
      </c>
    </row>
    <row r="102" spans="1:6" x14ac:dyDescent="0.2">
      <c r="A102" s="65">
        <f t="shared" si="1"/>
        <v>7302</v>
      </c>
      <c r="B102" s="5" t="str">
        <f>IF(TRUE,"7302","LI(97,0)")</f>
        <v>7302</v>
      </c>
      <c r="C102" s="5" t="str">
        <f>IF(TRUE,"Travel - Taxi","LI(97,1)")</f>
        <v>Travel - Taxi</v>
      </c>
      <c r="D102" s="9">
        <f>IF(TRUE,38.19,_xll.PSFx1BAL(CN,"*","GLCode",$B102,PT,PT))</f>
        <v>38.19</v>
      </c>
      <c r="E102" s="9">
        <f>IF(TRUE,91.99,_xll.PSFx1BAL(CN,"*","GLCode",$B102,PF,PT))</f>
        <v>91.99</v>
      </c>
      <c r="F102" s="9">
        <f>IF(TRUE,0,_xll.PSFx1BAL(CN,"*","GLCode",$B102,BSPF,BSPF))</f>
        <v>0</v>
      </c>
    </row>
    <row r="103" spans="1:6" x14ac:dyDescent="0.2">
      <c r="A103" s="65">
        <f t="shared" si="1"/>
        <v>7303</v>
      </c>
      <c r="B103" s="5" t="str">
        <f>IF(TRUE,"7303","LI(98,0)")</f>
        <v>7303</v>
      </c>
      <c r="C103" s="5" t="str">
        <f>IF(TRUE,"Travel - Car Hire","LI(98,1)")</f>
        <v>Travel - Car Hire</v>
      </c>
      <c r="D103" s="9">
        <f>IF(TRUE,0,_xll.PSFx1BAL(CN,"*","GLCode",$B103,PT,PT))</f>
        <v>0</v>
      </c>
      <c r="E103" s="9">
        <f>IF(TRUE,0,_xll.PSFx1BAL(CN,"*","GLCode",$B103,PF,PT))</f>
        <v>0</v>
      </c>
      <c r="F103" s="9">
        <f>IF(TRUE,0,_xll.PSFx1BAL(CN,"*","GLCode",$B103,BSPF,BSPF))</f>
        <v>0</v>
      </c>
    </row>
    <row r="104" spans="1:6" x14ac:dyDescent="0.2">
      <c r="A104" s="65">
        <f t="shared" si="1"/>
        <v>7304</v>
      </c>
      <c r="B104" s="5" t="str">
        <f>IF(TRUE,"7304","LI(99,0)")</f>
        <v>7304</v>
      </c>
      <c r="C104" s="5" t="str">
        <f>IF(TRUE,"Travel - Mileage","LI(99,1)")</f>
        <v>Travel - Mileage</v>
      </c>
      <c r="D104" s="9">
        <f>IF(TRUE,0,_xll.PSFx1BAL(CN,"*","GLCode",$B104,PT,PT))</f>
        <v>0</v>
      </c>
      <c r="E104" s="9">
        <f>IF(TRUE,0,_xll.PSFx1BAL(CN,"*","GLCode",$B104,PF,PT))</f>
        <v>0</v>
      </c>
      <c r="F104" s="9">
        <f>IF(TRUE,0,_xll.PSFx1BAL(CN,"*","GLCode",$B104,BSPF,BSPF))</f>
        <v>0</v>
      </c>
    </row>
    <row r="105" spans="1:6" x14ac:dyDescent="0.2">
      <c r="A105" s="65">
        <f t="shared" si="1"/>
        <v>7305</v>
      </c>
      <c r="B105" s="5" t="str">
        <f>IF(TRUE,"7305","LI(100,0)")</f>
        <v>7305</v>
      </c>
      <c r="C105" s="5" t="str">
        <f>IF(TRUE,"Travel - Fuel","LI(100,1)")</f>
        <v>Travel - Fuel</v>
      </c>
      <c r="D105" s="9">
        <f>IF(TRUE,0,_xll.PSFx1BAL(CN,"*","GLCode",$B105,PT,PT))</f>
        <v>0</v>
      </c>
      <c r="E105" s="9">
        <f>IF(TRUE,0,_xll.PSFx1BAL(CN,"*","GLCode",$B105,PF,PT))</f>
        <v>0</v>
      </c>
      <c r="F105" s="9">
        <f>IF(TRUE,0,_xll.PSFx1BAL(CN,"*","GLCode",$B105,BSPF,BSPF))</f>
        <v>0</v>
      </c>
    </row>
    <row r="106" spans="1:6" x14ac:dyDescent="0.2">
      <c r="A106" s="65">
        <f t="shared" si="1"/>
        <v>7306</v>
      </c>
      <c r="B106" s="5" t="str">
        <f>IF(TRUE,"7306","LI(101,0)")</f>
        <v>7306</v>
      </c>
      <c r="C106" s="5" t="str">
        <f>IF(TRUE,"Travel - Other","LI(101,1)")</f>
        <v>Travel - Other</v>
      </c>
      <c r="D106" s="9">
        <f>IF(TRUE,0,_xll.PSFx1BAL(CN,"*","GLCode",$B106,PT,PT))</f>
        <v>0</v>
      </c>
      <c r="E106" s="9">
        <f>IF(TRUE,160,_xll.PSFx1BAL(CN,"*","GLCode",$B106,PF,PT))</f>
        <v>160</v>
      </c>
      <c r="F106" s="9">
        <f>IF(TRUE,0,_xll.PSFx1BAL(CN,"*","GLCode",$B106,BSPF,BSPF))</f>
        <v>0</v>
      </c>
    </row>
    <row r="107" spans="1:6" x14ac:dyDescent="0.2">
      <c r="A107" s="65">
        <f t="shared" si="1"/>
        <v>7310</v>
      </c>
      <c r="B107" s="5" t="str">
        <f>IF(TRUE,"7310","LI(102,0)")</f>
        <v>7310</v>
      </c>
      <c r="C107" s="5" t="str">
        <f>IF(TRUE,"Accomodation","LI(102,1)")</f>
        <v>Accomodation</v>
      </c>
      <c r="D107" s="9">
        <f>IF(TRUE,0,_xll.PSFx1BAL(CN,"*","GLCode",$B107,PT,PT))</f>
        <v>0</v>
      </c>
      <c r="E107" s="9">
        <f>IF(TRUE,-2759.34,_xll.PSFx1BAL(CN,"*","GLCode",$B107,PF,PT))</f>
        <v>-2759.34</v>
      </c>
      <c r="F107" s="9">
        <f>IF(TRUE,0,_xll.PSFx1BAL(CN,"*","GLCode",$B107,BSPF,BSPF))</f>
        <v>0</v>
      </c>
    </row>
    <row r="108" spans="1:6" x14ac:dyDescent="0.2">
      <c r="A108" s="65">
        <f t="shared" si="1"/>
        <v>7311</v>
      </c>
      <c r="B108" s="5" t="str">
        <f>IF(TRUE,"7311","LI(103,0)")</f>
        <v>7311</v>
      </c>
      <c r="C108" s="5" t="str">
        <f>IF(TRUE,"Subsistence","LI(103,1)")</f>
        <v>Subsistence</v>
      </c>
      <c r="D108" s="9">
        <f>IF(TRUE,0,_xll.PSFx1BAL(CN,"*","GLCode",$B108,PT,PT))</f>
        <v>0</v>
      </c>
      <c r="E108" s="9">
        <f>IF(TRUE,0,_xll.PSFx1BAL(CN,"*","GLCode",$B108,PF,PT))</f>
        <v>0</v>
      </c>
      <c r="F108" s="9">
        <f>IF(TRUE,0,_xll.PSFx1BAL(CN,"*","GLCode",$B108,BSPF,BSPF))</f>
        <v>0</v>
      </c>
    </row>
    <row r="109" spans="1:6" x14ac:dyDescent="0.2">
      <c r="A109" s="65">
        <f t="shared" si="1"/>
        <v>7320</v>
      </c>
      <c r="B109" s="5" t="str">
        <f>IF(TRUE,"7320","LI(104,0)")</f>
        <v>7320</v>
      </c>
      <c r="C109" s="5" t="str">
        <f>IF(TRUE,"Bank charges - Travel Related","LI(104,1)")</f>
        <v>Bank charges - Travel Related</v>
      </c>
      <c r="D109" s="9">
        <f>IF(TRUE,0,_xll.PSFx1BAL(CN,"*","GLCode",$B109,PT,PT))</f>
        <v>0</v>
      </c>
      <c r="E109" s="9">
        <f>IF(TRUE,1.69,_xll.PSFx1BAL(CN,"*","GLCode",$B109,PF,PT))</f>
        <v>1.69</v>
      </c>
      <c r="F109" s="9">
        <f>IF(TRUE,0,_xll.PSFx1BAL(CN,"*","GLCode",$B109,BSPF,BSPF))</f>
        <v>0</v>
      </c>
    </row>
    <row r="110" spans="1:6" x14ac:dyDescent="0.2">
      <c r="A110" s="65">
        <f t="shared" si="1"/>
        <v>7321</v>
      </c>
      <c r="B110" s="5" t="str">
        <f>IF(TRUE,"7321","LI(105,0)")</f>
        <v>7321</v>
      </c>
      <c r="C110" s="5" t="str">
        <f>IF(TRUE,"Laundry - Travel Related","LI(105,1)")</f>
        <v>Laundry - Travel Related</v>
      </c>
      <c r="D110" s="9">
        <f>IF(TRUE,0,_xll.PSFx1BAL(CN,"*","GLCode",$B110,PT,PT))</f>
        <v>0</v>
      </c>
      <c r="E110" s="9">
        <f>IF(TRUE,0,_xll.PSFx1BAL(CN,"*","GLCode",$B110,PF,PT))</f>
        <v>0</v>
      </c>
      <c r="F110" s="9">
        <f>IF(TRUE,0,_xll.PSFx1BAL(CN,"*","GLCode",$B110,BSPF,BSPF))</f>
        <v>0</v>
      </c>
    </row>
    <row r="111" spans="1:6" x14ac:dyDescent="0.2">
      <c r="A111" s="65">
        <f t="shared" si="1"/>
        <v>7322</v>
      </c>
      <c r="B111" s="5" t="str">
        <f>IF(TRUE,"7322","LI(106,0)")</f>
        <v>7322</v>
      </c>
      <c r="C111" s="5" t="str">
        <f>IF(TRUE,"Healthcare &amp; Medication - Travel Related","LI(106,1)")</f>
        <v>Healthcare &amp; Medication - Travel Related</v>
      </c>
      <c r="D111" s="9">
        <f>IF(TRUE,0,_xll.PSFx1BAL(CN,"*","GLCode",$B111,PT,PT))</f>
        <v>0</v>
      </c>
      <c r="E111" s="9">
        <f>IF(TRUE,0,_xll.PSFx1BAL(CN,"*","GLCode",$B111,PF,PT))</f>
        <v>0</v>
      </c>
      <c r="F111" s="9">
        <f>IF(TRUE,0,_xll.PSFx1BAL(CN,"*","GLCode",$B111,BSPF,BSPF))</f>
        <v>0</v>
      </c>
    </row>
    <row r="112" spans="1:6" x14ac:dyDescent="0.2">
      <c r="A112" s="65">
        <f t="shared" si="1"/>
        <v>7323</v>
      </c>
      <c r="B112" s="5" t="str">
        <f>IF(TRUE,"7323","LI(107,0)")</f>
        <v>7323</v>
      </c>
      <c r="C112" s="5" t="str">
        <f>IF(TRUE,"Mobile &amp; Internet - Travel Related","LI(107,1)")</f>
        <v>Mobile &amp; Internet - Travel Related</v>
      </c>
      <c r="D112" s="9">
        <f>IF(TRUE,199.09,_xll.PSFx1BAL(CN,"*","GLCode",$B112,PT,PT))</f>
        <v>199.09</v>
      </c>
      <c r="E112" s="9">
        <f>IF(TRUE,305.73,_xll.PSFx1BAL(CN,"*","GLCode",$B112,PF,PT))</f>
        <v>305.73</v>
      </c>
      <c r="F112" s="9">
        <f>IF(TRUE,0,_xll.PSFx1BAL(CN,"*","GLCode",$B112,BSPF,BSPF))</f>
        <v>0</v>
      </c>
    </row>
    <row r="113" spans="1:6" x14ac:dyDescent="0.2">
      <c r="A113" s="65">
        <f t="shared" si="1"/>
        <v>7324</v>
      </c>
      <c r="B113" s="5" t="str">
        <f>IF(TRUE,"7324","LI(108,0)")</f>
        <v>7324</v>
      </c>
      <c r="C113" s="5" t="str">
        <f>IF(TRUE,"Visa Fees","LI(108,1)")</f>
        <v>Visa Fees</v>
      </c>
      <c r="D113" s="9">
        <f>IF(TRUE,0,_xll.PSFx1BAL(CN,"*","GLCode",$B113,PT,PT))</f>
        <v>0</v>
      </c>
      <c r="E113" s="9">
        <f>IF(TRUE,0,_xll.PSFx1BAL(CN,"*","GLCode",$B113,PF,PT))</f>
        <v>0</v>
      </c>
      <c r="F113" s="9">
        <f>IF(TRUE,0,_xll.PSFx1BAL(CN,"*","GLCode",$B113,BSPF,BSPF))</f>
        <v>0</v>
      </c>
    </row>
    <row r="114" spans="1:6" x14ac:dyDescent="0.2">
      <c r="A114" s="65">
        <f t="shared" si="1"/>
        <v>7330</v>
      </c>
      <c r="B114" s="5" t="str">
        <f>IF(TRUE,"7330","LI(109,0)")</f>
        <v>7330</v>
      </c>
      <c r="C114" s="5" t="str">
        <f>IF(TRUE,"Hospitality - Business Meals","LI(109,1)")</f>
        <v>Hospitality - Business Meals</v>
      </c>
      <c r="D114" s="9">
        <f>IF(TRUE,0,_xll.PSFx1BAL(CN,"*","GLCode",$B114,PT,PT))</f>
        <v>0</v>
      </c>
      <c r="E114" s="9">
        <f>IF(TRUE,0,_xll.PSFx1BAL(CN,"*","GLCode",$B114,PF,PT))</f>
        <v>0</v>
      </c>
      <c r="F114" s="9">
        <f>IF(TRUE,0,_xll.PSFx1BAL(CN,"*","GLCode",$B114,BSPF,BSPF))</f>
        <v>0</v>
      </c>
    </row>
    <row r="115" spans="1:6" x14ac:dyDescent="0.2">
      <c r="A115" s="65">
        <f t="shared" si="1"/>
        <v>7331</v>
      </c>
      <c r="B115" s="5" t="str">
        <f>IF(TRUE,"7331","LI(110,0)")</f>
        <v>7331</v>
      </c>
      <c r="C115" s="5" t="str">
        <f>IF(TRUE,"Hospitality - Staff Only","LI(110,1)")</f>
        <v>Hospitality - Staff Only</v>
      </c>
      <c r="D115" s="9">
        <f>IF(TRUE,0,_xll.PSFx1BAL(CN,"*","GLCode",$B115,PT,PT))</f>
        <v>0</v>
      </c>
      <c r="E115" s="9">
        <f>IF(TRUE,900,_xll.PSFx1BAL(CN,"*","GLCode",$B115,PF,PT))</f>
        <v>900</v>
      </c>
      <c r="F115" s="9">
        <f>IF(TRUE,0,_xll.PSFx1BAL(CN,"*","GLCode",$B115,BSPF,BSPF))</f>
        <v>0</v>
      </c>
    </row>
    <row r="116" spans="1:6" x14ac:dyDescent="0.2">
      <c r="A116" s="65">
        <f t="shared" si="1"/>
        <v>7332</v>
      </c>
      <c r="B116" s="5" t="str">
        <f>IF(TRUE,"7332","LI(111,0)")</f>
        <v>7332</v>
      </c>
      <c r="C116" s="5" t="str">
        <f>IF(TRUE,"Hospitality - Other","LI(111,1)")</f>
        <v>Hospitality - Other</v>
      </c>
      <c r="D116" s="9">
        <f>IF(TRUE,0,_xll.PSFx1BAL(CN,"*","GLCode",$B116,PT,PT))</f>
        <v>0</v>
      </c>
      <c r="E116" s="9">
        <f>IF(TRUE,0,_xll.PSFx1BAL(CN,"*","GLCode",$B116,PF,PT))</f>
        <v>0</v>
      </c>
      <c r="F116" s="9">
        <f>IF(TRUE,0,_xll.PSFx1BAL(CN,"*","GLCode",$B116,BSPF,BSPF))</f>
        <v>0</v>
      </c>
    </row>
    <row r="117" spans="1:6" x14ac:dyDescent="0.2">
      <c r="A117" s="65">
        <f t="shared" si="1"/>
        <v>7334</v>
      </c>
      <c r="B117" s="5" t="str">
        <f>IF(TRUE,"7334","LI(112,0)")</f>
        <v>7334</v>
      </c>
      <c r="C117" s="5" t="str">
        <f>IF(TRUE,"Meeting Costs","LI(112,1)")</f>
        <v>Meeting Costs</v>
      </c>
      <c r="D117" s="9">
        <f>IF(TRUE,0,_xll.PSFx1BAL(CN,"*","GLCode",$B117,PT,PT))</f>
        <v>0</v>
      </c>
      <c r="E117" s="9">
        <f>IF(TRUE,0,_xll.PSFx1BAL(CN,"*","GLCode",$B117,PF,PT))</f>
        <v>0</v>
      </c>
      <c r="F117" s="9">
        <f>IF(TRUE,0,_xll.PSFx1BAL(CN,"*","GLCode",$B117,BSPF,BSPF))</f>
        <v>0</v>
      </c>
    </row>
    <row r="118" spans="1:6" x14ac:dyDescent="0.2">
      <c r="A118" s="65">
        <f t="shared" si="1"/>
        <v>7400</v>
      </c>
      <c r="B118" s="5" t="str">
        <f>IF(TRUE,"7400","LI(113,0)")</f>
        <v>7400</v>
      </c>
      <c r="C118" s="5" t="str">
        <f>IF(TRUE,"Legal &amp; Filing Fees","LI(113,1)")</f>
        <v>Legal &amp; Filing Fees</v>
      </c>
      <c r="D118" s="9">
        <f>IF(TRUE,2916,_xll.PSFx1BAL(CN,"*","GLCode",$B118,PT,PT))</f>
        <v>2916</v>
      </c>
      <c r="E118" s="9">
        <f>IF(TRUE,24240.38,_xll.PSFx1BAL(CN,"*","GLCode",$B118,PF,PT))</f>
        <v>24240.38</v>
      </c>
      <c r="F118" s="9">
        <f>IF(TRUE,0,_xll.PSFx1BAL(CN,"*","GLCode",$B118,BSPF,BSPF))</f>
        <v>0</v>
      </c>
    </row>
    <row r="119" spans="1:6" x14ac:dyDescent="0.2">
      <c r="A119" s="65">
        <f t="shared" si="1"/>
        <v>7410</v>
      </c>
      <c r="B119" s="5" t="str">
        <f>IF(TRUE,"7410","LI(114,0)")</f>
        <v>7410</v>
      </c>
      <c r="C119" s="5" t="str">
        <f>IF(TRUE,"Accountancy &amp; Taxation Advice","LI(114,1)")</f>
        <v>Accountancy &amp; Taxation Advice</v>
      </c>
      <c r="D119" s="9">
        <f>IF(TRUE,2160,_xll.PSFx1BAL(CN,"*","GLCode",$B119,PT,PT))</f>
        <v>2160</v>
      </c>
      <c r="E119" s="9">
        <f>IF(TRUE,3654,_xll.PSFx1BAL(CN,"*","GLCode",$B119,PF,PT))</f>
        <v>3654</v>
      </c>
      <c r="F119" s="9">
        <f>IF(TRUE,0,_xll.PSFx1BAL(CN,"*","GLCode",$B119,BSPF,BSPF))</f>
        <v>0</v>
      </c>
    </row>
    <row r="120" spans="1:6" x14ac:dyDescent="0.2">
      <c r="A120" s="65">
        <f t="shared" si="1"/>
        <v>7420</v>
      </c>
      <c r="B120" s="5" t="str">
        <f>IF(TRUE,"7420","LI(115,0)")</f>
        <v>7420</v>
      </c>
      <c r="C120" s="5" t="str">
        <f>IF(TRUE,"Audit Fees","LI(115,1)")</f>
        <v>Audit Fees</v>
      </c>
      <c r="D120" s="9">
        <f>IF(TRUE,18540,_xll.PSFx1BAL(CN,"*","GLCode",$B120,PT,PT))</f>
        <v>18540</v>
      </c>
      <c r="E120" s="9">
        <f>IF(TRUE,18540.01,_xll.PSFx1BAL(CN,"*","GLCode",$B120,PF,PT))</f>
        <v>18540.009999999998</v>
      </c>
      <c r="F120" s="9">
        <f>IF(TRUE,0,_xll.PSFx1BAL(CN,"*","GLCode",$B120,BSPF,BSPF))</f>
        <v>0</v>
      </c>
    </row>
    <row r="121" spans="1:6" x14ac:dyDescent="0.2">
      <c r="A121" s="65">
        <f t="shared" si="1"/>
        <v>7430</v>
      </c>
      <c r="B121" s="5" t="str">
        <f>IF(TRUE,"7430","LI(116,0)")</f>
        <v>7430</v>
      </c>
      <c r="C121" s="5" t="str">
        <f>IF(TRUE,"Other Professional Fees","LI(116,1)")</f>
        <v>Other Professional Fees</v>
      </c>
      <c r="D121" s="9">
        <f>IF(TRUE,2284.71,_xll.PSFx1BAL(CN,"*","GLCode",$B121,PT,PT))</f>
        <v>2284.71</v>
      </c>
      <c r="E121" s="9">
        <f>IF(TRUE,3852.94,_xll.PSFx1BAL(CN,"*","GLCode",$B121,PF,PT))</f>
        <v>3852.94</v>
      </c>
      <c r="F121" s="9">
        <f>IF(TRUE,0,_xll.PSFx1BAL(CN,"*","GLCode",$B121,BSPF,BSPF))</f>
        <v>0</v>
      </c>
    </row>
    <row r="122" spans="1:6" x14ac:dyDescent="0.2">
      <c r="A122" s="65">
        <f t="shared" si="1"/>
        <v>7500</v>
      </c>
      <c r="B122" s="5" t="str">
        <f>IF(TRUE,"7500","LI(117,0)")</f>
        <v>7500</v>
      </c>
      <c r="C122" s="5" t="str">
        <f>IF(TRUE,"Bank Charges","LI(117,1)")</f>
        <v>Bank Charges</v>
      </c>
      <c r="D122" s="9">
        <f>IF(TRUE,621.16,_xll.PSFx1BAL(CN,"*","GLCode",$B122,PT,PT))</f>
        <v>621.16</v>
      </c>
      <c r="E122" s="9">
        <f>IF(TRUE,3352.32,_xll.PSFx1BAL(CN,"*","GLCode",$B122,PF,PT))</f>
        <v>3352.32</v>
      </c>
      <c r="F122" s="9">
        <f>IF(TRUE,0,_xll.PSFx1BAL(CN,"*","GLCode",$B122,BSPF,BSPF))</f>
        <v>0</v>
      </c>
    </row>
    <row r="123" spans="1:6" x14ac:dyDescent="0.2">
      <c r="A123" s="65">
        <f t="shared" si="1"/>
        <v>7501</v>
      </c>
      <c r="B123" s="5" t="str">
        <f>IF(TRUE,"7501","LI(118,0)")</f>
        <v>7501</v>
      </c>
      <c r="C123" s="5" t="str">
        <f>IF(TRUE,"Credit Card Charges","LI(118,1)")</f>
        <v>Credit Card Charges</v>
      </c>
      <c r="D123" s="9">
        <f>IF(TRUE,0,_xll.PSFx1BAL(CN,"*","GLCode",$B123,PT,PT))</f>
        <v>0</v>
      </c>
      <c r="E123" s="9">
        <f>IF(TRUE,0,_xll.PSFx1BAL(CN,"*","GLCode",$B123,PF,PT))</f>
        <v>0</v>
      </c>
      <c r="F123" s="9">
        <f>IF(TRUE,0,_xll.PSFx1BAL(CN,"*","GLCode",$B123,BSPF,BSPF))</f>
        <v>0</v>
      </c>
    </row>
    <row r="124" spans="1:6" x14ac:dyDescent="0.2">
      <c r="A124" s="65">
        <f t="shared" si="1"/>
        <v>7510</v>
      </c>
      <c r="B124" s="5" t="str">
        <f>IF(TRUE,"7510","LI(119,0)")</f>
        <v>7510</v>
      </c>
      <c r="C124" s="5" t="str">
        <f>IF(TRUE,"Advertising &amp; Marketing","LI(119,1)")</f>
        <v>Advertising &amp; Marketing</v>
      </c>
      <c r="D124" s="9">
        <f>IF(TRUE,1746,_xll.PSFx1BAL(CN,"*","GLCode",$B124,PT,PT))</f>
        <v>1746</v>
      </c>
      <c r="E124" s="9">
        <f>IF(TRUE,27120,_xll.PSFx1BAL(CN,"*","GLCode",$B124,PF,PT))</f>
        <v>27120</v>
      </c>
      <c r="F124" s="9">
        <f>IF(TRUE,0,_xll.PSFx1BAL(CN,"*","GLCode",$B124,BSPF,BSPF))</f>
        <v>0</v>
      </c>
    </row>
    <row r="125" spans="1:6" x14ac:dyDescent="0.2">
      <c r="A125" s="65">
        <f t="shared" si="1"/>
        <v>7511</v>
      </c>
      <c r="B125" s="5" t="str">
        <f>IF(TRUE,"7511","LI(120,0)")</f>
        <v>7511</v>
      </c>
      <c r="C125" s="5" t="str">
        <f>IF(TRUE,"Visibility &amp; Branding","LI(120,1)")</f>
        <v>Visibility &amp; Branding</v>
      </c>
      <c r="D125" s="9">
        <f>IF(TRUE,0,_xll.PSFx1BAL(CN,"*","GLCode",$B125,PT,PT))</f>
        <v>0</v>
      </c>
      <c r="E125" s="9">
        <f>IF(TRUE,0,_xll.PSFx1BAL(CN,"*","GLCode",$B125,PF,PT))</f>
        <v>0</v>
      </c>
      <c r="F125" s="9">
        <f>IF(TRUE,0,_xll.PSFx1BAL(CN,"*","GLCode",$B125,BSPF,BSPF))</f>
        <v>0</v>
      </c>
    </row>
    <row r="126" spans="1:6" x14ac:dyDescent="0.2">
      <c r="A126" s="65">
        <f t="shared" si="1"/>
        <v>7515</v>
      </c>
      <c r="B126" s="5" t="str">
        <f>IF(TRUE,"7515","LI(121,0)")</f>
        <v>7515</v>
      </c>
      <c r="C126" s="5" t="str">
        <f>IF(TRUE,"Fundraising Costs","LI(121,1)")</f>
        <v>Fundraising Costs</v>
      </c>
      <c r="D126" s="9">
        <f>IF(TRUE,987.85,_xll.PSFx1BAL(CN,"*","GLCode",$B126,PT,PT))</f>
        <v>987.85</v>
      </c>
      <c r="E126" s="9">
        <f>IF(TRUE,3489.22,_xll.PSFx1BAL(CN,"*","GLCode",$B126,PF,PT))</f>
        <v>3489.22</v>
      </c>
      <c r="F126" s="9">
        <f>IF(TRUE,0,_xll.PSFx1BAL(CN,"*","GLCode",$B126,BSPF,BSPF))</f>
        <v>0</v>
      </c>
    </row>
    <row r="127" spans="1:6" x14ac:dyDescent="0.2">
      <c r="A127" s="65">
        <f t="shared" si="1"/>
        <v>7520</v>
      </c>
      <c r="B127" s="5" t="str">
        <f>IF(TRUE,"7520","LI(122,0)")</f>
        <v>7520</v>
      </c>
      <c r="C127" s="5" t="str">
        <f>IF(TRUE,"Conference Fees","LI(122,1)")</f>
        <v>Conference Fees</v>
      </c>
      <c r="D127" s="9">
        <f>IF(TRUE,0,_xll.PSFx1BAL(CN,"*","GLCode",$B127,PT,PT))</f>
        <v>0</v>
      </c>
      <c r="E127" s="9">
        <f>IF(TRUE,40.2,_xll.PSFx1BAL(CN,"*","GLCode",$B127,PF,PT))</f>
        <v>40.200000000000003</v>
      </c>
      <c r="F127" s="9">
        <f>IF(TRUE,0,_xll.PSFx1BAL(CN,"*","GLCode",$B127,BSPF,BSPF))</f>
        <v>0</v>
      </c>
    </row>
    <row r="128" spans="1:6" x14ac:dyDescent="0.2">
      <c r="A128" s="65">
        <f t="shared" si="1"/>
        <v>7530</v>
      </c>
      <c r="B128" s="5" t="str">
        <f>IF(TRUE,"7530","LI(123,0)")</f>
        <v>7530</v>
      </c>
      <c r="C128" s="5" t="str">
        <f>IF(TRUE,"Donations &amp; Sponsorship","LI(123,1)")</f>
        <v>Donations &amp; Sponsorship</v>
      </c>
      <c r="D128" s="9">
        <f>IF(TRUE,0,_xll.PSFx1BAL(CN,"*","GLCode",$B128,PT,PT))</f>
        <v>0</v>
      </c>
      <c r="E128" s="9">
        <f>IF(TRUE,5100,_xll.PSFx1BAL(CN,"*","GLCode",$B128,PF,PT))</f>
        <v>5100</v>
      </c>
      <c r="F128" s="9">
        <f>IF(TRUE,0,_xll.PSFx1BAL(CN,"*","GLCode",$B128,BSPF,BSPF))</f>
        <v>0</v>
      </c>
    </row>
    <row r="129" spans="1:6" x14ac:dyDescent="0.2">
      <c r="A129" s="65">
        <f t="shared" si="1"/>
        <v>7535</v>
      </c>
      <c r="B129" s="5" t="str">
        <f>IF(TRUE,"7535","LI(124,0)")</f>
        <v>7535</v>
      </c>
      <c r="C129" s="5" t="str">
        <f>IF(TRUE,"Insurance","LI(124,1)")</f>
        <v>Insurance</v>
      </c>
      <c r="D129" s="9">
        <f>IF(TRUE,2607,_xll.PSFx1BAL(CN,"*","GLCode",$B129,PT,PT))</f>
        <v>2607</v>
      </c>
      <c r="E129" s="9">
        <f>IF(TRUE,28342.31,_xll.PSFx1BAL(CN,"*","GLCode",$B129,PF,PT))</f>
        <v>28342.31</v>
      </c>
      <c r="F129" s="9">
        <f>IF(TRUE,0,_xll.PSFx1BAL(CN,"*","GLCode",$B129,BSPF,BSPF))</f>
        <v>0</v>
      </c>
    </row>
    <row r="130" spans="1:6" x14ac:dyDescent="0.2">
      <c r="A130" s="65">
        <f t="shared" si="1"/>
        <v>7540</v>
      </c>
      <c r="B130" s="5" t="str">
        <f>IF(TRUE,"7540","LI(125,0)")</f>
        <v>7540</v>
      </c>
      <c r="C130" s="5" t="str">
        <f>IF(TRUE,"Sundry Costs","LI(125,1)")</f>
        <v>Sundry Costs</v>
      </c>
      <c r="D130" s="9">
        <f>IF(TRUE,280.35,_xll.PSFx1BAL(CN,"*","GLCode",$B130,PT,PT))</f>
        <v>280.35000000000002</v>
      </c>
      <c r="E130" s="9">
        <f>IF(TRUE,-6432.7,_xll.PSFx1BAL(CN,"*","GLCode",$B130,PF,PT))</f>
        <v>-6432.7</v>
      </c>
      <c r="F130" s="9">
        <f>IF(TRUE,0,_xll.PSFx1BAL(CN,"*","GLCode",$B130,BSPF,BSPF))</f>
        <v>0</v>
      </c>
    </row>
    <row r="131" spans="1:6" x14ac:dyDescent="0.2">
      <c r="A131" s="65">
        <f t="shared" si="1"/>
        <v>7550</v>
      </c>
      <c r="B131" s="5" t="str">
        <f>IF(TRUE,"7550","LI(126,0)")</f>
        <v>7550</v>
      </c>
      <c r="C131" s="5" t="str">
        <f>IF(TRUE,"Bad Debts Expense","LI(126,1)")</f>
        <v>Bad Debts Expense</v>
      </c>
      <c r="D131" s="9">
        <f>IF(TRUE,-52.67,_xll.PSFx1BAL(CN,"*","GLCode",$B131,PT,PT))</f>
        <v>-52.67</v>
      </c>
      <c r="E131" s="9">
        <f>IF(TRUE,46.1,_xll.PSFx1BAL(CN,"*","GLCode",$B131,PF,PT))</f>
        <v>46.1</v>
      </c>
      <c r="F131" s="9">
        <f>IF(TRUE,0,_xll.PSFx1BAL(CN,"*","GLCode",$B131,BSPF,BSPF))</f>
        <v>0</v>
      </c>
    </row>
    <row r="132" spans="1:6" x14ac:dyDescent="0.2">
      <c r="A132" s="65">
        <f t="shared" si="1"/>
        <v>7600</v>
      </c>
      <c r="B132" s="5" t="str">
        <f>IF(TRUE,"7600","LI(127,0)")</f>
        <v>7600</v>
      </c>
      <c r="C132" s="5" t="str">
        <f>IF(TRUE,"Depn Furniture, Fittings and Equipment","LI(127,1)")</f>
        <v>Depn Furniture, Fittings and Equipment</v>
      </c>
      <c r="D132" s="9">
        <f>IF(TRUE,0,_xll.PSFx1BAL(CN,"*","GLCode",$B132,PT,PT))</f>
        <v>0</v>
      </c>
      <c r="E132" s="9">
        <f>IF(TRUE,0,_xll.PSFx1BAL(CN,"*","GLCode",$B132,PF,PT))</f>
        <v>0</v>
      </c>
      <c r="F132" s="9">
        <f>IF(TRUE,0,_xll.PSFx1BAL(CN,"*","GLCode",$B132,BSPF,BSPF))</f>
        <v>0</v>
      </c>
    </row>
    <row r="133" spans="1:6" x14ac:dyDescent="0.2">
      <c r="A133" s="65">
        <f t="shared" si="1"/>
        <v>7800</v>
      </c>
      <c r="B133" s="5" t="str">
        <f>IF(TRUE,"7800","LI(128,0)")</f>
        <v>7800</v>
      </c>
      <c r="C133" s="5" t="str">
        <f>IF(TRUE,"Exchange Gains &amp; Losses","LI(128,1)")</f>
        <v>Exchange Gains &amp; Losses</v>
      </c>
      <c r="D133" s="9">
        <f>IF(TRUE,-1566.17,_xll.PSFx1BAL(CN,"*","GLCode",$B133,PT,PT))</f>
        <v>-1566.17</v>
      </c>
      <c r="E133" s="9">
        <f>IF(TRUE,83923.16,_xll.PSFx1BAL(CN,"*","GLCode",$B133,PF,PT))</f>
        <v>83923.16</v>
      </c>
      <c r="F133" s="9">
        <f>IF(TRUE,0,_xll.PSFx1BAL(CN,"*","GLCode",$B133,BSPF,BSPF))</f>
        <v>0</v>
      </c>
    </row>
    <row r="134" spans="1:6" x14ac:dyDescent="0.2">
      <c r="A134" s="65">
        <f t="shared" si="1"/>
        <v>7801</v>
      </c>
      <c r="B134" s="5" t="str">
        <f>IF(TRUE,"7801","LI(129,0)")</f>
        <v>7801</v>
      </c>
      <c r="C134" s="5" t="str">
        <f>IF(TRUE,"Exchange Clearing Account","LI(129,1)")</f>
        <v>Exchange Clearing Account</v>
      </c>
      <c r="D134" s="9">
        <f>IF(TRUE,0,_xll.PSFx1BAL(CN,"*","GLCode",$B134,PT,PT))</f>
        <v>0</v>
      </c>
      <c r="E134" s="9">
        <f>IF(TRUE,0,_xll.PSFx1BAL(CN,"*","GLCode",$B134,PF,PT))</f>
        <v>0</v>
      </c>
      <c r="F134" s="9">
        <f>IF(TRUE,0,_xll.PSFx1BAL(CN,"*","GLCode",$B134,BSPF,BSPF))</f>
        <v>0</v>
      </c>
    </row>
    <row r="135" spans="1:6" x14ac:dyDescent="0.2">
      <c r="A135" s="65">
        <f t="shared" si="1"/>
        <v>7900</v>
      </c>
      <c r="B135" s="5" t="str">
        <f>IF(TRUE,"7900","LI(130,0)")</f>
        <v>7900</v>
      </c>
      <c r="C135" s="5" t="str">
        <f>IF(TRUE,"Exceptional Income &amp; Costs","LI(130,1)")</f>
        <v>Exceptional Income &amp; Costs</v>
      </c>
      <c r="D135" s="9">
        <f>IF(TRUE,0,_xll.PSFx1BAL(CN,"*","GLCode",$B135,PT,PT))</f>
        <v>0</v>
      </c>
      <c r="E135" s="9">
        <f>IF(TRUE,-0.08,_xll.PSFx1BAL(CN,"*","GLCode",$B135,PF,PT))</f>
        <v>-0.08</v>
      </c>
      <c r="F135" s="9">
        <f>IF(TRUE,0,_xll.PSFx1BAL(CN,"*","GLCode",$B135,BSPF,BSPF))</f>
        <v>0</v>
      </c>
    </row>
    <row r="136" spans="1:6" x14ac:dyDescent="0.2">
      <c r="A136" s="65">
        <f t="shared" si="1"/>
        <v>7950</v>
      </c>
      <c r="B136" s="5" t="str">
        <f>IF(TRUE,"7950","LI(131,0)")</f>
        <v>7950</v>
      </c>
      <c r="C136" s="5" t="str">
        <f>IF(TRUE,"Profit/Loss on Sale of Assets","LI(131,1)")</f>
        <v>Profit/Loss on Sale of Assets</v>
      </c>
      <c r="D136" s="9">
        <f>IF(TRUE,0,_xll.PSFx1BAL(CN,"*","GLCode",$B136,PT,PT))</f>
        <v>0</v>
      </c>
      <c r="E136" s="9">
        <f>IF(TRUE,0,_xll.PSFx1BAL(CN,"*","GLCode",$B136,PF,PT))</f>
        <v>0</v>
      </c>
      <c r="F136" s="9">
        <f>IF(TRUE,0,_xll.PSFx1BAL(CN,"*","GLCode",$B136,BSPF,BSPF))</f>
        <v>0</v>
      </c>
    </row>
    <row r="137" spans="1:6" x14ac:dyDescent="0.2">
      <c r="A137" s="65">
        <f t="shared" si="1"/>
        <v>8101</v>
      </c>
      <c r="B137" s="5" t="str">
        <f>IF(TRUE,"8101","LI(132,0)")</f>
        <v>8101</v>
      </c>
      <c r="C137" s="5" t="str">
        <f>IF(TRUE,"Bank Account Interest Paid","LI(132,1)")</f>
        <v>Bank Account Interest Paid</v>
      </c>
      <c r="D137" s="9">
        <f>IF(TRUE,0,_xll.PSFx1BAL(CN,"*","GLCode",$B137,PT,PT))</f>
        <v>0</v>
      </c>
      <c r="E137" s="9">
        <f>IF(TRUE,0,_xll.PSFx1BAL(CN,"*","GLCode",$B137,PF,PT))</f>
        <v>0</v>
      </c>
      <c r="F137" s="9">
        <f>IF(TRUE,0,_xll.PSFx1BAL(CN,"*","GLCode",$B137,BSPF,BSPF))</f>
        <v>0</v>
      </c>
    </row>
    <row r="138" spans="1:6" x14ac:dyDescent="0.2">
      <c r="A138" s="65">
        <f t="shared" si="1"/>
        <v>8102</v>
      </c>
      <c r="B138" s="5" t="str">
        <f>IF(TRUE,"8102","LI(133,0)")</f>
        <v>8102</v>
      </c>
      <c r="C138" s="5" t="str">
        <f>IF(TRUE,"Other Interest Paid","LI(133,1)")</f>
        <v>Other Interest Paid</v>
      </c>
      <c r="D138" s="9">
        <f>IF(TRUE,0,_xll.PSFx1BAL(CN,"*","GLCode",$B138,PT,PT))</f>
        <v>0</v>
      </c>
      <c r="E138" s="9">
        <f>IF(TRUE,0,_xll.PSFx1BAL(CN,"*","GLCode",$B138,PF,PT))</f>
        <v>0</v>
      </c>
      <c r="F138" s="9">
        <f>IF(TRUE,0,_xll.PSFx1BAL(CN,"*","GLCode",$B138,BSPF,BSPF))</f>
        <v>0</v>
      </c>
    </row>
    <row r="139" spans="1:6" x14ac:dyDescent="0.2">
      <c r="A139" s="65">
        <f t="shared" si="1"/>
        <v>9999</v>
      </c>
      <c r="B139" s="5" t="str">
        <f>IF(TRUE,"9999","LI(134,0)")</f>
        <v>9999</v>
      </c>
      <c r="C139" s="5" t="str">
        <f>IF(TRUE,"Suspense Account","LI(134,1)")</f>
        <v>Suspense Account</v>
      </c>
      <c r="D139" s="9">
        <f>IF(TRUE,0,_xll.PSFx1BAL(CN,"*","GLCode",$B139,PT,PT))</f>
        <v>0</v>
      </c>
      <c r="E139" s="9">
        <f>IF(TRUE,0,_xll.PSFx1BAL(CN,"*","GLCode",$B139,PF,PT))</f>
        <v>0</v>
      </c>
      <c r="F139" s="9">
        <f>IF(TRUE,0,_xll.PSFx1BAL(CN,"*","GLCode",$B139,BSPF,BSPF))</f>
        <v>0</v>
      </c>
    </row>
    <row r="140" spans="1:6" x14ac:dyDescent="0.2">
      <c r="D140" s="11">
        <f>SUM(D5:D139)</f>
        <v>-4.220055416226387E-10</v>
      </c>
      <c r="E140" s="11">
        <f>SUM(E5:E139)</f>
        <v>-7.4051786230766581E-9</v>
      </c>
      <c r="F140" s="11">
        <f>SUM(F5:F139)</f>
        <v>1.862645149230957E-9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M157"/>
  <sheetViews>
    <sheetView workbookViewId="0">
      <pane xSplit="3" ySplit="4" topLeftCell="Y56" activePane="bottomRight" state="frozen"/>
      <selection activeCell="B3" sqref="B3"/>
      <selection pane="topRight" activeCell="B3" sqref="B3"/>
      <selection pane="bottomLeft" activeCell="B3" sqref="B3"/>
      <selection pane="bottomRight" activeCell="B3" sqref="B3"/>
    </sheetView>
  </sheetViews>
  <sheetFormatPr baseColWidth="10" defaultColWidth="8.83203125" defaultRowHeight="15" x14ac:dyDescent="0.2"/>
  <cols>
    <col min="1" max="2" width="8.6640625" customWidth="1"/>
    <col min="3" max="3" width="36.83203125" customWidth="1"/>
    <col min="4" max="36" width="12.6640625" customWidth="1"/>
    <col min="38" max="39" width="12.6640625" customWidth="1"/>
    <col min="42" max="42" width="9.83203125" bestFit="1" customWidth="1"/>
  </cols>
  <sheetData>
    <row r="1" spans="1:39" ht="19" x14ac:dyDescent="0.25">
      <c r="B1" s="12" t="s">
        <v>436</v>
      </c>
      <c r="D1" t="s">
        <v>210</v>
      </c>
      <c r="E1" t="s">
        <v>210</v>
      </c>
      <c r="F1" t="s">
        <v>210</v>
      </c>
      <c r="G1" t="s">
        <v>210</v>
      </c>
      <c r="I1" s="13" t="s">
        <v>282</v>
      </c>
      <c r="J1" s="14" t="str">
        <f>PF</f>
        <v>2021.00</v>
      </c>
      <c r="K1" s="13" t="s">
        <v>283</v>
      </c>
      <c r="L1" s="14" t="str">
        <f>PT</f>
        <v>2021.12</v>
      </c>
      <c r="M1" s="13"/>
    </row>
    <row r="2" spans="1:39" x14ac:dyDescent="0.2">
      <c r="D2" s="33" t="s">
        <v>261</v>
      </c>
      <c r="E2" s="33" t="s">
        <v>484</v>
      </c>
      <c r="F2" s="33" t="s">
        <v>485</v>
      </c>
      <c r="G2" s="33" t="s">
        <v>465</v>
      </c>
      <c r="H2" s="33" t="s">
        <v>695</v>
      </c>
      <c r="I2" s="33" t="s">
        <v>262</v>
      </c>
      <c r="J2" s="33" t="s">
        <v>263</v>
      </c>
      <c r="K2" s="33" t="s">
        <v>264</v>
      </c>
      <c r="L2" s="33" t="s">
        <v>466</v>
      </c>
      <c r="M2" s="33" t="s">
        <v>467</v>
      </c>
      <c r="N2" s="33" t="s">
        <v>468</v>
      </c>
      <c r="O2" s="33" t="s">
        <v>265</v>
      </c>
      <c r="P2" s="33" t="s">
        <v>266</v>
      </c>
      <c r="Q2" s="33" t="s">
        <v>514</v>
      </c>
      <c r="R2" s="33" t="s">
        <v>515</v>
      </c>
      <c r="S2" s="33" t="s">
        <v>516</v>
      </c>
      <c r="T2" s="33" t="s">
        <v>267</v>
      </c>
      <c r="U2" s="33" t="s">
        <v>469</v>
      </c>
      <c r="V2" s="33" t="s">
        <v>470</v>
      </c>
      <c r="W2" s="33" t="s">
        <v>269</v>
      </c>
      <c r="X2" s="33" t="s">
        <v>270</v>
      </c>
      <c r="Y2" s="33" t="s">
        <v>271</v>
      </c>
      <c r="Z2" s="33" t="s">
        <v>272</v>
      </c>
      <c r="AA2" s="33" t="s">
        <v>273</v>
      </c>
      <c r="AB2" s="33" t="s">
        <v>274</v>
      </c>
      <c r="AC2" s="33" t="s">
        <v>275</v>
      </c>
      <c r="AD2" s="33" t="s">
        <v>276</v>
      </c>
      <c r="AE2" s="33" t="s">
        <v>277</v>
      </c>
      <c r="AF2" s="33" t="s">
        <v>278</v>
      </c>
      <c r="AG2" s="33" t="s">
        <v>279</v>
      </c>
      <c r="AH2" s="33" t="s">
        <v>268</v>
      </c>
      <c r="AI2" s="33" t="s">
        <v>211</v>
      </c>
      <c r="AJ2" s="33" t="s">
        <v>284</v>
      </c>
      <c r="AL2" s="33" t="s">
        <v>351</v>
      </c>
      <c r="AM2" s="33" t="s">
        <v>418</v>
      </c>
    </row>
    <row r="3" spans="1:39" x14ac:dyDescent="0.2">
      <c r="A3" s="28">
        <v>1</v>
      </c>
      <c r="B3" s="28">
        <f>A3+1</f>
        <v>2</v>
      </c>
      <c r="C3" s="28">
        <f>B3+1</f>
        <v>3</v>
      </c>
      <c r="D3" s="28">
        <f t="shared" ref="D3:Y3" si="0">C3+1</f>
        <v>4</v>
      </c>
      <c r="E3" s="28">
        <f t="shared" ref="E3" si="1">D3+1</f>
        <v>5</v>
      </c>
      <c r="F3" s="28">
        <f t="shared" ref="F3" si="2">E3+1</f>
        <v>6</v>
      </c>
      <c r="G3" s="28">
        <f t="shared" ref="G3" si="3">F3+1</f>
        <v>7</v>
      </c>
      <c r="H3" s="28">
        <f t="shared" si="0"/>
        <v>8</v>
      </c>
      <c r="I3" s="28">
        <f t="shared" ref="I3" si="4">H3+1</f>
        <v>9</v>
      </c>
      <c r="J3" s="28">
        <f t="shared" si="0"/>
        <v>10</v>
      </c>
      <c r="K3" s="28">
        <f t="shared" si="0"/>
        <v>11</v>
      </c>
      <c r="L3" s="28">
        <f t="shared" ref="L3" si="5">K3+1</f>
        <v>12</v>
      </c>
      <c r="M3" s="28">
        <f t="shared" ref="M3:O3" si="6">L3+1</f>
        <v>13</v>
      </c>
      <c r="N3" s="28">
        <f t="shared" si="6"/>
        <v>14</v>
      </c>
      <c r="O3" s="28">
        <f t="shared" si="6"/>
        <v>15</v>
      </c>
      <c r="P3" s="28">
        <f t="shared" si="0"/>
        <v>16</v>
      </c>
      <c r="Q3" s="28">
        <f t="shared" ref="Q3" si="7">P3+1</f>
        <v>17</v>
      </c>
      <c r="R3" s="28">
        <f t="shared" ref="R3:T3" si="8">Q3+1</f>
        <v>18</v>
      </c>
      <c r="S3" s="28">
        <f t="shared" si="8"/>
        <v>19</v>
      </c>
      <c r="T3" s="28">
        <f t="shared" si="8"/>
        <v>20</v>
      </c>
      <c r="U3" s="28">
        <f t="shared" si="0"/>
        <v>21</v>
      </c>
      <c r="V3" s="28">
        <f t="shared" si="0"/>
        <v>22</v>
      </c>
      <c r="W3" s="28">
        <f t="shared" si="0"/>
        <v>23</v>
      </c>
      <c r="X3" s="28">
        <f t="shared" si="0"/>
        <v>24</v>
      </c>
      <c r="Y3" s="28">
        <f t="shared" si="0"/>
        <v>25</v>
      </c>
      <c r="Z3" s="28">
        <f t="shared" ref="Z3" si="9">Y3+1</f>
        <v>26</v>
      </c>
      <c r="AA3" s="28">
        <f t="shared" ref="AA3" si="10">Z3+1</f>
        <v>27</v>
      </c>
      <c r="AB3" s="28">
        <f t="shared" ref="AB3" si="11">AA3+1</f>
        <v>28</v>
      </c>
      <c r="AC3" s="28">
        <f t="shared" ref="AC3" si="12">AB3+1</f>
        <v>29</v>
      </c>
      <c r="AD3" s="28">
        <f t="shared" ref="AD3" si="13">AC3+1</f>
        <v>30</v>
      </c>
      <c r="AE3" s="28">
        <f t="shared" ref="AE3" si="14">AD3+1</f>
        <v>31</v>
      </c>
      <c r="AF3" s="28">
        <f t="shared" ref="AF3" si="15">AE3+1</f>
        <v>32</v>
      </c>
      <c r="AG3" s="28">
        <f t="shared" ref="AG3" si="16">AF3+1</f>
        <v>33</v>
      </c>
      <c r="AH3" s="28">
        <f t="shared" ref="AH3" si="17">AG3+1</f>
        <v>34</v>
      </c>
      <c r="AI3" s="28">
        <f t="shared" ref="AI3" si="18">AH3+1</f>
        <v>35</v>
      </c>
      <c r="AJ3" s="28">
        <f t="shared" ref="AJ3" si="19">AI3+1</f>
        <v>36</v>
      </c>
      <c r="AK3" s="28">
        <f t="shared" ref="AK3" si="20">AJ3+1</f>
        <v>37</v>
      </c>
      <c r="AL3" s="28">
        <f t="shared" ref="AL3:AM3" si="21">AK3+1</f>
        <v>38</v>
      </c>
      <c r="AM3" s="28">
        <f t="shared" si="21"/>
        <v>39</v>
      </c>
    </row>
    <row r="4" spans="1:39" ht="64" x14ac:dyDescent="0.2">
      <c r="A4" s="17" t="s">
        <v>341</v>
      </c>
      <c r="B4" s="17" t="s">
        <v>340</v>
      </c>
      <c r="C4" s="17" t="s">
        <v>298</v>
      </c>
      <c r="D4" s="17" t="str">
        <f>VLOOKUP(D2,Parameters!$N:$O,2,FALSE)</f>
        <v>ASCEND</v>
      </c>
      <c r="E4" s="17" t="str">
        <f>VLOOKUP(E2,Parameters!$N:$O,2,FALSE)</f>
        <v>ASCEND Innovation Fund - SAPIENs</v>
      </c>
      <c r="F4" s="17" t="str">
        <f>VLOOKUP(F2,Parameters!$N:$O,2,FALSE)</f>
        <v>ASCEND Innovation Fund - Refugees</v>
      </c>
      <c r="G4" s="17" t="str">
        <f>VLOOKUP(G2,Parameters!$N:$O,2,FALSE)</f>
        <v>Ascend COVID-19 Support CIV</v>
      </c>
      <c r="H4" s="17" t="str">
        <f>VLOOKUP(H2,Parameters!$N:$O,2,FALSE)</f>
        <v>Impact of SCH control prog on T.solium</v>
      </c>
      <c r="I4" s="17" t="str">
        <f>VLOOKUP(I2,Parameters!$N:$O,2,FALSE)</f>
        <v>CAF Canada MDG Poster Distribution Proj.</v>
      </c>
      <c r="J4" s="17" t="str">
        <f>VLOOKUP(J2,Parameters!$N:$O,2,FALSE)</f>
        <v>CIFF ETH Technical Assistance</v>
      </c>
      <c r="K4" s="17" t="str">
        <f>VLOOKUP(K2,Parameters!$N:$O,2,FALSE)</f>
        <v>End Fund Deworming in Madagascar</v>
      </c>
      <c r="L4" s="17" t="str">
        <f>VLOOKUP(L2,Parameters!$N:$O,2,FALSE)</f>
        <v>End Fund ETH Parameter Validation Survey</v>
      </c>
      <c r="M4" s="17" t="str">
        <f>VLOOKUP(M2,Parameters!$N:$O,2,FALSE)</f>
        <v>End Fund DIF Support (consulting)</v>
      </c>
      <c r="N4" s="17" t="str">
        <f>VLOOKUP(N2,Parameters!$N:$O,2,FALSE)</f>
        <v>KIT Uganda WASH Tech Assistance 2020</v>
      </c>
      <c r="O4" s="17" t="str">
        <f>VLOOKUP(O2,Parameters!$N:$O,2,FALSE)</f>
        <v>Merck funding Katharina Khole Consulting</v>
      </c>
      <c r="P4" s="17" t="str">
        <f>VLOOKUP(P2,Parameters!$N:$O,2,FALSE)</f>
        <v>Pediatric PZQ Consortium GHIT IV Grant</v>
      </c>
      <c r="Q4" s="17" t="str">
        <f>VLOOKUP(Q2,Parameters!$N:$O,2,FALSE)</f>
        <v xml:space="preserve">Pediatric PZQ Consortium GHIT V Grant </v>
      </c>
      <c r="R4" s="17" t="str">
        <f>VLOOKUP(R2,Parameters!$N:$O,2,FALSE)</f>
        <v>Pediatric PZQ Consortium EDCTP Adopt</v>
      </c>
      <c r="S4" s="17" t="str">
        <f>VLOOKUP(S2,Parameters!$N:$O,2,FALSE)</f>
        <v>ARUP COVID-19 Hot Spot Project</v>
      </c>
      <c r="T4" s="17" t="str">
        <f>VLOOKUP(T2,Parameters!$N:$O,2,FALSE)</f>
        <v>FGS Preventive Treatment Pilot Study CIV</v>
      </c>
      <c r="U4" s="17" t="str">
        <f>VLOOKUP(U2,Parameters!$N:$O,2,FALSE)</f>
        <v>LVCT sub-grant FGS prevention</v>
      </c>
      <c r="V4" s="17" t="str">
        <f>VLOOKUP(V2,Parameters!$N:$O,2,FALSE)</f>
        <v>NTDSC M&amp;E Framework White Paper</v>
      </c>
      <c r="W4" s="17" t="str">
        <f>VLOOKUP(W2,Parameters!$N:$O,2,FALSE)</f>
        <v>UGA VCD Transitional Funding</v>
      </c>
      <c r="X4" s="17" t="str">
        <f>VLOOKUP(X2,Parameters!$N:$O,2,FALSE)</f>
        <v>CIV 2019-20 Bocanda &amp; Mankono STH</v>
      </c>
      <c r="Y4" s="17" t="str">
        <f>VLOOKUP(Y2,Parameters!$N:$O,2,FALSE)</f>
        <v>MRT Programme from 2019</v>
      </c>
      <c r="Z4" s="17" t="str">
        <f>VLOOKUP(Z2,Parameters!$N:$O,2,FALSE)</f>
        <v>ETH Programme from 2019</v>
      </c>
      <c r="AA4" s="17" t="str">
        <f>VLOOKUP(AA2,Parameters!$N:$O,2,FALSE)</f>
        <v>BDI Programme from 2020</v>
      </c>
      <c r="AB4" s="17" t="str">
        <f>VLOOKUP(AB2,Parameters!$N:$O,2,FALSE)</f>
        <v>MWI Programme from 2020</v>
      </c>
      <c r="AC4" s="17" t="str">
        <f>VLOOKUP(AC2,Parameters!$N:$O,2,FALSE)</f>
        <v>ZNZ Pemba Programme from 2019</v>
      </c>
      <c r="AD4" s="17" t="str">
        <f>VLOOKUP(AD2,Parameters!$N:$O,2,FALSE)</f>
        <v>ZNZ Unguja Programme from 2019</v>
      </c>
      <c r="AE4" s="17" t="str">
        <f>VLOOKUP(AE2,Parameters!$N:$O,2,FALSE)</f>
        <v>UGA Programme from 2019</v>
      </c>
      <c r="AF4" s="17" t="str">
        <f>VLOOKUP(AF2,Parameters!$N:$O,2,FALSE)</f>
        <v>MDG Programme from 2020</v>
      </c>
      <c r="AG4" s="17" t="str">
        <f>VLOOKUP(AG2,Parameters!$N:$O,2,FALSE)</f>
        <v>TZA Programme from 2020</v>
      </c>
      <c r="AH4" s="17" t="str">
        <f>VLOOKUP(AH2,Parameters!$N:$O,2,FALSE)</f>
        <v>Unrestricted</v>
      </c>
      <c r="AI4" s="17" t="s">
        <v>211</v>
      </c>
      <c r="AJ4" s="25" t="s">
        <v>284</v>
      </c>
      <c r="AL4" s="17" t="s">
        <v>285</v>
      </c>
      <c r="AM4" s="17" t="s">
        <v>421</v>
      </c>
    </row>
    <row r="5" spans="1:39" x14ac:dyDescent="0.2">
      <c r="A5" s="1">
        <f t="shared" ref="A5:A13" si="22">VALUE(B5)</f>
        <v>4000</v>
      </c>
      <c r="B5" t="s">
        <v>31</v>
      </c>
      <c r="C5" t="s">
        <v>32</v>
      </c>
      <c r="D5" s="39">
        <f>IF(TRUE,0,_xll.PSFx2BAL(CN,"*","GLCode",$B5,"DAF_Award",D$2,PF,PT))</f>
        <v>0</v>
      </c>
      <c r="E5" s="39">
        <f>IF(TRUE,0,_xll.PSFx2BAL(CN,"*","GLCode",$B5,"DAF_Award",E$2,PF,PT))</f>
        <v>0</v>
      </c>
      <c r="F5" s="39">
        <f>IF(TRUE,0,_xll.PSFx2BAL(CN,"*","GLCode",$B5,"DAF_Award",F$2,PF,PT))</f>
        <v>0</v>
      </c>
      <c r="G5" s="39">
        <f>IF(TRUE,0,_xll.PSFx2BAL(CN,"*","GLCode",$B5,"DAF_Award",G$2,PF,PT))</f>
        <v>0</v>
      </c>
      <c r="H5" s="39">
        <f>IF(TRUE,0,_xll.PSFx2BAL(CN,"*","GLCode",$B5,"DAF_Award",H$2,PF,PT))</f>
        <v>0</v>
      </c>
      <c r="I5" s="39">
        <f>IF(TRUE,0,_xll.PSFx2BAL(CN,"*","GLCode",$B5,"DAF_Award",I$2,PF,PT))</f>
        <v>0</v>
      </c>
      <c r="J5" s="39">
        <f>IF(TRUE,0,_xll.PSFx2BAL(CN,"*","GLCode",$B5,"DAF_Award",J$2,PF,PT))</f>
        <v>0</v>
      </c>
      <c r="K5" s="39">
        <f>IF(TRUE,0,_xll.PSFx2BAL(CN,"*","GLCode",$B5,"DAF_Award",K$2,PF,PT))</f>
        <v>0</v>
      </c>
      <c r="L5" s="39">
        <f>IF(TRUE,0,_xll.PSFx2BAL(CN,"*","GLCode",$B5,"DAF_Award",L$2,PF,PT))</f>
        <v>0</v>
      </c>
      <c r="M5" s="39">
        <f>IF(TRUE,0,_xll.PSFx2BAL(CN,"*","GLCode",$B5,"DAF_Award",M$2,PF,PT))</f>
        <v>0</v>
      </c>
      <c r="N5" s="39">
        <f>IF(TRUE,0,_xll.PSFx2BAL(CN,"*","GLCode",$B5,"DAF_Award",N$2,PF,PT))</f>
        <v>0</v>
      </c>
      <c r="O5" s="39">
        <f>IF(TRUE,0,_xll.PSFx2BAL(CN,"*","GLCode",$B5,"DAF_Award",O$2,PF,PT))</f>
        <v>0</v>
      </c>
      <c r="P5" s="39">
        <f>IF(TRUE,0,_xll.PSFx2BAL(CN,"*","GLCode",$B5,"DAF_Award",P$2,PF,PT))</f>
        <v>0</v>
      </c>
      <c r="Q5" s="39">
        <f>IF(TRUE,0,_xll.PSFx2BAL(CN,"*","GLCode",$B5,"DAF_Award",Q$2,PF,PT))</f>
        <v>0</v>
      </c>
      <c r="R5" s="39">
        <f>IF(TRUE,0,_xll.PSFx2BAL(CN,"*","GLCode",$B5,"DAF_Award",R$2,PF,PT))</f>
        <v>0</v>
      </c>
      <c r="S5" s="39">
        <f>IF(TRUE,0,_xll.PSFx2BAL(CN,"*","GLCode",$B5,"DAF_Award",S$2,PF,PT))</f>
        <v>0</v>
      </c>
      <c r="T5" s="39">
        <f>IF(TRUE,0,_xll.PSFx2BAL(CN,"*","GLCode",$B5,"DAF_Award",T$2,PF,PT))</f>
        <v>0</v>
      </c>
      <c r="U5" s="39">
        <f>IF(TRUE,0,_xll.PSFx2BAL(CN,"*","GLCode",$B5,"DAF_Award",U$2,PF,PT))</f>
        <v>0</v>
      </c>
      <c r="V5" s="39">
        <f>IF(TRUE,0,_xll.PSFx2BAL(CN,"*","GLCode",$B5,"DAF_Award",V$2,PF,PT))</f>
        <v>0</v>
      </c>
      <c r="W5" s="39">
        <f>IF(TRUE,0,_xll.PSFx2BAL(CN,"*","GLCode",$B5,"DAF_Award",W$2,PF,PT))</f>
        <v>0</v>
      </c>
      <c r="X5" s="39">
        <f>IF(TRUE,0,_xll.PSFx2BAL(CN,"*","GLCode",$B5,"DAF_Award",X$2,PF,PT))</f>
        <v>0</v>
      </c>
      <c r="Y5" s="39">
        <f>IF(TRUE,0,_xll.PSFx2BAL(CN,"*","GLCode",$B5,"DAF_Award",Y$2,PF,PT))</f>
        <v>0</v>
      </c>
      <c r="Z5" s="39">
        <f>IF(TRUE,0,_xll.PSFx2BAL(CN,"*","GLCode",$B5,"DAF_Award",Z$2,PF,PT))</f>
        <v>0</v>
      </c>
      <c r="AA5" s="39">
        <f>IF(TRUE,0,_xll.PSFx2BAL(CN,"*","GLCode",$B5,"DAF_Award",AA$2,PF,PT))</f>
        <v>0</v>
      </c>
      <c r="AB5" s="39">
        <f>IF(TRUE,-737255.62,_xll.PSFx2BAL(CN,"*","GLCode",$B5,"DAF_Award",AB$2,PF,PT))</f>
        <v>-737255.62</v>
      </c>
      <c r="AC5" s="39">
        <f>IF(TRUE,0,_xll.PSFx2BAL(CN,"*","GLCode",$B5,"DAF_Award",AC$2,PF,PT))</f>
        <v>0</v>
      </c>
      <c r="AD5" s="39">
        <f>IF(TRUE,0,_xll.PSFx2BAL(CN,"*","GLCode",$B5,"DAF_Award",AD$2,PF,PT))</f>
        <v>0</v>
      </c>
      <c r="AE5" s="39">
        <f>IF(TRUE,0,_xll.PSFx2BAL(CN,"*","GLCode",$B5,"DAF_Award",AE$2,PF,PT))</f>
        <v>0</v>
      </c>
      <c r="AF5" s="39">
        <f>IF(TRUE,0,_xll.PSFx2BAL(CN,"*","GLCode",$B5,"DAF_Award",AF$2,PF,PT))</f>
        <v>0</v>
      </c>
      <c r="AG5" s="39">
        <f>IF(TRUE,0,_xll.PSFx2BAL(CN,"*","GLCode",$B5,"DAF_Award",AG$2,PF,PT))</f>
        <v>0</v>
      </c>
      <c r="AH5" s="39">
        <f>IF(TRUE,-3360549.63,_xll.PSFx2BAL(CN,"*","GLCode",$B5,"DAF_Award",AH$2,PF,PT))</f>
        <v>-3360549.63</v>
      </c>
      <c r="AI5" s="274">
        <f t="shared" ref="AI5:AI13" si="23">AJ5-SUM(D5:AH5)</f>
        <v>0</v>
      </c>
      <c r="AJ5" s="18">
        <f>VLOOKUP(B5,TB!$B$5:$E$140,4,FALSE)</f>
        <v>-4097805.25</v>
      </c>
      <c r="AL5" s="39">
        <f t="shared" ref="AL5:AL13" si="24">SUM(W5:AI5)</f>
        <v>-4097805.25</v>
      </c>
      <c r="AM5" s="39">
        <f t="shared" ref="AM5:AM13" si="25">AJ5-AL5</f>
        <v>0</v>
      </c>
    </row>
    <row r="6" spans="1:39" x14ac:dyDescent="0.2">
      <c r="A6" s="1">
        <f t="shared" si="22"/>
        <v>4001</v>
      </c>
      <c r="B6" t="s">
        <v>33</v>
      </c>
      <c r="C6" t="s">
        <v>34</v>
      </c>
      <c r="D6" s="39">
        <f>IF(TRUE,0,_xll.PSFx2BAL(CN,"*","GLCode",$B6,"DAF_Award",D$2,PF,PT))</f>
        <v>0</v>
      </c>
      <c r="E6" s="39">
        <f>IF(TRUE,0,_xll.PSFx2BAL(CN,"*","GLCode",$B6,"DAF_Award",E$2,PF,PT))</f>
        <v>0</v>
      </c>
      <c r="F6" s="39">
        <f>IF(TRUE,0,_xll.PSFx2BAL(CN,"*","GLCode",$B6,"DAF_Award",F$2,PF,PT))</f>
        <v>0</v>
      </c>
      <c r="G6" s="39">
        <f>IF(TRUE,0,_xll.PSFx2BAL(CN,"*","GLCode",$B6,"DAF_Award",G$2,PF,PT))</f>
        <v>0</v>
      </c>
      <c r="H6" s="39">
        <f>IF(TRUE,0,_xll.PSFx2BAL(CN,"*","GLCode",$B6,"DAF_Award",H$2,PF,PT))</f>
        <v>0</v>
      </c>
      <c r="I6" s="39">
        <f>IF(TRUE,0,_xll.PSFx2BAL(CN,"*","GLCode",$B6,"DAF_Award",I$2,PF,PT))</f>
        <v>0</v>
      </c>
      <c r="J6" s="39">
        <f>IF(TRUE,0,_xll.PSFx2BAL(CN,"*","GLCode",$B6,"DAF_Award",J$2,PF,PT))</f>
        <v>0</v>
      </c>
      <c r="K6" s="39">
        <f>IF(TRUE,0,_xll.PSFx2BAL(CN,"*","GLCode",$B6,"DAF_Award",K$2,PF,PT))</f>
        <v>0</v>
      </c>
      <c r="L6" s="39">
        <f>IF(TRUE,0,_xll.PSFx2BAL(CN,"*","GLCode",$B6,"DAF_Award",L$2,PF,PT))</f>
        <v>0</v>
      </c>
      <c r="M6" s="39">
        <f>IF(TRUE,0,_xll.PSFx2BAL(CN,"*","GLCode",$B6,"DAF_Award",M$2,PF,PT))</f>
        <v>0</v>
      </c>
      <c r="N6" s="39">
        <f>IF(TRUE,0,_xll.PSFx2BAL(CN,"*","GLCode",$B6,"DAF_Award",N$2,PF,PT))</f>
        <v>0</v>
      </c>
      <c r="O6" s="39">
        <f>IF(TRUE,0,_xll.PSFx2BAL(CN,"*","GLCode",$B6,"DAF_Award",O$2,PF,PT))</f>
        <v>0</v>
      </c>
      <c r="P6" s="39">
        <f>IF(TRUE,0,_xll.PSFx2BAL(CN,"*","GLCode",$B6,"DAF_Award",P$2,PF,PT))</f>
        <v>0</v>
      </c>
      <c r="Q6" s="39">
        <f>IF(TRUE,0,_xll.PSFx2BAL(CN,"*","GLCode",$B6,"DAF_Award",Q$2,PF,PT))</f>
        <v>0</v>
      </c>
      <c r="R6" s="39">
        <f>IF(TRUE,0,_xll.PSFx2BAL(CN,"*","GLCode",$B6,"DAF_Award",R$2,PF,PT))</f>
        <v>0</v>
      </c>
      <c r="S6" s="39">
        <f>IF(TRUE,0,_xll.PSFx2BAL(CN,"*","GLCode",$B6,"DAF_Award",S$2,PF,PT))</f>
        <v>0</v>
      </c>
      <c r="T6" s="39">
        <f>IF(TRUE,0,_xll.PSFx2BAL(CN,"*","GLCode",$B6,"DAF_Award",T$2,PF,PT))</f>
        <v>0</v>
      </c>
      <c r="U6" s="39">
        <f>IF(TRUE,0,_xll.PSFx2BAL(CN,"*","GLCode",$B6,"DAF_Award",U$2,PF,PT))</f>
        <v>0</v>
      </c>
      <c r="V6" s="39">
        <f>IF(TRUE,0,_xll.PSFx2BAL(CN,"*","GLCode",$B6,"DAF_Award",V$2,PF,PT))</f>
        <v>0</v>
      </c>
      <c r="W6" s="39">
        <f>IF(TRUE,0,_xll.PSFx2BAL(CN,"*","GLCode",$B6,"DAF_Award",W$2,PF,PT))</f>
        <v>0</v>
      </c>
      <c r="X6" s="39">
        <f>IF(TRUE,0,_xll.PSFx2BAL(CN,"*","GLCode",$B6,"DAF_Award",X$2,PF,PT))</f>
        <v>0</v>
      </c>
      <c r="Y6" s="39">
        <f>IF(TRUE,0,_xll.PSFx2BAL(CN,"*","GLCode",$B6,"DAF_Award",Y$2,PF,PT))</f>
        <v>0</v>
      </c>
      <c r="Z6" s="39">
        <f>IF(TRUE,0,_xll.PSFx2BAL(CN,"*","GLCode",$B6,"DAF_Award",Z$2,PF,PT))</f>
        <v>0</v>
      </c>
      <c r="AA6" s="39">
        <f>IF(TRUE,0,_xll.PSFx2BAL(CN,"*","GLCode",$B6,"DAF_Award",AA$2,PF,PT))</f>
        <v>0</v>
      </c>
      <c r="AB6" s="39">
        <f>IF(TRUE,0,_xll.PSFx2BAL(CN,"*","GLCode",$B6,"DAF_Award",AB$2,PF,PT))</f>
        <v>0</v>
      </c>
      <c r="AC6" s="39">
        <f>IF(TRUE,0,_xll.PSFx2BAL(CN,"*","GLCode",$B6,"DAF_Award",AC$2,PF,PT))</f>
        <v>0</v>
      </c>
      <c r="AD6" s="39">
        <f>IF(TRUE,0,_xll.PSFx2BAL(CN,"*","GLCode",$B6,"DAF_Award",AD$2,PF,PT))</f>
        <v>0</v>
      </c>
      <c r="AE6" s="39">
        <f>IF(TRUE,0,_xll.PSFx2BAL(CN,"*","GLCode",$B6,"DAF_Award",AE$2,PF,PT))</f>
        <v>0</v>
      </c>
      <c r="AF6" s="39">
        <f>IF(TRUE,0,_xll.PSFx2BAL(CN,"*","GLCode",$B6,"DAF_Award",AF$2,PF,PT))</f>
        <v>0</v>
      </c>
      <c r="AG6" s="39">
        <f>IF(TRUE,0,_xll.PSFx2BAL(CN,"*","GLCode",$B6,"DAF_Award",AG$2,PF,PT))</f>
        <v>0</v>
      </c>
      <c r="AH6" s="39">
        <f>IF(TRUE,0,_xll.PSFx2BAL(CN,"*","GLCode",$B6,"DAF_Award",AH$2,PF,PT))</f>
        <v>0</v>
      </c>
      <c r="AI6" s="39">
        <f t="shared" si="23"/>
        <v>-41158.449999999997</v>
      </c>
      <c r="AJ6" s="18">
        <f>VLOOKUP(B6,TB!$B$5:$E$140,4,FALSE)</f>
        <v>-41158.449999999997</v>
      </c>
      <c r="AL6" s="39">
        <f t="shared" si="24"/>
        <v>-41158.449999999997</v>
      </c>
      <c r="AM6" s="39">
        <f t="shared" si="25"/>
        <v>0</v>
      </c>
    </row>
    <row r="7" spans="1:39" x14ac:dyDescent="0.2">
      <c r="A7" s="1">
        <f t="shared" si="22"/>
        <v>4010</v>
      </c>
      <c r="B7" t="s">
        <v>35</v>
      </c>
      <c r="C7" t="s">
        <v>36</v>
      </c>
      <c r="D7" s="39">
        <f>IF(TRUE,-3424024.54,_xll.PSFx2BAL(CN,"*","GLCode",$B7,"DAF_Award",D$2,PF,PT))</f>
        <v>-3424024.54</v>
      </c>
      <c r="E7" s="39">
        <f>IF(TRUE,-19787.52,_xll.PSFx2BAL(CN,"*","GLCode",$B7,"DAF_Award",E$2,PF,PT))</f>
        <v>-19787.52</v>
      </c>
      <c r="F7" s="39">
        <f>IF(TRUE,-17473.14,_xll.PSFx2BAL(CN,"*","GLCode",$B7,"DAF_Award",F$2,PF,PT))</f>
        <v>-17473.14</v>
      </c>
      <c r="G7" s="39">
        <f>IF(TRUE,-295165.05,_xll.PSFx2BAL(CN,"*","GLCode",$B7,"DAF_Award",G$2,PF,PT))</f>
        <v>-295165.05</v>
      </c>
      <c r="H7" s="39">
        <f>IF(TRUE,-6671,_xll.PSFx2BAL(CN,"*","GLCode",$B7,"DAF_Award",H$2,PF,PT))</f>
        <v>-6671</v>
      </c>
      <c r="I7" s="39">
        <f>IF(TRUE,0,_xll.PSFx2BAL(CN,"*","GLCode",$B7,"DAF_Award",I$2,PF,PT))</f>
        <v>0</v>
      </c>
      <c r="J7" s="39">
        <f>IF(TRUE,-21142.53,_xll.PSFx2BAL(CN,"*","GLCode",$B7,"DAF_Award",J$2,PF,PT))</f>
        <v>-21142.53</v>
      </c>
      <c r="K7" s="39">
        <f>IF(TRUE,29408.55,_xll.PSFx2BAL(CN,"*","GLCode",$B7,"DAF_Award",K$2,PF,PT))</f>
        <v>29408.55</v>
      </c>
      <c r="L7" s="39">
        <f>IF(TRUE,-118069.61,_xll.PSFx2BAL(CN,"*","GLCode",$B7,"DAF_Award",L$2,PF,PT))</f>
        <v>-118069.61</v>
      </c>
      <c r="M7" s="39">
        <f>IF(TRUE,0,_xll.PSFx2BAL(CN,"*","GLCode",$B7,"DAF_Award",M$2,PF,PT))</f>
        <v>0</v>
      </c>
      <c r="N7" s="39">
        <f>IF(TRUE,0,_xll.PSFx2BAL(CN,"*","GLCode",$B7,"DAF_Award",N$2,PF,PT))</f>
        <v>0</v>
      </c>
      <c r="O7" s="39">
        <f>IF(TRUE,-13707.87,_xll.PSFx2BAL(CN,"*","GLCode",$B7,"DAF_Award",O$2,PF,PT))</f>
        <v>-13707.87</v>
      </c>
      <c r="P7" s="39">
        <f>IF(TRUE,-17838.37,_xll.PSFx2BAL(CN,"*","GLCode",$B7,"DAF_Award",P$2,PF,PT))</f>
        <v>-17838.37</v>
      </c>
      <c r="Q7" s="39">
        <f>IF(TRUE,-11504.13,_xll.PSFx2BAL(CN,"*","GLCode",$B7,"DAF_Award",Q$2,PF,PT))</f>
        <v>-11504.13</v>
      </c>
      <c r="R7" s="39">
        <f>IF(TRUE,-2236.23,_xll.PSFx2BAL(CN,"*","GLCode",$B7,"DAF_Award",R$2,PF,PT))</f>
        <v>-2236.23</v>
      </c>
      <c r="S7" s="39">
        <f>IF(TRUE,-388.52,_xll.PSFx2BAL(CN,"*","GLCode",$B7,"DAF_Award",S$2,PF,PT))</f>
        <v>-388.52</v>
      </c>
      <c r="T7" s="39">
        <f>IF(TRUE,-89232.35,_xll.PSFx2BAL(CN,"*","GLCode",$B7,"DAF_Award",T$2,PF,PT))</f>
        <v>-89232.35</v>
      </c>
      <c r="U7" s="39">
        <f>IF(TRUE,0,_xll.PSFx2BAL(CN,"*","GLCode",$B7,"DAF_Award",U$2,PF,PT))</f>
        <v>0</v>
      </c>
      <c r="V7" s="39">
        <f>IF(TRUE,0,_xll.PSFx2BAL(CN,"*","GLCode",$B7,"DAF_Award",V$2,PF,PT))</f>
        <v>0</v>
      </c>
      <c r="W7" s="39">
        <f>IF(TRUE,0,_xll.PSFx2BAL(CN,"*","GLCode",$B7,"DAF_Award",W$2,PF,PT))</f>
        <v>0</v>
      </c>
      <c r="X7" s="39">
        <f>IF(TRUE,0,_xll.PSFx2BAL(CN,"*","GLCode",$B7,"DAF_Award",X$2,PF,PT))</f>
        <v>0</v>
      </c>
      <c r="Y7" s="39">
        <f>IF(TRUE,0,_xll.PSFx2BAL(CN,"*","GLCode",$B7,"DAF_Award",Y$2,PF,PT))</f>
        <v>0</v>
      </c>
      <c r="Z7" s="39">
        <f>IF(TRUE,0,_xll.PSFx2BAL(CN,"*","GLCode",$B7,"DAF_Award",Z$2,PF,PT))</f>
        <v>0</v>
      </c>
      <c r="AA7" s="39">
        <f>IF(TRUE,0,_xll.PSFx2BAL(CN,"*","GLCode",$B7,"DAF_Award",AA$2,PF,PT))</f>
        <v>0</v>
      </c>
      <c r="AB7" s="39">
        <f>IF(TRUE,0,_xll.PSFx2BAL(CN,"*","GLCode",$B7,"DAF_Award",AB$2,PF,PT))</f>
        <v>0</v>
      </c>
      <c r="AC7" s="39">
        <f>IF(TRUE,0,_xll.PSFx2BAL(CN,"*","GLCode",$B7,"DAF_Award",AC$2,PF,PT))</f>
        <v>0</v>
      </c>
      <c r="AD7" s="39">
        <f>IF(TRUE,0,_xll.PSFx2BAL(CN,"*","GLCode",$B7,"DAF_Award",AD$2,PF,PT))</f>
        <v>0</v>
      </c>
      <c r="AE7" s="39">
        <f>IF(TRUE,0,_xll.PSFx2BAL(CN,"*","GLCode",$B7,"DAF_Award",AE$2,PF,PT))</f>
        <v>0</v>
      </c>
      <c r="AF7" s="39">
        <f>IF(TRUE,0,_xll.PSFx2BAL(CN,"*","GLCode",$B7,"DAF_Award",AF$2,PF,PT))</f>
        <v>0</v>
      </c>
      <c r="AG7" s="39">
        <f>IF(TRUE,0,_xll.PSFx2BAL(CN,"*","GLCode",$B7,"DAF_Award",AG$2,PF,PT))</f>
        <v>0</v>
      </c>
      <c r="AH7" s="39">
        <f>IF(TRUE,0,_xll.PSFx2BAL(CN,"*","GLCode",$B7,"DAF_Award",AH$2,PF,PT))</f>
        <v>0</v>
      </c>
      <c r="AI7" s="274">
        <f t="shared" si="23"/>
        <v>0</v>
      </c>
      <c r="AJ7" s="18">
        <f>VLOOKUP(B7,TB!$B$5:$E$140,4,FALSE)</f>
        <v>-4007832.31</v>
      </c>
      <c r="AL7" s="39">
        <f t="shared" si="24"/>
        <v>0</v>
      </c>
      <c r="AM7" s="39">
        <f t="shared" si="25"/>
        <v>-4007832.31</v>
      </c>
    </row>
    <row r="8" spans="1:39" x14ac:dyDescent="0.2">
      <c r="A8" s="1">
        <f t="shared" si="22"/>
        <v>4011</v>
      </c>
      <c r="B8" t="s">
        <v>37</v>
      </c>
      <c r="C8" t="s">
        <v>38</v>
      </c>
      <c r="D8" s="39">
        <f>IF(TRUE,-255102.03,_xll.PSFx2BAL(CN,"*","GLCode",$B8,"DAF_Award",D$2,PF,PT))</f>
        <v>-255102.03</v>
      </c>
      <c r="E8" s="39">
        <f>IF(TRUE,-4918,_xll.PSFx2BAL(CN,"*","GLCode",$B8,"DAF_Award",E$2,PF,PT))</f>
        <v>-4918</v>
      </c>
      <c r="F8" s="39">
        <f>IF(TRUE,-4277.09,_xll.PSFx2BAL(CN,"*","GLCode",$B8,"DAF_Award",F$2,PF,PT))</f>
        <v>-4277.09</v>
      </c>
      <c r="G8" s="39">
        <f>IF(TRUE,0,_xll.PSFx2BAL(CN,"*","GLCode",$B8,"DAF_Award",G$2,PF,PT))</f>
        <v>0</v>
      </c>
      <c r="H8" s="39">
        <f>IF(TRUE,0,_xll.PSFx2BAL(CN,"*","GLCode",$B8,"DAF_Award",H$2,PF,PT))</f>
        <v>0</v>
      </c>
      <c r="I8" s="39">
        <f>IF(TRUE,0,_xll.PSFx2BAL(CN,"*","GLCode",$B8,"DAF_Award",I$2,PF,PT))</f>
        <v>0</v>
      </c>
      <c r="J8" s="39">
        <f>IF(TRUE,-3171.39,_xll.PSFx2BAL(CN,"*","GLCode",$B8,"DAF_Award",J$2,PF,PT))</f>
        <v>-3171.39</v>
      </c>
      <c r="K8" s="39">
        <f>IF(TRUE,4411.29,_xll.PSFx2BAL(CN,"*","GLCode",$B8,"DAF_Award",K$2,PF,PT))</f>
        <v>4411.29</v>
      </c>
      <c r="L8" s="39">
        <f>IF(TRUE,-13742.98,_xll.PSFx2BAL(CN,"*","GLCode",$B8,"DAF_Award",L$2,PF,PT))</f>
        <v>-13742.98</v>
      </c>
      <c r="M8" s="39">
        <f>IF(TRUE,0,_xll.PSFx2BAL(CN,"*","GLCode",$B8,"DAF_Award",M$2,PF,PT))</f>
        <v>0</v>
      </c>
      <c r="N8" s="39">
        <f>IF(TRUE,0,_xll.PSFx2BAL(CN,"*","GLCode",$B8,"DAF_Award",N$2,PF,PT))</f>
        <v>0</v>
      </c>
      <c r="O8" s="39">
        <f>IF(TRUE,-685.39,_xll.PSFx2BAL(CN,"*","GLCode",$B8,"DAF_Award",O$2,PF,PT))</f>
        <v>-685.39</v>
      </c>
      <c r="P8" s="39">
        <f>IF(TRUE,-8919.21,_xll.PSFx2BAL(CN,"*","GLCode",$B8,"DAF_Award",P$2,PF,PT))</f>
        <v>-8919.2099999999991</v>
      </c>
      <c r="Q8" s="39">
        <f>IF(TRUE,-2885.26,_xll.PSFx2BAL(CN,"*","GLCode",$B8,"DAF_Award",Q$2,PF,PT))</f>
        <v>-2885.26</v>
      </c>
      <c r="R8" s="39">
        <f>IF(TRUE,-559.06,_xll.PSFx2BAL(CN,"*","GLCode",$B8,"DAF_Award",R$2,PF,PT))</f>
        <v>-559.05999999999995</v>
      </c>
      <c r="S8" s="39">
        <f>IF(TRUE,0,_xll.PSFx2BAL(CN,"*","GLCode",$B8,"DAF_Award",S$2,PF,PT))</f>
        <v>0</v>
      </c>
      <c r="T8" s="39">
        <f>IF(TRUE,-9757.38,_xll.PSFx2BAL(CN,"*","GLCode",$B8,"DAF_Award",T$2,PF,PT))</f>
        <v>-9757.3799999999992</v>
      </c>
      <c r="U8" s="39">
        <f>IF(TRUE,0,_xll.PSFx2BAL(CN,"*","GLCode",$B8,"DAF_Award",U$2,PF,PT))</f>
        <v>0</v>
      </c>
      <c r="V8" s="39">
        <f>IF(TRUE,0,_xll.PSFx2BAL(CN,"*","GLCode",$B8,"DAF_Award",V$2,PF,PT))</f>
        <v>0</v>
      </c>
      <c r="W8" s="39">
        <f>IF(TRUE,0,_xll.PSFx2BAL(CN,"*","GLCode",$B8,"DAF_Award",W$2,PF,PT))</f>
        <v>0</v>
      </c>
      <c r="X8" s="39">
        <f>IF(TRUE,0,_xll.PSFx2BAL(CN,"*","GLCode",$B8,"DAF_Award",X$2,PF,PT))</f>
        <v>0</v>
      </c>
      <c r="Y8" s="39">
        <f>IF(TRUE,0,_xll.PSFx2BAL(CN,"*","GLCode",$B8,"DAF_Award",Y$2,PF,PT))</f>
        <v>0</v>
      </c>
      <c r="Z8" s="39">
        <f>IF(TRUE,0,_xll.PSFx2BAL(CN,"*","GLCode",$B8,"DAF_Award",Z$2,PF,PT))</f>
        <v>0</v>
      </c>
      <c r="AA8" s="39">
        <f>IF(TRUE,0,_xll.PSFx2BAL(CN,"*","GLCode",$B8,"DAF_Award",AA$2,PF,PT))</f>
        <v>0</v>
      </c>
      <c r="AB8" s="39">
        <f>IF(TRUE,0,_xll.PSFx2BAL(CN,"*","GLCode",$B8,"DAF_Award",AB$2,PF,PT))</f>
        <v>0</v>
      </c>
      <c r="AC8" s="39">
        <f>IF(TRUE,0,_xll.PSFx2BAL(CN,"*","GLCode",$B8,"DAF_Award",AC$2,PF,PT))</f>
        <v>0</v>
      </c>
      <c r="AD8" s="39">
        <f>IF(TRUE,0,_xll.PSFx2BAL(CN,"*","GLCode",$B8,"DAF_Award",AD$2,PF,PT))</f>
        <v>0</v>
      </c>
      <c r="AE8" s="39">
        <f>IF(TRUE,0,_xll.PSFx2BAL(CN,"*","GLCode",$B8,"DAF_Award",AE$2,PF,PT))</f>
        <v>0</v>
      </c>
      <c r="AF8" s="39">
        <f>IF(TRUE,0,_xll.PSFx2BAL(CN,"*","GLCode",$B8,"DAF_Award",AF$2,PF,PT))</f>
        <v>0</v>
      </c>
      <c r="AG8" s="39">
        <f>IF(TRUE,0,_xll.PSFx2BAL(CN,"*","GLCode",$B8,"DAF_Award",AG$2,PF,PT))</f>
        <v>0</v>
      </c>
      <c r="AH8" s="39">
        <f>IF(TRUE,0,_xll.PSFx2BAL(CN,"*","GLCode",$B8,"DAF_Award",AH$2,PF,PT))</f>
        <v>0</v>
      </c>
      <c r="AI8" s="274">
        <f t="shared" si="23"/>
        <v>0</v>
      </c>
      <c r="AJ8" s="18">
        <f>VLOOKUP(B8,TB!$B$5:$E$140,4,FALSE)</f>
        <v>-299606.5</v>
      </c>
      <c r="AL8" s="39">
        <f t="shared" si="24"/>
        <v>0</v>
      </c>
      <c r="AM8" s="39">
        <f t="shared" si="25"/>
        <v>-299606.5</v>
      </c>
    </row>
    <row r="9" spans="1:39" x14ac:dyDescent="0.2">
      <c r="A9" s="1">
        <f t="shared" si="22"/>
        <v>4020</v>
      </c>
      <c r="B9" t="s">
        <v>39</v>
      </c>
      <c r="C9" t="s">
        <v>40</v>
      </c>
      <c r="D9" s="39">
        <f>IF(TRUE,-85594.4,_xll.PSFx2BAL(CN,"*","GLCode",$B9,"DAF_Award",D$2,PF,PT))</f>
        <v>-85594.4</v>
      </c>
      <c r="E9" s="39">
        <f>IF(TRUE,0,_xll.PSFx2BAL(CN,"*","GLCode",$B9,"DAF_Award",E$2,PF,PT))</f>
        <v>0</v>
      </c>
      <c r="F9" s="39">
        <f>IF(TRUE,0,_xll.PSFx2BAL(CN,"*","GLCode",$B9,"DAF_Award",F$2,PF,PT))</f>
        <v>0</v>
      </c>
      <c r="G9" s="39">
        <f>IF(TRUE,0,_xll.PSFx2BAL(CN,"*","GLCode",$B9,"DAF_Award",G$2,PF,PT))</f>
        <v>0</v>
      </c>
      <c r="H9" s="39">
        <f>IF(TRUE,0,_xll.PSFx2BAL(CN,"*","GLCode",$B9,"DAF_Award",H$2,PF,PT))</f>
        <v>0</v>
      </c>
      <c r="I9" s="39">
        <f>IF(TRUE,0,_xll.PSFx2BAL(CN,"*","GLCode",$B9,"DAF_Award",I$2,PF,PT))</f>
        <v>0</v>
      </c>
      <c r="J9" s="39">
        <f>IF(TRUE,0,_xll.PSFx2BAL(CN,"*","GLCode",$B9,"DAF_Award",J$2,PF,PT))</f>
        <v>0</v>
      </c>
      <c r="K9" s="39">
        <f>IF(TRUE,0,_xll.PSFx2BAL(CN,"*","GLCode",$B9,"DAF_Award",K$2,PF,PT))</f>
        <v>0</v>
      </c>
      <c r="L9" s="39">
        <f>IF(TRUE,0,_xll.PSFx2BAL(CN,"*","GLCode",$B9,"DAF_Award",L$2,PF,PT))</f>
        <v>0</v>
      </c>
      <c r="M9" s="39">
        <f>IF(TRUE,-7697.67,_xll.PSFx2BAL(CN,"*","GLCode",$B9,"DAF_Award",M$2,PF,PT))</f>
        <v>-7697.67</v>
      </c>
      <c r="N9" s="39">
        <f>IF(TRUE,-8293.71,_xll.PSFx2BAL(CN,"*","GLCode",$B9,"DAF_Award",N$2,PF,PT))</f>
        <v>-8293.7099999999991</v>
      </c>
      <c r="O9" s="39">
        <f>IF(TRUE,0,_xll.PSFx2BAL(CN,"*","GLCode",$B9,"DAF_Award",O$2,PF,PT))</f>
        <v>0</v>
      </c>
      <c r="P9" s="39">
        <f>IF(TRUE,0,_xll.PSFx2BAL(CN,"*","GLCode",$B9,"DAF_Award",P$2,PF,PT))</f>
        <v>0</v>
      </c>
      <c r="Q9" s="39">
        <f>IF(TRUE,0,_xll.PSFx2BAL(CN,"*","GLCode",$B9,"DAF_Award",Q$2,PF,PT))</f>
        <v>0</v>
      </c>
      <c r="R9" s="39">
        <f>IF(TRUE,0,_xll.PSFx2BAL(CN,"*","GLCode",$B9,"DAF_Award",R$2,PF,PT))</f>
        <v>0</v>
      </c>
      <c r="S9" s="39">
        <f>IF(TRUE,0,_xll.PSFx2BAL(CN,"*","GLCode",$B9,"DAF_Award",S$2,PF,PT))</f>
        <v>0</v>
      </c>
      <c r="T9" s="39">
        <f>IF(TRUE,0,_xll.PSFx2BAL(CN,"*","GLCode",$B9,"DAF_Award",T$2,PF,PT))</f>
        <v>0</v>
      </c>
      <c r="U9" s="39">
        <f>IF(TRUE,0,_xll.PSFx2BAL(CN,"*","GLCode",$B9,"DAF_Award",U$2,PF,PT))</f>
        <v>0</v>
      </c>
      <c r="V9" s="39">
        <f>IF(TRUE,-4484.71,_xll.PSFx2BAL(CN,"*","GLCode",$B9,"DAF_Award",V$2,PF,PT))</f>
        <v>-4484.71</v>
      </c>
      <c r="W9" s="39">
        <f>IF(TRUE,0,_xll.PSFx2BAL(CN,"*","GLCode",$B9,"DAF_Award",W$2,PF,PT))</f>
        <v>0</v>
      </c>
      <c r="X9" s="39">
        <f>IF(TRUE,0,_xll.PSFx2BAL(CN,"*","GLCode",$B9,"DAF_Award",X$2,PF,PT))</f>
        <v>0</v>
      </c>
      <c r="Y9" s="39">
        <f>IF(TRUE,0,_xll.PSFx2BAL(CN,"*","GLCode",$B9,"DAF_Award",Y$2,PF,PT))</f>
        <v>0</v>
      </c>
      <c r="Z9" s="39">
        <f>IF(TRUE,0,_xll.PSFx2BAL(CN,"*","GLCode",$B9,"DAF_Award",Z$2,PF,PT))</f>
        <v>0</v>
      </c>
      <c r="AA9" s="39">
        <f>IF(TRUE,0,_xll.PSFx2BAL(CN,"*","GLCode",$B9,"DAF_Award",AA$2,PF,PT))</f>
        <v>0</v>
      </c>
      <c r="AB9" s="39">
        <f>IF(TRUE,0,_xll.PSFx2BAL(CN,"*","GLCode",$B9,"DAF_Award",AB$2,PF,PT))</f>
        <v>0</v>
      </c>
      <c r="AC9" s="39">
        <f>IF(TRUE,0,_xll.PSFx2BAL(CN,"*","GLCode",$B9,"DAF_Award",AC$2,PF,PT))</f>
        <v>0</v>
      </c>
      <c r="AD9" s="39">
        <f>IF(TRUE,0,_xll.PSFx2BAL(CN,"*","GLCode",$B9,"DAF_Award",AD$2,PF,PT))</f>
        <v>0</v>
      </c>
      <c r="AE9" s="39">
        <f>IF(TRUE,0,_xll.PSFx2BAL(CN,"*","GLCode",$B9,"DAF_Award",AE$2,PF,PT))</f>
        <v>0</v>
      </c>
      <c r="AF9" s="39">
        <f>IF(TRUE,0,_xll.PSFx2BAL(CN,"*","GLCode",$B9,"DAF_Award",AF$2,PF,PT))</f>
        <v>0</v>
      </c>
      <c r="AG9" s="39">
        <f>IF(TRUE,0,_xll.PSFx2BAL(CN,"*","GLCode",$B9,"DAF_Award",AG$2,PF,PT))</f>
        <v>0</v>
      </c>
      <c r="AH9" s="39">
        <f>IF(TRUE,0,_xll.PSFx2BAL(CN,"*","GLCode",$B9,"DAF_Award",AH$2,PF,PT))</f>
        <v>0</v>
      </c>
      <c r="AI9" s="274">
        <f t="shared" si="23"/>
        <v>0</v>
      </c>
      <c r="AJ9" s="18">
        <f>VLOOKUP(B9,TB!$B$5:$E$140,4,FALSE)</f>
        <v>-106070.49</v>
      </c>
      <c r="AL9" s="39">
        <f t="shared" si="24"/>
        <v>0</v>
      </c>
      <c r="AM9" s="39">
        <f t="shared" si="25"/>
        <v>-106070.49</v>
      </c>
    </row>
    <row r="10" spans="1:39" x14ac:dyDescent="0.2">
      <c r="A10" s="1">
        <f t="shared" si="22"/>
        <v>4021</v>
      </c>
      <c r="B10" t="s">
        <v>41</v>
      </c>
      <c r="C10" t="s">
        <v>286</v>
      </c>
      <c r="D10" s="39">
        <f>IF(TRUE,-48968.97,_xll.PSFx2BAL(CN,"*","GLCode",$B10,"DAF_Award",D$2,PF,PT))</f>
        <v>-48968.97</v>
      </c>
      <c r="E10" s="39">
        <f>IF(TRUE,0,_xll.PSFx2BAL(CN,"*","GLCode",$B10,"DAF_Award",E$2,PF,PT))</f>
        <v>0</v>
      </c>
      <c r="F10" s="39">
        <f>IF(TRUE,0,_xll.PSFx2BAL(CN,"*","GLCode",$B10,"DAF_Award",F$2,PF,PT))</f>
        <v>0</v>
      </c>
      <c r="G10" s="39">
        <f>IF(TRUE,0,_xll.PSFx2BAL(CN,"*","GLCode",$B10,"DAF_Award",G$2,PF,PT))</f>
        <v>0</v>
      </c>
      <c r="H10" s="39">
        <f>IF(TRUE,0,_xll.PSFx2BAL(CN,"*","GLCode",$B10,"DAF_Award",H$2,PF,PT))</f>
        <v>0</v>
      </c>
      <c r="I10" s="39">
        <f>IF(TRUE,0,_xll.PSFx2BAL(CN,"*","GLCode",$B10,"DAF_Award",I$2,PF,PT))</f>
        <v>0</v>
      </c>
      <c r="J10" s="39">
        <f>IF(TRUE,0,_xll.PSFx2BAL(CN,"*","GLCode",$B10,"DAF_Award",J$2,PF,PT))</f>
        <v>0</v>
      </c>
      <c r="K10" s="39">
        <f>IF(TRUE,0,_xll.PSFx2BAL(CN,"*","GLCode",$B10,"DAF_Award",K$2,PF,PT))</f>
        <v>0</v>
      </c>
      <c r="L10" s="39">
        <f>IF(TRUE,0,_xll.PSFx2BAL(CN,"*","GLCode",$B10,"DAF_Award",L$2,PF,PT))</f>
        <v>0</v>
      </c>
      <c r="M10" s="39">
        <f>IF(TRUE,-2203.81,_xll.PSFx2BAL(CN,"*","GLCode",$B10,"DAF_Award",M$2,PF,PT))</f>
        <v>-2203.81</v>
      </c>
      <c r="N10" s="39">
        <f>IF(TRUE,-60.29,_xll.PSFx2BAL(CN,"*","GLCode",$B10,"DAF_Award",N$2,PF,PT))</f>
        <v>-60.29</v>
      </c>
      <c r="O10" s="39">
        <f>IF(TRUE,0,_xll.PSFx2BAL(CN,"*","GLCode",$B10,"DAF_Award",O$2,PF,PT))</f>
        <v>0</v>
      </c>
      <c r="P10" s="39">
        <f>IF(TRUE,0,_xll.PSFx2BAL(CN,"*","GLCode",$B10,"DAF_Award",P$2,PF,PT))</f>
        <v>0</v>
      </c>
      <c r="Q10" s="39">
        <f>IF(TRUE,0,_xll.PSFx2BAL(CN,"*","GLCode",$B10,"DAF_Award",Q$2,PF,PT))</f>
        <v>0</v>
      </c>
      <c r="R10" s="39">
        <f>IF(TRUE,0,_xll.PSFx2BAL(CN,"*","GLCode",$B10,"DAF_Award",R$2,PF,PT))</f>
        <v>0</v>
      </c>
      <c r="S10" s="39">
        <f>IF(TRUE,0,_xll.PSFx2BAL(CN,"*","GLCode",$B10,"DAF_Award",S$2,PF,PT))</f>
        <v>0</v>
      </c>
      <c r="T10" s="39">
        <f>IF(TRUE,0,_xll.PSFx2BAL(CN,"*","GLCode",$B10,"DAF_Award",T$2,PF,PT))</f>
        <v>0</v>
      </c>
      <c r="U10" s="39">
        <f>IF(TRUE,0,_xll.PSFx2BAL(CN,"*","GLCode",$B10,"DAF_Award",U$2,PF,PT))</f>
        <v>0</v>
      </c>
      <c r="V10" s="39">
        <f>IF(TRUE,0,_xll.PSFx2BAL(CN,"*","GLCode",$B10,"DAF_Award",V$2,PF,PT))</f>
        <v>0</v>
      </c>
      <c r="W10" s="39">
        <f>IF(TRUE,0,_xll.PSFx2BAL(CN,"*","GLCode",$B10,"DAF_Award",W$2,PF,PT))</f>
        <v>0</v>
      </c>
      <c r="X10" s="39">
        <f>IF(TRUE,0,_xll.PSFx2BAL(CN,"*","GLCode",$B10,"DAF_Award",X$2,PF,PT))</f>
        <v>0</v>
      </c>
      <c r="Y10" s="39">
        <f>IF(TRUE,0,_xll.PSFx2BAL(CN,"*","GLCode",$B10,"DAF_Award",Y$2,PF,PT))</f>
        <v>0</v>
      </c>
      <c r="Z10" s="39">
        <f>IF(TRUE,0,_xll.PSFx2BAL(CN,"*","GLCode",$B10,"DAF_Award",Z$2,PF,PT))</f>
        <v>0</v>
      </c>
      <c r="AA10" s="39">
        <f>IF(TRUE,0,_xll.PSFx2BAL(CN,"*","GLCode",$B10,"DAF_Award",AA$2,PF,PT))</f>
        <v>0</v>
      </c>
      <c r="AB10" s="39">
        <f>IF(TRUE,0,_xll.PSFx2BAL(CN,"*","GLCode",$B10,"DAF_Award",AB$2,PF,PT))</f>
        <v>0</v>
      </c>
      <c r="AC10" s="39">
        <f>IF(TRUE,0,_xll.PSFx2BAL(CN,"*","GLCode",$B10,"DAF_Award",AC$2,PF,PT))</f>
        <v>0</v>
      </c>
      <c r="AD10" s="39">
        <f>IF(TRUE,0,_xll.PSFx2BAL(CN,"*","GLCode",$B10,"DAF_Award",AD$2,PF,PT))</f>
        <v>0</v>
      </c>
      <c r="AE10" s="39">
        <f>IF(TRUE,0,_xll.PSFx2BAL(CN,"*","GLCode",$B10,"DAF_Award",AE$2,PF,PT))</f>
        <v>0</v>
      </c>
      <c r="AF10" s="39">
        <f>IF(TRUE,0,_xll.PSFx2BAL(CN,"*","GLCode",$B10,"DAF_Award",AF$2,PF,PT))</f>
        <v>0</v>
      </c>
      <c r="AG10" s="39">
        <f>IF(TRUE,0,_xll.PSFx2BAL(CN,"*","GLCode",$B10,"DAF_Award",AG$2,PF,PT))</f>
        <v>0</v>
      </c>
      <c r="AH10" s="39">
        <f>IF(TRUE,0,_xll.PSFx2BAL(CN,"*","GLCode",$B10,"DAF_Award",AH$2,PF,PT))</f>
        <v>0</v>
      </c>
      <c r="AI10" s="274">
        <f t="shared" si="23"/>
        <v>0</v>
      </c>
      <c r="AJ10" s="18">
        <f>VLOOKUP(B10,TB!$B$5:$E$140,4,FALSE)</f>
        <v>-51233.07</v>
      </c>
      <c r="AL10" s="39">
        <f t="shared" si="24"/>
        <v>0</v>
      </c>
      <c r="AM10" s="39">
        <f t="shared" si="25"/>
        <v>-51233.07</v>
      </c>
    </row>
    <row r="11" spans="1:39" hidden="1" x14ac:dyDescent="0.2">
      <c r="A11" s="1">
        <f t="shared" si="22"/>
        <v>4050</v>
      </c>
      <c r="B11" t="s">
        <v>42</v>
      </c>
      <c r="C11" t="s">
        <v>43</v>
      </c>
      <c r="D11" s="39">
        <f>IF(TRUE,0,_xll.PSFx2BAL(CN,"*","GLCode",$B11,"DAF_Award",D$2,PF,PT))</f>
        <v>0</v>
      </c>
      <c r="E11" s="39">
        <f>IF(TRUE,0,_xll.PSFx2BAL(CN,"*","GLCode",$B11,"DAF_Award",E$2,PF,PT))</f>
        <v>0</v>
      </c>
      <c r="F11" s="39">
        <f>IF(TRUE,0,_xll.PSFx2BAL(CN,"*","GLCode",$B11,"DAF_Award",F$2,PF,PT))</f>
        <v>0</v>
      </c>
      <c r="G11" s="39">
        <f>IF(TRUE,0,_xll.PSFx2BAL(CN,"*","GLCode",$B11,"DAF_Award",G$2,PF,PT))</f>
        <v>0</v>
      </c>
      <c r="H11" s="39">
        <f>IF(TRUE,0,_xll.PSFx2BAL(CN,"*","GLCode",$B11,"DAF_Award",H$2,PF,PT))</f>
        <v>0</v>
      </c>
      <c r="I11" s="39">
        <f>IF(TRUE,0,_xll.PSFx2BAL(CN,"*","GLCode",$B11,"DAF_Award",I$2,PF,PT))</f>
        <v>0</v>
      </c>
      <c r="J11" s="39">
        <f>IF(TRUE,0,_xll.PSFx2BAL(CN,"*","GLCode",$B11,"DAF_Award",J$2,PF,PT))</f>
        <v>0</v>
      </c>
      <c r="K11" s="39">
        <f>IF(TRUE,0,_xll.PSFx2BAL(CN,"*","GLCode",$B11,"DAF_Award",K$2,PF,PT))</f>
        <v>0</v>
      </c>
      <c r="L11" s="39">
        <f>IF(TRUE,0,_xll.PSFx2BAL(CN,"*","GLCode",$B11,"DAF_Award",L$2,PF,PT))</f>
        <v>0</v>
      </c>
      <c r="M11" s="39">
        <f>IF(TRUE,0,_xll.PSFx2BAL(CN,"*","GLCode",$B11,"DAF_Award",M$2,PF,PT))</f>
        <v>0</v>
      </c>
      <c r="N11" s="39">
        <f>IF(TRUE,0,_xll.PSFx2BAL(CN,"*","GLCode",$B11,"DAF_Award",N$2,PF,PT))</f>
        <v>0</v>
      </c>
      <c r="O11" s="39">
        <f>IF(TRUE,0,_xll.PSFx2BAL(CN,"*","GLCode",$B11,"DAF_Award",O$2,PF,PT))</f>
        <v>0</v>
      </c>
      <c r="P11" s="39">
        <f>IF(TRUE,0,_xll.PSFx2BAL(CN,"*","GLCode",$B11,"DAF_Award",P$2,PF,PT))</f>
        <v>0</v>
      </c>
      <c r="Q11" s="39">
        <f>IF(TRUE,0,_xll.PSFx2BAL(CN,"*","GLCode",$B11,"DAF_Award",Q$2,PF,PT))</f>
        <v>0</v>
      </c>
      <c r="R11" s="39">
        <f>IF(TRUE,0,_xll.PSFx2BAL(CN,"*","GLCode",$B11,"DAF_Award",R$2,PF,PT))</f>
        <v>0</v>
      </c>
      <c r="S11" s="39">
        <f>IF(TRUE,0,_xll.PSFx2BAL(CN,"*","GLCode",$B11,"DAF_Award",S$2,PF,PT))</f>
        <v>0</v>
      </c>
      <c r="T11" s="39">
        <f>IF(TRUE,0,_xll.PSFx2BAL(CN,"*","GLCode",$B11,"DAF_Award",T$2,PF,PT))</f>
        <v>0</v>
      </c>
      <c r="U11" s="39">
        <f>IF(TRUE,0,_xll.PSFx2BAL(CN,"*","GLCode",$B11,"DAF_Award",U$2,PF,PT))</f>
        <v>0</v>
      </c>
      <c r="V11" s="39">
        <f>IF(TRUE,0,_xll.PSFx2BAL(CN,"*","GLCode",$B11,"DAF_Award",V$2,PF,PT))</f>
        <v>0</v>
      </c>
      <c r="W11" s="39">
        <f>IF(TRUE,0,_xll.PSFx2BAL(CN,"*","GLCode",$B11,"DAF_Award",W$2,PF,PT))</f>
        <v>0</v>
      </c>
      <c r="X11" s="39">
        <f>IF(TRUE,0,_xll.PSFx2BAL(CN,"*","GLCode",$B11,"DAF_Award",X$2,PF,PT))</f>
        <v>0</v>
      </c>
      <c r="Y11" s="39">
        <f>IF(TRUE,0,_xll.PSFx2BAL(CN,"*","GLCode",$B11,"DAF_Award",Y$2,PF,PT))</f>
        <v>0</v>
      </c>
      <c r="Z11" s="39">
        <f>IF(TRUE,0,_xll.PSFx2BAL(CN,"*","GLCode",$B11,"DAF_Award",Z$2,PF,PT))</f>
        <v>0</v>
      </c>
      <c r="AA11" s="39">
        <f>IF(TRUE,0,_xll.PSFx2BAL(CN,"*","GLCode",$B11,"DAF_Award",AA$2,PF,PT))</f>
        <v>0</v>
      </c>
      <c r="AB11" s="39">
        <f>IF(TRUE,0,_xll.PSFx2BAL(CN,"*","GLCode",$B11,"DAF_Award",AB$2,PF,PT))</f>
        <v>0</v>
      </c>
      <c r="AC11" s="39">
        <f>IF(TRUE,0,_xll.PSFx2BAL(CN,"*","GLCode",$B11,"DAF_Award",AC$2,PF,PT))</f>
        <v>0</v>
      </c>
      <c r="AD11" s="39">
        <f>IF(TRUE,0,_xll.PSFx2BAL(CN,"*","GLCode",$B11,"DAF_Award",AD$2,PF,PT))</f>
        <v>0</v>
      </c>
      <c r="AE11" s="39">
        <f>IF(TRUE,0,_xll.PSFx2BAL(CN,"*","GLCode",$B11,"DAF_Award",AE$2,PF,PT))</f>
        <v>0</v>
      </c>
      <c r="AF11" s="39">
        <f>IF(TRUE,0,_xll.PSFx2BAL(CN,"*","GLCode",$B11,"DAF_Award",AF$2,PF,PT))</f>
        <v>0</v>
      </c>
      <c r="AG11" s="39">
        <f>IF(TRUE,0,_xll.PSFx2BAL(CN,"*","GLCode",$B11,"DAF_Award",AG$2,PF,PT))</f>
        <v>0</v>
      </c>
      <c r="AH11" s="39">
        <f>IF(TRUE,0,_xll.PSFx2BAL(CN,"*","GLCode",$B11,"DAF_Award",AH$2,PF,PT))</f>
        <v>0</v>
      </c>
      <c r="AI11" s="39">
        <f t="shared" si="23"/>
        <v>0</v>
      </c>
      <c r="AJ11" s="18">
        <f>VLOOKUP(B11,TB!$B$5:$E$140,4,FALSE)</f>
        <v>0</v>
      </c>
      <c r="AL11" s="39">
        <f t="shared" si="24"/>
        <v>0</v>
      </c>
      <c r="AM11" s="39">
        <f t="shared" si="25"/>
        <v>0</v>
      </c>
    </row>
    <row r="12" spans="1:39" x14ac:dyDescent="0.2">
      <c r="A12" s="1">
        <f t="shared" si="22"/>
        <v>4060</v>
      </c>
      <c r="B12" t="s">
        <v>44</v>
      </c>
      <c r="C12" t="s">
        <v>45</v>
      </c>
      <c r="D12" s="39">
        <f>IF(TRUE,0,_xll.PSFx2BAL(CN,"*","GLCode",$B12,"DAF_Award",D$2,PF,PT))</f>
        <v>0</v>
      </c>
      <c r="E12" s="39">
        <f>IF(TRUE,0,_xll.PSFx2BAL(CN,"*","GLCode",$B12,"DAF_Award",E$2,PF,PT))</f>
        <v>0</v>
      </c>
      <c r="F12" s="39">
        <f>IF(TRUE,0,_xll.PSFx2BAL(CN,"*","GLCode",$B12,"DAF_Award",F$2,PF,PT))</f>
        <v>0</v>
      </c>
      <c r="G12" s="39">
        <f>IF(TRUE,0,_xll.PSFx2BAL(CN,"*","GLCode",$B12,"DAF_Award",G$2,PF,PT))</f>
        <v>0</v>
      </c>
      <c r="H12" s="39">
        <f>IF(TRUE,0,_xll.PSFx2BAL(CN,"*","GLCode",$B12,"DAF_Award",H$2,PF,PT))</f>
        <v>0</v>
      </c>
      <c r="I12" s="39">
        <f>IF(TRUE,0,_xll.PSFx2BAL(CN,"*","GLCode",$B12,"DAF_Award",I$2,PF,PT))</f>
        <v>0</v>
      </c>
      <c r="J12" s="39">
        <f>IF(TRUE,0,_xll.PSFx2BAL(CN,"*","GLCode",$B12,"DAF_Award",J$2,PF,PT))</f>
        <v>0</v>
      </c>
      <c r="K12" s="39">
        <f>IF(TRUE,0,_xll.PSFx2BAL(CN,"*","GLCode",$B12,"DAF_Award",K$2,PF,PT))</f>
        <v>0</v>
      </c>
      <c r="L12" s="39">
        <f>IF(TRUE,0,_xll.PSFx2BAL(CN,"*","GLCode",$B12,"DAF_Award",L$2,PF,PT))</f>
        <v>0</v>
      </c>
      <c r="M12" s="39">
        <f>IF(TRUE,0,_xll.PSFx2BAL(CN,"*","GLCode",$B12,"DAF_Award",M$2,PF,PT))</f>
        <v>0</v>
      </c>
      <c r="N12" s="39">
        <f>IF(TRUE,0,_xll.PSFx2BAL(CN,"*","GLCode",$B12,"DAF_Award",N$2,PF,PT))</f>
        <v>0</v>
      </c>
      <c r="O12" s="39">
        <f>IF(TRUE,0,_xll.PSFx2BAL(CN,"*","GLCode",$B12,"DAF_Award",O$2,PF,PT))</f>
        <v>0</v>
      </c>
      <c r="P12" s="39">
        <f>IF(TRUE,0,_xll.PSFx2BAL(CN,"*","GLCode",$B12,"DAF_Award",P$2,PF,PT))</f>
        <v>0</v>
      </c>
      <c r="Q12" s="39">
        <f>IF(TRUE,0,_xll.PSFx2BAL(CN,"*","GLCode",$B12,"DAF_Award",Q$2,PF,PT))</f>
        <v>0</v>
      </c>
      <c r="R12" s="39">
        <f>IF(TRUE,0,_xll.PSFx2BAL(CN,"*","GLCode",$B12,"DAF_Award",R$2,PF,PT))</f>
        <v>0</v>
      </c>
      <c r="S12" s="39">
        <f>IF(TRUE,0,_xll.PSFx2BAL(CN,"*","GLCode",$B12,"DAF_Award",S$2,PF,PT))</f>
        <v>0</v>
      </c>
      <c r="T12" s="39">
        <f>IF(TRUE,0,_xll.PSFx2BAL(CN,"*","GLCode",$B12,"DAF_Award",T$2,PF,PT))</f>
        <v>0</v>
      </c>
      <c r="U12" s="39">
        <f>IF(TRUE,0,_xll.PSFx2BAL(CN,"*","GLCode",$B12,"DAF_Award",U$2,PF,PT))</f>
        <v>0</v>
      </c>
      <c r="V12" s="39">
        <f>IF(TRUE,0,_xll.PSFx2BAL(CN,"*","GLCode",$B12,"DAF_Award",V$2,PF,PT))</f>
        <v>0</v>
      </c>
      <c r="W12" s="39">
        <f>IF(TRUE,0,_xll.PSFx2BAL(CN,"*","GLCode",$B12,"DAF_Award",W$2,PF,PT))</f>
        <v>0</v>
      </c>
      <c r="X12" s="39">
        <f>IF(TRUE,0,_xll.PSFx2BAL(CN,"*","GLCode",$B12,"DAF_Award",X$2,PF,PT))</f>
        <v>0</v>
      </c>
      <c r="Y12" s="39">
        <f>IF(TRUE,0,_xll.PSFx2BAL(CN,"*","GLCode",$B12,"DAF_Award",Y$2,PF,PT))</f>
        <v>0</v>
      </c>
      <c r="Z12" s="39">
        <f>IF(TRUE,0,_xll.PSFx2BAL(CN,"*","GLCode",$B12,"DAF_Award",Z$2,PF,PT))</f>
        <v>0</v>
      </c>
      <c r="AA12" s="39">
        <f>IF(TRUE,0,_xll.PSFx2BAL(CN,"*","GLCode",$B12,"DAF_Award",AA$2,PF,PT))</f>
        <v>0</v>
      </c>
      <c r="AB12" s="39">
        <f>IF(TRUE,0,_xll.PSFx2BAL(CN,"*","GLCode",$B12,"DAF_Award",AB$2,PF,PT))</f>
        <v>0</v>
      </c>
      <c r="AC12" s="39">
        <f>IF(TRUE,0,_xll.PSFx2BAL(CN,"*","GLCode",$B12,"DAF_Award",AC$2,PF,PT))</f>
        <v>0</v>
      </c>
      <c r="AD12" s="39">
        <f>IF(TRUE,0,_xll.PSFx2BAL(CN,"*","GLCode",$B12,"DAF_Award",AD$2,PF,PT))</f>
        <v>0</v>
      </c>
      <c r="AE12" s="39">
        <f>IF(TRUE,0,_xll.PSFx2BAL(CN,"*","GLCode",$B12,"DAF_Award",AE$2,PF,PT))</f>
        <v>0</v>
      </c>
      <c r="AF12" s="39">
        <f>IF(TRUE,0,_xll.PSFx2BAL(CN,"*","GLCode",$B12,"DAF_Award",AF$2,PF,PT))</f>
        <v>0</v>
      </c>
      <c r="AG12" s="39">
        <f>IF(TRUE,0,_xll.PSFx2BAL(CN,"*","GLCode",$B12,"DAF_Award",AG$2,PF,PT))</f>
        <v>0</v>
      </c>
      <c r="AH12" s="39">
        <f>IF(TRUE,0,_xll.PSFx2BAL(CN,"*","GLCode",$B12,"DAF_Award",AH$2,PF,PT))</f>
        <v>0</v>
      </c>
      <c r="AI12" s="39">
        <f t="shared" si="23"/>
        <v>-646.51</v>
      </c>
      <c r="AJ12" s="18">
        <f>VLOOKUP(B12,TB!$B$5:$E$140,4,FALSE)</f>
        <v>-646.51</v>
      </c>
      <c r="AL12" s="39">
        <f t="shared" si="24"/>
        <v>-646.51</v>
      </c>
      <c r="AM12" s="39">
        <f t="shared" si="25"/>
        <v>0</v>
      </c>
    </row>
    <row r="13" spans="1:39" x14ac:dyDescent="0.2">
      <c r="A13" s="1">
        <f t="shared" si="22"/>
        <v>4100</v>
      </c>
      <c r="B13" t="s">
        <v>46</v>
      </c>
      <c r="C13" t="s">
        <v>47</v>
      </c>
      <c r="D13" s="39">
        <f>IF(TRUE,0,_xll.PSFx2BAL(CN,"*","GLCode",$B13,"DAF_Award",D$2,PF,PT))</f>
        <v>0</v>
      </c>
      <c r="E13" s="39">
        <f>IF(TRUE,0,_xll.PSFx2BAL(CN,"*","GLCode",$B13,"DAF_Award",E$2,PF,PT))</f>
        <v>0</v>
      </c>
      <c r="F13" s="39">
        <f>IF(TRUE,0,_xll.PSFx2BAL(CN,"*","GLCode",$B13,"DAF_Award",F$2,PF,PT))</f>
        <v>0</v>
      </c>
      <c r="G13" s="39">
        <f>IF(TRUE,0,_xll.PSFx2BAL(CN,"*","GLCode",$B13,"DAF_Award",G$2,PF,PT))</f>
        <v>0</v>
      </c>
      <c r="H13" s="39">
        <f>IF(TRUE,0,_xll.PSFx2BAL(CN,"*","GLCode",$B13,"DAF_Award",H$2,PF,PT))</f>
        <v>0</v>
      </c>
      <c r="I13" s="39">
        <f>IF(TRUE,0,_xll.PSFx2BAL(CN,"*","GLCode",$B13,"DAF_Award",I$2,PF,PT))</f>
        <v>0</v>
      </c>
      <c r="J13" s="39">
        <f>IF(TRUE,0,_xll.PSFx2BAL(CN,"*","GLCode",$B13,"DAF_Award",J$2,PF,PT))</f>
        <v>0</v>
      </c>
      <c r="K13" s="39">
        <f>IF(TRUE,0,_xll.PSFx2BAL(CN,"*","GLCode",$B13,"DAF_Award",K$2,PF,PT))</f>
        <v>0</v>
      </c>
      <c r="L13" s="39">
        <f>IF(TRUE,0,_xll.PSFx2BAL(CN,"*","GLCode",$B13,"DAF_Award",L$2,PF,PT))</f>
        <v>0</v>
      </c>
      <c r="M13" s="39">
        <f>IF(TRUE,0,_xll.PSFx2BAL(CN,"*","GLCode",$B13,"DAF_Award",M$2,PF,PT))</f>
        <v>0</v>
      </c>
      <c r="N13" s="39">
        <f>IF(TRUE,0,_xll.PSFx2BAL(CN,"*","GLCode",$B13,"DAF_Award",N$2,PF,PT))</f>
        <v>0</v>
      </c>
      <c r="O13" s="39">
        <f>IF(TRUE,0,_xll.PSFx2BAL(CN,"*","GLCode",$B13,"DAF_Award",O$2,PF,PT))</f>
        <v>0</v>
      </c>
      <c r="P13" s="39">
        <f>IF(TRUE,0,_xll.PSFx2BAL(CN,"*","GLCode",$B13,"DAF_Award",P$2,PF,PT))</f>
        <v>0</v>
      </c>
      <c r="Q13" s="39">
        <f>IF(TRUE,0,_xll.PSFx2BAL(CN,"*","GLCode",$B13,"DAF_Award",Q$2,PF,PT))</f>
        <v>0</v>
      </c>
      <c r="R13" s="39">
        <f>IF(TRUE,0,_xll.PSFx2BAL(CN,"*","GLCode",$B13,"DAF_Award",R$2,PF,PT))</f>
        <v>0</v>
      </c>
      <c r="S13" s="39">
        <f>IF(TRUE,0,_xll.PSFx2BAL(CN,"*","GLCode",$B13,"DAF_Award",S$2,PF,PT))</f>
        <v>0</v>
      </c>
      <c r="T13" s="39">
        <f>IF(TRUE,0,_xll.PSFx2BAL(CN,"*","GLCode",$B13,"DAF_Award",T$2,PF,PT))</f>
        <v>0</v>
      </c>
      <c r="U13" s="39">
        <f>IF(TRUE,0,_xll.PSFx2BAL(CN,"*","GLCode",$B13,"DAF_Award",U$2,PF,PT))</f>
        <v>0</v>
      </c>
      <c r="V13" s="39">
        <f>IF(TRUE,0,_xll.PSFx2BAL(CN,"*","GLCode",$B13,"DAF_Award",V$2,PF,PT))</f>
        <v>0</v>
      </c>
      <c r="W13" s="39">
        <f>IF(TRUE,0,_xll.PSFx2BAL(CN,"*","GLCode",$B13,"DAF_Award",W$2,PF,PT))</f>
        <v>0</v>
      </c>
      <c r="X13" s="39">
        <f>IF(TRUE,0,_xll.PSFx2BAL(CN,"*","GLCode",$B13,"DAF_Award",X$2,PF,PT))</f>
        <v>0</v>
      </c>
      <c r="Y13" s="39">
        <f>IF(TRUE,0,_xll.PSFx2BAL(CN,"*","GLCode",$B13,"DAF_Award",Y$2,PF,PT))</f>
        <v>0</v>
      </c>
      <c r="Z13" s="39">
        <f>IF(TRUE,0,_xll.PSFx2BAL(CN,"*","GLCode",$B13,"DAF_Award",Z$2,PF,PT))</f>
        <v>0</v>
      </c>
      <c r="AA13" s="39">
        <f>IF(TRUE,0,_xll.PSFx2BAL(CN,"*","GLCode",$B13,"DAF_Award",AA$2,PF,PT))</f>
        <v>0</v>
      </c>
      <c r="AB13" s="39">
        <f>IF(TRUE,0,_xll.PSFx2BAL(CN,"*","GLCode",$B13,"DAF_Award",AB$2,PF,PT))</f>
        <v>0</v>
      </c>
      <c r="AC13" s="39">
        <f>IF(TRUE,0,_xll.PSFx2BAL(CN,"*","GLCode",$B13,"DAF_Award",AC$2,PF,PT))</f>
        <v>0</v>
      </c>
      <c r="AD13" s="39">
        <f>IF(TRUE,0,_xll.PSFx2BAL(CN,"*","GLCode",$B13,"DAF_Award",AD$2,PF,PT))</f>
        <v>0</v>
      </c>
      <c r="AE13" s="39">
        <f>IF(TRUE,0,_xll.PSFx2BAL(CN,"*","GLCode",$B13,"DAF_Award",AE$2,PF,PT))</f>
        <v>0</v>
      </c>
      <c r="AF13" s="39">
        <f>IF(TRUE,0,_xll.PSFx2BAL(CN,"*","GLCode",$B13,"DAF_Award",AF$2,PF,PT))</f>
        <v>0</v>
      </c>
      <c r="AG13" s="39">
        <f>IF(TRUE,0,_xll.PSFx2BAL(CN,"*","GLCode",$B13,"DAF_Award",AG$2,PF,PT))</f>
        <v>0</v>
      </c>
      <c r="AH13" s="39">
        <f>IF(TRUE,0,_xll.PSFx2BAL(CN,"*","GLCode",$B13,"DAF_Award",AH$2,PF,PT))</f>
        <v>0</v>
      </c>
      <c r="AI13" s="39">
        <f t="shared" si="23"/>
        <v>-1172.28</v>
      </c>
      <c r="AJ13" s="18">
        <f>VLOOKUP(B13,TB!$B$5:$E$140,4,FALSE)</f>
        <v>-1172.28</v>
      </c>
      <c r="AL13" s="39">
        <f t="shared" si="24"/>
        <v>-1172.28</v>
      </c>
      <c r="AM13" s="39">
        <f t="shared" si="25"/>
        <v>0</v>
      </c>
    </row>
    <row r="14" spans="1:39" x14ac:dyDescent="0.2">
      <c r="A14" s="1">
        <f t="shared" ref="A14:A15" si="26">VALUE(B14)</f>
        <v>4105</v>
      </c>
      <c r="B14" s="202" t="s">
        <v>503</v>
      </c>
      <c r="C14" t="s">
        <v>505</v>
      </c>
      <c r="D14" s="39">
        <f>IF(TRUE,0,_xll.PSFx2BAL(CN,"*","GLCode",$B14,"DAF_Award",D$2,PF,PT))</f>
        <v>0</v>
      </c>
      <c r="E14" s="39">
        <f>IF(TRUE,0,_xll.PSFx2BAL(CN,"*","GLCode",$B14,"DAF_Award",E$2,PF,PT))</f>
        <v>0</v>
      </c>
      <c r="F14" s="39">
        <f>IF(TRUE,0,_xll.PSFx2BAL(CN,"*","GLCode",$B14,"DAF_Award",F$2,PF,PT))</f>
        <v>0</v>
      </c>
      <c r="G14" s="39">
        <f>IF(TRUE,0,_xll.PSFx2BAL(CN,"*","GLCode",$B14,"DAF_Award",G$2,PF,PT))</f>
        <v>0</v>
      </c>
      <c r="H14" s="39">
        <f>IF(TRUE,0,_xll.PSFx2BAL(CN,"*","GLCode",$B14,"DAF_Award",H$2,PF,PT))</f>
        <v>0</v>
      </c>
      <c r="I14" s="39">
        <f>IF(TRUE,0,_xll.PSFx2BAL(CN,"*","GLCode",$B14,"DAF_Award",I$2,PF,PT))</f>
        <v>0</v>
      </c>
      <c r="J14" s="39">
        <f>IF(TRUE,0,_xll.PSFx2BAL(CN,"*","GLCode",$B14,"DAF_Award",J$2,PF,PT))</f>
        <v>0</v>
      </c>
      <c r="K14" s="39">
        <f>IF(TRUE,0,_xll.PSFx2BAL(CN,"*","GLCode",$B14,"DAF_Award",K$2,PF,PT))</f>
        <v>0</v>
      </c>
      <c r="L14" s="39">
        <f>IF(TRUE,0,_xll.PSFx2BAL(CN,"*","GLCode",$B14,"DAF_Award",L$2,PF,PT))</f>
        <v>0</v>
      </c>
      <c r="M14" s="39">
        <f>IF(TRUE,0,_xll.PSFx2BAL(CN,"*","GLCode",$B14,"DAF_Award",M$2,PF,PT))</f>
        <v>0</v>
      </c>
      <c r="N14" s="39">
        <f>IF(TRUE,0,_xll.PSFx2BAL(CN,"*","GLCode",$B14,"DAF_Award",N$2,PF,PT))</f>
        <v>0</v>
      </c>
      <c r="O14" s="39">
        <f>IF(TRUE,0,_xll.PSFx2BAL(CN,"*","GLCode",$B14,"DAF_Award",O$2,PF,PT))</f>
        <v>0</v>
      </c>
      <c r="P14" s="39">
        <f>IF(TRUE,0,_xll.PSFx2BAL(CN,"*","GLCode",$B14,"DAF_Award",P$2,PF,PT))</f>
        <v>0</v>
      </c>
      <c r="Q14" s="39">
        <f>IF(TRUE,0,_xll.PSFx2BAL(CN,"*","GLCode",$B14,"DAF_Award",Q$2,PF,PT))</f>
        <v>0</v>
      </c>
      <c r="R14" s="39">
        <f>IF(TRUE,0,_xll.PSFx2BAL(CN,"*","GLCode",$B14,"DAF_Award",R$2,PF,PT))</f>
        <v>0</v>
      </c>
      <c r="S14" s="39">
        <f>IF(TRUE,0,_xll.PSFx2BAL(CN,"*","GLCode",$B14,"DAF_Award",S$2,PF,PT))</f>
        <v>0</v>
      </c>
      <c r="T14" s="39">
        <f>IF(TRUE,0,_xll.PSFx2BAL(CN,"*","GLCode",$B14,"DAF_Award",T$2,PF,PT))</f>
        <v>0</v>
      </c>
      <c r="U14" s="39">
        <f>IF(TRUE,0,_xll.PSFx2BAL(CN,"*","GLCode",$B14,"DAF_Award",U$2,PF,PT))</f>
        <v>0</v>
      </c>
      <c r="V14" s="39">
        <f>IF(TRUE,0,_xll.PSFx2BAL(CN,"*","GLCode",$B14,"DAF_Award",V$2,PF,PT))</f>
        <v>0</v>
      </c>
      <c r="W14" s="39">
        <f>IF(TRUE,0,_xll.PSFx2BAL(CN,"*","GLCode",$B14,"DAF_Award",W$2,PF,PT))</f>
        <v>0</v>
      </c>
      <c r="X14" s="39">
        <f>IF(TRUE,0,_xll.PSFx2BAL(CN,"*","GLCode",$B14,"DAF_Award",X$2,PF,PT))</f>
        <v>0</v>
      </c>
      <c r="Y14" s="39">
        <f>IF(TRUE,0,_xll.PSFx2BAL(CN,"*","GLCode",$B14,"DAF_Award",Y$2,PF,PT))</f>
        <v>0</v>
      </c>
      <c r="Z14" s="39">
        <f>IF(TRUE,0,_xll.PSFx2BAL(CN,"*","GLCode",$B14,"DAF_Award",Z$2,PF,PT))</f>
        <v>0</v>
      </c>
      <c r="AA14" s="39">
        <f>IF(TRUE,0,_xll.PSFx2BAL(CN,"*","GLCode",$B14,"DAF_Award",AA$2,PF,PT))</f>
        <v>0</v>
      </c>
      <c r="AB14" s="39">
        <f>IF(TRUE,0,_xll.PSFx2BAL(CN,"*","GLCode",$B14,"DAF_Award",AB$2,PF,PT))</f>
        <v>0</v>
      </c>
      <c r="AC14" s="39">
        <f>IF(TRUE,0,_xll.PSFx2BAL(CN,"*","GLCode",$B14,"DAF_Award",AC$2,PF,PT))</f>
        <v>0</v>
      </c>
      <c r="AD14" s="39">
        <f>IF(TRUE,0,_xll.PSFx2BAL(CN,"*","GLCode",$B14,"DAF_Award",AD$2,PF,PT))</f>
        <v>0</v>
      </c>
      <c r="AE14" s="39">
        <f>IF(TRUE,0,_xll.PSFx2BAL(CN,"*","GLCode",$B14,"DAF_Award",AE$2,PF,PT))</f>
        <v>0</v>
      </c>
      <c r="AF14" s="39">
        <f>IF(TRUE,0,_xll.PSFx2BAL(CN,"*","GLCode",$B14,"DAF_Award",AF$2,PF,PT))</f>
        <v>0</v>
      </c>
      <c r="AG14" s="39">
        <f>IF(TRUE,0,_xll.PSFx2BAL(CN,"*","GLCode",$B14,"DAF_Award",AG$2,PF,PT))</f>
        <v>0</v>
      </c>
      <c r="AH14" s="39">
        <f>IF(TRUE,0,_xll.PSFx2BAL(CN,"*","GLCode",$B14,"DAF_Award",AH$2,PF,PT))</f>
        <v>0</v>
      </c>
      <c r="AI14" s="39">
        <f t="shared" ref="AI14:AI15" si="27">AJ14-SUM(D14:AH14)</f>
        <v>-45748.32</v>
      </c>
      <c r="AJ14" s="18">
        <f>VLOOKUP(B14,TB!$B$5:$E$140,4,FALSE)</f>
        <v>-45748.32</v>
      </c>
      <c r="AL14" s="39">
        <f t="shared" ref="AL14:AL15" si="28">SUM(W14:AI14)</f>
        <v>-45748.32</v>
      </c>
      <c r="AM14" s="39">
        <f t="shared" ref="AM14:AM15" si="29">AJ14-AL14</f>
        <v>0</v>
      </c>
    </row>
    <row r="15" spans="1:39" x14ac:dyDescent="0.2">
      <c r="A15" s="1">
        <f t="shared" si="26"/>
        <v>4106</v>
      </c>
      <c r="B15" s="202" t="s">
        <v>504</v>
      </c>
      <c r="C15" t="s">
        <v>506</v>
      </c>
      <c r="D15" s="39">
        <f>IF(TRUE,0,_xll.PSFx2BAL(CN,"*","GLCode",$B15,"DAF_Award",D$2,PF,PT))</f>
        <v>0</v>
      </c>
      <c r="E15" s="39">
        <f>IF(TRUE,0,_xll.PSFx2BAL(CN,"*","GLCode",$B15,"DAF_Award",E$2,PF,PT))</f>
        <v>0</v>
      </c>
      <c r="F15" s="39">
        <f>IF(TRUE,0,_xll.PSFx2BAL(CN,"*","GLCode",$B15,"DAF_Award",F$2,PF,PT))</f>
        <v>0</v>
      </c>
      <c r="G15" s="39">
        <f>IF(TRUE,0,_xll.PSFx2BAL(CN,"*","GLCode",$B15,"DAF_Award",G$2,PF,PT))</f>
        <v>0</v>
      </c>
      <c r="H15" s="39">
        <f>IF(TRUE,0,_xll.PSFx2BAL(CN,"*","GLCode",$B15,"DAF_Award",H$2,PF,PT))</f>
        <v>0</v>
      </c>
      <c r="I15" s="39">
        <f>IF(TRUE,0,_xll.PSFx2BAL(CN,"*","GLCode",$B15,"DAF_Award",I$2,PF,PT))</f>
        <v>0</v>
      </c>
      <c r="J15" s="39">
        <f>IF(TRUE,0,_xll.PSFx2BAL(CN,"*","GLCode",$B15,"DAF_Award",J$2,PF,PT))</f>
        <v>0</v>
      </c>
      <c r="K15" s="39">
        <f>IF(TRUE,0,_xll.PSFx2BAL(CN,"*","GLCode",$B15,"DAF_Award",K$2,PF,PT))</f>
        <v>0</v>
      </c>
      <c r="L15" s="39">
        <f>IF(TRUE,0,_xll.PSFx2BAL(CN,"*","GLCode",$B15,"DAF_Award",L$2,PF,PT))</f>
        <v>0</v>
      </c>
      <c r="M15" s="39">
        <f>IF(TRUE,0,_xll.PSFx2BAL(CN,"*","GLCode",$B15,"DAF_Award",M$2,PF,PT))</f>
        <v>0</v>
      </c>
      <c r="N15" s="39">
        <f>IF(TRUE,0,_xll.PSFx2BAL(CN,"*","GLCode",$B15,"DAF_Award",N$2,PF,PT))</f>
        <v>0</v>
      </c>
      <c r="O15" s="39">
        <f>IF(TRUE,0,_xll.PSFx2BAL(CN,"*","GLCode",$B15,"DAF_Award",O$2,PF,PT))</f>
        <v>0</v>
      </c>
      <c r="P15" s="39">
        <f>IF(TRUE,0,_xll.PSFx2BAL(CN,"*","GLCode",$B15,"DAF_Award",P$2,PF,PT))</f>
        <v>0</v>
      </c>
      <c r="Q15" s="39">
        <f>IF(TRUE,0,_xll.PSFx2BAL(CN,"*","GLCode",$B15,"DAF_Award",Q$2,PF,PT))</f>
        <v>0</v>
      </c>
      <c r="R15" s="39">
        <f>IF(TRUE,0,_xll.PSFx2BAL(CN,"*","GLCode",$B15,"DAF_Award",R$2,PF,PT))</f>
        <v>0</v>
      </c>
      <c r="S15" s="39">
        <f>IF(TRUE,0,_xll.PSFx2BAL(CN,"*","GLCode",$B15,"DAF_Award",S$2,PF,PT))</f>
        <v>0</v>
      </c>
      <c r="T15" s="39">
        <f>IF(TRUE,0,_xll.PSFx2BAL(CN,"*","GLCode",$B15,"DAF_Award",T$2,PF,PT))</f>
        <v>0</v>
      </c>
      <c r="U15" s="39">
        <f>IF(TRUE,0,_xll.PSFx2BAL(CN,"*","GLCode",$B15,"DAF_Award",U$2,PF,PT))</f>
        <v>0</v>
      </c>
      <c r="V15" s="39">
        <f>IF(TRUE,0,_xll.PSFx2BAL(CN,"*","GLCode",$B15,"DAF_Award",V$2,PF,PT))</f>
        <v>0</v>
      </c>
      <c r="W15" s="39">
        <f>IF(TRUE,0,_xll.PSFx2BAL(CN,"*","GLCode",$B15,"DAF_Award",W$2,PF,PT))</f>
        <v>0</v>
      </c>
      <c r="X15" s="39">
        <f>IF(TRUE,0,_xll.PSFx2BAL(CN,"*","GLCode",$B15,"DAF_Award",X$2,PF,PT))</f>
        <v>0</v>
      </c>
      <c r="Y15" s="39">
        <f>IF(TRUE,0,_xll.PSFx2BAL(CN,"*","GLCode",$B15,"DAF_Award",Y$2,PF,PT))</f>
        <v>0</v>
      </c>
      <c r="Z15" s="39">
        <f>IF(TRUE,0,_xll.PSFx2BAL(CN,"*","GLCode",$B15,"DAF_Award",Z$2,PF,PT))</f>
        <v>0</v>
      </c>
      <c r="AA15" s="39">
        <f>IF(TRUE,0,_xll.PSFx2BAL(CN,"*","GLCode",$B15,"DAF_Award",AA$2,PF,PT))</f>
        <v>0</v>
      </c>
      <c r="AB15" s="39">
        <f>IF(TRUE,0,_xll.PSFx2BAL(CN,"*","GLCode",$B15,"DAF_Award",AB$2,PF,PT))</f>
        <v>0</v>
      </c>
      <c r="AC15" s="39">
        <f>IF(TRUE,0,_xll.PSFx2BAL(CN,"*","GLCode",$B15,"DAF_Award",AC$2,PF,PT))</f>
        <v>0</v>
      </c>
      <c r="AD15" s="39">
        <f>IF(TRUE,0,_xll.PSFx2BAL(CN,"*","GLCode",$B15,"DAF_Award",AD$2,PF,PT))</f>
        <v>0</v>
      </c>
      <c r="AE15" s="39">
        <f>IF(TRUE,0,_xll.PSFx2BAL(CN,"*","GLCode",$B15,"DAF_Award",AE$2,PF,PT))</f>
        <v>0</v>
      </c>
      <c r="AF15" s="39">
        <f>IF(TRUE,0,_xll.PSFx2BAL(CN,"*","GLCode",$B15,"DAF_Award",AF$2,PF,PT))</f>
        <v>0</v>
      </c>
      <c r="AG15" s="39">
        <f>IF(TRUE,0,_xll.PSFx2BAL(CN,"*","GLCode",$B15,"DAF_Award",AG$2,PF,PT))</f>
        <v>0</v>
      </c>
      <c r="AH15" s="39">
        <f>IF(TRUE,0,_xll.PSFx2BAL(CN,"*","GLCode",$B15,"DAF_Award",AH$2,PF,PT))</f>
        <v>0</v>
      </c>
      <c r="AI15" s="39">
        <f t="shared" si="27"/>
        <v>19062</v>
      </c>
      <c r="AJ15" s="18">
        <f>VLOOKUP(B15,TB!$B$5:$E$140,4,FALSE)</f>
        <v>19062</v>
      </c>
      <c r="AL15" s="39">
        <f t="shared" si="28"/>
        <v>19062</v>
      </c>
      <c r="AM15" s="39">
        <f t="shared" si="29"/>
        <v>0</v>
      </c>
    </row>
    <row r="16" spans="1:39" x14ac:dyDescent="0.2">
      <c r="C16" s="30" t="s">
        <v>312</v>
      </c>
      <c r="D16" s="40">
        <f t="shared" ref="D16:AJ16" si="30">SUM(D5:D15)</f>
        <v>-3813689.94</v>
      </c>
      <c r="E16" s="40">
        <f t="shared" si="30"/>
        <v>-24705.52</v>
      </c>
      <c r="F16" s="40">
        <f t="shared" si="30"/>
        <v>-21750.23</v>
      </c>
      <c r="G16" s="40">
        <f t="shared" si="30"/>
        <v>-295165.05</v>
      </c>
      <c r="H16" s="40">
        <f t="shared" si="30"/>
        <v>-6671</v>
      </c>
      <c r="I16" s="40">
        <f t="shared" si="30"/>
        <v>0</v>
      </c>
      <c r="J16" s="40">
        <f t="shared" si="30"/>
        <v>-24313.919999999998</v>
      </c>
      <c r="K16" s="40">
        <f t="shared" si="30"/>
        <v>33819.839999999997</v>
      </c>
      <c r="L16" s="40">
        <f t="shared" si="30"/>
        <v>-131812.59</v>
      </c>
      <c r="M16" s="40">
        <f t="shared" si="30"/>
        <v>-9901.48</v>
      </c>
      <c r="N16" s="40">
        <f t="shared" si="30"/>
        <v>-8354</v>
      </c>
      <c r="O16" s="40">
        <f t="shared" si="30"/>
        <v>-14393.26</v>
      </c>
      <c r="P16" s="40">
        <f t="shared" si="30"/>
        <v>-26757.579999999998</v>
      </c>
      <c r="Q16" s="40">
        <f t="shared" ref="Q16:R16" si="31">SUM(Q5:Q15)</f>
        <v>-14389.39</v>
      </c>
      <c r="R16" s="40">
        <f t="shared" si="31"/>
        <v>-2795.29</v>
      </c>
      <c r="S16" s="40">
        <f t="shared" ref="S16" si="32">SUM(S5:S15)</f>
        <v>-388.52</v>
      </c>
      <c r="T16" s="40">
        <f t="shared" si="30"/>
        <v>-98989.73000000001</v>
      </c>
      <c r="U16" s="40">
        <f t="shared" si="30"/>
        <v>0</v>
      </c>
      <c r="V16" s="40">
        <f t="shared" si="30"/>
        <v>-4484.71</v>
      </c>
      <c r="W16" s="40">
        <f t="shared" si="30"/>
        <v>0</v>
      </c>
      <c r="X16" s="40">
        <f t="shared" si="30"/>
        <v>0</v>
      </c>
      <c r="Y16" s="40">
        <f t="shared" si="30"/>
        <v>0</v>
      </c>
      <c r="Z16" s="40">
        <f t="shared" si="30"/>
        <v>0</v>
      </c>
      <c r="AA16" s="40">
        <f t="shared" si="30"/>
        <v>0</v>
      </c>
      <c r="AB16" s="40">
        <f t="shared" si="30"/>
        <v>-737255.62</v>
      </c>
      <c r="AC16" s="40">
        <f t="shared" si="30"/>
        <v>0</v>
      </c>
      <c r="AD16" s="40">
        <f t="shared" si="30"/>
        <v>0</v>
      </c>
      <c r="AE16" s="40">
        <f t="shared" si="30"/>
        <v>0</v>
      </c>
      <c r="AF16" s="40">
        <f t="shared" si="30"/>
        <v>0</v>
      </c>
      <c r="AG16" s="40">
        <f t="shared" si="30"/>
        <v>0</v>
      </c>
      <c r="AH16" s="40">
        <f t="shared" si="30"/>
        <v>-3360549.63</v>
      </c>
      <c r="AI16" s="40">
        <f t="shared" si="30"/>
        <v>-69663.56</v>
      </c>
      <c r="AJ16" s="40">
        <f t="shared" si="30"/>
        <v>-8632211.1799999997</v>
      </c>
      <c r="AL16" s="40">
        <f>SUM(AL5:AL15)</f>
        <v>-4167468.8099999996</v>
      </c>
      <c r="AM16" s="40">
        <f>SUM(AM5:AM15)</f>
        <v>-4464742.370000001</v>
      </c>
    </row>
    <row r="17" spans="1:39" x14ac:dyDescent="0.2">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18"/>
    </row>
    <row r="18" spans="1:39" x14ac:dyDescent="0.2">
      <c r="A18" s="1">
        <f t="shared" ref="A18:A82" si="33">VALUE(B18)</f>
        <v>6100</v>
      </c>
      <c r="B18" t="s">
        <v>48</v>
      </c>
      <c r="C18" t="s">
        <v>49</v>
      </c>
      <c r="D18" s="39">
        <f>IF(TRUE,2854459.54,_xll.PSFx2BAL(CN,"*","GLCode",$B18,"DAF_Award",D$2,PF,PT))</f>
        <v>2854459.54</v>
      </c>
      <c r="E18" s="39">
        <f>IF(TRUE,0,_xll.PSFx2BAL(CN,"*","GLCode",$B18,"DAF_Award",E$2,PF,PT))</f>
        <v>0</v>
      </c>
      <c r="F18" s="39">
        <f>IF(TRUE,7097,_xll.PSFx2BAL(CN,"*","GLCode",$B18,"DAF_Award",F$2,PF,PT))</f>
        <v>7097</v>
      </c>
      <c r="G18" s="39">
        <f>IF(TRUE,295165.05,_xll.PSFx2BAL(CN,"*","GLCode",$B18,"DAF_Award",G$2,PF,PT))</f>
        <v>295165.05</v>
      </c>
      <c r="H18" s="39">
        <f>IF(TRUE,0,_xll.PSFx2BAL(CN,"*","GLCode",$B18,"DAF_Award",H$2,PF,PT))</f>
        <v>0</v>
      </c>
      <c r="I18" s="39">
        <f>IF(TRUE,0,_xll.PSFx2BAL(CN,"*","GLCode",$B18,"DAF_Award",I$2,PF,PT))</f>
        <v>0</v>
      </c>
      <c r="J18" s="39">
        <f>IF(TRUE,0,_xll.PSFx2BAL(CN,"*","GLCode",$B18,"DAF_Award",J$2,PF,PT))</f>
        <v>0</v>
      </c>
      <c r="K18" s="39">
        <f>IF(TRUE,-62867.8,_xll.PSFx2BAL(CN,"*","GLCode",$B18,"DAF_Award",K$2,PF,PT))</f>
        <v>-62867.8</v>
      </c>
      <c r="L18" s="39">
        <f>IF(TRUE,73075.31,_xll.PSFx2BAL(CN,"*","GLCode",$B18,"DAF_Award",L$2,PF,PT))</f>
        <v>73075.31</v>
      </c>
      <c r="M18" s="39">
        <f>IF(TRUE,0,_xll.PSFx2BAL(CN,"*","GLCode",$B18,"DAF_Award",M$2,PF,PT))</f>
        <v>0</v>
      </c>
      <c r="N18" s="39">
        <f>IF(TRUE,0,_xll.PSFx2BAL(CN,"*","GLCode",$B18,"DAF_Award",N$2,PF,PT))</f>
        <v>0</v>
      </c>
      <c r="O18" s="39">
        <f>IF(TRUE,0,_xll.PSFx2BAL(CN,"*","GLCode",$B18,"DAF_Award",O$2,PF,PT))</f>
        <v>0</v>
      </c>
      <c r="P18" s="39">
        <f>IF(TRUE,0,_xll.PSFx2BAL(CN,"*","GLCode",$B18,"DAF_Award",P$2,PF,PT))</f>
        <v>0</v>
      </c>
      <c r="Q18" s="39">
        <f>IF(TRUE,0,_xll.PSFx2BAL(CN,"*","GLCode",$B18,"DAF_Award",Q$2,PF,PT))</f>
        <v>0</v>
      </c>
      <c r="R18" s="39">
        <f>IF(TRUE,0,_xll.PSFx2BAL(CN,"*","GLCode",$B18,"DAF_Award",R$2,PF,PT))</f>
        <v>0</v>
      </c>
      <c r="S18" s="39">
        <f>IF(TRUE,0,_xll.PSFx2BAL(CN,"*","GLCode",$B18,"DAF_Award",S$2,PF,PT))</f>
        <v>0</v>
      </c>
      <c r="T18" s="39">
        <f>IF(TRUE,69660.14,_xll.PSFx2BAL(CN,"*","GLCode",$B18,"DAF_Award",T$2,PF,PT))</f>
        <v>69660.14</v>
      </c>
      <c r="U18" s="39">
        <f>IF(TRUE,0,_xll.PSFx2BAL(CN,"*","GLCode",$B18,"DAF_Award",U$2,PF,PT))</f>
        <v>0</v>
      </c>
      <c r="V18" s="39">
        <f>IF(TRUE,0,_xll.PSFx2BAL(CN,"*","GLCode",$B18,"DAF_Award",V$2,PF,PT))</f>
        <v>0</v>
      </c>
      <c r="W18" s="39">
        <f>IF(TRUE,0,_xll.PSFx2BAL(CN,"*","GLCode",$B18,"DAF_Award",W$2,PF,PT))</f>
        <v>0</v>
      </c>
      <c r="X18" s="39">
        <f>IF(TRUE,0,_xll.PSFx2BAL(CN,"*","GLCode",$B18,"DAF_Award",X$2,PF,PT))</f>
        <v>0</v>
      </c>
      <c r="Y18" s="39">
        <f>IF(TRUE,0,_xll.PSFx2BAL(CN,"*","GLCode",$B18,"DAF_Award",Y$2,PF,PT))</f>
        <v>0</v>
      </c>
      <c r="Z18" s="39">
        <f>IF(TRUE,36718,_xll.PSFx2BAL(CN,"*","GLCode",$B18,"DAF_Award",Z$2,PF,PT))</f>
        <v>36718</v>
      </c>
      <c r="AA18" s="39">
        <f>IF(TRUE,267645,_xll.PSFx2BAL(CN,"*","GLCode",$B18,"DAF_Award",AA$2,PF,PT))</f>
        <v>267645</v>
      </c>
      <c r="AB18" s="39">
        <f>IF(TRUE,1432442.6,_xll.PSFx2BAL(CN,"*","GLCode",$B18,"DAF_Award",AB$2,PF,PT))</f>
        <v>1432442.6</v>
      </c>
      <c r="AC18" s="39">
        <f>IF(TRUE,65365.42,_xll.PSFx2BAL(CN,"*","GLCode",$B18,"DAF_Award",AC$2,PF,PT))</f>
        <v>65365.42</v>
      </c>
      <c r="AD18" s="39">
        <f>IF(TRUE,51996,_xll.PSFx2BAL(CN,"*","GLCode",$B18,"DAF_Award",AD$2,PF,PT))</f>
        <v>51996</v>
      </c>
      <c r="AE18" s="39">
        <f>IF(TRUE,194090,_xll.PSFx2BAL(CN,"*","GLCode",$B18,"DAF_Award",AE$2,PF,PT))</f>
        <v>194090</v>
      </c>
      <c r="AF18" s="39">
        <f>IF(TRUE,207104.6,_xll.PSFx2BAL(CN,"*","GLCode",$B18,"DAF_Award",AF$2,PF,PT))</f>
        <v>207104.6</v>
      </c>
      <c r="AG18" s="39">
        <f>IF(TRUE,1027538.42,_xll.PSFx2BAL(CN,"*","GLCode",$B18,"DAF_Award",AG$2,PF,PT))</f>
        <v>1027538.42</v>
      </c>
      <c r="AH18" s="39">
        <f>IF(TRUE,59150.16,_xll.PSFx2BAL(CN,"*","GLCode",$B18,"DAF_Award",AH$2,PF,PT))</f>
        <v>59150.16</v>
      </c>
      <c r="AI18" s="274">
        <f t="shared" ref="AI18:AI50" si="34">AJ18-SUM(D18:AH18)</f>
        <v>0</v>
      </c>
      <c r="AJ18" s="18">
        <f>VLOOKUP(B18,TB!$B$5:$E$140,4,FALSE)</f>
        <v>6578639.4400000004</v>
      </c>
      <c r="AL18" s="39">
        <f t="shared" ref="AL18:AL50" si="35">SUM(W18:AI18)</f>
        <v>3342050.2</v>
      </c>
      <c r="AM18" s="39">
        <f t="shared" ref="AM18:AM50" si="36">AJ18-AL18</f>
        <v>3236589.24</v>
      </c>
    </row>
    <row r="19" spans="1:39" x14ac:dyDescent="0.2">
      <c r="A19" s="1">
        <f t="shared" si="33"/>
        <v>6101</v>
      </c>
      <c r="B19" t="s">
        <v>50</v>
      </c>
      <c r="C19" t="s">
        <v>287</v>
      </c>
      <c r="D19" s="39">
        <f>IF(TRUE,0,_xll.PSFx2BAL(CN,"*","GLCode",$B19,"DAF_Award",D$2,PF,PT))</f>
        <v>0</v>
      </c>
      <c r="E19" s="39">
        <f>IF(TRUE,0,_xll.PSFx2BAL(CN,"*","GLCode",$B19,"DAF_Award",E$2,PF,PT))</f>
        <v>0</v>
      </c>
      <c r="F19" s="39">
        <f>IF(TRUE,0,_xll.PSFx2BAL(CN,"*","GLCode",$B19,"DAF_Award",F$2,PF,PT))</f>
        <v>0</v>
      </c>
      <c r="G19" s="39">
        <f>IF(TRUE,0,_xll.PSFx2BAL(CN,"*","GLCode",$B19,"DAF_Award",G$2,PF,PT))</f>
        <v>0</v>
      </c>
      <c r="H19" s="39">
        <f>IF(TRUE,0,_xll.PSFx2BAL(CN,"*","GLCode",$B19,"DAF_Award",H$2,PF,PT))</f>
        <v>0</v>
      </c>
      <c r="I19" s="39">
        <f>IF(TRUE,0,_xll.PSFx2BAL(CN,"*","GLCode",$B19,"DAF_Award",I$2,PF,PT))</f>
        <v>0</v>
      </c>
      <c r="J19" s="39">
        <f>IF(TRUE,18735.35,_xll.PSFx2BAL(CN,"*","GLCode",$B19,"DAF_Award",J$2,PF,PT))</f>
        <v>18735.349999999999</v>
      </c>
      <c r="K19" s="39">
        <f>IF(TRUE,0,_xll.PSFx2BAL(CN,"*","GLCode",$B19,"DAF_Award",K$2,PF,PT))</f>
        <v>0</v>
      </c>
      <c r="L19" s="39">
        <f>IF(TRUE,36001.98,_xll.PSFx2BAL(CN,"*","GLCode",$B19,"DAF_Award",L$2,PF,PT))</f>
        <v>36001.980000000003</v>
      </c>
      <c r="M19" s="39">
        <f>IF(TRUE,0,_xll.PSFx2BAL(CN,"*","GLCode",$B19,"DAF_Award",M$2,PF,PT))</f>
        <v>0</v>
      </c>
      <c r="N19" s="39">
        <f>IF(TRUE,0,_xll.PSFx2BAL(CN,"*","GLCode",$B19,"DAF_Award",N$2,PF,PT))</f>
        <v>0</v>
      </c>
      <c r="O19" s="39">
        <f>IF(TRUE,0,_xll.PSFx2BAL(CN,"*","GLCode",$B19,"DAF_Award",O$2,PF,PT))</f>
        <v>0</v>
      </c>
      <c r="P19" s="39">
        <f>IF(TRUE,0,_xll.PSFx2BAL(CN,"*","GLCode",$B19,"DAF_Award",P$2,PF,PT))</f>
        <v>0</v>
      </c>
      <c r="Q19" s="39">
        <f>IF(TRUE,0,_xll.PSFx2BAL(CN,"*","GLCode",$B19,"DAF_Award",Q$2,PF,PT))</f>
        <v>0</v>
      </c>
      <c r="R19" s="39">
        <f>IF(TRUE,0,_xll.PSFx2BAL(CN,"*","GLCode",$B19,"DAF_Award",R$2,PF,PT))</f>
        <v>0</v>
      </c>
      <c r="S19" s="39">
        <f>IF(TRUE,0,_xll.PSFx2BAL(CN,"*","GLCode",$B19,"DAF_Award",S$2,PF,PT))</f>
        <v>0</v>
      </c>
      <c r="T19" s="39">
        <f>IF(TRUE,0,_xll.PSFx2BAL(CN,"*","GLCode",$B19,"DAF_Award",T$2,PF,PT))</f>
        <v>0</v>
      </c>
      <c r="U19" s="39">
        <f>IF(TRUE,0,_xll.PSFx2BAL(CN,"*","GLCode",$B19,"DAF_Award",U$2,PF,PT))</f>
        <v>0</v>
      </c>
      <c r="V19" s="39">
        <f>IF(TRUE,0,_xll.PSFx2BAL(CN,"*","GLCode",$B19,"DAF_Award",V$2,PF,PT))</f>
        <v>0</v>
      </c>
      <c r="W19" s="39">
        <f>IF(TRUE,0,_xll.PSFx2BAL(CN,"*","GLCode",$B19,"DAF_Award",W$2,PF,PT))</f>
        <v>0</v>
      </c>
      <c r="X19" s="39">
        <f>IF(TRUE,0,_xll.PSFx2BAL(CN,"*","GLCode",$B19,"DAF_Award",X$2,PF,PT))</f>
        <v>0</v>
      </c>
      <c r="Y19" s="39">
        <f>IF(TRUE,0,_xll.PSFx2BAL(CN,"*","GLCode",$B19,"DAF_Award",Y$2,PF,PT))</f>
        <v>0</v>
      </c>
      <c r="Z19" s="39">
        <f>IF(TRUE,0,_xll.PSFx2BAL(CN,"*","GLCode",$B19,"DAF_Award",Z$2,PF,PT))</f>
        <v>0</v>
      </c>
      <c r="AA19" s="39">
        <f>IF(TRUE,0,_xll.PSFx2BAL(CN,"*","GLCode",$B19,"DAF_Award",AA$2,PF,PT))</f>
        <v>0</v>
      </c>
      <c r="AB19" s="39">
        <f>IF(TRUE,0,_xll.PSFx2BAL(CN,"*","GLCode",$B19,"DAF_Award",AB$2,PF,PT))</f>
        <v>0</v>
      </c>
      <c r="AC19" s="39">
        <f>IF(TRUE,0,_xll.PSFx2BAL(CN,"*","GLCode",$B19,"DAF_Award",AC$2,PF,PT))</f>
        <v>0</v>
      </c>
      <c r="AD19" s="39">
        <f>IF(TRUE,0,_xll.PSFx2BAL(CN,"*","GLCode",$B19,"DAF_Award",AD$2,PF,PT))</f>
        <v>0</v>
      </c>
      <c r="AE19" s="39">
        <f>IF(TRUE,0,_xll.PSFx2BAL(CN,"*","GLCode",$B19,"DAF_Award",AE$2,PF,PT))</f>
        <v>0</v>
      </c>
      <c r="AF19" s="39">
        <f>IF(TRUE,0,_xll.PSFx2BAL(CN,"*","GLCode",$B19,"DAF_Award",AF$2,PF,PT))</f>
        <v>0</v>
      </c>
      <c r="AG19" s="39">
        <f>IF(TRUE,0,_xll.PSFx2BAL(CN,"*","GLCode",$B19,"DAF_Award",AG$2,PF,PT))</f>
        <v>0</v>
      </c>
      <c r="AH19" s="39">
        <f>IF(TRUE,19398.63,_xll.PSFx2BAL(CN,"*","GLCode",$B19,"DAF_Award",AH$2,PF,PT))</f>
        <v>19398.63</v>
      </c>
      <c r="AI19" s="274">
        <f t="shared" si="34"/>
        <v>0</v>
      </c>
      <c r="AJ19" s="18">
        <f>VLOOKUP(B19,TB!$B$5:$E$140,4,FALSE)</f>
        <v>74135.960000000006</v>
      </c>
      <c r="AL19" s="39">
        <f t="shared" si="35"/>
        <v>19398.63</v>
      </c>
      <c r="AM19" s="39">
        <f t="shared" si="36"/>
        <v>54737.33</v>
      </c>
    </row>
    <row r="20" spans="1:39" x14ac:dyDescent="0.2">
      <c r="A20" s="1">
        <f t="shared" si="33"/>
        <v>6102</v>
      </c>
      <c r="B20" t="s">
        <v>52</v>
      </c>
      <c r="C20" t="s">
        <v>53</v>
      </c>
      <c r="D20" s="39">
        <f>IF(TRUE,0,_xll.PSFx2BAL(CN,"*","GLCode",$B20,"DAF_Award",D$2,PF,PT))</f>
        <v>0</v>
      </c>
      <c r="E20" s="39">
        <f>IF(TRUE,0,_xll.PSFx2BAL(CN,"*","GLCode",$B20,"DAF_Award",E$2,PF,PT))</f>
        <v>0</v>
      </c>
      <c r="F20" s="39">
        <f>IF(TRUE,0,_xll.PSFx2BAL(CN,"*","GLCode",$B20,"DAF_Award",F$2,PF,PT))</f>
        <v>0</v>
      </c>
      <c r="G20" s="39">
        <f>IF(TRUE,0,_xll.PSFx2BAL(CN,"*","GLCode",$B20,"DAF_Award",G$2,PF,PT))</f>
        <v>0</v>
      </c>
      <c r="H20" s="39">
        <f>IF(TRUE,0,_xll.PSFx2BAL(CN,"*","GLCode",$B20,"DAF_Award",H$2,PF,PT))</f>
        <v>0</v>
      </c>
      <c r="I20" s="39">
        <f>IF(TRUE,0,_xll.PSFx2BAL(CN,"*","GLCode",$B20,"DAF_Award",I$2,PF,PT))</f>
        <v>0</v>
      </c>
      <c r="J20" s="39">
        <f>IF(TRUE,414.55,_xll.PSFx2BAL(CN,"*","GLCode",$B20,"DAF_Award",J$2,PF,PT))</f>
        <v>414.55</v>
      </c>
      <c r="K20" s="39">
        <f>IF(TRUE,4203,_xll.PSFx2BAL(CN,"*","GLCode",$B20,"DAF_Award",K$2,PF,PT))</f>
        <v>4203</v>
      </c>
      <c r="L20" s="39">
        <f>IF(TRUE,0,_xll.PSFx2BAL(CN,"*","GLCode",$B20,"DAF_Award",L$2,PF,PT))</f>
        <v>0</v>
      </c>
      <c r="M20" s="39">
        <f>IF(TRUE,0,_xll.PSFx2BAL(CN,"*","GLCode",$B20,"DAF_Award",M$2,PF,PT))</f>
        <v>0</v>
      </c>
      <c r="N20" s="39">
        <f>IF(TRUE,0,_xll.PSFx2BAL(CN,"*","GLCode",$B20,"DAF_Award",N$2,PF,PT))</f>
        <v>0</v>
      </c>
      <c r="O20" s="39">
        <f>IF(TRUE,0,_xll.PSFx2BAL(CN,"*","GLCode",$B20,"DAF_Award",O$2,PF,PT))</f>
        <v>0</v>
      </c>
      <c r="P20" s="39">
        <f>IF(TRUE,0,_xll.PSFx2BAL(CN,"*","GLCode",$B20,"DAF_Award",P$2,PF,PT))</f>
        <v>0</v>
      </c>
      <c r="Q20" s="39">
        <f>IF(TRUE,0,_xll.PSFx2BAL(CN,"*","GLCode",$B20,"DAF_Award",Q$2,PF,PT))</f>
        <v>0</v>
      </c>
      <c r="R20" s="39">
        <f>IF(TRUE,0,_xll.PSFx2BAL(CN,"*","GLCode",$B20,"DAF_Award",R$2,PF,PT))</f>
        <v>0</v>
      </c>
      <c r="S20" s="39">
        <f>IF(TRUE,0,_xll.PSFx2BAL(CN,"*","GLCode",$B20,"DAF_Award",S$2,PF,PT))</f>
        <v>0</v>
      </c>
      <c r="T20" s="39">
        <f>IF(TRUE,0,_xll.PSFx2BAL(CN,"*","GLCode",$B20,"DAF_Award",T$2,PF,PT))</f>
        <v>0</v>
      </c>
      <c r="U20" s="39">
        <f>IF(TRUE,0,_xll.PSFx2BAL(CN,"*","GLCode",$B20,"DAF_Award",U$2,PF,PT))</f>
        <v>0</v>
      </c>
      <c r="V20" s="39">
        <f>IF(TRUE,0,_xll.PSFx2BAL(CN,"*","GLCode",$B20,"DAF_Award",V$2,PF,PT))</f>
        <v>0</v>
      </c>
      <c r="W20" s="39">
        <f>IF(TRUE,0,_xll.PSFx2BAL(CN,"*","GLCode",$B20,"DAF_Award",W$2,PF,PT))</f>
        <v>0</v>
      </c>
      <c r="X20" s="39">
        <f>IF(TRUE,0,_xll.PSFx2BAL(CN,"*","GLCode",$B20,"DAF_Award",X$2,PF,PT))</f>
        <v>0</v>
      </c>
      <c r="Y20" s="39">
        <f>IF(TRUE,0,_xll.PSFx2BAL(CN,"*","GLCode",$B20,"DAF_Award",Y$2,PF,PT))</f>
        <v>0</v>
      </c>
      <c r="Z20" s="39">
        <f>IF(TRUE,56.42,_xll.PSFx2BAL(CN,"*","GLCode",$B20,"DAF_Award",Z$2,PF,PT))</f>
        <v>56.42</v>
      </c>
      <c r="AA20" s="39">
        <f>IF(TRUE,1209.75,_xll.PSFx2BAL(CN,"*","GLCode",$B20,"DAF_Award",AA$2,PF,PT))</f>
        <v>1209.75</v>
      </c>
      <c r="AB20" s="39">
        <f>IF(TRUE,0,_xll.PSFx2BAL(CN,"*","GLCode",$B20,"DAF_Award",AB$2,PF,PT))</f>
        <v>0</v>
      </c>
      <c r="AC20" s="39">
        <f>IF(TRUE,14368.37,_xll.PSFx2BAL(CN,"*","GLCode",$B20,"DAF_Award",AC$2,PF,PT))</f>
        <v>14368.37</v>
      </c>
      <c r="AD20" s="39">
        <f>IF(TRUE,909.99,_xll.PSFx2BAL(CN,"*","GLCode",$B20,"DAF_Award",AD$2,PF,PT))</f>
        <v>909.99</v>
      </c>
      <c r="AE20" s="39">
        <f>IF(TRUE,0,_xll.PSFx2BAL(CN,"*","GLCode",$B20,"DAF_Award",AE$2,PF,PT))</f>
        <v>0</v>
      </c>
      <c r="AF20" s="39">
        <f>IF(TRUE,-4203,_xll.PSFx2BAL(CN,"*","GLCode",$B20,"DAF_Award",AF$2,PF,PT))</f>
        <v>-4203</v>
      </c>
      <c r="AG20" s="39">
        <f>IF(TRUE,0,_xll.PSFx2BAL(CN,"*","GLCode",$B20,"DAF_Award",AG$2,PF,PT))</f>
        <v>0</v>
      </c>
      <c r="AH20" s="39">
        <f>IF(TRUE,-5,_xll.PSFx2BAL(CN,"*","GLCode",$B20,"DAF_Award",AH$2,PF,PT))</f>
        <v>-5</v>
      </c>
      <c r="AI20" s="274">
        <f t="shared" si="34"/>
        <v>0</v>
      </c>
      <c r="AJ20" s="18">
        <f>VLOOKUP(B20,TB!$B$5:$E$140,4,FALSE)</f>
        <v>16954.080000000002</v>
      </c>
      <c r="AL20" s="39">
        <f t="shared" si="35"/>
        <v>12336.530000000002</v>
      </c>
      <c r="AM20" s="39">
        <f t="shared" si="36"/>
        <v>4617.5499999999993</v>
      </c>
    </row>
    <row r="21" spans="1:39" x14ac:dyDescent="0.2">
      <c r="A21" s="1">
        <f t="shared" si="33"/>
        <v>6103</v>
      </c>
      <c r="B21" t="s">
        <v>54</v>
      </c>
      <c r="C21" t="s">
        <v>55</v>
      </c>
      <c r="D21" s="39">
        <f>IF(TRUE,0,_xll.PSFx2BAL(CN,"*","GLCode",$B21,"DAF_Award",D$2,PF,PT))</f>
        <v>0</v>
      </c>
      <c r="E21" s="39">
        <f>IF(TRUE,0,_xll.PSFx2BAL(CN,"*","GLCode",$B21,"DAF_Award",E$2,PF,PT))</f>
        <v>0</v>
      </c>
      <c r="F21" s="39">
        <f>IF(TRUE,0,_xll.PSFx2BAL(CN,"*","GLCode",$B21,"DAF_Award",F$2,PF,PT))</f>
        <v>0</v>
      </c>
      <c r="G21" s="39">
        <f>IF(TRUE,0,_xll.PSFx2BAL(CN,"*","GLCode",$B21,"DAF_Award",G$2,PF,PT))</f>
        <v>0</v>
      </c>
      <c r="H21" s="39">
        <f>IF(TRUE,0,_xll.PSFx2BAL(CN,"*","GLCode",$B21,"DAF_Award",H$2,PF,PT))</f>
        <v>0</v>
      </c>
      <c r="I21" s="39">
        <f>IF(TRUE,0,_xll.PSFx2BAL(CN,"*","GLCode",$B21,"DAF_Award",I$2,PF,PT))</f>
        <v>0</v>
      </c>
      <c r="J21" s="39">
        <f>IF(TRUE,0,_xll.PSFx2BAL(CN,"*","GLCode",$B21,"DAF_Award",J$2,PF,PT))</f>
        <v>0</v>
      </c>
      <c r="K21" s="39">
        <f>IF(TRUE,0,_xll.PSFx2BAL(CN,"*","GLCode",$B21,"DAF_Award",K$2,PF,PT))</f>
        <v>0</v>
      </c>
      <c r="L21" s="39">
        <f>IF(TRUE,0,_xll.PSFx2BAL(CN,"*","GLCode",$B21,"DAF_Award",L$2,PF,PT))</f>
        <v>0</v>
      </c>
      <c r="M21" s="39">
        <f>IF(TRUE,0,_xll.PSFx2BAL(CN,"*","GLCode",$B21,"DAF_Award",M$2,PF,PT))</f>
        <v>0</v>
      </c>
      <c r="N21" s="39">
        <f>IF(TRUE,0,_xll.PSFx2BAL(CN,"*","GLCode",$B21,"DAF_Award",N$2,PF,PT))</f>
        <v>0</v>
      </c>
      <c r="O21" s="39">
        <f>IF(TRUE,0,_xll.PSFx2BAL(CN,"*","GLCode",$B21,"DAF_Award",O$2,PF,PT))</f>
        <v>0</v>
      </c>
      <c r="P21" s="39">
        <f>IF(TRUE,0,_xll.PSFx2BAL(CN,"*","GLCode",$B21,"DAF_Award",P$2,PF,PT))</f>
        <v>0</v>
      </c>
      <c r="Q21" s="39">
        <f>IF(TRUE,0,_xll.PSFx2BAL(CN,"*","GLCode",$B21,"DAF_Award",Q$2,PF,PT))</f>
        <v>0</v>
      </c>
      <c r="R21" s="39">
        <f>IF(TRUE,0,_xll.PSFx2BAL(CN,"*","GLCode",$B21,"DAF_Award",R$2,PF,PT))</f>
        <v>0</v>
      </c>
      <c r="S21" s="39">
        <f>IF(TRUE,388.52,_xll.PSFx2BAL(CN,"*","GLCode",$B21,"DAF_Award",S$2,PF,PT))</f>
        <v>388.52</v>
      </c>
      <c r="T21" s="39">
        <f>IF(TRUE,0,_xll.PSFx2BAL(CN,"*","GLCode",$B21,"DAF_Award",T$2,PF,PT))</f>
        <v>0</v>
      </c>
      <c r="U21" s="39">
        <f>IF(TRUE,0,_xll.PSFx2BAL(CN,"*","GLCode",$B21,"DAF_Award",U$2,PF,PT))</f>
        <v>0</v>
      </c>
      <c r="V21" s="39">
        <f>IF(TRUE,0,_xll.PSFx2BAL(CN,"*","GLCode",$B21,"DAF_Award",V$2,PF,PT))</f>
        <v>0</v>
      </c>
      <c r="W21" s="39">
        <f>IF(TRUE,0,_xll.PSFx2BAL(CN,"*","GLCode",$B21,"DAF_Award",W$2,PF,PT))</f>
        <v>0</v>
      </c>
      <c r="X21" s="39">
        <f>IF(TRUE,0,_xll.PSFx2BAL(CN,"*","GLCode",$B21,"DAF_Award",X$2,PF,PT))</f>
        <v>0</v>
      </c>
      <c r="Y21" s="39">
        <f>IF(TRUE,0,_xll.PSFx2BAL(CN,"*","GLCode",$B21,"DAF_Award",Y$2,PF,PT))</f>
        <v>0</v>
      </c>
      <c r="Z21" s="39">
        <f>IF(TRUE,0,_xll.PSFx2BAL(CN,"*","GLCode",$B21,"DAF_Award",Z$2,PF,PT))</f>
        <v>0</v>
      </c>
      <c r="AA21" s="39">
        <f>IF(TRUE,0,_xll.PSFx2BAL(CN,"*","GLCode",$B21,"DAF_Award",AA$2,PF,PT))</f>
        <v>0</v>
      </c>
      <c r="AB21" s="39">
        <f>IF(TRUE,0,_xll.PSFx2BAL(CN,"*","GLCode",$B21,"DAF_Award",AB$2,PF,PT))</f>
        <v>0</v>
      </c>
      <c r="AC21" s="39">
        <f>IF(TRUE,0,_xll.PSFx2BAL(CN,"*","GLCode",$B21,"DAF_Award",AC$2,PF,PT))</f>
        <v>0</v>
      </c>
      <c r="AD21" s="39">
        <f>IF(TRUE,0,_xll.PSFx2BAL(CN,"*","GLCode",$B21,"DAF_Award",AD$2,PF,PT))</f>
        <v>0</v>
      </c>
      <c r="AE21" s="39">
        <f>IF(TRUE,0,_xll.PSFx2BAL(CN,"*","GLCode",$B21,"DAF_Award",AE$2,PF,PT))</f>
        <v>0</v>
      </c>
      <c r="AF21" s="39">
        <f>IF(TRUE,0,_xll.PSFx2BAL(CN,"*","GLCode",$B21,"DAF_Award",AF$2,PF,PT))</f>
        <v>0</v>
      </c>
      <c r="AG21" s="39">
        <f>IF(TRUE,0,_xll.PSFx2BAL(CN,"*","GLCode",$B21,"DAF_Award",AG$2,PF,PT))</f>
        <v>0</v>
      </c>
      <c r="AH21" s="39">
        <f>IF(TRUE,0,_xll.PSFx2BAL(CN,"*","GLCode",$B21,"DAF_Award",AH$2,PF,PT))</f>
        <v>0</v>
      </c>
      <c r="AI21" s="274">
        <f t="shared" si="34"/>
        <v>0</v>
      </c>
      <c r="AJ21" s="18">
        <f>VLOOKUP(B21,TB!$B$5:$E$140,4,FALSE)</f>
        <v>388.52</v>
      </c>
      <c r="AL21" s="39">
        <f t="shared" si="35"/>
        <v>0</v>
      </c>
      <c r="AM21" s="39">
        <f t="shared" si="36"/>
        <v>388.52</v>
      </c>
    </row>
    <row r="22" spans="1:39" x14ac:dyDescent="0.2">
      <c r="A22" s="1">
        <f t="shared" ref="A22" si="37">VALUE(B22)</f>
        <v>6104</v>
      </c>
      <c r="B22" s="202" t="s">
        <v>496</v>
      </c>
      <c r="C22" t="s">
        <v>498</v>
      </c>
      <c r="D22" s="39">
        <f>IF(TRUE,0,_xll.PSFx2BAL(CN,"*","GLCode",$B22,"DAF_Award",D$2,PF,PT))</f>
        <v>0</v>
      </c>
      <c r="E22" s="39">
        <f>IF(TRUE,0,_xll.PSFx2BAL(CN,"*","GLCode",$B22,"DAF_Award",E$2,PF,PT))</f>
        <v>0</v>
      </c>
      <c r="F22" s="39">
        <f>IF(TRUE,0,_xll.PSFx2BAL(CN,"*","GLCode",$B22,"DAF_Award",F$2,PF,PT))</f>
        <v>0</v>
      </c>
      <c r="G22" s="39">
        <f>IF(TRUE,0,_xll.PSFx2BAL(CN,"*","GLCode",$B22,"DAF_Award",G$2,PF,PT))</f>
        <v>0</v>
      </c>
      <c r="H22" s="39">
        <f>IF(TRUE,0,_xll.PSFx2BAL(CN,"*","GLCode",$B22,"DAF_Award",H$2,PF,PT))</f>
        <v>0</v>
      </c>
      <c r="I22" s="39">
        <f>IF(TRUE,0,_xll.PSFx2BAL(CN,"*","GLCode",$B22,"DAF_Award",I$2,PF,PT))</f>
        <v>0</v>
      </c>
      <c r="J22" s="39">
        <f>IF(TRUE,0,_xll.PSFx2BAL(CN,"*","GLCode",$B22,"DAF_Award",J$2,PF,PT))</f>
        <v>0</v>
      </c>
      <c r="K22" s="39">
        <f>IF(TRUE,0,_xll.PSFx2BAL(CN,"*","GLCode",$B22,"DAF_Award",K$2,PF,PT))</f>
        <v>0</v>
      </c>
      <c r="L22" s="39">
        <f>IF(TRUE,0,_xll.PSFx2BAL(CN,"*","GLCode",$B22,"DAF_Award",L$2,PF,PT))</f>
        <v>0</v>
      </c>
      <c r="M22" s="39">
        <f>IF(TRUE,0,_xll.PSFx2BAL(CN,"*","GLCode",$B22,"DAF_Award",M$2,PF,PT))</f>
        <v>0</v>
      </c>
      <c r="N22" s="39">
        <f>IF(TRUE,0,_xll.PSFx2BAL(CN,"*","GLCode",$B22,"DAF_Award",N$2,PF,PT))</f>
        <v>0</v>
      </c>
      <c r="O22" s="39">
        <f>IF(TRUE,0,_xll.PSFx2BAL(CN,"*","GLCode",$B22,"DAF_Award",O$2,PF,PT))</f>
        <v>0</v>
      </c>
      <c r="P22" s="39">
        <f>IF(TRUE,0,_xll.PSFx2BAL(CN,"*","GLCode",$B22,"DAF_Award",P$2,PF,PT))</f>
        <v>0</v>
      </c>
      <c r="Q22" s="39">
        <f>IF(TRUE,0,_xll.PSFx2BAL(CN,"*","GLCode",$B22,"DAF_Award",Q$2,PF,PT))</f>
        <v>0</v>
      </c>
      <c r="R22" s="39">
        <f>IF(TRUE,0,_xll.PSFx2BAL(CN,"*","GLCode",$B22,"DAF_Award",R$2,PF,PT))</f>
        <v>0</v>
      </c>
      <c r="S22" s="39">
        <f>IF(TRUE,0,_xll.PSFx2BAL(CN,"*","GLCode",$B22,"DAF_Award",S$2,PF,PT))</f>
        <v>0</v>
      </c>
      <c r="T22" s="39">
        <f>IF(TRUE,0,_xll.PSFx2BAL(CN,"*","GLCode",$B22,"DAF_Award",T$2,PF,PT))</f>
        <v>0</v>
      </c>
      <c r="U22" s="39">
        <f>IF(TRUE,0,_xll.PSFx2BAL(CN,"*","GLCode",$B22,"DAF_Award",U$2,PF,PT))</f>
        <v>0</v>
      </c>
      <c r="V22" s="39">
        <f>IF(TRUE,0,_xll.PSFx2BAL(CN,"*","GLCode",$B22,"DAF_Award",V$2,PF,PT))</f>
        <v>0</v>
      </c>
      <c r="W22" s="39">
        <f>IF(TRUE,0,_xll.PSFx2BAL(CN,"*","GLCode",$B22,"DAF_Award",W$2,PF,PT))</f>
        <v>0</v>
      </c>
      <c r="X22" s="39">
        <f>IF(TRUE,0,_xll.PSFx2BAL(CN,"*","GLCode",$B22,"DAF_Award",X$2,PF,PT))</f>
        <v>0</v>
      </c>
      <c r="Y22" s="39">
        <f>IF(TRUE,0,_xll.PSFx2BAL(CN,"*","GLCode",$B22,"DAF_Award",Y$2,PF,PT))</f>
        <v>0</v>
      </c>
      <c r="Z22" s="39">
        <f>IF(TRUE,0,_xll.PSFx2BAL(CN,"*","GLCode",$B22,"DAF_Award",Z$2,PF,PT))</f>
        <v>0</v>
      </c>
      <c r="AA22" s="39">
        <f>IF(TRUE,0,_xll.PSFx2BAL(CN,"*","GLCode",$B22,"DAF_Award",AA$2,PF,PT))</f>
        <v>0</v>
      </c>
      <c r="AB22" s="39">
        <f>IF(TRUE,0,_xll.PSFx2BAL(CN,"*","GLCode",$B22,"DAF_Award",AB$2,PF,PT))</f>
        <v>0</v>
      </c>
      <c r="AC22" s="39">
        <f>IF(TRUE,1866.34,_xll.PSFx2BAL(CN,"*","GLCode",$B22,"DAF_Award",AC$2,PF,PT))</f>
        <v>1866.34</v>
      </c>
      <c r="AD22" s="39">
        <f>IF(TRUE,1917.99,_xll.PSFx2BAL(CN,"*","GLCode",$B22,"DAF_Award",AD$2,PF,PT))</f>
        <v>1917.99</v>
      </c>
      <c r="AE22" s="39">
        <f>IF(TRUE,0,_xll.PSFx2BAL(CN,"*","GLCode",$B22,"DAF_Award",AE$2,PF,PT))</f>
        <v>0</v>
      </c>
      <c r="AF22" s="39">
        <f>IF(TRUE,0,_xll.PSFx2BAL(CN,"*","GLCode",$B22,"DAF_Award",AF$2,PF,PT))</f>
        <v>0</v>
      </c>
      <c r="AG22" s="39">
        <f>IF(TRUE,0,_xll.PSFx2BAL(CN,"*","GLCode",$B22,"DAF_Award",AG$2,PF,PT))</f>
        <v>0</v>
      </c>
      <c r="AH22" s="39">
        <f>IF(TRUE,0,_xll.PSFx2BAL(CN,"*","GLCode",$B22,"DAF_Award",AH$2,PF,PT))</f>
        <v>0</v>
      </c>
      <c r="AI22" s="274">
        <f t="shared" ref="AI22" si="38">AJ22-SUM(D22:AH22)</f>
        <v>0</v>
      </c>
      <c r="AJ22" s="18">
        <f>VLOOKUP(B22,TB!$B$5:$E$140,4,FALSE)</f>
        <v>3784.33</v>
      </c>
      <c r="AL22" s="39">
        <f t="shared" ref="AL22" si="39">SUM(W22:AI22)</f>
        <v>3784.33</v>
      </c>
      <c r="AM22" s="39">
        <f t="shared" ref="AM22" si="40">AJ22-AL22</f>
        <v>0</v>
      </c>
    </row>
    <row r="23" spans="1:39" x14ac:dyDescent="0.2">
      <c r="A23" s="1">
        <f t="shared" si="33"/>
        <v>7000</v>
      </c>
      <c r="B23" t="s">
        <v>56</v>
      </c>
      <c r="C23" t="s">
        <v>57</v>
      </c>
      <c r="D23" s="39">
        <f>IF(TRUE,633743.24,_xll.PSFx2BAL(CN,"*","GLCode",$B23,"DAF_Award",D$2,PF,PT))</f>
        <v>633743.24</v>
      </c>
      <c r="E23" s="39">
        <f>IF(TRUE,9846.71,_xll.PSFx2BAL(CN,"*","GLCode",$B23,"DAF_Award",E$2,PF,PT))</f>
        <v>9846.7099999999991</v>
      </c>
      <c r="F23" s="39">
        <f>IF(TRUE,10376.14,_xll.PSFx2BAL(CN,"*","GLCode",$B23,"DAF_Award",F$2,PF,PT))</f>
        <v>10376.14</v>
      </c>
      <c r="G23" s="39">
        <f>IF(TRUE,0,_xll.PSFx2BAL(CN,"*","GLCode",$B23,"DAF_Award",G$2,PF,PT))</f>
        <v>0</v>
      </c>
      <c r="H23" s="39">
        <f>IF(TRUE,5751,_xll.PSFx2BAL(CN,"*","GLCode",$B23,"DAF_Award",H$2,PF,PT))</f>
        <v>5751</v>
      </c>
      <c r="I23" s="39">
        <f>IF(TRUE,0,_xll.PSFx2BAL(CN,"*","GLCode",$B23,"DAF_Award",I$2,PF,PT))</f>
        <v>0</v>
      </c>
      <c r="J23" s="39">
        <f>IF(TRUE,5383.51,_xll.PSFx2BAL(CN,"*","GLCode",$B23,"DAF_Award",J$2,PF,PT))</f>
        <v>5383.51</v>
      </c>
      <c r="K23" s="39">
        <f>IF(TRUE,34334.59,_xll.PSFx2BAL(CN,"*","GLCode",$B23,"DAF_Award",K$2,PF,PT))</f>
        <v>34334.589999999997</v>
      </c>
      <c r="L23" s="39">
        <f>IF(TRUE,11901.47,_xll.PSFx2BAL(CN,"*","GLCode",$B23,"DAF_Award",L$2,PF,PT))</f>
        <v>11901.47</v>
      </c>
      <c r="M23" s="39">
        <f>IF(TRUE,5086.67,_xll.PSFx2BAL(CN,"*","GLCode",$B23,"DAF_Award",M$2,PF,PT))</f>
        <v>5086.67</v>
      </c>
      <c r="N23" s="39">
        <f>IF(TRUE,8293.71,_xll.PSFx2BAL(CN,"*","GLCode",$B23,"DAF_Award",N$2,PF,PT))</f>
        <v>8293.7099999999991</v>
      </c>
      <c r="O23" s="39">
        <f>IF(TRUE,0,_xll.PSFx2BAL(CN,"*","GLCode",$B23,"DAF_Award",O$2,PF,PT))</f>
        <v>0</v>
      </c>
      <c r="P23" s="39">
        <f>IF(TRUE,17396.98,_xll.PSFx2BAL(CN,"*","GLCode",$B23,"DAF_Award",P$2,PF,PT))</f>
        <v>17396.98</v>
      </c>
      <c r="Q23" s="39">
        <f>IF(TRUE,11504.13,_xll.PSFx2BAL(CN,"*","GLCode",$B23,"DAF_Award",Q$2,PF,PT))</f>
        <v>11504.13</v>
      </c>
      <c r="R23" s="39">
        <f>IF(TRUE,2236.23,_xll.PSFx2BAL(CN,"*","GLCode",$B23,"DAF_Award",R$2,PF,PT))</f>
        <v>2236.23</v>
      </c>
      <c r="S23" s="39">
        <f>IF(TRUE,0,_xll.PSFx2BAL(CN,"*","GLCode",$B23,"DAF_Award",S$2,PF,PT))</f>
        <v>0</v>
      </c>
      <c r="T23" s="39">
        <f>IF(TRUE,19572.22,_xll.PSFx2BAL(CN,"*","GLCode",$B23,"DAF_Award",T$2,PF,PT))</f>
        <v>19572.22</v>
      </c>
      <c r="U23" s="39">
        <f>IF(TRUE,0,_xll.PSFx2BAL(CN,"*","GLCode",$B23,"DAF_Award",U$2,PF,PT))</f>
        <v>0</v>
      </c>
      <c r="V23" s="39">
        <f>IF(TRUE,3550.55,_xll.PSFx2BAL(CN,"*","GLCode",$B23,"DAF_Award",V$2,PF,PT))</f>
        <v>3550.55</v>
      </c>
      <c r="W23" s="39">
        <f>IF(TRUE,0,_xll.PSFx2BAL(CN,"*","GLCode",$B23,"DAF_Award",W$2,PF,PT))</f>
        <v>0</v>
      </c>
      <c r="X23" s="39">
        <f>IF(TRUE,0,_xll.PSFx2BAL(CN,"*","GLCode",$B23,"DAF_Award",X$2,PF,PT))</f>
        <v>0</v>
      </c>
      <c r="Y23" s="39">
        <f>IF(TRUE,0,_xll.PSFx2BAL(CN,"*","GLCode",$B23,"DAF_Award",Y$2,PF,PT))</f>
        <v>0</v>
      </c>
      <c r="Z23" s="39">
        <f>IF(TRUE,0,_xll.PSFx2BAL(CN,"*","GLCode",$B23,"DAF_Award",Z$2,PF,PT))</f>
        <v>0</v>
      </c>
      <c r="AA23" s="39">
        <f>IF(TRUE,0,_xll.PSFx2BAL(CN,"*","GLCode",$B23,"DAF_Award",AA$2,PF,PT))</f>
        <v>0</v>
      </c>
      <c r="AB23" s="39">
        <f>IF(TRUE,0,_xll.PSFx2BAL(CN,"*","GLCode",$B23,"DAF_Award",AB$2,PF,PT))</f>
        <v>0</v>
      </c>
      <c r="AC23" s="39">
        <f>IF(TRUE,0,_xll.PSFx2BAL(CN,"*","GLCode",$B23,"DAF_Award",AC$2,PF,PT))</f>
        <v>0</v>
      </c>
      <c r="AD23" s="39">
        <f>IF(TRUE,0,_xll.PSFx2BAL(CN,"*","GLCode",$B23,"DAF_Award",AD$2,PF,PT))</f>
        <v>0</v>
      </c>
      <c r="AE23" s="39">
        <f>IF(TRUE,0,_xll.PSFx2BAL(CN,"*","GLCode",$B23,"DAF_Award",AE$2,PF,PT))</f>
        <v>0</v>
      </c>
      <c r="AF23" s="39">
        <f>IF(TRUE,0,_xll.PSFx2BAL(CN,"*","GLCode",$B23,"DAF_Award",AF$2,PF,PT))</f>
        <v>0</v>
      </c>
      <c r="AG23" s="39">
        <f>IF(TRUE,0,_xll.PSFx2BAL(CN,"*","GLCode",$B23,"DAF_Award",AG$2,PF,PT))</f>
        <v>0</v>
      </c>
      <c r="AH23" s="39">
        <f>IF(TRUE,802171.25,_xll.PSFx2BAL(CN,"*","GLCode",$B23,"DAF_Award",AH$2,PF,PT))</f>
        <v>802171.25</v>
      </c>
      <c r="AI23" s="274">
        <f t="shared" si="34"/>
        <v>0</v>
      </c>
      <c r="AJ23" s="18">
        <f>VLOOKUP(B23,TB!$B$5:$E$140,4,FALSE)</f>
        <v>1581148.4</v>
      </c>
      <c r="AL23" s="39">
        <f t="shared" si="35"/>
        <v>802171.25</v>
      </c>
      <c r="AM23" s="39">
        <f t="shared" si="36"/>
        <v>778977.14999999991</v>
      </c>
    </row>
    <row r="24" spans="1:39" hidden="1" x14ac:dyDescent="0.2">
      <c r="A24" s="1">
        <f t="shared" si="33"/>
        <v>7001</v>
      </c>
      <c r="B24" t="s">
        <v>288</v>
      </c>
      <c r="C24" t="s">
        <v>289</v>
      </c>
      <c r="D24" s="39">
        <f>IF(TRUE,0,_xll.PSFx2BAL(CN,"*","GLCode",$B24,"DAF_Award",D$2,PF,PT))</f>
        <v>0</v>
      </c>
      <c r="E24" s="39">
        <f>IF(TRUE,0,_xll.PSFx2BAL(CN,"*","GLCode",$B24,"DAF_Award",E$2,PF,PT))</f>
        <v>0</v>
      </c>
      <c r="F24" s="39">
        <f>IF(TRUE,0,_xll.PSFx2BAL(CN,"*","GLCode",$B24,"DAF_Award",F$2,PF,PT))</f>
        <v>0</v>
      </c>
      <c r="G24" s="39">
        <f>IF(TRUE,0,_xll.PSFx2BAL(CN,"*","GLCode",$B24,"DAF_Award",G$2,PF,PT))</f>
        <v>0</v>
      </c>
      <c r="H24" s="39">
        <f>IF(TRUE,0,_xll.PSFx2BAL(CN,"*","GLCode",$B24,"DAF_Award",H$2,PF,PT))</f>
        <v>0</v>
      </c>
      <c r="I24" s="39">
        <f>IF(TRUE,0,_xll.PSFx2BAL(CN,"*","GLCode",$B24,"DAF_Award",I$2,PF,PT))</f>
        <v>0</v>
      </c>
      <c r="J24" s="39">
        <f>IF(TRUE,0,_xll.PSFx2BAL(CN,"*","GLCode",$B24,"DAF_Award",J$2,PF,PT))</f>
        <v>0</v>
      </c>
      <c r="K24" s="39">
        <f>IF(TRUE,0,_xll.PSFx2BAL(CN,"*","GLCode",$B24,"DAF_Award",K$2,PF,PT))</f>
        <v>0</v>
      </c>
      <c r="L24" s="39">
        <f>IF(TRUE,0,_xll.PSFx2BAL(CN,"*","GLCode",$B24,"DAF_Award",L$2,PF,PT))</f>
        <v>0</v>
      </c>
      <c r="M24" s="39">
        <f>IF(TRUE,0,_xll.PSFx2BAL(CN,"*","GLCode",$B24,"DAF_Award",M$2,PF,PT))</f>
        <v>0</v>
      </c>
      <c r="N24" s="39">
        <f>IF(TRUE,0,_xll.PSFx2BAL(CN,"*","GLCode",$B24,"DAF_Award",N$2,PF,PT))</f>
        <v>0</v>
      </c>
      <c r="O24" s="39">
        <f>IF(TRUE,0,_xll.PSFx2BAL(CN,"*","GLCode",$B24,"DAF_Award",O$2,PF,PT))</f>
        <v>0</v>
      </c>
      <c r="P24" s="39">
        <f>IF(TRUE,0,_xll.PSFx2BAL(CN,"*","GLCode",$B24,"DAF_Award",P$2,PF,PT))</f>
        <v>0</v>
      </c>
      <c r="Q24" s="39">
        <f>IF(TRUE,0,_xll.PSFx2BAL(CN,"*","GLCode",$B24,"DAF_Award",Q$2,PF,PT))</f>
        <v>0</v>
      </c>
      <c r="R24" s="39">
        <f>IF(TRUE,0,_xll.PSFx2BAL(CN,"*","GLCode",$B24,"DAF_Award",R$2,PF,PT))</f>
        <v>0</v>
      </c>
      <c r="S24" s="39">
        <f>IF(TRUE,0,_xll.PSFx2BAL(CN,"*","GLCode",$B24,"DAF_Award",S$2,PF,PT))</f>
        <v>0</v>
      </c>
      <c r="T24" s="39">
        <f>IF(TRUE,0,_xll.PSFx2BAL(CN,"*","GLCode",$B24,"DAF_Award",T$2,PF,PT))</f>
        <v>0</v>
      </c>
      <c r="U24" s="39">
        <f>IF(TRUE,0,_xll.PSFx2BAL(CN,"*","GLCode",$B24,"DAF_Award",U$2,PF,PT))</f>
        <v>0</v>
      </c>
      <c r="V24" s="39">
        <f>IF(TRUE,0,_xll.PSFx2BAL(CN,"*","GLCode",$B24,"DAF_Award",V$2,PF,PT))</f>
        <v>0</v>
      </c>
      <c r="W24" s="39">
        <f>IF(TRUE,0,_xll.PSFx2BAL(CN,"*","GLCode",$B24,"DAF_Award",W$2,PF,PT))</f>
        <v>0</v>
      </c>
      <c r="X24" s="39">
        <f>IF(TRUE,0,_xll.PSFx2BAL(CN,"*","GLCode",$B24,"DAF_Award",X$2,PF,PT))</f>
        <v>0</v>
      </c>
      <c r="Y24" s="39">
        <f>IF(TRUE,0,_xll.PSFx2BAL(CN,"*","GLCode",$B24,"DAF_Award",Y$2,PF,PT))</f>
        <v>0</v>
      </c>
      <c r="Z24" s="39">
        <f>IF(TRUE,0,_xll.PSFx2BAL(CN,"*","GLCode",$B24,"DAF_Award",Z$2,PF,PT))</f>
        <v>0</v>
      </c>
      <c r="AA24" s="39">
        <f>IF(TRUE,0,_xll.PSFx2BAL(CN,"*","GLCode",$B24,"DAF_Award",AA$2,PF,PT))</f>
        <v>0</v>
      </c>
      <c r="AB24" s="39">
        <f>IF(TRUE,0,_xll.PSFx2BAL(CN,"*","GLCode",$B24,"DAF_Award",AB$2,PF,PT))</f>
        <v>0</v>
      </c>
      <c r="AC24" s="39">
        <f>IF(TRUE,0,_xll.PSFx2BAL(CN,"*","GLCode",$B24,"DAF_Award",AC$2,PF,PT))</f>
        <v>0</v>
      </c>
      <c r="AD24" s="39">
        <f>IF(TRUE,0,_xll.PSFx2BAL(CN,"*","GLCode",$B24,"DAF_Award",AD$2,PF,PT))</f>
        <v>0</v>
      </c>
      <c r="AE24" s="39">
        <f>IF(TRUE,0,_xll.PSFx2BAL(CN,"*","GLCode",$B24,"DAF_Award",AE$2,PF,PT))</f>
        <v>0</v>
      </c>
      <c r="AF24" s="39">
        <f>IF(TRUE,0,_xll.PSFx2BAL(CN,"*","GLCode",$B24,"DAF_Award",AF$2,PF,PT))</f>
        <v>0</v>
      </c>
      <c r="AG24" s="39">
        <f>IF(TRUE,0,_xll.PSFx2BAL(CN,"*","GLCode",$B24,"DAF_Award",AG$2,PF,PT))</f>
        <v>0</v>
      </c>
      <c r="AH24" s="39">
        <f>IF(TRUE,0,_xll.PSFx2BAL(CN,"*","GLCode",$B24,"DAF_Award",AH$2,PF,PT))</f>
        <v>0</v>
      </c>
      <c r="AI24" s="39">
        <f t="shared" si="34"/>
        <v>0</v>
      </c>
      <c r="AJ24" s="18">
        <f>VLOOKUP(B24,TB!$B$5:$E$140,4,FALSE)</f>
        <v>0</v>
      </c>
      <c r="AL24" s="39">
        <f t="shared" si="35"/>
        <v>0</v>
      </c>
      <c r="AM24" s="39">
        <f t="shared" si="36"/>
        <v>0</v>
      </c>
    </row>
    <row r="25" spans="1:39" hidden="1" x14ac:dyDescent="0.2">
      <c r="A25" s="1">
        <f t="shared" si="33"/>
        <v>7002</v>
      </c>
      <c r="B25" t="s">
        <v>290</v>
      </c>
      <c r="C25" t="s">
        <v>291</v>
      </c>
      <c r="D25" s="39">
        <f>IF(TRUE,0,_xll.PSFx2BAL(CN,"*","GLCode",$B25,"DAF_Award",D$2,PF,PT))</f>
        <v>0</v>
      </c>
      <c r="E25" s="39">
        <f>IF(TRUE,0,_xll.PSFx2BAL(CN,"*","GLCode",$B25,"DAF_Award",E$2,PF,PT))</f>
        <v>0</v>
      </c>
      <c r="F25" s="39">
        <f>IF(TRUE,0,_xll.PSFx2BAL(CN,"*","GLCode",$B25,"DAF_Award",F$2,PF,PT))</f>
        <v>0</v>
      </c>
      <c r="G25" s="39">
        <f>IF(TRUE,0,_xll.PSFx2BAL(CN,"*","GLCode",$B25,"DAF_Award",G$2,PF,PT))</f>
        <v>0</v>
      </c>
      <c r="H25" s="39">
        <f>IF(TRUE,0,_xll.PSFx2BAL(CN,"*","GLCode",$B25,"DAF_Award",H$2,PF,PT))</f>
        <v>0</v>
      </c>
      <c r="I25" s="39">
        <f>IF(TRUE,0,_xll.PSFx2BAL(CN,"*","GLCode",$B25,"DAF_Award",I$2,PF,PT))</f>
        <v>0</v>
      </c>
      <c r="J25" s="39">
        <f>IF(TRUE,0,_xll.PSFx2BAL(CN,"*","GLCode",$B25,"DAF_Award",J$2,PF,PT))</f>
        <v>0</v>
      </c>
      <c r="K25" s="39">
        <f>IF(TRUE,0,_xll.PSFx2BAL(CN,"*","GLCode",$B25,"DAF_Award",K$2,PF,PT))</f>
        <v>0</v>
      </c>
      <c r="L25" s="39">
        <f>IF(TRUE,0,_xll.PSFx2BAL(CN,"*","GLCode",$B25,"DAF_Award",L$2,PF,PT))</f>
        <v>0</v>
      </c>
      <c r="M25" s="39">
        <f>IF(TRUE,0,_xll.PSFx2BAL(CN,"*","GLCode",$B25,"DAF_Award",M$2,PF,PT))</f>
        <v>0</v>
      </c>
      <c r="N25" s="39">
        <f>IF(TRUE,0,_xll.PSFx2BAL(CN,"*","GLCode",$B25,"DAF_Award",N$2,PF,PT))</f>
        <v>0</v>
      </c>
      <c r="O25" s="39">
        <f>IF(TRUE,0,_xll.PSFx2BAL(CN,"*","GLCode",$B25,"DAF_Award",O$2,PF,PT))</f>
        <v>0</v>
      </c>
      <c r="P25" s="39">
        <f>IF(TRUE,0,_xll.PSFx2BAL(CN,"*","GLCode",$B25,"DAF_Award",P$2,PF,PT))</f>
        <v>0</v>
      </c>
      <c r="Q25" s="39">
        <f>IF(TRUE,0,_xll.PSFx2BAL(CN,"*","GLCode",$B25,"DAF_Award",Q$2,PF,PT))</f>
        <v>0</v>
      </c>
      <c r="R25" s="39">
        <f>IF(TRUE,0,_xll.PSFx2BAL(CN,"*","GLCode",$B25,"DAF_Award",R$2,PF,PT))</f>
        <v>0</v>
      </c>
      <c r="S25" s="39">
        <f>IF(TRUE,0,_xll.PSFx2BAL(CN,"*","GLCode",$B25,"DAF_Award",S$2,PF,PT))</f>
        <v>0</v>
      </c>
      <c r="T25" s="39">
        <f>IF(TRUE,0,_xll.PSFx2BAL(CN,"*","GLCode",$B25,"DAF_Award",T$2,PF,PT))</f>
        <v>0</v>
      </c>
      <c r="U25" s="39">
        <f>IF(TRUE,0,_xll.PSFx2BAL(CN,"*","GLCode",$B25,"DAF_Award",U$2,PF,PT))</f>
        <v>0</v>
      </c>
      <c r="V25" s="39">
        <f>IF(TRUE,0,_xll.PSFx2BAL(CN,"*","GLCode",$B25,"DAF_Award",V$2,PF,PT))</f>
        <v>0</v>
      </c>
      <c r="W25" s="39">
        <f>IF(TRUE,0,_xll.PSFx2BAL(CN,"*","GLCode",$B25,"DAF_Award",W$2,PF,PT))</f>
        <v>0</v>
      </c>
      <c r="X25" s="39">
        <f>IF(TRUE,0,_xll.PSFx2BAL(CN,"*","GLCode",$B25,"DAF_Award",X$2,PF,PT))</f>
        <v>0</v>
      </c>
      <c r="Y25" s="39">
        <f>IF(TRUE,0,_xll.PSFx2BAL(CN,"*","GLCode",$B25,"DAF_Award",Y$2,PF,PT))</f>
        <v>0</v>
      </c>
      <c r="Z25" s="39">
        <f>IF(TRUE,0,_xll.PSFx2BAL(CN,"*","GLCode",$B25,"DAF_Award",Z$2,PF,PT))</f>
        <v>0</v>
      </c>
      <c r="AA25" s="39">
        <f>IF(TRUE,0,_xll.PSFx2BAL(CN,"*","GLCode",$B25,"DAF_Award",AA$2,PF,PT))</f>
        <v>0</v>
      </c>
      <c r="AB25" s="39">
        <f>IF(TRUE,0,_xll.PSFx2BAL(CN,"*","GLCode",$B25,"DAF_Award",AB$2,PF,PT))</f>
        <v>0</v>
      </c>
      <c r="AC25" s="39">
        <f>IF(TRUE,0,_xll.PSFx2BAL(CN,"*","GLCode",$B25,"DAF_Award",AC$2,PF,PT))</f>
        <v>0</v>
      </c>
      <c r="AD25" s="39">
        <f>IF(TRUE,0,_xll.PSFx2BAL(CN,"*","GLCode",$B25,"DAF_Award",AD$2,PF,PT))</f>
        <v>0</v>
      </c>
      <c r="AE25" s="39">
        <f>IF(TRUE,0,_xll.PSFx2BAL(CN,"*","GLCode",$B25,"DAF_Award",AE$2,PF,PT))</f>
        <v>0</v>
      </c>
      <c r="AF25" s="39">
        <f>IF(TRUE,0,_xll.PSFx2BAL(CN,"*","GLCode",$B25,"DAF_Award",AF$2,PF,PT))</f>
        <v>0</v>
      </c>
      <c r="AG25" s="39">
        <f>IF(TRUE,0,_xll.PSFx2BAL(CN,"*","GLCode",$B25,"DAF_Award",AG$2,PF,PT))</f>
        <v>0</v>
      </c>
      <c r="AH25" s="39">
        <f>IF(TRUE,0,_xll.PSFx2BAL(CN,"*","GLCode",$B25,"DAF_Award",AH$2,PF,PT))</f>
        <v>0</v>
      </c>
      <c r="AI25" s="39">
        <f t="shared" si="34"/>
        <v>0</v>
      </c>
      <c r="AJ25" s="18">
        <f>VLOOKUP(B25,TB!$B$5:$E$140,4,FALSE)</f>
        <v>0</v>
      </c>
      <c r="AL25" s="39">
        <f t="shared" si="35"/>
        <v>0</v>
      </c>
      <c r="AM25" s="39">
        <f t="shared" si="36"/>
        <v>0</v>
      </c>
    </row>
    <row r="26" spans="1:39" x14ac:dyDescent="0.2">
      <c r="A26" s="1">
        <f t="shared" si="33"/>
        <v>7010</v>
      </c>
      <c r="B26" t="s">
        <v>58</v>
      </c>
      <c r="C26" t="s">
        <v>59</v>
      </c>
      <c r="D26" s="39">
        <f>IF(TRUE,44366.7,_xll.PSFx2BAL(CN,"*","GLCode",$B26,"DAF_Award",D$2,PF,PT))</f>
        <v>44366.7</v>
      </c>
      <c r="E26" s="39">
        <f>IF(TRUE,7740.91,_xll.PSFx2BAL(CN,"*","GLCode",$B26,"DAF_Award",E$2,PF,PT))</f>
        <v>7740.91</v>
      </c>
      <c r="F26" s="39">
        <f>IF(TRUE,0,_xll.PSFx2BAL(CN,"*","GLCode",$B26,"DAF_Award",F$2,PF,PT))</f>
        <v>0</v>
      </c>
      <c r="G26" s="39">
        <f>IF(TRUE,0,_xll.PSFx2BAL(CN,"*","GLCode",$B26,"DAF_Award",G$2,PF,PT))</f>
        <v>0</v>
      </c>
      <c r="H26" s="39">
        <f>IF(TRUE,0,_xll.PSFx2BAL(CN,"*","GLCode",$B26,"DAF_Award",H$2,PF,PT))</f>
        <v>0</v>
      </c>
      <c r="I26" s="39">
        <f>IF(TRUE,0,_xll.PSFx2BAL(CN,"*","GLCode",$B26,"DAF_Award",I$2,PF,PT))</f>
        <v>0</v>
      </c>
      <c r="J26" s="39">
        <f>IF(TRUE,0,_xll.PSFx2BAL(CN,"*","GLCode",$B26,"DAF_Award",J$2,PF,PT))</f>
        <v>0</v>
      </c>
      <c r="K26" s="39">
        <f>IF(TRUE,0,_xll.PSFx2BAL(CN,"*","GLCode",$B26,"DAF_Award",K$2,PF,PT))</f>
        <v>0</v>
      </c>
      <c r="L26" s="39">
        <f>IF(TRUE,3367,_xll.PSFx2BAL(CN,"*","GLCode",$B26,"DAF_Award",L$2,PF,PT))</f>
        <v>3367</v>
      </c>
      <c r="M26" s="39">
        <f>IF(TRUE,2611,_xll.PSFx2BAL(CN,"*","GLCode",$B26,"DAF_Award",M$2,PF,PT))</f>
        <v>2611</v>
      </c>
      <c r="N26" s="39">
        <f>IF(TRUE,0,_xll.PSFx2BAL(CN,"*","GLCode",$B26,"DAF_Award",N$2,PF,PT))</f>
        <v>0</v>
      </c>
      <c r="O26" s="39">
        <f>IF(TRUE,13707.87,_xll.PSFx2BAL(CN,"*","GLCode",$B26,"DAF_Award",O$2,PF,PT))</f>
        <v>13707.87</v>
      </c>
      <c r="P26" s="39">
        <f>IF(TRUE,0,_xll.PSFx2BAL(CN,"*","GLCode",$B26,"DAF_Award",P$2,PF,PT))</f>
        <v>0</v>
      </c>
      <c r="Q26" s="39">
        <f>IF(TRUE,0,_xll.PSFx2BAL(CN,"*","GLCode",$B26,"DAF_Award",Q$2,PF,PT))</f>
        <v>0</v>
      </c>
      <c r="R26" s="39">
        <f>IF(TRUE,0,_xll.PSFx2BAL(CN,"*","GLCode",$B26,"DAF_Award",R$2,PF,PT))</f>
        <v>0</v>
      </c>
      <c r="S26" s="39">
        <f>IF(TRUE,0,_xll.PSFx2BAL(CN,"*","GLCode",$B26,"DAF_Award",S$2,PF,PT))</f>
        <v>0</v>
      </c>
      <c r="T26" s="39">
        <f>IF(TRUE,0,_xll.PSFx2BAL(CN,"*","GLCode",$B26,"DAF_Award",T$2,PF,PT))</f>
        <v>0</v>
      </c>
      <c r="U26" s="39">
        <f>IF(TRUE,0,_xll.PSFx2BAL(CN,"*","GLCode",$B26,"DAF_Award",U$2,PF,PT))</f>
        <v>0</v>
      </c>
      <c r="V26" s="39">
        <f>IF(TRUE,0,_xll.PSFx2BAL(CN,"*","GLCode",$B26,"DAF_Award",V$2,PF,PT))</f>
        <v>0</v>
      </c>
      <c r="W26" s="39">
        <f>IF(TRUE,0,_xll.PSFx2BAL(CN,"*","GLCode",$B26,"DAF_Award",W$2,PF,PT))</f>
        <v>0</v>
      </c>
      <c r="X26" s="39">
        <f>IF(TRUE,0,_xll.PSFx2BAL(CN,"*","GLCode",$B26,"DAF_Award",X$2,PF,PT))</f>
        <v>0</v>
      </c>
      <c r="Y26" s="39">
        <f>IF(TRUE,0,_xll.PSFx2BAL(CN,"*","GLCode",$B26,"DAF_Award",Y$2,PF,PT))</f>
        <v>0</v>
      </c>
      <c r="Z26" s="39">
        <f>IF(TRUE,0,_xll.PSFx2BAL(CN,"*","GLCode",$B26,"DAF_Award",Z$2,PF,PT))</f>
        <v>0</v>
      </c>
      <c r="AA26" s="39">
        <f>IF(TRUE,0,_xll.PSFx2BAL(CN,"*","GLCode",$B26,"DAF_Award",AA$2,PF,PT))</f>
        <v>0</v>
      </c>
      <c r="AB26" s="39">
        <f>IF(TRUE,0,_xll.PSFx2BAL(CN,"*","GLCode",$B26,"DAF_Award",AB$2,PF,PT))</f>
        <v>0</v>
      </c>
      <c r="AC26" s="39">
        <f>IF(TRUE,0,_xll.PSFx2BAL(CN,"*","GLCode",$B26,"DAF_Award",AC$2,PF,PT))</f>
        <v>0</v>
      </c>
      <c r="AD26" s="39">
        <f>IF(TRUE,0,_xll.PSFx2BAL(CN,"*","GLCode",$B26,"DAF_Award",AD$2,PF,PT))</f>
        <v>0</v>
      </c>
      <c r="AE26" s="39">
        <f>IF(TRUE,0,_xll.PSFx2BAL(CN,"*","GLCode",$B26,"DAF_Award",AE$2,PF,PT))</f>
        <v>0</v>
      </c>
      <c r="AF26" s="39">
        <f>IF(TRUE,0,_xll.PSFx2BAL(CN,"*","GLCode",$B26,"DAF_Award",AF$2,PF,PT))</f>
        <v>0</v>
      </c>
      <c r="AG26" s="39">
        <f>IF(TRUE,0,_xll.PSFx2BAL(CN,"*","GLCode",$B26,"DAF_Award",AG$2,PF,PT))</f>
        <v>0</v>
      </c>
      <c r="AH26" s="39">
        <f>IF(TRUE,157155.1,_xll.PSFx2BAL(CN,"*","GLCode",$B26,"DAF_Award",AH$2,PF,PT))</f>
        <v>157155.1</v>
      </c>
      <c r="AI26" s="274">
        <f t="shared" si="34"/>
        <v>0</v>
      </c>
      <c r="AJ26" s="18">
        <f>VLOOKUP(B26,TB!$B$5:$E$140,4,FALSE)</f>
        <v>228948.58</v>
      </c>
      <c r="AL26" s="39">
        <f t="shared" si="35"/>
        <v>157155.1</v>
      </c>
      <c r="AM26" s="39">
        <f t="shared" si="36"/>
        <v>71793.479999999981</v>
      </c>
    </row>
    <row r="27" spans="1:39" x14ac:dyDescent="0.2">
      <c r="A27" s="1">
        <f t="shared" si="33"/>
        <v>7011</v>
      </c>
      <c r="B27" t="s">
        <v>60</v>
      </c>
      <c r="C27" t="s">
        <v>61</v>
      </c>
      <c r="D27" s="39">
        <f>IF(TRUE,0,_xll.PSFx2BAL(CN,"*","GLCode",$B27,"DAF_Award",D$2,PF,PT))</f>
        <v>0</v>
      </c>
      <c r="E27" s="39">
        <f>IF(TRUE,0,_xll.PSFx2BAL(CN,"*","GLCode",$B27,"DAF_Award",E$2,PF,PT))</f>
        <v>0</v>
      </c>
      <c r="F27" s="39">
        <f>IF(TRUE,0,_xll.PSFx2BAL(CN,"*","GLCode",$B27,"DAF_Award",F$2,PF,PT))</f>
        <v>0</v>
      </c>
      <c r="G27" s="39">
        <f>IF(TRUE,0,_xll.PSFx2BAL(CN,"*","GLCode",$B27,"DAF_Award",G$2,PF,PT))</f>
        <v>0</v>
      </c>
      <c r="H27" s="39">
        <f>IF(TRUE,0,_xll.PSFx2BAL(CN,"*","GLCode",$B27,"DAF_Award",H$2,PF,PT))</f>
        <v>0</v>
      </c>
      <c r="I27" s="39">
        <f>IF(TRUE,0,_xll.PSFx2BAL(CN,"*","GLCode",$B27,"DAF_Award",I$2,PF,PT))</f>
        <v>0</v>
      </c>
      <c r="J27" s="39">
        <f>IF(TRUE,0,_xll.PSFx2BAL(CN,"*","GLCode",$B27,"DAF_Award",J$2,PF,PT))</f>
        <v>0</v>
      </c>
      <c r="K27" s="39">
        <f>IF(TRUE,853.18,_xll.PSFx2BAL(CN,"*","GLCode",$B27,"DAF_Award",K$2,PF,PT))</f>
        <v>853.18</v>
      </c>
      <c r="L27" s="39">
        <f>IF(TRUE,0,_xll.PSFx2BAL(CN,"*","GLCode",$B27,"DAF_Award",L$2,PF,PT))</f>
        <v>0</v>
      </c>
      <c r="M27" s="39">
        <f>IF(TRUE,0,_xll.PSFx2BAL(CN,"*","GLCode",$B27,"DAF_Award",M$2,PF,PT))</f>
        <v>0</v>
      </c>
      <c r="N27" s="39">
        <f>IF(TRUE,0,_xll.PSFx2BAL(CN,"*","GLCode",$B27,"DAF_Award",N$2,PF,PT))</f>
        <v>0</v>
      </c>
      <c r="O27" s="39">
        <f>IF(TRUE,0,_xll.PSFx2BAL(CN,"*","GLCode",$B27,"DAF_Award",O$2,PF,PT))</f>
        <v>0</v>
      </c>
      <c r="P27" s="39">
        <f>IF(TRUE,568.79,_xll.PSFx2BAL(CN,"*","GLCode",$B27,"DAF_Award",P$2,PF,PT))</f>
        <v>568.79</v>
      </c>
      <c r="Q27" s="39">
        <f>IF(TRUE,0,_xll.PSFx2BAL(CN,"*","GLCode",$B27,"DAF_Award",Q$2,PF,PT))</f>
        <v>0</v>
      </c>
      <c r="R27" s="39">
        <f>IF(TRUE,0,_xll.PSFx2BAL(CN,"*","GLCode",$B27,"DAF_Award",R$2,PF,PT))</f>
        <v>0</v>
      </c>
      <c r="S27" s="39">
        <f>IF(TRUE,0,_xll.PSFx2BAL(CN,"*","GLCode",$B27,"DAF_Award",S$2,PF,PT))</f>
        <v>0</v>
      </c>
      <c r="T27" s="39">
        <f>IF(TRUE,0,_xll.PSFx2BAL(CN,"*","GLCode",$B27,"DAF_Award",T$2,PF,PT))</f>
        <v>0</v>
      </c>
      <c r="U27" s="39">
        <f>IF(TRUE,0,_xll.PSFx2BAL(CN,"*","GLCode",$B27,"DAF_Award",U$2,PF,PT))</f>
        <v>0</v>
      </c>
      <c r="V27" s="39">
        <f>IF(TRUE,0,_xll.PSFx2BAL(CN,"*","GLCode",$B27,"DAF_Award",V$2,PF,PT))</f>
        <v>0</v>
      </c>
      <c r="W27" s="39">
        <f>IF(TRUE,0,_xll.PSFx2BAL(CN,"*","GLCode",$B27,"DAF_Award",W$2,PF,PT))</f>
        <v>0</v>
      </c>
      <c r="X27" s="39">
        <f>IF(TRUE,0,_xll.PSFx2BAL(CN,"*","GLCode",$B27,"DAF_Award",X$2,PF,PT))</f>
        <v>0</v>
      </c>
      <c r="Y27" s="39">
        <f>IF(TRUE,0,_xll.PSFx2BAL(CN,"*","GLCode",$B27,"DAF_Award",Y$2,PF,PT))</f>
        <v>0</v>
      </c>
      <c r="Z27" s="39">
        <f>IF(TRUE,0,_xll.PSFx2BAL(CN,"*","GLCode",$B27,"DAF_Award",Z$2,PF,PT))</f>
        <v>0</v>
      </c>
      <c r="AA27" s="39">
        <f>IF(TRUE,0,_xll.PSFx2BAL(CN,"*","GLCode",$B27,"DAF_Award",AA$2,PF,PT))</f>
        <v>0</v>
      </c>
      <c r="AB27" s="39">
        <f>IF(TRUE,0,_xll.PSFx2BAL(CN,"*","GLCode",$B27,"DAF_Award",AB$2,PF,PT))</f>
        <v>0</v>
      </c>
      <c r="AC27" s="39">
        <f>IF(TRUE,0,_xll.PSFx2BAL(CN,"*","GLCode",$B27,"DAF_Award",AC$2,PF,PT))</f>
        <v>0</v>
      </c>
      <c r="AD27" s="39">
        <f>IF(TRUE,0,_xll.PSFx2BAL(CN,"*","GLCode",$B27,"DAF_Award",AD$2,PF,PT))</f>
        <v>0</v>
      </c>
      <c r="AE27" s="39">
        <f>IF(TRUE,0,_xll.PSFx2BAL(CN,"*","GLCode",$B27,"DAF_Award",AE$2,PF,PT))</f>
        <v>0</v>
      </c>
      <c r="AF27" s="39">
        <f>IF(TRUE,0,_xll.PSFx2BAL(CN,"*","GLCode",$B27,"DAF_Award",AF$2,PF,PT))</f>
        <v>0</v>
      </c>
      <c r="AG27" s="39">
        <f>IF(TRUE,0,_xll.PSFx2BAL(CN,"*","GLCode",$B27,"DAF_Award",AG$2,PF,PT))</f>
        <v>0</v>
      </c>
      <c r="AH27" s="39">
        <f>IF(TRUE,18044.58,_xll.PSFx2BAL(CN,"*","GLCode",$B27,"DAF_Award",AH$2,PF,PT))</f>
        <v>18044.580000000002</v>
      </c>
      <c r="AI27" s="274">
        <f t="shared" si="34"/>
        <v>0</v>
      </c>
      <c r="AJ27" s="18">
        <f>VLOOKUP(B27,TB!$B$5:$E$140,4,FALSE)</f>
        <v>19466.55</v>
      </c>
      <c r="AL27" s="39">
        <f t="shared" si="35"/>
        <v>18044.580000000002</v>
      </c>
      <c r="AM27" s="39">
        <f t="shared" si="36"/>
        <v>1421.9699999999975</v>
      </c>
    </row>
    <row r="28" spans="1:39" x14ac:dyDescent="0.2">
      <c r="A28" s="1">
        <f t="shared" si="33"/>
        <v>7020</v>
      </c>
      <c r="B28" t="s">
        <v>62</v>
      </c>
      <c r="C28" t="s">
        <v>63</v>
      </c>
      <c r="D28" s="39">
        <f>IF(TRUE,0,_xll.PSFx2BAL(CN,"*","GLCode",$B28,"DAF_Award",D$2,PF,PT))</f>
        <v>0</v>
      </c>
      <c r="E28" s="39">
        <f>IF(TRUE,0,_xll.PSFx2BAL(CN,"*","GLCode",$B28,"DAF_Award",E$2,PF,PT))</f>
        <v>0</v>
      </c>
      <c r="F28" s="39">
        <f>IF(TRUE,0,_xll.PSFx2BAL(CN,"*","GLCode",$B28,"DAF_Award",F$2,PF,PT))</f>
        <v>0</v>
      </c>
      <c r="G28" s="39">
        <f>IF(TRUE,0,_xll.PSFx2BAL(CN,"*","GLCode",$B28,"DAF_Award",G$2,PF,PT))</f>
        <v>0</v>
      </c>
      <c r="H28" s="39">
        <f>IF(TRUE,0,_xll.PSFx2BAL(CN,"*","GLCode",$B28,"DAF_Award",H$2,PF,PT))</f>
        <v>0</v>
      </c>
      <c r="I28" s="39">
        <f>IF(TRUE,0,_xll.PSFx2BAL(CN,"*","GLCode",$B28,"DAF_Award",I$2,PF,PT))</f>
        <v>0</v>
      </c>
      <c r="J28" s="39">
        <f>IF(TRUE,0,_xll.PSFx2BAL(CN,"*","GLCode",$B28,"DAF_Award",J$2,PF,PT))</f>
        <v>0</v>
      </c>
      <c r="K28" s="39">
        <f>IF(TRUE,0,_xll.PSFx2BAL(CN,"*","GLCode",$B28,"DAF_Award",K$2,PF,PT))</f>
        <v>0</v>
      </c>
      <c r="L28" s="39">
        <f>IF(TRUE,0,_xll.PSFx2BAL(CN,"*","GLCode",$B28,"DAF_Award",L$2,PF,PT))</f>
        <v>0</v>
      </c>
      <c r="M28" s="39">
        <f>IF(TRUE,0,_xll.PSFx2BAL(CN,"*","GLCode",$B28,"DAF_Award",M$2,PF,PT))</f>
        <v>0</v>
      </c>
      <c r="N28" s="39">
        <f>IF(TRUE,0,_xll.PSFx2BAL(CN,"*","GLCode",$B28,"DAF_Award",N$2,PF,PT))</f>
        <v>0</v>
      </c>
      <c r="O28" s="39">
        <f>IF(TRUE,0,_xll.PSFx2BAL(CN,"*","GLCode",$B28,"DAF_Award",O$2,PF,PT))</f>
        <v>0</v>
      </c>
      <c r="P28" s="39">
        <f>IF(TRUE,0,_xll.PSFx2BAL(CN,"*","GLCode",$B28,"DAF_Award",P$2,PF,PT))</f>
        <v>0</v>
      </c>
      <c r="Q28" s="39">
        <f>IF(TRUE,0,_xll.PSFx2BAL(CN,"*","GLCode",$B28,"DAF_Award",Q$2,PF,PT))</f>
        <v>0</v>
      </c>
      <c r="R28" s="39">
        <f>IF(TRUE,0,_xll.PSFx2BAL(CN,"*","GLCode",$B28,"DAF_Award",R$2,PF,PT))</f>
        <v>0</v>
      </c>
      <c r="S28" s="39">
        <f>IF(TRUE,0,_xll.PSFx2BAL(CN,"*","GLCode",$B28,"DAF_Award",S$2,PF,PT))</f>
        <v>0</v>
      </c>
      <c r="T28" s="39">
        <f>IF(TRUE,0,_xll.PSFx2BAL(CN,"*","GLCode",$B28,"DAF_Award",T$2,PF,PT))</f>
        <v>0</v>
      </c>
      <c r="U28" s="39">
        <f>IF(TRUE,0,_xll.PSFx2BAL(CN,"*","GLCode",$B28,"DAF_Award",U$2,PF,PT))</f>
        <v>0</v>
      </c>
      <c r="V28" s="39">
        <f>IF(TRUE,0,_xll.PSFx2BAL(CN,"*","GLCode",$B28,"DAF_Award",V$2,PF,PT))</f>
        <v>0</v>
      </c>
      <c r="W28" s="39">
        <f>IF(TRUE,0,_xll.PSFx2BAL(CN,"*","GLCode",$B28,"DAF_Award",W$2,PF,PT))</f>
        <v>0</v>
      </c>
      <c r="X28" s="39">
        <f>IF(TRUE,0,_xll.PSFx2BAL(CN,"*","GLCode",$B28,"DAF_Award",X$2,PF,PT))</f>
        <v>0</v>
      </c>
      <c r="Y28" s="39">
        <f>IF(TRUE,0,_xll.PSFx2BAL(CN,"*","GLCode",$B28,"DAF_Award",Y$2,PF,PT))</f>
        <v>0</v>
      </c>
      <c r="Z28" s="39">
        <f>IF(TRUE,0,_xll.PSFx2BAL(CN,"*","GLCode",$B28,"DAF_Award",Z$2,PF,PT))</f>
        <v>0</v>
      </c>
      <c r="AA28" s="39">
        <f>IF(TRUE,0,_xll.PSFx2BAL(CN,"*","GLCode",$B28,"DAF_Award",AA$2,PF,PT))</f>
        <v>0</v>
      </c>
      <c r="AB28" s="39">
        <f>IF(TRUE,0,_xll.PSFx2BAL(CN,"*","GLCode",$B28,"DAF_Award",AB$2,PF,PT))</f>
        <v>0</v>
      </c>
      <c r="AC28" s="39">
        <f>IF(TRUE,0,_xll.PSFx2BAL(CN,"*","GLCode",$B28,"DAF_Award",AC$2,PF,PT))</f>
        <v>0</v>
      </c>
      <c r="AD28" s="39">
        <f>IF(TRUE,0,_xll.PSFx2BAL(CN,"*","GLCode",$B28,"DAF_Award",AD$2,PF,PT))</f>
        <v>0</v>
      </c>
      <c r="AE28" s="39">
        <f>IF(TRUE,0,_xll.PSFx2BAL(CN,"*","GLCode",$B28,"DAF_Award",AE$2,PF,PT))</f>
        <v>0</v>
      </c>
      <c r="AF28" s="39">
        <f>IF(TRUE,0,_xll.PSFx2BAL(CN,"*","GLCode",$B28,"DAF_Award",AF$2,PF,PT))</f>
        <v>0</v>
      </c>
      <c r="AG28" s="39">
        <f>IF(TRUE,0,_xll.PSFx2BAL(CN,"*","GLCode",$B28,"DAF_Award",AG$2,PF,PT))</f>
        <v>0</v>
      </c>
      <c r="AH28" s="39">
        <f>IF(TRUE,0,_xll.PSFx2BAL(CN,"*","GLCode",$B28,"DAF_Award",AH$2,PF,PT))</f>
        <v>0</v>
      </c>
      <c r="AI28" s="39">
        <f t="shared" si="34"/>
        <v>11638.57</v>
      </c>
      <c r="AJ28" s="18">
        <f>VLOOKUP(B28,TB!$B$5:$E$140,4,FALSE)</f>
        <v>11638.57</v>
      </c>
      <c r="AL28" s="39">
        <f t="shared" si="35"/>
        <v>11638.57</v>
      </c>
      <c r="AM28" s="39">
        <f t="shared" si="36"/>
        <v>0</v>
      </c>
    </row>
    <row r="29" spans="1:39" x14ac:dyDescent="0.2">
      <c r="A29" s="1">
        <f t="shared" si="33"/>
        <v>7021</v>
      </c>
      <c r="B29" t="s">
        <v>64</v>
      </c>
      <c r="C29" t="s">
        <v>65</v>
      </c>
      <c r="D29" s="39">
        <f>IF(TRUE,0,_xll.PSFx2BAL(CN,"*","GLCode",$B29,"DAF_Award",D$2,PF,PT))</f>
        <v>0</v>
      </c>
      <c r="E29" s="39">
        <f>IF(TRUE,0,_xll.PSFx2BAL(CN,"*","GLCode",$B29,"DAF_Award",E$2,PF,PT))</f>
        <v>0</v>
      </c>
      <c r="F29" s="39">
        <f>IF(TRUE,0,_xll.PSFx2BAL(CN,"*","GLCode",$B29,"DAF_Award",F$2,PF,PT))</f>
        <v>0</v>
      </c>
      <c r="G29" s="39">
        <f>IF(TRUE,0,_xll.PSFx2BAL(CN,"*","GLCode",$B29,"DAF_Award",G$2,PF,PT))</f>
        <v>0</v>
      </c>
      <c r="H29" s="39">
        <f>IF(TRUE,0,_xll.PSFx2BAL(CN,"*","GLCode",$B29,"DAF_Award",H$2,PF,PT))</f>
        <v>0</v>
      </c>
      <c r="I29" s="39">
        <f>IF(TRUE,0,_xll.PSFx2BAL(CN,"*","GLCode",$B29,"DAF_Award",I$2,PF,PT))</f>
        <v>0</v>
      </c>
      <c r="J29" s="39">
        <f>IF(TRUE,0,_xll.PSFx2BAL(CN,"*","GLCode",$B29,"DAF_Award",J$2,PF,PT))</f>
        <v>0</v>
      </c>
      <c r="K29" s="39">
        <f>IF(TRUE,0,_xll.PSFx2BAL(CN,"*","GLCode",$B29,"DAF_Award",K$2,PF,PT))</f>
        <v>0</v>
      </c>
      <c r="L29" s="39">
        <f>IF(TRUE,0,_xll.PSFx2BAL(CN,"*","GLCode",$B29,"DAF_Award",L$2,PF,PT))</f>
        <v>0</v>
      </c>
      <c r="M29" s="39">
        <f>IF(TRUE,0,_xll.PSFx2BAL(CN,"*","GLCode",$B29,"DAF_Award",M$2,PF,PT))</f>
        <v>0</v>
      </c>
      <c r="N29" s="39">
        <f>IF(TRUE,0,_xll.PSFx2BAL(CN,"*","GLCode",$B29,"DAF_Award",N$2,PF,PT))</f>
        <v>0</v>
      </c>
      <c r="O29" s="39">
        <f>IF(TRUE,0,_xll.PSFx2BAL(CN,"*","GLCode",$B29,"DAF_Award",O$2,PF,PT))</f>
        <v>0</v>
      </c>
      <c r="P29" s="39">
        <f>IF(TRUE,0,_xll.PSFx2BAL(CN,"*","GLCode",$B29,"DAF_Award",P$2,PF,PT))</f>
        <v>0</v>
      </c>
      <c r="Q29" s="39">
        <f>IF(TRUE,0,_xll.PSFx2BAL(CN,"*","GLCode",$B29,"DAF_Award",Q$2,PF,PT))</f>
        <v>0</v>
      </c>
      <c r="R29" s="39">
        <f>IF(TRUE,0,_xll.PSFx2BAL(CN,"*","GLCode",$B29,"DAF_Award",R$2,PF,PT))</f>
        <v>0</v>
      </c>
      <c r="S29" s="39">
        <f>IF(TRUE,0,_xll.PSFx2BAL(CN,"*","GLCode",$B29,"DAF_Award",S$2,PF,PT))</f>
        <v>0</v>
      </c>
      <c r="T29" s="39">
        <f>IF(TRUE,0,_xll.PSFx2BAL(CN,"*","GLCode",$B29,"DAF_Award",T$2,PF,PT))</f>
        <v>0</v>
      </c>
      <c r="U29" s="39">
        <f>IF(TRUE,0,_xll.PSFx2BAL(CN,"*","GLCode",$B29,"DAF_Award",U$2,PF,PT))</f>
        <v>0</v>
      </c>
      <c r="V29" s="39">
        <f>IF(TRUE,0,_xll.PSFx2BAL(CN,"*","GLCode",$B29,"DAF_Award",V$2,PF,PT))</f>
        <v>0</v>
      </c>
      <c r="W29" s="39">
        <f>IF(TRUE,0,_xll.PSFx2BAL(CN,"*","GLCode",$B29,"DAF_Award",W$2,PF,PT))</f>
        <v>0</v>
      </c>
      <c r="X29" s="39">
        <f>IF(TRUE,0,_xll.PSFx2BAL(CN,"*","GLCode",$B29,"DAF_Award",X$2,PF,PT))</f>
        <v>0</v>
      </c>
      <c r="Y29" s="39">
        <f>IF(TRUE,0,_xll.PSFx2BAL(CN,"*","GLCode",$B29,"DAF_Award",Y$2,PF,PT))</f>
        <v>0</v>
      </c>
      <c r="Z29" s="39">
        <f>IF(TRUE,0,_xll.PSFx2BAL(CN,"*","GLCode",$B29,"DAF_Award",Z$2,PF,PT))</f>
        <v>0</v>
      </c>
      <c r="AA29" s="39">
        <f>IF(TRUE,0,_xll.PSFx2BAL(CN,"*","GLCode",$B29,"DAF_Award",AA$2,PF,PT))</f>
        <v>0</v>
      </c>
      <c r="AB29" s="39">
        <f>IF(TRUE,0,_xll.PSFx2BAL(CN,"*","GLCode",$B29,"DAF_Award",AB$2,PF,PT))</f>
        <v>0</v>
      </c>
      <c r="AC29" s="39">
        <f>IF(TRUE,0,_xll.PSFx2BAL(CN,"*","GLCode",$B29,"DAF_Award",AC$2,PF,PT))</f>
        <v>0</v>
      </c>
      <c r="AD29" s="39">
        <f>IF(TRUE,0,_xll.PSFx2BAL(CN,"*","GLCode",$B29,"DAF_Award",AD$2,PF,PT))</f>
        <v>0</v>
      </c>
      <c r="AE29" s="39">
        <f>IF(TRUE,0,_xll.PSFx2BAL(CN,"*","GLCode",$B29,"DAF_Award",AE$2,PF,PT))</f>
        <v>0</v>
      </c>
      <c r="AF29" s="39">
        <f>IF(TRUE,0,_xll.PSFx2BAL(CN,"*","GLCode",$B29,"DAF_Award",AF$2,PF,PT))</f>
        <v>0</v>
      </c>
      <c r="AG29" s="39">
        <f>IF(TRUE,0,_xll.PSFx2BAL(CN,"*","GLCode",$B29,"DAF_Award",AG$2,PF,PT))</f>
        <v>0</v>
      </c>
      <c r="AH29" s="39">
        <f>IF(TRUE,0,_xll.PSFx2BAL(CN,"*","GLCode",$B29,"DAF_Award",AH$2,PF,PT))</f>
        <v>0</v>
      </c>
      <c r="AI29" s="39">
        <f t="shared" si="34"/>
        <v>4444.8999999999996</v>
      </c>
      <c r="AJ29" s="18">
        <f>VLOOKUP(B29,TB!$B$5:$E$140,4,FALSE)</f>
        <v>4444.8999999999996</v>
      </c>
      <c r="AL29" s="39">
        <f t="shared" si="35"/>
        <v>4444.8999999999996</v>
      </c>
      <c r="AM29" s="39">
        <f t="shared" si="36"/>
        <v>0</v>
      </c>
    </row>
    <row r="30" spans="1:39" x14ac:dyDescent="0.2">
      <c r="A30" s="1">
        <f t="shared" si="33"/>
        <v>7023</v>
      </c>
      <c r="B30" t="s">
        <v>66</v>
      </c>
      <c r="C30" t="s">
        <v>67</v>
      </c>
      <c r="D30" s="39">
        <f>IF(TRUE,0,_xll.PSFx2BAL(CN,"*","GLCode",$B30,"DAF_Award",D$2,PF,PT))</f>
        <v>0</v>
      </c>
      <c r="E30" s="39">
        <f>IF(TRUE,0,_xll.PSFx2BAL(CN,"*","GLCode",$B30,"DAF_Award",E$2,PF,PT))</f>
        <v>0</v>
      </c>
      <c r="F30" s="39">
        <f>IF(TRUE,0,_xll.PSFx2BAL(CN,"*","GLCode",$B30,"DAF_Award",F$2,PF,PT))</f>
        <v>0</v>
      </c>
      <c r="G30" s="39">
        <f>IF(TRUE,0,_xll.PSFx2BAL(CN,"*","GLCode",$B30,"DAF_Award",G$2,PF,PT))</f>
        <v>0</v>
      </c>
      <c r="H30" s="39">
        <f>IF(TRUE,0,_xll.PSFx2BAL(CN,"*","GLCode",$B30,"DAF_Award",H$2,PF,PT))</f>
        <v>0</v>
      </c>
      <c r="I30" s="39">
        <f>IF(TRUE,0,_xll.PSFx2BAL(CN,"*","GLCode",$B30,"DAF_Award",I$2,PF,PT))</f>
        <v>0</v>
      </c>
      <c r="J30" s="39">
        <f>IF(TRUE,0,_xll.PSFx2BAL(CN,"*","GLCode",$B30,"DAF_Award",J$2,PF,PT))</f>
        <v>0</v>
      </c>
      <c r="K30" s="39">
        <f>IF(TRUE,0,_xll.PSFx2BAL(CN,"*","GLCode",$B30,"DAF_Award",K$2,PF,PT))</f>
        <v>0</v>
      </c>
      <c r="L30" s="39">
        <f>IF(TRUE,0,_xll.PSFx2BAL(CN,"*","GLCode",$B30,"DAF_Award",L$2,PF,PT))</f>
        <v>0</v>
      </c>
      <c r="M30" s="39">
        <f>IF(TRUE,0,_xll.PSFx2BAL(CN,"*","GLCode",$B30,"DAF_Award",M$2,PF,PT))</f>
        <v>0</v>
      </c>
      <c r="N30" s="39">
        <f>IF(TRUE,0,_xll.PSFx2BAL(CN,"*","GLCode",$B30,"DAF_Award",N$2,PF,PT))</f>
        <v>0</v>
      </c>
      <c r="O30" s="39">
        <f>IF(TRUE,0,_xll.PSFx2BAL(CN,"*","GLCode",$B30,"DAF_Award",O$2,PF,PT))</f>
        <v>0</v>
      </c>
      <c r="P30" s="39">
        <f>IF(TRUE,0,_xll.PSFx2BAL(CN,"*","GLCode",$B30,"DAF_Award",P$2,PF,PT))</f>
        <v>0</v>
      </c>
      <c r="Q30" s="39">
        <f>IF(TRUE,0,_xll.PSFx2BAL(CN,"*","GLCode",$B30,"DAF_Award",Q$2,PF,PT))</f>
        <v>0</v>
      </c>
      <c r="R30" s="39">
        <f>IF(TRUE,0,_xll.PSFx2BAL(CN,"*","GLCode",$B30,"DAF_Award",R$2,PF,PT))</f>
        <v>0</v>
      </c>
      <c r="S30" s="39">
        <f>IF(TRUE,0,_xll.PSFx2BAL(CN,"*","GLCode",$B30,"DAF_Award",S$2,PF,PT))</f>
        <v>0</v>
      </c>
      <c r="T30" s="39">
        <f>IF(TRUE,0,_xll.PSFx2BAL(CN,"*","GLCode",$B30,"DAF_Award",T$2,PF,PT))</f>
        <v>0</v>
      </c>
      <c r="U30" s="39">
        <f>IF(TRUE,0,_xll.PSFx2BAL(CN,"*","GLCode",$B30,"DAF_Award",U$2,PF,PT))</f>
        <v>0</v>
      </c>
      <c r="V30" s="39">
        <f>IF(TRUE,0,_xll.PSFx2BAL(CN,"*","GLCode",$B30,"DAF_Award",V$2,PF,PT))</f>
        <v>0</v>
      </c>
      <c r="W30" s="39">
        <f>IF(TRUE,0,_xll.PSFx2BAL(CN,"*","GLCode",$B30,"DAF_Award",W$2,PF,PT))</f>
        <v>0</v>
      </c>
      <c r="X30" s="39">
        <f>IF(TRUE,0,_xll.PSFx2BAL(CN,"*","GLCode",$B30,"DAF_Award",X$2,PF,PT))</f>
        <v>0</v>
      </c>
      <c r="Y30" s="39">
        <f>IF(TRUE,0,_xll.PSFx2BAL(CN,"*","GLCode",$B30,"DAF_Award",Y$2,PF,PT))</f>
        <v>0</v>
      </c>
      <c r="Z30" s="39">
        <f>IF(TRUE,0,_xll.PSFx2BAL(CN,"*","GLCode",$B30,"DAF_Award",Z$2,PF,PT))</f>
        <v>0</v>
      </c>
      <c r="AA30" s="39">
        <f>IF(TRUE,0,_xll.PSFx2BAL(CN,"*","GLCode",$B30,"DAF_Award",AA$2,PF,PT))</f>
        <v>0</v>
      </c>
      <c r="AB30" s="39">
        <f>IF(TRUE,0,_xll.PSFx2BAL(CN,"*","GLCode",$B30,"DAF_Award",AB$2,PF,PT))</f>
        <v>0</v>
      </c>
      <c r="AC30" s="39">
        <f>IF(TRUE,0,_xll.PSFx2BAL(CN,"*","GLCode",$B30,"DAF_Award",AC$2,PF,PT))</f>
        <v>0</v>
      </c>
      <c r="AD30" s="39">
        <f>IF(TRUE,0,_xll.PSFx2BAL(CN,"*","GLCode",$B30,"DAF_Award",AD$2,PF,PT))</f>
        <v>0</v>
      </c>
      <c r="AE30" s="39">
        <f>IF(TRUE,0,_xll.PSFx2BAL(CN,"*","GLCode",$B30,"DAF_Award",AE$2,PF,PT))</f>
        <v>0</v>
      </c>
      <c r="AF30" s="39">
        <f>IF(TRUE,0,_xll.PSFx2BAL(CN,"*","GLCode",$B30,"DAF_Award",AF$2,PF,PT))</f>
        <v>0</v>
      </c>
      <c r="AG30" s="39">
        <f>IF(TRUE,0,_xll.PSFx2BAL(CN,"*","GLCode",$B30,"DAF_Award",AG$2,PF,PT))</f>
        <v>0</v>
      </c>
      <c r="AH30" s="39">
        <f>IF(TRUE,0,_xll.PSFx2BAL(CN,"*","GLCode",$B30,"DAF_Award",AH$2,PF,PT))</f>
        <v>0</v>
      </c>
      <c r="AI30" s="39">
        <f t="shared" si="34"/>
        <v>7456.5</v>
      </c>
      <c r="AJ30" s="18">
        <f>VLOOKUP(B30,TB!$B$5:$E$140,4,FALSE)</f>
        <v>7456.5</v>
      </c>
      <c r="AL30" s="39">
        <f t="shared" si="35"/>
        <v>7456.5</v>
      </c>
      <c r="AM30" s="39">
        <f t="shared" si="36"/>
        <v>0</v>
      </c>
    </row>
    <row r="31" spans="1:39" x14ac:dyDescent="0.2">
      <c r="A31" s="1">
        <f t="shared" si="33"/>
        <v>7030</v>
      </c>
      <c r="B31" t="s">
        <v>68</v>
      </c>
      <c r="C31" t="s">
        <v>69</v>
      </c>
      <c r="D31" s="39">
        <f>IF(TRUE,0,_xll.PSFx2BAL(CN,"*","GLCode",$B31,"DAF_Award",D$2,PF,PT))</f>
        <v>0</v>
      </c>
      <c r="E31" s="39">
        <f>IF(TRUE,0,_xll.PSFx2BAL(CN,"*","GLCode",$B31,"DAF_Award",E$2,PF,PT))</f>
        <v>0</v>
      </c>
      <c r="F31" s="39">
        <f>IF(TRUE,0,_xll.PSFx2BAL(CN,"*","GLCode",$B31,"DAF_Award",F$2,PF,PT))</f>
        <v>0</v>
      </c>
      <c r="G31" s="39">
        <f>IF(TRUE,0,_xll.PSFx2BAL(CN,"*","GLCode",$B31,"DAF_Award",G$2,PF,PT))</f>
        <v>0</v>
      </c>
      <c r="H31" s="39">
        <f>IF(TRUE,0,_xll.PSFx2BAL(CN,"*","GLCode",$B31,"DAF_Award",H$2,PF,PT))</f>
        <v>0</v>
      </c>
      <c r="I31" s="39">
        <f>IF(TRUE,0,_xll.PSFx2BAL(CN,"*","GLCode",$B31,"DAF_Award",I$2,PF,PT))</f>
        <v>0</v>
      </c>
      <c r="J31" s="39">
        <f>IF(TRUE,0,_xll.PSFx2BAL(CN,"*","GLCode",$B31,"DAF_Award",J$2,PF,PT))</f>
        <v>0</v>
      </c>
      <c r="K31" s="39">
        <f>IF(TRUE,0,_xll.PSFx2BAL(CN,"*","GLCode",$B31,"DAF_Award",K$2,PF,PT))</f>
        <v>0</v>
      </c>
      <c r="L31" s="39">
        <f>IF(TRUE,0,_xll.PSFx2BAL(CN,"*","GLCode",$B31,"DAF_Award",L$2,PF,PT))</f>
        <v>0</v>
      </c>
      <c r="M31" s="39">
        <f>IF(TRUE,0,_xll.PSFx2BAL(CN,"*","GLCode",$B31,"DAF_Award",M$2,PF,PT))</f>
        <v>0</v>
      </c>
      <c r="N31" s="39">
        <f>IF(TRUE,0,_xll.PSFx2BAL(CN,"*","GLCode",$B31,"DAF_Award",N$2,PF,PT))</f>
        <v>0</v>
      </c>
      <c r="O31" s="39">
        <f>IF(TRUE,0,_xll.PSFx2BAL(CN,"*","GLCode",$B31,"DAF_Award",O$2,PF,PT))</f>
        <v>0</v>
      </c>
      <c r="P31" s="39">
        <f>IF(TRUE,0,_xll.PSFx2BAL(CN,"*","GLCode",$B31,"DAF_Award",P$2,PF,PT))</f>
        <v>0</v>
      </c>
      <c r="Q31" s="39">
        <f>IF(TRUE,0,_xll.PSFx2BAL(CN,"*","GLCode",$B31,"DAF_Award",Q$2,PF,PT))</f>
        <v>0</v>
      </c>
      <c r="R31" s="39">
        <f>IF(TRUE,0,_xll.PSFx2BAL(CN,"*","GLCode",$B31,"DAF_Award",R$2,PF,PT))</f>
        <v>0</v>
      </c>
      <c r="S31" s="39">
        <f>IF(TRUE,0,_xll.PSFx2BAL(CN,"*","GLCode",$B31,"DAF_Award",S$2,PF,PT))</f>
        <v>0</v>
      </c>
      <c r="T31" s="39">
        <f>IF(TRUE,0,_xll.PSFx2BAL(CN,"*","GLCode",$B31,"DAF_Award",T$2,PF,PT))</f>
        <v>0</v>
      </c>
      <c r="U31" s="39">
        <f>IF(TRUE,0,_xll.PSFx2BAL(CN,"*","GLCode",$B31,"DAF_Award",U$2,PF,PT))</f>
        <v>0</v>
      </c>
      <c r="V31" s="39">
        <f>IF(TRUE,0,_xll.PSFx2BAL(CN,"*","GLCode",$B31,"DAF_Award",V$2,PF,PT))</f>
        <v>0</v>
      </c>
      <c r="W31" s="39">
        <f>IF(TRUE,0,_xll.PSFx2BAL(CN,"*","GLCode",$B31,"DAF_Award",W$2,PF,PT))</f>
        <v>0</v>
      </c>
      <c r="X31" s="39">
        <f>IF(TRUE,0,_xll.PSFx2BAL(CN,"*","GLCode",$B31,"DAF_Award",X$2,PF,PT))</f>
        <v>0</v>
      </c>
      <c r="Y31" s="39">
        <f>IF(TRUE,0,_xll.PSFx2BAL(CN,"*","GLCode",$B31,"DAF_Award",Y$2,PF,PT))</f>
        <v>0</v>
      </c>
      <c r="Z31" s="39">
        <f>IF(TRUE,0,_xll.PSFx2BAL(CN,"*","GLCode",$B31,"DAF_Award",Z$2,PF,PT))</f>
        <v>0</v>
      </c>
      <c r="AA31" s="39">
        <f>IF(TRUE,0,_xll.PSFx2BAL(CN,"*","GLCode",$B31,"DAF_Award",AA$2,PF,PT))</f>
        <v>0</v>
      </c>
      <c r="AB31" s="39">
        <f>IF(TRUE,0,_xll.PSFx2BAL(CN,"*","GLCode",$B31,"DAF_Award",AB$2,PF,PT))</f>
        <v>0</v>
      </c>
      <c r="AC31" s="39">
        <f>IF(TRUE,0,_xll.PSFx2BAL(CN,"*","GLCode",$B31,"DAF_Award",AC$2,PF,PT))</f>
        <v>0</v>
      </c>
      <c r="AD31" s="39">
        <f>IF(TRUE,0,_xll.PSFx2BAL(CN,"*","GLCode",$B31,"DAF_Award",AD$2,PF,PT))</f>
        <v>0</v>
      </c>
      <c r="AE31" s="39">
        <f>IF(TRUE,0,_xll.PSFx2BAL(CN,"*","GLCode",$B31,"DAF_Award",AE$2,PF,PT))</f>
        <v>0</v>
      </c>
      <c r="AF31" s="39">
        <f>IF(TRUE,0,_xll.PSFx2BAL(CN,"*","GLCode",$B31,"DAF_Award",AF$2,PF,PT))</f>
        <v>0</v>
      </c>
      <c r="AG31" s="39">
        <f>IF(TRUE,0,_xll.PSFx2BAL(CN,"*","GLCode",$B31,"DAF_Award",AG$2,PF,PT))</f>
        <v>0</v>
      </c>
      <c r="AH31" s="39">
        <f>IF(TRUE,0,_xll.PSFx2BAL(CN,"*","GLCode",$B31,"DAF_Award",AH$2,PF,PT))</f>
        <v>0</v>
      </c>
      <c r="AI31" s="39">
        <f t="shared" si="34"/>
        <v>32907.79</v>
      </c>
      <c r="AJ31" s="18">
        <f>VLOOKUP(B31,TB!$B$5:$E$140,4,FALSE)</f>
        <v>32907.79</v>
      </c>
      <c r="AL31" s="39">
        <f t="shared" si="35"/>
        <v>32907.79</v>
      </c>
      <c r="AM31" s="39">
        <f t="shared" si="36"/>
        <v>0</v>
      </c>
    </row>
    <row r="32" spans="1:39" x14ac:dyDescent="0.2">
      <c r="A32" s="1">
        <f t="shared" si="33"/>
        <v>7031</v>
      </c>
      <c r="B32" t="s">
        <v>70</v>
      </c>
      <c r="C32" t="s">
        <v>71</v>
      </c>
      <c r="D32" s="39">
        <f>IF(TRUE,0,_xll.PSFx2BAL(CN,"*","GLCode",$B32,"DAF_Award",D$2,PF,PT))</f>
        <v>0</v>
      </c>
      <c r="E32" s="39">
        <f>IF(TRUE,0,_xll.PSFx2BAL(CN,"*","GLCode",$B32,"DAF_Award",E$2,PF,PT))</f>
        <v>0</v>
      </c>
      <c r="F32" s="39">
        <f>IF(TRUE,0,_xll.PSFx2BAL(CN,"*","GLCode",$B32,"DAF_Award",F$2,PF,PT))</f>
        <v>0</v>
      </c>
      <c r="G32" s="39">
        <f>IF(TRUE,0,_xll.PSFx2BAL(CN,"*","GLCode",$B32,"DAF_Award",G$2,PF,PT))</f>
        <v>0</v>
      </c>
      <c r="H32" s="39">
        <f>IF(TRUE,0,_xll.PSFx2BAL(CN,"*","GLCode",$B32,"DAF_Award",H$2,PF,PT))</f>
        <v>0</v>
      </c>
      <c r="I32" s="39">
        <f>IF(TRUE,0,_xll.PSFx2BAL(CN,"*","GLCode",$B32,"DAF_Award",I$2,PF,PT))</f>
        <v>0</v>
      </c>
      <c r="J32" s="39">
        <f>IF(TRUE,0,_xll.PSFx2BAL(CN,"*","GLCode",$B32,"DAF_Award",J$2,PF,PT))</f>
        <v>0</v>
      </c>
      <c r="K32" s="39">
        <f>IF(TRUE,0,_xll.PSFx2BAL(CN,"*","GLCode",$B32,"DAF_Award",K$2,PF,PT))</f>
        <v>0</v>
      </c>
      <c r="L32" s="39">
        <f>IF(TRUE,0,_xll.PSFx2BAL(CN,"*","GLCode",$B32,"DAF_Award",L$2,PF,PT))</f>
        <v>0</v>
      </c>
      <c r="M32" s="39">
        <f>IF(TRUE,0,_xll.PSFx2BAL(CN,"*","GLCode",$B32,"DAF_Award",M$2,PF,PT))</f>
        <v>0</v>
      </c>
      <c r="N32" s="39">
        <f>IF(TRUE,0,_xll.PSFx2BAL(CN,"*","GLCode",$B32,"DAF_Award",N$2,PF,PT))</f>
        <v>0</v>
      </c>
      <c r="O32" s="39">
        <f>IF(TRUE,0,_xll.PSFx2BAL(CN,"*","GLCode",$B32,"DAF_Award",O$2,PF,PT))</f>
        <v>0</v>
      </c>
      <c r="P32" s="39">
        <f>IF(TRUE,0,_xll.PSFx2BAL(CN,"*","GLCode",$B32,"DAF_Award",P$2,PF,PT))</f>
        <v>0</v>
      </c>
      <c r="Q32" s="39">
        <f>IF(TRUE,0,_xll.PSFx2BAL(CN,"*","GLCode",$B32,"DAF_Award",Q$2,PF,PT))</f>
        <v>0</v>
      </c>
      <c r="R32" s="39">
        <f>IF(TRUE,0,_xll.PSFx2BAL(CN,"*","GLCode",$B32,"DAF_Award",R$2,PF,PT))</f>
        <v>0</v>
      </c>
      <c r="S32" s="39">
        <f>IF(TRUE,0,_xll.PSFx2BAL(CN,"*","GLCode",$B32,"DAF_Award",S$2,PF,PT))</f>
        <v>0</v>
      </c>
      <c r="T32" s="39">
        <f>IF(TRUE,0,_xll.PSFx2BAL(CN,"*","GLCode",$B32,"DAF_Award",T$2,PF,PT))</f>
        <v>0</v>
      </c>
      <c r="U32" s="39">
        <f>IF(TRUE,0,_xll.PSFx2BAL(CN,"*","GLCode",$B32,"DAF_Award",U$2,PF,PT))</f>
        <v>0</v>
      </c>
      <c r="V32" s="39">
        <f>IF(TRUE,0,_xll.PSFx2BAL(CN,"*","GLCode",$B32,"DAF_Award",V$2,PF,PT))</f>
        <v>0</v>
      </c>
      <c r="W32" s="39">
        <f>IF(TRUE,0,_xll.PSFx2BAL(CN,"*","GLCode",$B32,"DAF_Award",W$2,PF,PT))</f>
        <v>0</v>
      </c>
      <c r="X32" s="39">
        <f>IF(TRUE,0,_xll.PSFx2BAL(CN,"*","GLCode",$B32,"DAF_Award",X$2,PF,PT))</f>
        <v>0</v>
      </c>
      <c r="Y32" s="39">
        <f>IF(TRUE,0,_xll.PSFx2BAL(CN,"*","GLCode",$B32,"DAF_Award",Y$2,PF,PT))</f>
        <v>0</v>
      </c>
      <c r="Z32" s="39">
        <f>IF(TRUE,0,_xll.PSFx2BAL(CN,"*","GLCode",$B32,"DAF_Award",Z$2,PF,PT))</f>
        <v>0</v>
      </c>
      <c r="AA32" s="39">
        <f>IF(TRUE,0,_xll.PSFx2BAL(CN,"*","GLCode",$B32,"DAF_Award",AA$2,PF,PT))</f>
        <v>0</v>
      </c>
      <c r="AB32" s="39">
        <f>IF(TRUE,0,_xll.PSFx2BAL(CN,"*","GLCode",$B32,"DAF_Award",AB$2,PF,PT))</f>
        <v>0</v>
      </c>
      <c r="AC32" s="39">
        <f>IF(TRUE,0,_xll.PSFx2BAL(CN,"*","GLCode",$B32,"DAF_Award",AC$2,PF,PT))</f>
        <v>0</v>
      </c>
      <c r="AD32" s="39">
        <f>IF(TRUE,0,_xll.PSFx2BAL(CN,"*","GLCode",$B32,"DAF_Award",AD$2,PF,PT))</f>
        <v>0</v>
      </c>
      <c r="AE32" s="39">
        <f>IF(TRUE,0,_xll.PSFx2BAL(CN,"*","GLCode",$B32,"DAF_Award",AE$2,PF,PT))</f>
        <v>0</v>
      </c>
      <c r="AF32" s="39">
        <f>IF(TRUE,0,_xll.PSFx2BAL(CN,"*","GLCode",$B32,"DAF_Award",AF$2,PF,PT))</f>
        <v>0</v>
      </c>
      <c r="AG32" s="39">
        <f>IF(TRUE,0,_xll.PSFx2BAL(CN,"*","GLCode",$B32,"DAF_Award",AG$2,PF,PT))</f>
        <v>0</v>
      </c>
      <c r="AH32" s="39">
        <f>IF(TRUE,0,_xll.PSFx2BAL(CN,"*","GLCode",$B32,"DAF_Award",AH$2,PF,PT))</f>
        <v>0</v>
      </c>
      <c r="AI32" s="39">
        <f t="shared" si="34"/>
        <v>1891.32</v>
      </c>
      <c r="AJ32" s="18">
        <f>VLOOKUP(B32,TB!$B$5:$E$140,4,FALSE)</f>
        <v>1891.32</v>
      </c>
      <c r="AL32" s="39">
        <f t="shared" si="35"/>
        <v>1891.32</v>
      </c>
      <c r="AM32" s="39">
        <f t="shared" si="36"/>
        <v>0</v>
      </c>
    </row>
    <row r="33" spans="1:39" x14ac:dyDescent="0.2">
      <c r="A33" s="1">
        <f t="shared" si="33"/>
        <v>7040</v>
      </c>
      <c r="B33" t="s">
        <v>72</v>
      </c>
      <c r="C33" t="s">
        <v>73</v>
      </c>
      <c r="D33" s="39">
        <f>IF(TRUE,0,_xll.PSFx2BAL(CN,"*","GLCode",$B33,"DAF_Award",D$2,PF,PT))</f>
        <v>0</v>
      </c>
      <c r="E33" s="39">
        <f>IF(TRUE,0,_xll.PSFx2BAL(CN,"*","GLCode",$B33,"DAF_Award",E$2,PF,PT))</f>
        <v>0</v>
      </c>
      <c r="F33" s="39">
        <f>IF(TRUE,0,_xll.PSFx2BAL(CN,"*","GLCode",$B33,"DAF_Award",F$2,PF,PT))</f>
        <v>0</v>
      </c>
      <c r="G33" s="39">
        <f>IF(TRUE,0,_xll.PSFx2BAL(CN,"*","GLCode",$B33,"DAF_Award",G$2,PF,PT))</f>
        <v>0</v>
      </c>
      <c r="H33" s="39">
        <f>IF(TRUE,0,_xll.PSFx2BAL(CN,"*","GLCode",$B33,"DAF_Award",H$2,PF,PT))</f>
        <v>0</v>
      </c>
      <c r="I33" s="39">
        <f>IF(TRUE,0,_xll.PSFx2BAL(CN,"*","GLCode",$B33,"DAF_Award",I$2,PF,PT))</f>
        <v>0</v>
      </c>
      <c r="J33" s="39">
        <f>IF(TRUE,0,_xll.PSFx2BAL(CN,"*","GLCode",$B33,"DAF_Award",J$2,PF,PT))</f>
        <v>0</v>
      </c>
      <c r="K33" s="39">
        <f>IF(TRUE,0,_xll.PSFx2BAL(CN,"*","GLCode",$B33,"DAF_Award",K$2,PF,PT))</f>
        <v>0</v>
      </c>
      <c r="L33" s="39">
        <f>IF(TRUE,0,_xll.PSFx2BAL(CN,"*","GLCode",$B33,"DAF_Award",L$2,PF,PT))</f>
        <v>0</v>
      </c>
      <c r="M33" s="39">
        <f>IF(TRUE,0,_xll.PSFx2BAL(CN,"*","GLCode",$B33,"DAF_Award",M$2,PF,PT))</f>
        <v>0</v>
      </c>
      <c r="N33" s="39">
        <f>IF(TRUE,0,_xll.PSFx2BAL(CN,"*","GLCode",$B33,"DAF_Award",N$2,PF,PT))</f>
        <v>0</v>
      </c>
      <c r="O33" s="39">
        <f>IF(TRUE,0,_xll.PSFx2BAL(CN,"*","GLCode",$B33,"DAF_Award",O$2,PF,PT))</f>
        <v>0</v>
      </c>
      <c r="P33" s="39">
        <f>IF(TRUE,0,_xll.PSFx2BAL(CN,"*","GLCode",$B33,"DAF_Award",P$2,PF,PT))</f>
        <v>0</v>
      </c>
      <c r="Q33" s="39">
        <f>IF(TRUE,0,_xll.PSFx2BAL(CN,"*","GLCode",$B33,"DAF_Award",Q$2,PF,PT))</f>
        <v>0</v>
      </c>
      <c r="R33" s="39">
        <f>IF(TRUE,0,_xll.PSFx2BAL(CN,"*","GLCode",$B33,"DAF_Award",R$2,PF,PT))</f>
        <v>0</v>
      </c>
      <c r="S33" s="39">
        <f>IF(TRUE,0,_xll.PSFx2BAL(CN,"*","GLCode",$B33,"DAF_Award",S$2,PF,PT))</f>
        <v>0</v>
      </c>
      <c r="T33" s="39">
        <f>IF(TRUE,0,_xll.PSFx2BAL(CN,"*","GLCode",$B33,"DAF_Award",T$2,PF,PT))</f>
        <v>0</v>
      </c>
      <c r="U33" s="39">
        <f>IF(TRUE,0,_xll.PSFx2BAL(CN,"*","GLCode",$B33,"DAF_Award",U$2,PF,PT))</f>
        <v>0</v>
      </c>
      <c r="V33" s="39">
        <f>IF(TRUE,0,_xll.PSFx2BAL(CN,"*","GLCode",$B33,"DAF_Award",V$2,PF,PT))</f>
        <v>0</v>
      </c>
      <c r="W33" s="39">
        <f>IF(TRUE,0,_xll.PSFx2BAL(CN,"*","GLCode",$B33,"DAF_Award",W$2,PF,PT))</f>
        <v>0</v>
      </c>
      <c r="X33" s="39">
        <f>IF(TRUE,0,_xll.PSFx2BAL(CN,"*","GLCode",$B33,"DAF_Award",X$2,PF,PT))</f>
        <v>0</v>
      </c>
      <c r="Y33" s="39">
        <f>IF(TRUE,0,_xll.PSFx2BAL(CN,"*","GLCode",$B33,"DAF_Award",Y$2,PF,PT))</f>
        <v>0</v>
      </c>
      <c r="Z33" s="39">
        <f>IF(TRUE,0,_xll.PSFx2BAL(CN,"*","GLCode",$B33,"DAF_Award",Z$2,PF,PT))</f>
        <v>0</v>
      </c>
      <c r="AA33" s="39">
        <f>IF(TRUE,0,_xll.PSFx2BAL(CN,"*","GLCode",$B33,"DAF_Award",AA$2,PF,PT))</f>
        <v>0</v>
      </c>
      <c r="AB33" s="39">
        <f>IF(TRUE,0,_xll.PSFx2BAL(CN,"*","GLCode",$B33,"DAF_Award",AB$2,PF,PT))</f>
        <v>0</v>
      </c>
      <c r="AC33" s="39">
        <f>IF(TRUE,0,_xll.PSFx2BAL(CN,"*","GLCode",$B33,"DAF_Award",AC$2,PF,PT))</f>
        <v>0</v>
      </c>
      <c r="AD33" s="39">
        <f>IF(TRUE,0,_xll.PSFx2BAL(CN,"*","GLCode",$B33,"DAF_Award",AD$2,PF,PT))</f>
        <v>0</v>
      </c>
      <c r="AE33" s="39">
        <f>IF(TRUE,0,_xll.PSFx2BAL(CN,"*","GLCode",$B33,"DAF_Award",AE$2,PF,PT))</f>
        <v>0</v>
      </c>
      <c r="AF33" s="39">
        <f>IF(TRUE,0,_xll.PSFx2BAL(CN,"*","GLCode",$B33,"DAF_Award",AF$2,PF,PT))</f>
        <v>0</v>
      </c>
      <c r="AG33" s="39">
        <f>IF(TRUE,0,_xll.PSFx2BAL(CN,"*","GLCode",$B33,"DAF_Award",AG$2,PF,PT))</f>
        <v>0</v>
      </c>
      <c r="AH33" s="39">
        <f>IF(TRUE,0,_xll.PSFx2BAL(CN,"*","GLCode",$B33,"DAF_Award",AH$2,PF,PT))</f>
        <v>0</v>
      </c>
      <c r="AI33" s="39">
        <f t="shared" si="34"/>
        <v>23739.4</v>
      </c>
      <c r="AJ33" s="18">
        <f>VLOOKUP(B33,TB!$B$5:$E$140,4,FALSE)</f>
        <v>23739.4</v>
      </c>
      <c r="AL33" s="39">
        <f t="shared" si="35"/>
        <v>23739.4</v>
      </c>
      <c r="AM33" s="39">
        <f t="shared" si="36"/>
        <v>0</v>
      </c>
    </row>
    <row r="34" spans="1:39" x14ac:dyDescent="0.2">
      <c r="A34" s="1">
        <f t="shared" si="33"/>
        <v>7100</v>
      </c>
      <c r="B34" t="s">
        <v>74</v>
      </c>
      <c r="C34" t="s">
        <v>75</v>
      </c>
      <c r="D34" s="39">
        <f>IF(TRUE,0,_xll.PSFx2BAL(CN,"*","GLCode",$B34,"DAF_Award",D$2,PF,PT))</f>
        <v>0</v>
      </c>
      <c r="E34" s="39">
        <f>IF(TRUE,0,_xll.PSFx2BAL(CN,"*","GLCode",$B34,"DAF_Award",E$2,PF,PT))</f>
        <v>0</v>
      </c>
      <c r="F34" s="39">
        <f>IF(TRUE,0,_xll.PSFx2BAL(CN,"*","GLCode",$B34,"DAF_Award",F$2,PF,PT))</f>
        <v>0</v>
      </c>
      <c r="G34" s="39">
        <f>IF(TRUE,0,_xll.PSFx2BAL(CN,"*","GLCode",$B34,"DAF_Award",G$2,PF,PT))</f>
        <v>0</v>
      </c>
      <c r="H34" s="39">
        <f>IF(TRUE,0,_xll.PSFx2BAL(CN,"*","GLCode",$B34,"DAF_Award",H$2,PF,PT))</f>
        <v>0</v>
      </c>
      <c r="I34" s="39">
        <f>IF(TRUE,0,_xll.PSFx2BAL(CN,"*","GLCode",$B34,"DAF_Award",I$2,PF,PT))</f>
        <v>0</v>
      </c>
      <c r="J34" s="39">
        <f>IF(TRUE,0,_xll.PSFx2BAL(CN,"*","GLCode",$B34,"DAF_Award",J$2,PF,PT))</f>
        <v>0</v>
      </c>
      <c r="K34" s="39">
        <f>IF(TRUE,0,_xll.PSFx2BAL(CN,"*","GLCode",$B34,"DAF_Award",K$2,PF,PT))</f>
        <v>0</v>
      </c>
      <c r="L34" s="39">
        <f>IF(TRUE,0,_xll.PSFx2BAL(CN,"*","GLCode",$B34,"DAF_Award",L$2,PF,PT))</f>
        <v>0</v>
      </c>
      <c r="M34" s="39">
        <f>IF(TRUE,0,_xll.PSFx2BAL(CN,"*","GLCode",$B34,"DAF_Award",M$2,PF,PT))</f>
        <v>0</v>
      </c>
      <c r="N34" s="39">
        <f>IF(TRUE,0,_xll.PSFx2BAL(CN,"*","GLCode",$B34,"DAF_Award",N$2,PF,PT))</f>
        <v>0</v>
      </c>
      <c r="O34" s="39">
        <f>IF(TRUE,0,_xll.PSFx2BAL(CN,"*","GLCode",$B34,"DAF_Award",O$2,PF,PT))</f>
        <v>0</v>
      </c>
      <c r="P34" s="39">
        <f>IF(TRUE,0,_xll.PSFx2BAL(CN,"*","GLCode",$B34,"DAF_Award",P$2,PF,PT))</f>
        <v>0</v>
      </c>
      <c r="Q34" s="39">
        <f>IF(TRUE,0,_xll.PSFx2BAL(CN,"*","GLCode",$B34,"DAF_Award",Q$2,PF,PT))</f>
        <v>0</v>
      </c>
      <c r="R34" s="39">
        <f>IF(TRUE,0,_xll.PSFx2BAL(CN,"*","GLCode",$B34,"DAF_Award",R$2,PF,PT))</f>
        <v>0</v>
      </c>
      <c r="S34" s="39">
        <f>IF(TRUE,0,_xll.PSFx2BAL(CN,"*","GLCode",$B34,"DAF_Award",S$2,PF,PT))</f>
        <v>0</v>
      </c>
      <c r="T34" s="39">
        <f>IF(TRUE,0,_xll.PSFx2BAL(CN,"*","GLCode",$B34,"DAF_Award",T$2,PF,PT))</f>
        <v>0</v>
      </c>
      <c r="U34" s="39">
        <f>IF(TRUE,0,_xll.PSFx2BAL(CN,"*","GLCode",$B34,"DAF_Award",U$2,PF,PT))</f>
        <v>0</v>
      </c>
      <c r="V34" s="39">
        <f>IF(TRUE,0,_xll.PSFx2BAL(CN,"*","GLCode",$B34,"DAF_Award",V$2,PF,PT))</f>
        <v>0</v>
      </c>
      <c r="W34" s="39">
        <f>IF(TRUE,0,_xll.PSFx2BAL(CN,"*","GLCode",$B34,"DAF_Award",W$2,PF,PT))</f>
        <v>0</v>
      </c>
      <c r="X34" s="39">
        <f>IF(TRUE,0,_xll.PSFx2BAL(CN,"*","GLCode",$B34,"DAF_Award",X$2,PF,PT))</f>
        <v>0</v>
      </c>
      <c r="Y34" s="39">
        <f>IF(TRUE,0,_xll.PSFx2BAL(CN,"*","GLCode",$B34,"DAF_Award",Y$2,PF,PT))</f>
        <v>0</v>
      </c>
      <c r="Z34" s="39">
        <f>IF(TRUE,0,_xll.PSFx2BAL(CN,"*","GLCode",$B34,"DAF_Award",Z$2,PF,PT))</f>
        <v>0</v>
      </c>
      <c r="AA34" s="39">
        <f>IF(TRUE,0,_xll.PSFx2BAL(CN,"*","GLCode",$B34,"DAF_Award",AA$2,PF,PT))</f>
        <v>0</v>
      </c>
      <c r="AB34" s="39">
        <f>IF(TRUE,0,_xll.PSFx2BAL(CN,"*","GLCode",$B34,"DAF_Award",AB$2,PF,PT))</f>
        <v>0</v>
      </c>
      <c r="AC34" s="39">
        <f>IF(TRUE,0,_xll.PSFx2BAL(CN,"*","GLCode",$B34,"DAF_Award",AC$2,PF,PT))</f>
        <v>0</v>
      </c>
      <c r="AD34" s="39">
        <f>IF(TRUE,0,_xll.PSFx2BAL(CN,"*","GLCode",$B34,"DAF_Award",AD$2,PF,PT))</f>
        <v>0</v>
      </c>
      <c r="AE34" s="39">
        <f>IF(TRUE,0,_xll.PSFx2BAL(CN,"*","GLCode",$B34,"DAF_Award",AE$2,PF,PT))</f>
        <v>0</v>
      </c>
      <c r="AF34" s="39">
        <f>IF(TRUE,0,_xll.PSFx2BAL(CN,"*","GLCode",$B34,"DAF_Award",AF$2,PF,PT))</f>
        <v>0</v>
      </c>
      <c r="AG34" s="39">
        <f>IF(TRUE,0,_xll.PSFx2BAL(CN,"*","GLCode",$B34,"DAF_Award",AG$2,PF,PT))</f>
        <v>0</v>
      </c>
      <c r="AH34" s="39">
        <f>IF(TRUE,0,_xll.PSFx2BAL(CN,"*","GLCode",$B34,"DAF_Award",AH$2,PF,PT))</f>
        <v>0</v>
      </c>
      <c r="AI34" s="39">
        <f t="shared" si="34"/>
        <v>117382.08</v>
      </c>
      <c r="AJ34" s="18">
        <f>VLOOKUP(B34,TB!$B$5:$E$140,4,FALSE)</f>
        <v>117382.08</v>
      </c>
      <c r="AL34" s="39">
        <f t="shared" si="35"/>
        <v>117382.08</v>
      </c>
      <c r="AM34" s="39">
        <f t="shared" si="36"/>
        <v>0</v>
      </c>
    </row>
    <row r="35" spans="1:39" hidden="1" x14ac:dyDescent="0.2">
      <c r="A35" s="1">
        <f t="shared" si="33"/>
        <v>7101</v>
      </c>
      <c r="B35" t="s">
        <v>76</v>
      </c>
      <c r="C35" t="s">
        <v>77</v>
      </c>
      <c r="D35" s="39">
        <f>IF(TRUE,0,_xll.PSFx2BAL(CN,"*","GLCode",$B35,"DAF_Award",D$2,PF,PT))</f>
        <v>0</v>
      </c>
      <c r="E35" s="39">
        <f>IF(TRUE,0,_xll.PSFx2BAL(CN,"*","GLCode",$B35,"DAF_Award",E$2,PF,PT))</f>
        <v>0</v>
      </c>
      <c r="F35" s="39">
        <f>IF(TRUE,0,_xll.PSFx2BAL(CN,"*","GLCode",$B35,"DAF_Award",F$2,PF,PT))</f>
        <v>0</v>
      </c>
      <c r="G35" s="39">
        <f>IF(TRUE,0,_xll.PSFx2BAL(CN,"*","GLCode",$B35,"DAF_Award",G$2,PF,PT))</f>
        <v>0</v>
      </c>
      <c r="H35" s="39">
        <f>IF(TRUE,0,_xll.PSFx2BAL(CN,"*","GLCode",$B35,"DAF_Award",H$2,PF,PT))</f>
        <v>0</v>
      </c>
      <c r="I35" s="39">
        <f>IF(TRUE,0,_xll.PSFx2BAL(CN,"*","GLCode",$B35,"DAF_Award",I$2,PF,PT))</f>
        <v>0</v>
      </c>
      <c r="J35" s="39">
        <f>IF(TRUE,0,_xll.PSFx2BAL(CN,"*","GLCode",$B35,"DAF_Award",J$2,PF,PT))</f>
        <v>0</v>
      </c>
      <c r="K35" s="39">
        <f>IF(TRUE,0,_xll.PSFx2BAL(CN,"*","GLCode",$B35,"DAF_Award",K$2,PF,PT))</f>
        <v>0</v>
      </c>
      <c r="L35" s="39">
        <f>IF(TRUE,0,_xll.PSFx2BAL(CN,"*","GLCode",$B35,"DAF_Award",L$2,PF,PT))</f>
        <v>0</v>
      </c>
      <c r="M35" s="39">
        <f>IF(TRUE,0,_xll.PSFx2BAL(CN,"*","GLCode",$B35,"DAF_Award",M$2,PF,PT))</f>
        <v>0</v>
      </c>
      <c r="N35" s="39">
        <f>IF(TRUE,0,_xll.PSFx2BAL(CN,"*","GLCode",$B35,"DAF_Award",N$2,PF,PT))</f>
        <v>0</v>
      </c>
      <c r="O35" s="39">
        <f>IF(TRUE,0,_xll.PSFx2BAL(CN,"*","GLCode",$B35,"DAF_Award",O$2,PF,PT))</f>
        <v>0</v>
      </c>
      <c r="P35" s="39">
        <f>IF(TRUE,0,_xll.PSFx2BAL(CN,"*","GLCode",$B35,"DAF_Award",P$2,PF,PT))</f>
        <v>0</v>
      </c>
      <c r="Q35" s="39">
        <f>IF(TRUE,0,_xll.PSFx2BAL(CN,"*","GLCode",$B35,"DAF_Award",Q$2,PF,PT))</f>
        <v>0</v>
      </c>
      <c r="R35" s="39">
        <f>IF(TRUE,0,_xll.PSFx2BAL(CN,"*","GLCode",$B35,"DAF_Award",R$2,PF,PT))</f>
        <v>0</v>
      </c>
      <c r="S35" s="39">
        <f>IF(TRUE,0,_xll.PSFx2BAL(CN,"*","GLCode",$B35,"DAF_Award",S$2,PF,PT))</f>
        <v>0</v>
      </c>
      <c r="T35" s="39">
        <f>IF(TRUE,0,_xll.PSFx2BAL(CN,"*","GLCode",$B35,"DAF_Award",T$2,PF,PT))</f>
        <v>0</v>
      </c>
      <c r="U35" s="39">
        <f>IF(TRUE,0,_xll.PSFx2BAL(CN,"*","GLCode",$B35,"DAF_Award",U$2,PF,PT))</f>
        <v>0</v>
      </c>
      <c r="V35" s="39">
        <f>IF(TRUE,0,_xll.PSFx2BAL(CN,"*","GLCode",$B35,"DAF_Award",V$2,PF,PT))</f>
        <v>0</v>
      </c>
      <c r="W35" s="39">
        <f>IF(TRUE,0,_xll.PSFx2BAL(CN,"*","GLCode",$B35,"DAF_Award",W$2,PF,PT))</f>
        <v>0</v>
      </c>
      <c r="X35" s="39">
        <f>IF(TRUE,0,_xll.PSFx2BAL(CN,"*","GLCode",$B35,"DAF_Award",X$2,PF,PT))</f>
        <v>0</v>
      </c>
      <c r="Y35" s="39">
        <f>IF(TRUE,0,_xll.PSFx2BAL(CN,"*","GLCode",$B35,"DAF_Award",Y$2,PF,PT))</f>
        <v>0</v>
      </c>
      <c r="Z35" s="39">
        <f>IF(TRUE,0,_xll.PSFx2BAL(CN,"*","GLCode",$B35,"DAF_Award",Z$2,PF,PT))</f>
        <v>0</v>
      </c>
      <c r="AA35" s="39">
        <f>IF(TRUE,0,_xll.PSFx2BAL(CN,"*","GLCode",$B35,"DAF_Award",AA$2,PF,PT))</f>
        <v>0</v>
      </c>
      <c r="AB35" s="39">
        <f>IF(TRUE,0,_xll.PSFx2BAL(CN,"*","GLCode",$B35,"DAF_Award",AB$2,PF,PT))</f>
        <v>0</v>
      </c>
      <c r="AC35" s="39">
        <f>IF(TRUE,0,_xll.PSFx2BAL(CN,"*","GLCode",$B35,"DAF_Award",AC$2,PF,PT))</f>
        <v>0</v>
      </c>
      <c r="AD35" s="39">
        <f>IF(TRUE,0,_xll.PSFx2BAL(CN,"*","GLCode",$B35,"DAF_Award",AD$2,PF,PT))</f>
        <v>0</v>
      </c>
      <c r="AE35" s="39">
        <f>IF(TRUE,0,_xll.PSFx2BAL(CN,"*","GLCode",$B35,"DAF_Award",AE$2,PF,PT))</f>
        <v>0</v>
      </c>
      <c r="AF35" s="39">
        <f>IF(TRUE,0,_xll.PSFx2BAL(CN,"*","GLCode",$B35,"DAF_Award",AF$2,PF,PT))</f>
        <v>0</v>
      </c>
      <c r="AG35" s="39">
        <f>IF(TRUE,0,_xll.PSFx2BAL(CN,"*","GLCode",$B35,"DAF_Award",AG$2,PF,PT))</f>
        <v>0</v>
      </c>
      <c r="AH35" s="39">
        <f>IF(TRUE,0,_xll.PSFx2BAL(CN,"*","GLCode",$B35,"DAF_Award",AH$2,PF,PT))</f>
        <v>0</v>
      </c>
      <c r="AI35" s="39">
        <f t="shared" si="34"/>
        <v>0</v>
      </c>
      <c r="AJ35" s="18">
        <f>VLOOKUP(B35,TB!$B$5:$E$140,4,FALSE)</f>
        <v>0</v>
      </c>
      <c r="AL35" s="39">
        <f t="shared" si="35"/>
        <v>0</v>
      </c>
      <c r="AM35" s="39">
        <f t="shared" si="36"/>
        <v>0</v>
      </c>
    </row>
    <row r="36" spans="1:39" x14ac:dyDescent="0.2">
      <c r="A36" s="1">
        <f t="shared" si="33"/>
        <v>7120</v>
      </c>
      <c r="B36" t="s">
        <v>78</v>
      </c>
      <c r="C36" t="s">
        <v>79</v>
      </c>
      <c r="D36" s="39">
        <f>IF(TRUE,0,_xll.PSFx2BAL(CN,"*","GLCode",$B36,"DAF_Award",D$2,PF,PT))</f>
        <v>0</v>
      </c>
      <c r="E36" s="39">
        <f>IF(TRUE,0,_xll.PSFx2BAL(CN,"*","GLCode",$B36,"DAF_Award",E$2,PF,PT))</f>
        <v>0</v>
      </c>
      <c r="F36" s="39">
        <f>IF(TRUE,0,_xll.PSFx2BAL(CN,"*","GLCode",$B36,"DAF_Award",F$2,PF,PT))</f>
        <v>0</v>
      </c>
      <c r="G36" s="39">
        <f>IF(TRUE,0,_xll.PSFx2BAL(CN,"*","GLCode",$B36,"DAF_Award",G$2,PF,PT))</f>
        <v>0</v>
      </c>
      <c r="H36" s="39">
        <f>IF(TRUE,0,_xll.PSFx2BAL(CN,"*","GLCode",$B36,"DAF_Award",H$2,PF,PT))</f>
        <v>0</v>
      </c>
      <c r="I36" s="39">
        <f>IF(TRUE,0,_xll.PSFx2BAL(CN,"*","GLCode",$B36,"DAF_Award",I$2,PF,PT))</f>
        <v>0</v>
      </c>
      <c r="J36" s="39">
        <f>IF(TRUE,0,_xll.PSFx2BAL(CN,"*","GLCode",$B36,"DAF_Award",J$2,PF,PT))</f>
        <v>0</v>
      </c>
      <c r="K36" s="39">
        <f>IF(TRUE,0,_xll.PSFx2BAL(CN,"*","GLCode",$B36,"DAF_Award",K$2,PF,PT))</f>
        <v>0</v>
      </c>
      <c r="L36" s="39">
        <f>IF(TRUE,0,_xll.PSFx2BAL(CN,"*","GLCode",$B36,"DAF_Award",L$2,PF,PT))</f>
        <v>0</v>
      </c>
      <c r="M36" s="39">
        <f>IF(TRUE,0,_xll.PSFx2BAL(CN,"*","GLCode",$B36,"DAF_Award",M$2,PF,PT))</f>
        <v>0</v>
      </c>
      <c r="N36" s="39">
        <f>IF(TRUE,0,_xll.PSFx2BAL(CN,"*","GLCode",$B36,"DAF_Award",N$2,PF,PT))</f>
        <v>0</v>
      </c>
      <c r="O36" s="39">
        <f>IF(TRUE,0,_xll.PSFx2BAL(CN,"*","GLCode",$B36,"DAF_Award",O$2,PF,PT))</f>
        <v>0</v>
      </c>
      <c r="P36" s="39">
        <f>IF(TRUE,0,_xll.PSFx2BAL(CN,"*","GLCode",$B36,"DAF_Award",P$2,PF,PT))</f>
        <v>0</v>
      </c>
      <c r="Q36" s="39">
        <f>IF(TRUE,0,_xll.PSFx2BAL(CN,"*","GLCode",$B36,"DAF_Award",Q$2,PF,PT))</f>
        <v>0</v>
      </c>
      <c r="R36" s="39">
        <f>IF(TRUE,0,_xll.PSFx2BAL(CN,"*","GLCode",$B36,"DAF_Award",R$2,PF,PT))</f>
        <v>0</v>
      </c>
      <c r="S36" s="39">
        <f>IF(TRUE,0,_xll.PSFx2BAL(CN,"*","GLCode",$B36,"DAF_Award",S$2,PF,PT))</f>
        <v>0</v>
      </c>
      <c r="T36" s="39">
        <f>IF(TRUE,0,_xll.PSFx2BAL(CN,"*","GLCode",$B36,"DAF_Award",T$2,PF,PT))</f>
        <v>0</v>
      </c>
      <c r="U36" s="39">
        <f>IF(TRUE,0,_xll.PSFx2BAL(CN,"*","GLCode",$B36,"DAF_Award",U$2,PF,PT))</f>
        <v>0</v>
      </c>
      <c r="V36" s="39">
        <f>IF(TRUE,0,_xll.PSFx2BAL(CN,"*","GLCode",$B36,"DAF_Award",V$2,PF,PT))</f>
        <v>0</v>
      </c>
      <c r="W36" s="39">
        <f>IF(TRUE,0,_xll.PSFx2BAL(CN,"*","GLCode",$B36,"DAF_Award",W$2,PF,PT))</f>
        <v>0</v>
      </c>
      <c r="X36" s="39">
        <f>IF(TRUE,0,_xll.PSFx2BAL(CN,"*","GLCode",$B36,"DAF_Award",X$2,PF,PT))</f>
        <v>0</v>
      </c>
      <c r="Y36" s="39">
        <f>IF(TRUE,0,_xll.PSFx2BAL(CN,"*","GLCode",$B36,"DAF_Award",Y$2,PF,PT))</f>
        <v>0</v>
      </c>
      <c r="Z36" s="39">
        <f>IF(TRUE,0,_xll.PSFx2BAL(CN,"*","GLCode",$B36,"DAF_Award",Z$2,PF,PT))</f>
        <v>0</v>
      </c>
      <c r="AA36" s="39">
        <f>IF(TRUE,0,_xll.PSFx2BAL(CN,"*","GLCode",$B36,"DAF_Award",AA$2,PF,PT))</f>
        <v>0</v>
      </c>
      <c r="AB36" s="39">
        <f>IF(TRUE,0,_xll.PSFx2BAL(CN,"*","GLCode",$B36,"DAF_Award",AB$2,PF,PT))</f>
        <v>0</v>
      </c>
      <c r="AC36" s="39">
        <f>IF(TRUE,0,_xll.PSFx2BAL(CN,"*","GLCode",$B36,"DAF_Award",AC$2,PF,PT))</f>
        <v>0</v>
      </c>
      <c r="AD36" s="39">
        <f>IF(TRUE,0,_xll.PSFx2BAL(CN,"*","GLCode",$B36,"DAF_Award",AD$2,PF,PT))</f>
        <v>0</v>
      </c>
      <c r="AE36" s="39">
        <f>IF(TRUE,0,_xll.PSFx2BAL(CN,"*","GLCode",$B36,"DAF_Award",AE$2,PF,PT))</f>
        <v>0</v>
      </c>
      <c r="AF36" s="39">
        <f>IF(TRUE,0,_xll.PSFx2BAL(CN,"*","GLCode",$B36,"DAF_Award",AF$2,PF,PT))</f>
        <v>0</v>
      </c>
      <c r="AG36" s="39">
        <f>IF(TRUE,0,_xll.PSFx2BAL(CN,"*","GLCode",$B36,"DAF_Award",AG$2,PF,PT))</f>
        <v>0</v>
      </c>
      <c r="AH36" s="39">
        <f>IF(TRUE,0,_xll.PSFx2BAL(CN,"*","GLCode",$B36,"DAF_Award",AH$2,PF,PT))</f>
        <v>0</v>
      </c>
      <c r="AI36" s="39">
        <f t="shared" si="34"/>
        <v>8628.2000000000007</v>
      </c>
      <c r="AJ36" s="18">
        <f>VLOOKUP(B36,TB!$B$5:$E$140,4,FALSE)</f>
        <v>8628.2000000000007</v>
      </c>
      <c r="AL36" s="39">
        <f t="shared" si="35"/>
        <v>8628.2000000000007</v>
      </c>
      <c r="AM36" s="39">
        <f t="shared" si="36"/>
        <v>0</v>
      </c>
    </row>
    <row r="37" spans="1:39" hidden="1" x14ac:dyDescent="0.2">
      <c r="A37" s="1">
        <f t="shared" si="33"/>
        <v>7130</v>
      </c>
      <c r="B37" t="s">
        <v>80</v>
      </c>
      <c r="C37" t="s">
        <v>81</v>
      </c>
      <c r="D37" s="39">
        <f>IF(TRUE,0,_xll.PSFx2BAL(CN,"*","GLCode",$B37,"DAF_Award",D$2,PF,PT))</f>
        <v>0</v>
      </c>
      <c r="E37" s="39">
        <f>IF(TRUE,0,_xll.PSFx2BAL(CN,"*","GLCode",$B37,"DAF_Award",E$2,PF,PT))</f>
        <v>0</v>
      </c>
      <c r="F37" s="39">
        <f>IF(TRUE,0,_xll.PSFx2BAL(CN,"*","GLCode",$B37,"DAF_Award",F$2,PF,PT))</f>
        <v>0</v>
      </c>
      <c r="G37" s="39">
        <f>IF(TRUE,0,_xll.PSFx2BAL(CN,"*","GLCode",$B37,"DAF_Award",G$2,PF,PT))</f>
        <v>0</v>
      </c>
      <c r="H37" s="39">
        <f>IF(TRUE,0,_xll.PSFx2BAL(CN,"*","GLCode",$B37,"DAF_Award",H$2,PF,PT))</f>
        <v>0</v>
      </c>
      <c r="I37" s="39">
        <f>IF(TRUE,0,_xll.PSFx2BAL(CN,"*","GLCode",$B37,"DAF_Award",I$2,PF,PT))</f>
        <v>0</v>
      </c>
      <c r="J37" s="39">
        <f>IF(TRUE,0,_xll.PSFx2BAL(CN,"*","GLCode",$B37,"DAF_Award",J$2,PF,PT))</f>
        <v>0</v>
      </c>
      <c r="K37" s="39">
        <f>IF(TRUE,0,_xll.PSFx2BAL(CN,"*","GLCode",$B37,"DAF_Award",K$2,PF,PT))</f>
        <v>0</v>
      </c>
      <c r="L37" s="39">
        <f>IF(TRUE,0,_xll.PSFx2BAL(CN,"*","GLCode",$B37,"DAF_Award",L$2,PF,PT))</f>
        <v>0</v>
      </c>
      <c r="M37" s="39">
        <f>IF(TRUE,0,_xll.PSFx2BAL(CN,"*","GLCode",$B37,"DAF_Award",M$2,PF,PT))</f>
        <v>0</v>
      </c>
      <c r="N37" s="39">
        <f>IF(TRUE,0,_xll.PSFx2BAL(CN,"*","GLCode",$B37,"DAF_Award",N$2,PF,PT))</f>
        <v>0</v>
      </c>
      <c r="O37" s="39">
        <f>IF(TRUE,0,_xll.PSFx2BAL(CN,"*","GLCode",$B37,"DAF_Award",O$2,PF,PT))</f>
        <v>0</v>
      </c>
      <c r="P37" s="39">
        <f>IF(TRUE,0,_xll.PSFx2BAL(CN,"*","GLCode",$B37,"DAF_Award",P$2,PF,PT))</f>
        <v>0</v>
      </c>
      <c r="Q37" s="39">
        <f>IF(TRUE,0,_xll.PSFx2BAL(CN,"*","GLCode",$B37,"DAF_Award",Q$2,PF,PT))</f>
        <v>0</v>
      </c>
      <c r="R37" s="39">
        <f>IF(TRUE,0,_xll.PSFx2BAL(CN,"*","GLCode",$B37,"DAF_Award",R$2,PF,PT))</f>
        <v>0</v>
      </c>
      <c r="S37" s="39">
        <f>IF(TRUE,0,_xll.PSFx2BAL(CN,"*","GLCode",$B37,"DAF_Award",S$2,PF,PT))</f>
        <v>0</v>
      </c>
      <c r="T37" s="39">
        <f>IF(TRUE,0,_xll.PSFx2BAL(CN,"*","GLCode",$B37,"DAF_Award",T$2,PF,PT))</f>
        <v>0</v>
      </c>
      <c r="U37" s="39">
        <f>IF(TRUE,0,_xll.PSFx2BAL(CN,"*","GLCode",$B37,"DAF_Award",U$2,PF,PT))</f>
        <v>0</v>
      </c>
      <c r="V37" s="39">
        <f>IF(TRUE,0,_xll.PSFx2BAL(CN,"*","GLCode",$B37,"DAF_Award",V$2,PF,PT))</f>
        <v>0</v>
      </c>
      <c r="W37" s="39">
        <f>IF(TRUE,0,_xll.PSFx2BAL(CN,"*","GLCode",$B37,"DAF_Award",W$2,PF,PT))</f>
        <v>0</v>
      </c>
      <c r="X37" s="39">
        <f>IF(TRUE,0,_xll.PSFx2BAL(CN,"*","GLCode",$B37,"DAF_Award",X$2,PF,PT))</f>
        <v>0</v>
      </c>
      <c r="Y37" s="39">
        <f>IF(TRUE,0,_xll.PSFx2BAL(CN,"*","GLCode",$B37,"DAF_Award",Y$2,PF,PT))</f>
        <v>0</v>
      </c>
      <c r="Z37" s="39">
        <f>IF(TRUE,0,_xll.PSFx2BAL(CN,"*","GLCode",$B37,"DAF_Award",Z$2,PF,PT))</f>
        <v>0</v>
      </c>
      <c r="AA37" s="39">
        <f>IF(TRUE,0,_xll.PSFx2BAL(CN,"*","GLCode",$B37,"DAF_Award",AA$2,PF,PT))</f>
        <v>0</v>
      </c>
      <c r="AB37" s="39">
        <f>IF(TRUE,0,_xll.PSFx2BAL(CN,"*","GLCode",$B37,"DAF_Award",AB$2,PF,PT))</f>
        <v>0</v>
      </c>
      <c r="AC37" s="39">
        <f>IF(TRUE,0,_xll.PSFx2BAL(CN,"*","GLCode",$B37,"DAF_Award",AC$2,PF,PT))</f>
        <v>0</v>
      </c>
      <c r="AD37" s="39">
        <f>IF(TRUE,0,_xll.PSFx2BAL(CN,"*","GLCode",$B37,"DAF_Award",AD$2,PF,PT))</f>
        <v>0</v>
      </c>
      <c r="AE37" s="39">
        <f>IF(TRUE,0,_xll.PSFx2BAL(CN,"*","GLCode",$B37,"DAF_Award",AE$2,PF,PT))</f>
        <v>0</v>
      </c>
      <c r="AF37" s="39">
        <f>IF(TRUE,0,_xll.PSFx2BAL(CN,"*","GLCode",$B37,"DAF_Award",AF$2,PF,PT))</f>
        <v>0</v>
      </c>
      <c r="AG37" s="39">
        <f>IF(TRUE,0,_xll.PSFx2BAL(CN,"*","GLCode",$B37,"DAF_Award",AG$2,PF,PT))</f>
        <v>0</v>
      </c>
      <c r="AH37" s="39">
        <f>IF(TRUE,0,_xll.PSFx2BAL(CN,"*","GLCode",$B37,"DAF_Award",AH$2,PF,PT))</f>
        <v>0</v>
      </c>
      <c r="AI37" s="39">
        <f t="shared" si="34"/>
        <v>0</v>
      </c>
      <c r="AJ37" s="18">
        <f>VLOOKUP(B37,TB!$B$5:$E$140,4,FALSE)</f>
        <v>0</v>
      </c>
      <c r="AL37" s="39">
        <f t="shared" si="35"/>
        <v>0</v>
      </c>
      <c r="AM37" s="39">
        <f t="shared" si="36"/>
        <v>0</v>
      </c>
    </row>
    <row r="38" spans="1:39" x14ac:dyDescent="0.2">
      <c r="A38" s="1">
        <f t="shared" si="33"/>
        <v>7150</v>
      </c>
      <c r="B38" t="s">
        <v>82</v>
      </c>
      <c r="C38" t="s">
        <v>83</v>
      </c>
      <c r="D38" s="39">
        <f>IF(TRUE,0,_xll.PSFx2BAL(CN,"*","GLCode",$B38,"DAF_Award",D$2,PF,PT))</f>
        <v>0</v>
      </c>
      <c r="E38" s="39">
        <f>IF(TRUE,0,_xll.PSFx2BAL(CN,"*","GLCode",$B38,"DAF_Award",E$2,PF,PT))</f>
        <v>0</v>
      </c>
      <c r="F38" s="39">
        <f>IF(TRUE,0,_xll.PSFx2BAL(CN,"*","GLCode",$B38,"DAF_Award",F$2,PF,PT))</f>
        <v>0</v>
      </c>
      <c r="G38" s="39">
        <f>IF(TRUE,0,_xll.PSFx2BAL(CN,"*","GLCode",$B38,"DAF_Award",G$2,PF,PT))</f>
        <v>0</v>
      </c>
      <c r="H38" s="39">
        <f>IF(TRUE,0,_xll.PSFx2BAL(CN,"*","GLCode",$B38,"DAF_Award",H$2,PF,PT))</f>
        <v>0</v>
      </c>
      <c r="I38" s="39">
        <f>IF(TRUE,0,_xll.PSFx2BAL(CN,"*","GLCode",$B38,"DAF_Award",I$2,PF,PT))</f>
        <v>0</v>
      </c>
      <c r="J38" s="39">
        <f>IF(TRUE,0,_xll.PSFx2BAL(CN,"*","GLCode",$B38,"DAF_Award",J$2,PF,PT))</f>
        <v>0</v>
      </c>
      <c r="K38" s="39">
        <f>IF(TRUE,0,_xll.PSFx2BAL(CN,"*","GLCode",$B38,"DAF_Award",K$2,PF,PT))</f>
        <v>0</v>
      </c>
      <c r="L38" s="39">
        <f>IF(TRUE,0,_xll.PSFx2BAL(CN,"*","GLCode",$B38,"DAF_Award",L$2,PF,PT))</f>
        <v>0</v>
      </c>
      <c r="M38" s="39">
        <f>IF(TRUE,0,_xll.PSFx2BAL(CN,"*","GLCode",$B38,"DAF_Award",M$2,PF,PT))</f>
        <v>0</v>
      </c>
      <c r="N38" s="39">
        <f>IF(TRUE,0,_xll.PSFx2BAL(CN,"*","GLCode",$B38,"DAF_Award",N$2,PF,PT))</f>
        <v>0</v>
      </c>
      <c r="O38" s="39">
        <f>IF(TRUE,0,_xll.PSFx2BAL(CN,"*","GLCode",$B38,"DAF_Award",O$2,PF,PT))</f>
        <v>0</v>
      </c>
      <c r="P38" s="39">
        <f>IF(TRUE,0,_xll.PSFx2BAL(CN,"*","GLCode",$B38,"DAF_Award",P$2,PF,PT))</f>
        <v>0</v>
      </c>
      <c r="Q38" s="39">
        <f>IF(TRUE,0,_xll.PSFx2BAL(CN,"*","GLCode",$B38,"DAF_Award",Q$2,PF,PT))</f>
        <v>0</v>
      </c>
      <c r="R38" s="39">
        <f>IF(TRUE,0,_xll.PSFx2BAL(CN,"*","GLCode",$B38,"DAF_Award",R$2,PF,PT))</f>
        <v>0</v>
      </c>
      <c r="S38" s="39">
        <f>IF(TRUE,0,_xll.PSFx2BAL(CN,"*","GLCode",$B38,"DAF_Award",S$2,PF,PT))</f>
        <v>0</v>
      </c>
      <c r="T38" s="39">
        <f>IF(TRUE,0,_xll.PSFx2BAL(CN,"*","GLCode",$B38,"DAF_Award",T$2,PF,PT))</f>
        <v>0</v>
      </c>
      <c r="U38" s="39">
        <f>IF(TRUE,0,_xll.PSFx2BAL(CN,"*","GLCode",$B38,"DAF_Award",U$2,PF,PT))</f>
        <v>0</v>
      </c>
      <c r="V38" s="39">
        <f>IF(TRUE,0,_xll.PSFx2BAL(CN,"*","GLCode",$B38,"DAF_Award",V$2,PF,PT))</f>
        <v>0</v>
      </c>
      <c r="W38" s="39">
        <f>IF(TRUE,0,_xll.PSFx2BAL(CN,"*","GLCode",$B38,"DAF_Award",W$2,PF,PT))</f>
        <v>0</v>
      </c>
      <c r="X38" s="39">
        <f>IF(TRUE,0,_xll.PSFx2BAL(CN,"*","GLCode",$B38,"DAF_Award",X$2,PF,PT))</f>
        <v>0</v>
      </c>
      <c r="Y38" s="39">
        <f>IF(TRUE,0,_xll.PSFx2BAL(CN,"*","GLCode",$B38,"DAF_Award",Y$2,PF,PT))</f>
        <v>0</v>
      </c>
      <c r="Z38" s="39">
        <f>IF(TRUE,0,_xll.PSFx2BAL(CN,"*","GLCode",$B38,"DAF_Award",Z$2,PF,PT))</f>
        <v>0</v>
      </c>
      <c r="AA38" s="39">
        <f>IF(TRUE,0,_xll.PSFx2BAL(CN,"*","GLCode",$B38,"DAF_Award",AA$2,PF,PT))</f>
        <v>0</v>
      </c>
      <c r="AB38" s="39">
        <f>IF(TRUE,0,_xll.PSFx2BAL(CN,"*","GLCode",$B38,"DAF_Award",AB$2,PF,PT))</f>
        <v>0</v>
      </c>
      <c r="AC38" s="39">
        <f>IF(TRUE,0,_xll.PSFx2BAL(CN,"*","GLCode",$B38,"DAF_Award",AC$2,PF,PT))</f>
        <v>0</v>
      </c>
      <c r="AD38" s="39">
        <f>IF(TRUE,0,_xll.PSFx2BAL(CN,"*","GLCode",$B38,"DAF_Award",AD$2,PF,PT))</f>
        <v>0</v>
      </c>
      <c r="AE38" s="39">
        <f>IF(TRUE,0,_xll.PSFx2BAL(CN,"*","GLCode",$B38,"DAF_Award",AE$2,PF,PT))</f>
        <v>0</v>
      </c>
      <c r="AF38" s="39">
        <f>IF(TRUE,0,_xll.PSFx2BAL(CN,"*","GLCode",$B38,"DAF_Award",AF$2,PF,PT))</f>
        <v>0</v>
      </c>
      <c r="AG38" s="39">
        <f>IF(TRUE,0,_xll.PSFx2BAL(CN,"*","GLCode",$B38,"DAF_Award",AG$2,PF,PT))</f>
        <v>0</v>
      </c>
      <c r="AH38" s="39">
        <f>IF(TRUE,0,_xll.PSFx2BAL(CN,"*","GLCode",$B38,"DAF_Award",AH$2,PF,PT))</f>
        <v>0</v>
      </c>
      <c r="AI38" s="39">
        <f t="shared" si="34"/>
        <v>307.45999999999998</v>
      </c>
      <c r="AJ38" s="18">
        <f>VLOOKUP(B38,TB!$B$5:$E$140,4,FALSE)</f>
        <v>307.45999999999998</v>
      </c>
      <c r="AL38" s="39">
        <f t="shared" si="35"/>
        <v>307.45999999999998</v>
      </c>
      <c r="AM38" s="39">
        <f t="shared" si="36"/>
        <v>0</v>
      </c>
    </row>
    <row r="39" spans="1:39" x14ac:dyDescent="0.2">
      <c r="A39" s="1">
        <f t="shared" si="33"/>
        <v>7151</v>
      </c>
      <c r="B39" t="s">
        <v>84</v>
      </c>
      <c r="C39" t="s">
        <v>85</v>
      </c>
      <c r="D39" s="39">
        <f>IF(TRUE,0,_xll.PSFx2BAL(CN,"*","GLCode",$B39,"DAF_Award",D$2,PF,PT))</f>
        <v>0</v>
      </c>
      <c r="E39" s="39">
        <f>IF(TRUE,0,_xll.PSFx2BAL(CN,"*","GLCode",$B39,"DAF_Award",E$2,PF,PT))</f>
        <v>0</v>
      </c>
      <c r="F39" s="39">
        <f>IF(TRUE,0,_xll.PSFx2BAL(CN,"*","GLCode",$B39,"DAF_Award",F$2,PF,PT))</f>
        <v>0</v>
      </c>
      <c r="G39" s="39">
        <f>IF(TRUE,0,_xll.PSFx2BAL(CN,"*","GLCode",$B39,"DAF_Award",G$2,PF,PT))</f>
        <v>0</v>
      </c>
      <c r="H39" s="39">
        <f>IF(TRUE,0,_xll.PSFx2BAL(CN,"*","GLCode",$B39,"DAF_Award",H$2,PF,PT))</f>
        <v>0</v>
      </c>
      <c r="I39" s="39">
        <f>IF(TRUE,0,_xll.PSFx2BAL(CN,"*","GLCode",$B39,"DAF_Award",I$2,PF,PT))</f>
        <v>0</v>
      </c>
      <c r="J39" s="39">
        <f>IF(TRUE,0,_xll.PSFx2BAL(CN,"*","GLCode",$B39,"DAF_Award",J$2,PF,PT))</f>
        <v>0</v>
      </c>
      <c r="K39" s="39">
        <f>IF(TRUE,0,_xll.PSFx2BAL(CN,"*","GLCode",$B39,"DAF_Award",K$2,PF,PT))</f>
        <v>0</v>
      </c>
      <c r="L39" s="39">
        <f>IF(TRUE,0,_xll.PSFx2BAL(CN,"*","GLCode",$B39,"DAF_Award",L$2,PF,PT))</f>
        <v>0</v>
      </c>
      <c r="M39" s="39">
        <f>IF(TRUE,0,_xll.PSFx2BAL(CN,"*","GLCode",$B39,"DAF_Award",M$2,PF,PT))</f>
        <v>0</v>
      </c>
      <c r="N39" s="39">
        <f>IF(TRUE,0,_xll.PSFx2BAL(CN,"*","GLCode",$B39,"DAF_Award",N$2,PF,PT))</f>
        <v>0</v>
      </c>
      <c r="O39" s="39">
        <f>IF(TRUE,0,_xll.PSFx2BAL(CN,"*","GLCode",$B39,"DAF_Award",O$2,PF,PT))</f>
        <v>0</v>
      </c>
      <c r="P39" s="39">
        <f>IF(TRUE,0,_xll.PSFx2BAL(CN,"*","GLCode",$B39,"DAF_Award",P$2,PF,PT))</f>
        <v>0</v>
      </c>
      <c r="Q39" s="39">
        <f>IF(TRUE,0,_xll.PSFx2BAL(CN,"*","GLCode",$B39,"DAF_Award",Q$2,PF,PT))</f>
        <v>0</v>
      </c>
      <c r="R39" s="39">
        <f>IF(TRUE,0,_xll.PSFx2BAL(CN,"*","GLCode",$B39,"DAF_Award",R$2,PF,PT))</f>
        <v>0</v>
      </c>
      <c r="S39" s="39">
        <f>IF(TRUE,0,_xll.PSFx2BAL(CN,"*","GLCode",$B39,"DAF_Award",S$2,PF,PT))</f>
        <v>0</v>
      </c>
      <c r="T39" s="39">
        <f>IF(TRUE,0,_xll.PSFx2BAL(CN,"*","GLCode",$B39,"DAF_Award",T$2,PF,PT))</f>
        <v>0</v>
      </c>
      <c r="U39" s="39">
        <f>IF(TRUE,0,_xll.PSFx2BAL(CN,"*","GLCode",$B39,"DAF_Award",U$2,PF,PT))</f>
        <v>0</v>
      </c>
      <c r="V39" s="39">
        <f>IF(TRUE,0,_xll.PSFx2BAL(CN,"*","GLCode",$B39,"DAF_Award",V$2,PF,PT))</f>
        <v>0</v>
      </c>
      <c r="W39" s="39">
        <f>IF(TRUE,0,_xll.PSFx2BAL(CN,"*","GLCode",$B39,"DAF_Award",W$2,PF,PT))</f>
        <v>0</v>
      </c>
      <c r="X39" s="39">
        <f>IF(TRUE,0,_xll.PSFx2BAL(CN,"*","GLCode",$B39,"DAF_Award",X$2,PF,PT))</f>
        <v>0</v>
      </c>
      <c r="Y39" s="39">
        <f>IF(TRUE,0,_xll.PSFx2BAL(CN,"*","GLCode",$B39,"DAF_Award",Y$2,PF,PT))</f>
        <v>0</v>
      </c>
      <c r="Z39" s="39">
        <f>IF(TRUE,0,_xll.PSFx2BAL(CN,"*","GLCode",$B39,"DAF_Award",Z$2,PF,PT))</f>
        <v>0</v>
      </c>
      <c r="AA39" s="39">
        <f>IF(TRUE,0,_xll.PSFx2BAL(CN,"*","GLCode",$B39,"DAF_Award",AA$2,PF,PT))</f>
        <v>0</v>
      </c>
      <c r="AB39" s="39">
        <f>IF(TRUE,0,_xll.PSFx2BAL(CN,"*","GLCode",$B39,"DAF_Award",AB$2,PF,PT))</f>
        <v>0</v>
      </c>
      <c r="AC39" s="39">
        <f>IF(TRUE,0,_xll.PSFx2BAL(CN,"*","GLCode",$B39,"DAF_Award",AC$2,PF,PT))</f>
        <v>0</v>
      </c>
      <c r="AD39" s="39">
        <f>IF(TRUE,0,_xll.PSFx2BAL(CN,"*","GLCode",$B39,"DAF_Award",AD$2,PF,PT))</f>
        <v>0</v>
      </c>
      <c r="AE39" s="39">
        <f>IF(TRUE,0,_xll.PSFx2BAL(CN,"*","GLCode",$B39,"DAF_Award",AE$2,PF,PT))</f>
        <v>0</v>
      </c>
      <c r="AF39" s="39">
        <f>IF(TRUE,0,_xll.PSFx2BAL(CN,"*","GLCode",$B39,"DAF_Award",AF$2,PF,PT))</f>
        <v>0</v>
      </c>
      <c r="AG39" s="39">
        <f>IF(TRUE,0,_xll.PSFx2BAL(CN,"*","GLCode",$B39,"DAF_Award",AG$2,PF,PT))</f>
        <v>0</v>
      </c>
      <c r="AH39" s="39">
        <f>IF(TRUE,0,_xll.PSFx2BAL(CN,"*","GLCode",$B39,"DAF_Award",AH$2,PF,PT))</f>
        <v>0</v>
      </c>
      <c r="AI39" s="39">
        <f t="shared" si="34"/>
        <v>46.2</v>
      </c>
      <c r="AJ39" s="18">
        <f>VLOOKUP(B39,TB!$B$5:$E$140,4,FALSE)</f>
        <v>46.2</v>
      </c>
      <c r="AL39" s="39">
        <f t="shared" si="35"/>
        <v>46.2</v>
      </c>
      <c r="AM39" s="39">
        <f t="shared" si="36"/>
        <v>0</v>
      </c>
    </row>
    <row r="40" spans="1:39" x14ac:dyDescent="0.2">
      <c r="A40" s="1">
        <f t="shared" si="33"/>
        <v>7160</v>
      </c>
      <c r="B40" t="s">
        <v>86</v>
      </c>
      <c r="C40" t="s">
        <v>87</v>
      </c>
      <c r="D40" s="39">
        <f>IF(TRUE,0,_xll.PSFx2BAL(CN,"*","GLCode",$B40,"DAF_Award",D$2,PF,PT))</f>
        <v>0</v>
      </c>
      <c r="E40" s="39">
        <f>IF(TRUE,0,_xll.PSFx2BAL(CN,"*","GLCode",$B40,"DAF_Award",E$2,PF,PT))</f>
        <v>0</v>
      </c>
      <c r="F40" s="39">
        <f>IF(TRUE,0,_xll.PSFx2BAL(CN,"*","GLCode",$B40,"DAF_Award",F$2,PF,PT))</f>
        <v>0</v>
      </c>
      <c r="G40" s="39">
        <f>IF(TRUE,0,_xll.PSFx2BAL(CN,"*","GLCode",$B40,"DAF_Award",G$2,PF,PT))</f>
        <v>0</v>
      </c>
      <c r="H40" s="39">
        <f>IF(TRUE,0,_xll.PSFx2BAL(CN,"*","GLCode",$B40,"DAF_Award",H$2,PF,PT))</f>
        <v>0</v>
      </c>
      <c r="I40" s="39">
        <f>IF(TRUE,0,_xll.PSFx2BAL(CN,"*","GLCode",$B40,"DAF_Award",I$2,PF,PT))</f>
        <v>0</v>
      </c>
      <c r="J40" s="39">
        <f>IF(TRUE,0,_xll.PSFx2BAL(CN,"*","GLCode",$B40,"DAF_Award",J$2,PF,PT))</f>
        <v>0</v>
      </c>
      <c r="K40" s="39">
        <f>IF(TRUE,0,_xll.PSFx2BAL(CN,"*","GLCode",$B40,"DAF_Award",K$2,PF,PT))</f>
        <v>0</v>
      </c>
      <c r="L40" s="39">
        <f>IF(TRUE,0,_xll.PSFx2BAL(CN,"*","GLCode",$B40,"DAF_Award",L$2,PF,PT))</f>
        <v>0</v>
      </c>
      <c r="M40" s="39">
        <f>IF(TRUE,0,_xll.PSFx2BAL(CN,"*","GLCode",$B40,"DAF_Award",M$2,PF,PT))</f>
        <v>0</v>
      </c>
      <c r="N40" s="39">
        <f>IF(TRUE,0,_xll.PSFx2BAL(CN,"*","GLCode",$B40,"DAF_Award",N$2,PF,PT))</f>
        <v>0</v>
      </c>
      <c r="O40" s="39">
        <f>IF(TRUE,0,_xll.PSFx2BAL(CN,"*","GLCode",$B40,"DAF_Award",O$2,PF,PT))</f>
        <v>0</v>
      </c>
      <c r="P40" s="39">
        <f>IF(TRUE,0,_xll.PSFx2BAL(CN,"*","GLCode",$B40,"DAF_Award",P$2,PF,PT))</f>
        <v>0</v>
      </c>
      <c r="Q40" s="39">
        <f>IF(TRUE,0,_xll.PSFx2BAL(CN,"*","GLCode",$B40,"DAF_Award",Q$2,PF,PT))</f>
        <v>0</v>
      </c>
      <c r="R40" s="39">
        <f>IF(TRUE,0,_xll.PSFx2BAL(CN,"*","GLCode",$B40,"DAF_Award",R$2,PF,PT))</f>
        <v>0</v>
      </c>
      <c r="S40" s="39">
        <f>IF(TRUE,0,_xll.PSFx2BAL(CN,"*","GLCode",$B40,"DAF_Award",S$2,PF,PT))</f>
        <v>0</v>
      </c>
      <c r="T40" s="39">
        <f>IF(TRUE,0,_xll.PSFx2BAL(CN,"*","GLCode",$B40,"DAF_Award",T$2,PF,PT))</f>
        <v>0</v>
      </c>
      <c r="U40" s="39">
        <f>IF(TRUE,0,_xll.PSFx2BAL(CN,"*","GLCode",$B40,"DAF_Award",U$2,PF,PT))</f>
        <v>0</v>
      </c>
      <c r="V40" s="39">
        <f>IF(TRUE,0,_xll.PSFx2BAL(CN,"*","GLCode",$B40,"DAF_Award",V$2,PF,PT))</f>
        <v>0</v>
      </c>
      <c r="W40" s="39">
        <f>IF(TRUE,0,_xll.PSFx2BAL(CN,"*","GLCode",$B40,"DAF_Award",W$2,PF,PT))</f>
        <v>0</v>
      </c>
      <c r="X40" s="39">
        <f>IF(TRUE,0,_xll.PSFx2BAL(CN,"*","GLCode",$B40,"DAF_Award",X$2,PF,PT))</f>
        <v>0</v>
      </c>
      <c r="Y40" s="39">
        <f>IF(TRUE,0,_xll.PSFx2BAL(CN,"*","GLCode",$B40,"DAF_Award",Y$2,PF,PT))</f>
        <v>0</v>
      </c>
      <c r="Z40" s="39">
        <f>IF(TRUE,0,_xll.PSFx2BAL(CN,"*","GLCode",$B40,"DAF_Award",Z$2,PF,PT))</f>
        <v>0</v>
      </c>
      <c r="AA40" s="39">
        <f>IF(TRUE,0,_xll.PSFx2BAL(CN,"*","GLCode",$B40,"DAF_Award",AA$2,PF,PT))</f>
        <v>0</v>
      </c>
      <c r="AB40" s="39">
        <f>IF(TRUE,0,_xll.PSFx2BAL(CN,"*","GLCode",$B40,"DAF_Award",AB$2,PF,PT))</f>
        <v>0</v>
      </c>
      <c r="AC40" s="39">
        <f>IF(TRUE,0,_xll.PSFx2BAL(CN,"*","GLCode",$B40,"DAF_Award",AC$2,PF,PT))</f>
        <v>0</v>
      </c>
      <c r="AD40" s="39">
        <f>IF(TRUE,0,_xll.PSFx2BAL(CN,"*","GLCode",$B40,"DAF_Award",AD$2,PF,PT))</f>
        <v>0</v>
      </c>
      <c r="AE40" s="39">
        <f>IF(TRUE,0,_xll.PSFx2BAL(CN,"*","GLCode",$B40,"DAF_Award",AE$2,PF,PT))</f>
        <v>0</v>
      </c>
      <c r="AF40" s="39">
        <f>IF(TRUE,0,_xll.PSFx2BAL(CN,"*","GLCode",$B40,"DAF_Award",AF$2,PF,PT))</f>
        <v>0</v>
      </c>
      <c r="AG40" s="39">
        <f>IF(TRUE,0,_xll.PSFx2BAL(CN,"*","GLCode",$B40,"DAF_Award",AG$2,PF,PT))</f>
        <v>0</v>
      </c>
      <c r="AH40" s="39">
        <f>IF(TRUE,0,_xll.PSFx2BAL(CN,"*","GLCode",$B40,"DAF_Award",AH$2,PF,PT))</f>
        <v>0</v>
      </c>
      <c r="AI40" s="39">
        <f t="shared" si="34"/>
        <v>2273.4</v>
      </c>
      <c r="AJ40" s="18">
        <f>VLOOKUP(B40,TB!$B$5:$E$140,4,FALSE)</f>
        <v>2273.4</v>
      </c>
      <c r="AL40" s="39">
        <f t="shared" si="35"/>
        <v>2273.4</v>
      </c>
      <c r="AM40" s="39">
        <f t="shared" si="36"/>
        <v>0</v>
      </c>
    </row>
    <row r="41" spans="1:39" x14ac:dyDescent="0.2">
      <c r="A41" s="1">
        <f t="shared" si="33"/>
        <v>7161</v>
      </c>
      <c r="B41" t="s">
        <v>88</v>
      </c>
      <c r="C41" t="s">
        <v>89</v>
      </c>
      <c r="D41" s="39">
        <f>IF(TRUE,0,_xll.PSFx2BAL(CN,"*","GLCode",$B41,"DAF_Award",D$2,PF,PT))</f>
        <v>0</v>
      </c>
      <c r="E41" s="39">
        <f>IF(TRUE,0,_xll.PSFx2BAL(CN,"*","GLCode",$B41,"DAF_Award",E$2,PF,PT))</f>
        <v>0</v>
      </c>
      <c r="F41" s="39">
        <f>IF(TRUE,0,_xll.PSFx2BAL(CN,"*","GLCode",$B41,"DAF_Award",F$2,PF,PT))</f>
        <v>0</v>
      </c>
      <c r="G41" s="39">
        <f>IF(TRUE,0,_xll.PSFx2BAL(CN,"*","GLCode",$B41,"DAF_Award",G$2,PF,PT))</f>
        <v>0</v>
      </c>
      <c r="H41" s="39">
        <f>IF(TRUE,0,_xll.PSFx2BAL(CN,"*","GLCode",$B41,"DAF_Award",H$2,PF,PT))</f>
        <v>0</v>
      </c>
      <c r="I41" s="39">
        <f>IF(TRUE,0,_xll.PSFx2BAL(CN,"*","GLCode",$B41,"DAF_Award",I$2,PF,PT))</f>
        <v>0</v>
      </c>
      <c r="J41" s="39">
        <f>IF(TRUE,0,_xll.PSFx2BAL(CN,"*","GLCode",$B41,"DAF_Award",J$2,PF,PT))</f>
        <v>0</v>
      </c>
      <c r="K41" s="39">
        <f>IF(TRUE,0,_xll.PSFx2BAL(CN,"*","GLCode",$B41,"DAF_Award",K$2,PF,PT))</f>
        <v>0</v>
      </c>
      <c r="L41" s="39">
        <f>IF(TRUE,0,_xll.PSFx2BAL(CN,"*","GLCode",$B41,"DAF_Award",L$2,PF,PT))</f>
        <v>0</v>
      </c>
      <c r="M41" s="39">
        <f>IF(TRUE,0,_xll.PSFx2BAL(CN,"*","GLCode",$B41,"DAF_Award",M$2,PF,PT))</f>
        <v>0</v>
      </c>
      <c r="N41" s="39">
        <f>IF(TRUE,0,_xll.PSFx2BAL(CN,"*","GLCode",$B41,"DAF_Award",N$2,PF,PT))</f>
        <v>0</v>
      </c>
      <c r="O41" s="39">
        <f>IF(TRUE,0,_xll.PSFx2BAL(CN,"*","GLCode",$B41,"DAF_Award",O$2,PF,PT))</f>
        <v>0</v>
      </c>
      <c r="P41" s="39">
        <f>IF(TRUE,0,_xll.PSFx2BAL(CN,"*","GLCode",$B41,"DAF_Award",P$2,PF,PT))</f>
        <v>0</v>
      </c>
      <c r="Q41" s="39">
        <f>IF(TRUE,0,_xll.PSFx2BAL(CN,"*","GLCode",$B41,"DAF_Award",Q$2,PF,PT))</f>
        <v>0</v>
      </c>
      <c r="R41" s="39">
        <f>IF(TRUE,0,_xll.PSFx2BAL(CN,"*","GLCode",$B41,"DAF_Award",R$2,PF,PT))</f>
        <v>0</v>
      </c>
      <c r="S41" s="39">
        <f>IF(TRUE,0,_xll.PSFx2BAL(CN,"*","GLCode",$B41,"DAF_Award",S$2,PF,PT))</f>
        <v>0</v>
      </c>
      <c r="T41" s="39">
        <f>IF(TRUE,0,_xll.PSFx2BAL(CN,"*","GLCode",$B41,"DAF_Award",T$2,PF,PT))</f>
        <v>0</v>
      </c>
      <c r="U41" s="39">
        <f>IF(TRUE,0,_xll.PSFx2BAL(CN,"*","GLCode",$B41,"DAF_Award",U$2,PF,PT))</f>
        <v>0</v>
      </c>
      <c r="V41" s="39">
        <f>IF(TRUE,0,_xll.PSFx2BAL(CN,"*","GLCode",$B41,"DAF_Award",V$2,PF,PT))</f>
        <v>0</v>
      </c>
      <c r="W41" s="39">
        <f>IF(TRUE,0,_xll.PSFx2BAL(CN,"*","GLCode",$B41,"DAF_Award",W$2,PF,PT))</f>
        <v>0</v>
      </c>
      <c r="X41" s="39">
        <f>IF(TRUE,0,_xll.PSFx2BAL(CN,"*","GLCode",$B41,"DAF_Award",X$2,PF,PT))</f>
        <v>0</v>
      </c>
      <c r="Y41" s="39">
        <f>IF(TRUE,0,_xll.PSFx2BAL(CN,"*","GLCode",$B41,"DAF_Award",Y$2,PF,PT))</f>
        <v>0</v>
      </c>
      <c r="Z41" s="39">
        <f>IF(TRUE,0,_xll.PSFx2BAL(CN,"*","GLCode",$B41,"DAF_Award",Z$2,PF,PT))</f>
        <v>0</v>
      </c>
      <c r="AA41" s="39">
        <f>IF(TRUE,0,_xll.PSFx2BAL(CN,"*","GLCode",$B41,"DAF_Award",AA$2,PF,PT))</f>
        <v>0</v>
      </c>
      <c r="AB41" s="39">
        <f>IF(TRUE,0,_xll.PSFx2BAL(CN,"*","GLCode",$B41,"DAF_Award",AB$2,PF,PT))</f>
        <v>0</v>
      </c>
      <c r="AC41" s="39">
        <f>IF(TRUE,0,_xll.PSFx2BAL(CN,"*","GLCode",$B41,"DAF_Award",AC$2,PF,PT))</f>
        <v>0</v>
      </c>
      <c r="AD41" s="39">
        <f>IF(TRUE,0,_xll.PSFx2BAL(CN,"*","GLCode",$B41,"DAF_Award",AD$2,PF,PT))</f>
        <v>0</v>
      </c>
      <c r="AE41" s="39">
        <f>IF(TRUE,0,_xll.PSFx2BAL(CN,"*","GLCode",$B41,"DAF_Award",AE$2,PF,PT))</f>
        <v>0</v>
      </c>
      <c r="AF41" s="39">
        <f>IF(TRUE,0,_xll.PSFx2BAL(CN,"*","GLCode",$B41,"DAF_Award",AF$2,PF,PT))</f>
        <v>0</v>
      </c>
      <c r="AG41" s="39">
        <f>IF(TRUE,0,_xll.PSFx2BAL(CN,"*","GLCode",$B41,"DAF_Award",AG$2,PF,PT))</f>
        <v>0</v>
      </c>
      <c r="AH41" s="39">
        <f>IF(TRUE,0,_xll.PSFx2BAL(CN,"*","GLCode",$B41,"DAF_Award",AH$2,PF,PT))</f>
        <v>0</v>
      </c>
      <c r="AI41" s="39">
        <f t="shared" si="34"/>
        <v>75.28</v>
      </c>
      <c r="AJ41" s="18">
        <f>VLOOKUP(B41,TB!$B$5:$E$140,4,FALSE)</f>
        <v>75.28</v>
      </c>
      <c r="AL41" s="39">
        <f t="shared" si="35"/>
        <v>75.28</v>
      </c>
      <c r="AM41" s="39">
        <f t="shared" si="36"/>
        <v>0</v>
      </c>
    </row>
    <row r="42" spans="1:39" hidden="1" x14ac:dyDescent="0.2">
      <c r="A42" s="1">
        <f t="shared" si="33"/>
        <v>7162</v>
      </c>
      <c r="B42" t="s">
        <v>90</v>
      </c>
      <c r="C42" t="s">
        <v>91</v>
      </c>
      <c r="D42" s="39">
        <f>IF(TRUE,0,_xll.PSFx2BAL(CN,"*","GLCode",$B42,"DAF_Award",D$2,PF,PT))</f>
        <v>0</v>
      </c>
      <c r="E42" s="39">
        <f>IF(TRUE,0,_xll.PSFx2BAL(CN,"*","GLCode",$B42,"DAF_Award",E$2,PF,PT))</f>
        <v>0</v>
      </c>
      <c r="F42" s="39">
        <f>IF(TRUE,0,_xll.PSFx2BAL(CN,"*","GLCode",$B42,"DAF_Award",F$2,PF,PT))</f>
        <v>0</v>
      </c>
      <c r="G42" s="39">
        <f>IF(TRUE,0,_xll.PSFx2BAL(CN,"*","GLCode",$B42,"DAF_Award",G$2,PF,PT))</f>
        <v>0</v>
      </c>
      <c r="H42" s="39">
        <f>IF(TRUE,0,_xll.PSFx2BAL(CN,"*","GLCode",$B42,"DAF_Award",H$2,PF,PT))</f>
        <v>0</v>
      </c>
      <c r="I42" s="39">
        <f>IF(TRUE,0,_xll.PSFx2BAL(CN,"*","GLCode",$B42,"DAF_Award",I$2,PF,PT))</f>
        <v>0</v>
      </c>
      <c r="J42" s="39">
        <f>IF(TRUE,0,_xll.PSFx2BAL(CN,"*","GLCode",$B42,"DAF_Award",J$2,PF,PT))</f>
        <v>0</v>
      </c>
      <c r="K42" s="39">
        <f>IF(TRUE,0,_xll.PSFx2BAL(CN,"*","GLCode",$B42,"DAF_Award",K$2,PF,PT))</f>
        <v>0</v>
      </c>
      <c r="L42" s="39">
        <f>IF(TRUE,0,_xll.PSFx2BAL(CN,"*","GLCode",$B42,"DAF_Award",L$2,PF,PT))</f>
        <v>0</v>
      </c>
      <c r="M42" s="39">
        <f>IF(TRUE,0,_xll.PSFx2BAL(CN,"*","GLCode",$B42,"DAF_Award",M$2,PF,PT))</f>
        <v>0</v>
      </c>
      <c r="N42" s="39">
        <f>IF(TRUE,0,_xll.PSFx2BAL(CN,"*","GLCode",$B42,"DAF_Award",N$2,PF,PT))</f>
        <v>0</v>
      </c>
      <c r="O42" s="39">
        <f>IF(TRUE,0,_xll.PSFx2BAL(CN,"*","GLCode",$B42,"DAF_Award",O$2,PF,PT))</f>
        <v>0</v>
      </c>
      <c r="P42" s="39">
        <f>IF(TRUE,0,_xll.PSFx2BAL(CN,"*","GLCode",$B42,"DAF_Award",P$2,PF,PT))</f>
        <v>0</v>
      </c>
      <c r="Q42" s="39">
        <f>IF(TRUE,0,_xll.PSFx2BAL(CN,"*","GLCode",$B42,"DAF_Award",Q$2,PF,PT))</f>
        <v>0</v>
      </c>
      <c r="R42" s="39">
        <f>IF(TRUE,0,_xll.PSFx2BAL(CN,"*","GLCode",$B42,"DAF_Award",R$2,PF,PT))</f>
        <v>0</v>
      </c>
      <c r="S42" s="39">
        <f>IF(TRUE,0,_xll.PSFx2BAL(CN,"*","GLCode",$B42,"DAF_Award",S$2,PF,PT))</f>
        <v>0</v>
      </c>
      <c r="T42" s="39">
        <f>IF(TRUE,0,_xll.PSFx2BAL(CN,"*","GLCode",$B42,"DAF_Award",T$2,PF,PT))</f>
        <v>0</v>
      </c>
      <c r="U42" s="39">
        <f>IF(TRUE,0,_xll.PSFx2BAL(CN,"*","GLCode",$B42,"DAF_Award",U$2,PF,PT))</f>
        <v>0</v>
      </c>
      <c r="V42" s="39">
        <f>IF(TRUE,0,_xll.PSFx2BAL(CN,"*","GLCode",$B42,"DAF_Award",V$2,PF,PT))</f>
        <v>0</v>
      </c>
      <c r="W42" s="39">
        <f>IF(TRUE,0,_xll.PSFx2BAL(CN,"*","GLCode",$B42,"DAF_Award",W$2,PF,PT))</f>
        <v>0</v>
      </c>
      <c r="X42" s="39">
        <f>IF(TRUE,0,_xll.PSFx2BAL(CN,"*","GLCode",$B42,"DAF_Award",X$2,PF,PT))</f>
        <v>0</v>
      </c>
      <c r="Y42" s="39">
        <f>IF(TRUE,0,_xll.PSFx2BAL(CN,"*","GLCode",$B42,"DAF_Award",Y$2,PF,PT))</f>
        <v>0</v>
      </c>
      <c r="Z42" s="39">
        <f>IF(TRUE,0,_xll.PSFx2BAL(CN,"*","GLCode",$B42,"DAF_Award",Z$2,PF,PT))</f>
        <v>0</v>
      </c>
      <c r="AA42" s="39">
        <f>IF(TRUE,0,_xll.PSFx2BAL(CN,"*","GLCode",$B42,"DAF_Award",AA$2,PF,PT))</f>
        <v>0</v>
      </c>
      <c r="AB42" s="39">
        <f>IF(TRUE,0,_xll.PSFx2BAL(CN,"*","GLCode",$B42,"DAF_Award",AB$2,PF,PT))</f>
        <v>0</v>
      </c>
      <c r="AC42" s="39">
        <f>IF(TRUE,0,_xll.PSFx2BAL(CN,"*","GLCode",$B42,"DAF_Award",AC$2,PF,PT))</f>
        <v>0</v>
      </c>
      <c r="AD42" s="39">
        <f>IF(TRUE,0,_xll.PSFx2BAL(CN,"*","GLCode",$B42,"DAF_Award",AD$2,PF,PT))</f>
        <v>0</v>
      </c>
      <c r="AE42" s="39">
        <f>IF(TRUE,0,_xll.PSFx2BAL(CN,"*","GLCode",$B42,"DAF_Award",AE$2,PF,PT))</f>
        <v>0</v>
      </c>
      <c r="AF42" s="39">
        <f>IF(TRUE,0,_xll.PSFx2BAL(CN,"*","GLCode",$B42,"DAF_Award",AF$2,PF,PT))</f>
        <v>0</v>
      </c>
      <c r="AG42" s="39">
        <f>IF(TRUE,0,_xll.PSFx2BAL(CN,"*","GLCode",$B42,"DAF_Award",AG$2,PF,PT))</f>
        <v>0</v>
      </c>
      <c r="AH42" s="39">
        <f>IF(TRUE,0,_xll.PSFx2BAL(CN,"*","GLCode",$B42,"DAF_Award",AH$2,PF,PT))</f>
        <v>0</v>
      </c>
      <c r="AI42" s="39">
        <f t="shared" si="34"/>
        <v>0</v>
      </c>
      <c r="AJ42" s="18">
        <f>VLOOKUP(B42,TB!$B$5:$E$140,4,FALSE)</f>
        <v>0</v>
      </c>
      <c r="AL42" s="39">
        <f t="shared" si="35"/>
        <v>0</v>
      </c>
      <c r="AM42" s="39">
        <f t="shared" si="36"/>
        <v>0</v>
      </c>
    </row>
    <row r="43" spans="1:39" x14ac:dyDescent="0.2">
      <c r="A43" s="1">
        <f t="shared" si="33"/>
        <v>7163</v>
      </c>
      <c r="B43" t="s">
        <v>92</v>
      </c>
      <c r="C43" t="s">
        <v>93</v>
      </c>
      <c r="D43" s="39">
        <f>IF(TRUE,0,_xll.PSFx2BAL(CN,"*","GLCode",$B43,"DAF_Award",D$2,PF,PT))</f>
        <v>0</v>
      </c>
      <c r="E43" s="39">
        <f>IF(TRUE,0,_xll.PSFx2BAL(CN,"*","GLCode",$B43,"DAF_Award",E$2,PF,PT))</f>
        <v>0</v>
      </c>
      <c r="F43" s="39">
        <f>IF(TRUE,0,_xll.PSFx2BAL(CN,"*","GLCode",$B43,"DAF_Award",F$2,PF,PT))</f>
        <v>0</v>
      </c>
      <c r="G43" s="39">
        <f>IF(TRUE,0,_xll.PSFx2BAL(CN,"*","GLCode",$B43,"DAF_Award",G$2,PF,PT))</f>
        <v>0</v>
      </c>
      <c r="H43" s="39">
        <f>IF(TRUE,0,_xll.PSFx2BAL(CN,"*","GLCode",$B43,"DAF_Award",H$2,PF,PT))</f>
        <v>0</v>
      </c>
      <c r="I43" s="39">
        <f>IF(TRUE,0,_xll.PSFx2BAL(CN,"*","GLCode",$B43,"DAF_Award",I$2,PF,PT))</f>
        <v>0</v>
      </c>
      <c r="J43" s="39">
        <f>IF(TRUE,0,_xll.PSFx2BAL(CN,"*","GLCode",$B43,"DAF_Award",J$2,PF,PT))</f>
        <v>0</v>
      </c>
      <c r="K43" s="39">
        <f>IF(TRUE,0,_xll.PSFx2BAL(CN,"*","GLCode",$B43,"DAF_Award",K$2,PF,PT))</f>
        <v>0</v>
      </c>
      <c r="L43" s="39">
        <f>IF(TRUE,0,_xll.PSFx2BAL(CN,"*","GLCode",$B43,"DAF_Award",L$2,PF,PT))</f>
        <v>0</v>
      </c>
      <c r="M43" s="39">
        <f>IF(TRUE,0,_xll.PSFx2BAL(CN,"*","GLCode",$B43,"DAF_Award",M$2,PF,PT))</f>
        <v>0</v>
      </c>
      <c r="N43" s="39">
        <f>IF(TRUE,0,_xll.PSFx2BAL(CN,"*","GLCode",$B43,"DAF_Award",N$2,PF,PT))</f>
        <v>0</v>
      </c>
      <c r="O43" s="39">
        <f>IF(TRUE,0,_xll.PSFx2BAL(CN,"*","GLCode",$B43,"DAF_Award",O$2,PF,PT))</f>
        <v>0</v>
      </c>
      <c r="P43" s="39">
        <f>IF(TRUE,0,_xll.PSFx2BAL(CN,"*","GLCode",$B43,"DAF_Award",P$2,PF,PT))</f>
        <v>0</v>
      </c>
      <c r="Q43" s="39">
        <f>IF(TRUE,0,_xll.PSFx2BAL(CN,"*","GLCode",$B43,"DAF_Award",Q$2,PF,PT))</f>
        <v>0</v>
      </c>
      <c r="R43" s="39">
        <f>IF(TRUE,0,_xll.PSFx2BAL(CN,"*","GLCode",$B43,"DAF_Award",R$2,PF,PT))</f>
        <v>0</v>
      </c>
      <c r="S43" s="39">
        <f>IF(TRUE,0,_xll.PSFx2BAL(CN,"*","GLCode",$B43,"DAF_Award",S$2,PF,PT))</f>
        <v>0</v>
      </c>
      <c r="T43" s="39">
        <f>IF(TRUE,0,_xll.PSFx2BAL(CN,"*","GLCode",$B43,"DAF_Award",T$2,PF,PT))</f>
        <v>0</v>
      </c>
      <c r="U43" s="39">
        <f>IF(TRUE,0,_xll.PSFx2BAL(CN,"*","GLCode",$B43,"DAF_Award",U$2,PF,PT))</f>
        <v>0</v>
      </c>
      <c r="V43" s="39">
        <f>IF(TRUE,0,_xll.PSFx2BAL(CN,"*","GLCode",$B43,"DAF_Award",V$2,PF,PT))</f>
        <v>0</v>
      </c>
      <c r="W43" s="39">
        <f>IF(TRUE,0,_xll.PSFx2BAL(CN,"*","GLCode",$B43,"DAF_Award",W$2,PF,PT))</f>
        <v>0</v>
      </c>
      <c r="X43" s="39">
        <f>IF(TRUE,0,_xll.PSFx2BAL(CN,"*","GLCode",$B43,"DAF_Award",X$2,PF,PT))</f>
        <v>0</v>
      </c>
      <c r="Y43" s="39">
        <f>IF(TRUE,0,_xll.PSFx2BAL(CN,"*","GLCode",$B43,"DAF_Award",Y$2,PF,PT))</f>
        <v>0</v>
      </c>
      <c r="Z43" s="39">
        <f>IF(TRUE,0,_xll.PSFx2BAL(CN,"*","GLCode",$B43,"DAF_Award",Z$2,PF,PT))</f>
        <v>0</v>
      </c>
      <c r="AA43" s="39">
        <f>IF(TRUE,0,_xll.PSFx2BAL(CN,"*","GLCode",$B43,"DAF_Award",AA$2,PF,PT))</f>
        <v>0</v>
      </c>
      <c r="AB43" s="39">
        <f>IF(TRUE,0,_xll.PSFx2BAL(CN,"*","GLCode",$B43,"DAF_Award",AB$2,PF,PT))</f>
        <v>0</v>
      </c>
      <c r="AC43" s="39">
        <f>IF(TRUE,0,_xll.PSFx2BAL(CN,"*","GLCode",$B43,"DAF_Award",AC$2,PF,PT))</f>
        <v>0</v>
      </c>
      <c r="AD43" s="39">
        <f>IF(TRUE,0,_xll.PSFx2BAL(CN,"*","GLCode",$B43,"DAF_Award",AD$2,PF,PT))</f>
        <v>0</v>
      </c>
      <c r="AE43" s="39">
        <f>IF(TRUE,0,_xll.PSFx2BAL(CN,"*","GLCode",$B43,"DAF_Award",AE$2,PF,PT))</f>
        <v>0</v>
      </c>
      <c r="AF43" s="39">
        <f>IF(TRUE,0,_xll.PSFx2BAL(CN,"*","GLCode",$B43,"DAF_Award",AF$2,PF,PT))</f>
        <v>0</v>
      </c>
      <c r="AG43" s="39">
        <f>IF(TRUE,0,_xll.PSFx2BAL(CN,"*","GLCode",$B43,"DAF_Award",AG$2,PF,PT))</f>
        <v>0</v>
      </c>
      <c r="AH43" s="39">
        <f>IF(TRUE,0,_xll.PSFx2BAL(CN,"*","GLCode",$B43,"DAF_Award",AH$2,PF,PT))</f>
        <v>0</v>
      </c>
      <c r="AI43" s="39">
        <f t="shared" si="34"/>
        <v>134.29</v>
      </c>
      <c r="AJ43" s="18">
        <f>VLOOKUP(B43,TB!$B$5:$E$140,4,FALSE)</f>
        <v>134.29</v>
      </c>
      <c r="AL43" s="39">
        <f t="shared" si="35"/>
        <v>134.29</v>
      </c>
      <c r="AM43" s="39">
        <f t="shared" si="36"/>
        <v>0</v>
      </c>
    </row>
    <row r="44" spans="1:39" x14ac:dyDescent="0.2">
      <c r="A44" s="1">
        <f t="shared" si="33"/>
        <v>7200</v>
      </c>
      <c r="B44" t="s">
        <v>94</v>
      </c>
      <c r="C44" t="s">
        <v>95</v>
      </c>
      <c r="D44" s="39">
        <f>IF(TRUE,0,_xll.PSFx2BAL(CN,"*","GLCode",$B44,"DAF_Award",D$2,PF,PT))</f>
        <v>0</v>
      </c>
      <c r="E44" s="39">
        <f>IF(TRUE,0,_xll.PSFx2BAL(CN,"*","GLCode",$B44,"DAF_Award",E$2,PF,PT))</f>
        <v>0</v>
      </c>
      <c r="F44" s="39">
        <f>IF(TRUE,0,_xll.PSFx2BAL(CN,"*","GLCode",$B44,"DAF_Award",F$2,PF,PT))</f>
        <v>0</v>
      </c>
      <c r="G44" s="39">
        <f>IF(TRUE,0,_xll.PSFx2BAL(CN,"*","GLCode",$B44,"DAF_Award",G$2,PF,PT))</f>
        <v>0</v>
      </c>
      <c r="H44" s="39">
        <f>IF(TRUE,0,_xll.PSFx2BAL(CN,"*","GLCode",$B44,"DAF_Award",H$2,PF,PT))</f>
        <v>0</v>
      </c>
      <c r="I44" s="39">
        <f>IF(TRUE,0,_xll.PSFx2BAL(CN,"*","GLCode",$B44,"DAF_Award",I$2,PF,PT))</f>
        <v>0</v>
      </c>
      <c r="J44" s="39">
        <f>IF(TRUE,0,_xll.PSFx2BAL(CN,"*","GLCode",$B44,"DAF_Award",J$2,PF,PT))</f>
        <v>0</v>
      </c>
      <c r="K44" s="39">
        <f>IF(TRUE,0,_xll.PSFx2BAL(CN,"*","GLCode",$B44,"DAF_Award",K$2,PF,PT))</f>
        <v>0</v>
      </c>
      <c r="L44" s="39">
        <f>IF(TRUE,0,_xll.PSFx2BAL(CN,"*","GLCode",$B44,"DAF_Award",L$2,PF,PT))</f>
        <v>0</v>
      </c>
      <c r="M44" s="39">
        <f>IF(TRUE,0,_xll.PSFx2BAL(CN,"*","GLCode",$B44,"DAF_Award",M$2,PF,PT))</f>
        <v>0</v>
      </c>
      <c r="N44" s="39">
        <f>IF(TRUE,0,_xll.PSFx2BAL(CN,"*","GLCode",$B44,"DAF_Award",N$2,PF,PT))</f>
        <v>0</v>
      </c>
      <c r="O44" s="39">
        <f>IF(TRUE,0,_xll.PSFx2BAL(CN,"*","GLCode",$B44,"DAF_Award",O$2,PF,PT))</f>
        <v>0</v>
      </c>
      <c r="P44" s="39">
        <f>IF(TRUE,0,_xll.PSFx2BAL(CN,"*","GLCode",$B44,"DAF_Award",P$2,PF,PT))</f>
        <v>0</v>
      </c>
      <c r="Q44" s="39">
        <f>IF(TRUE,0,_xll.PSFx2BAL(CN,"*","GLCode",$B44,"DAF_Award",Q$2,PF,PT))</f>
        <v>0</v>
      </c>
      <c r="R44" s="39">
        <f>IF(TRUE,0,_xll.PSFx2BAL(CN,"*","GLCode",$B44,"DAF_Award",R$2,PF,PT))</f>
        <v>0</v>
      </c>
      <c r="S44" s="39">
        <f>IF(TRUE,0,_xll.PSFx2BAL(CN,"*","GLCode",$B44,"DAF_Award",S$2,PF,PT))</f>
        <v>0</v>
      </c>
      <c r="T44" s="39">
        <f>IF(TRUE,0,_xll.PSFx2BAL(CN,"*","GLCode",$B44,"DAF_Award",T$2,PF,PT))</f>
        <v>0</v>
      </c>
      <c r="U44" s="39">
        <f>IF(TRUE,0,_xll.PSFx2BAL(CN,"*","GLCode",$B44,"DAF_Award",U$2,PF,PT))</f>
        <v>0</v>
      </c>
      <c r="V44" s="39">
        <f>IF(TRUE,0,_xll.PSFx2BAL(CN,"*","GLCode",$B44,"DAF_Award",V$2,PF,PT))</f>
        <v>0</v>
      </c>
      <c r="W44" s="39">
        <f>IF(TRUE,0,_xll.PSFx2BAL(CN,"*","GLCode",$B44,"DAF_Award",W$2,PF,PT))</f>
        <v>0</v>
      </c>
      <c r="X44" s="39">
        <f>IF(TRUE,0,_xll.PSFx2BAL(CN,"*","GLCode",$B44,"DAF_Award",X$2,PF,PT))</f>
        <v>0</v>
      </c>
      <c r="Y44" s="39">
        <f>IF(TRUE,0,_xll.PSFx2BAL(CN,"*","GLCode",$B44,"DAF_Award",Y$2,PF,PT))</f>
        <v>0</v>
      </c>
      <c r="Z44" s="39">
        <f>IF(TRUE,0,_xll.PSFx2BAL(CN,"*","GLCode",$B44,"DAF_Award",Z$2,PF,PT))</f>
        <v>0</v>
      </c>
      <c r="AA44" s="39">
        <f>IF(TRUE,0,_xll.PSFx2BAL(CN,"*","GLCode",$B44,"DAF_Award",AA$2,PF,PT))</f>
        <v>0</v>
      </c>
      <c r="AB44" s="39">
        <f>IF(TRUE,0,_xll.PSFx2BAL(CN,"*","GLCode",$B44,"DAF_Award",AB$2,PF,PT))</f>
        <v>0</v>
      </c>
      <c r="AC44" s="39">
        <f>IF(TRUE,0,_xll.PSFx2BAL(CN,"*","GLCode",$B44,"DAF_Award",AC$2,PF,PT))</f>
        <v>0</v>
      </c>
      <c r="AD44" s="39">
        <f>IF(TRUE,0,_xll.PSFx2BAL(CN,"*","GLCode",$B44,"DAF_Award",AD$2,PF,PT))</f>
        <v>0</v>
      </c>
      <c r="AE44" s="39">
        <f>IF(TRUE,0,_xll.PSFx2BAL(CN,"*","GLCode",$B44,"DAF_Award",AE$2,PF,PT))</f>
        <v>0</v>
      </c>
      <c r="AF44" s="39">
        <f>IF(TRUE,0,_xll.PSFx2BAL(CN,"*","GLCode",$B44,"DAF_Award",AF$2,PF,PT))</f>
        <v>0</v>
      </c>
      <c r="AG44" s="39">
        <f>IF(TRUE,0,_xll.PSFx2BAL(CN,"*","GLCode",$B44,"DAF_Award",AG$2,PF,PT))</f>
        <v>0</v>
      </c>
      <c r="AH44" s="39">
        <f>IF(TRUE,0,_xll.PSFx2BAL(CN,"*","GLCode",$B44,"DAF_Award",AH$2,PF,PT))</f>
        <v>0</v>
      </c>
      <c r="AI44" s="39">
        <f t="shared" si="34"/>
        <v>755.84</v>
      </c>
      <c r="AJ44" s="18">
        <f>VLOOKUP(B44,TB!$B$5:$E$140,4,FALSE)</f>
        <v>755.84</v>
      </c>
      <c r="AL44" s="39">
        <f t="shared" si="35"/>
        <v>755.84</v>
      </c>
      <c r="AM44" s="39">
        <f t="shared" si="36"/>
        <v>0</v>
      </c>
    </row>
    <row r="45" spans="1:39" x14ac:dyDescent="0.2">
      <c r="A45" s="1">
        <f t="shared" si="33"/>
        <v>7210</v>
      </c>
      <c r="B45" t="s">
        <v>96</v>
      </c>
      <c r="C45" t="s">
        <v>97</v>
      </c>
      <c r="D45" s="39">
        <f>IF(TRUE,0,_xll.PSFx2BAL(CN,"*","GLCode",$B45,"DAF_Award",D$2,PF,PT))</f>
        <v>0</v>
      </c>
      <c r="E45" s="39">
        <f>IF(TRUE,0,_xll.PSFx2BAL(CN,"*","GLCode",$B45,"DAF_Award",E$2,PF,PT))</f>
        <v>0</v>
      </c>
      <c r="F45" s="39">
        <f>IF(TRUE,0,_xll.PSFx2BAL(CN,"*","GLCode",$B45,"DAF_Award",F$2,PF,PT))</f>
        <v>0</v>
      </c>
      <c r="G45" s="39">
        <f>IF(TRUE,0,_xll.PSFx2BAL(CN,"*","GLCode",$B45,"DAF_Award",G$2,PF,PT))</f>
        <v>0</v>
      </c>
      <c r="H45" s="39">
        <f>IF(TRUE,0,_xll.PSFx2BAL(CN,"*","GLCode",$B45,"DAF_Award",H$2,PF,PT))</f>
        <v>0</v>
      </c>
      <c r="I45" s="39">
        <f>IF(TRUE,0,_xll.PSFx2BAL(CN,"*","GLCode",$B45,"DAF_Award",I$2,PF,PT))</f>
        <v>0</v>
      </c>
      <c r="J45" s="39">
        <f>IF(TRUE,0,_xll.PSFx2BAL(CN,"*","GLCode",$B45,"DAF_Award",J$2,PF,PT))</f>
        <v>0</v>
      </c>
      <c r="K45" s="39">
        <f>IF(TRUE,0,_xll.PSFx2BAL(CN,"*","GLCode",$B45,"DAF_Award",K$2,PF,PT))</f>
        <v>0</v>
      </c>
      <c r="L45" s="39">
        <f>IF(TRUE,0,_xll.PSFx2BAL(CN,"*","GLCode",$B45,"DAF_Award",L$2,PF,PT))</f>
        <v>0</v>
      </c>
      <c r="M45" s="39">
        <f>IF(TRUE,0,_xll.PSFx2BAL(CN,"*","GLCode",$B45,"DAF_Award",M$2,PF,PT))</f>
        <v>0</v>
      </c>
      <c r="N45" s="39">
        <f>IF(TRUE,0,_xll.PSFx2BAL(CN,"*","GLCode",$B45,"DAF_Award",N$2,PF,PT))</f>
        <v>0</v>
      </c>
      <c r="O45" s="39">
        <f>IF(TRUE,0,_xll.PSFx2BAL(CN,"*","GLCode",$B45,"DAF_Award",O$2,PF,PT))</f>
        <v>0</v>
      </c>
      <c r="P45" s="39">
        <f>IF(TRUE,0,_xll.PSFx2BAL(CN,"*","GLCode",$B45,"DAF_Award",P$2,PF,PT))</f>
        <v>0</v>
      </c>
      <c r="Q45" s="39">
        <f>IF(TRUE,0,_xll.PSFx2BAL(CN,"*","GLCode",$B45,"DAF_Award",Q$2,PF,PT))</f>
        <v>0</v>
      </c>
      <c r="R45" s="39">
        <f>IF(TRUE,0,_xll.PSFx2BAL(CN,"*","GLCode",$B45,"DAF_Award",R$2,PF,PT))</f>
        <v>0</v>
      </c>
      <c r="S45" s="39">
        <f>IF(TRUE,0,_xll.PSFx2BAL(CN,"*","GLCode",$B45,"DAF_Award",S$2,PF,PT))</f>
        <v>0</v>
      </c>
      <c r="T45" s="39">
        <f>IF(TRUE,0,_xll.PSFx2BAL(CN,"*","GLCode",$B45,"DAF_Award",T$2,PF,PT))</f>
        <v>0</v>
      </c>
      <c r="U45" s="39">
        <f>IF(TRUE,0,_xll.PSFx2BAL(CN,"*","GLCode",$B45,"DAF_Award",U$2,PF,PT))</f>
        <v>0</v>
      </c>
      <c r="V45" s="39">
        <f>IF(TRUE,0,_xll.PSFx2BAL(CN,"*","GLCode",$B45,"DAF_Award",V$2,PF,PT))</f>
        <v>0</v>
      </c>
      <c r="W45" s="39">
        <f>IF(TRUE,0,_xll.PSFx2BAL(CN,"*","GLCode",$B45,"DAF_Award",W$2,PF,PT))</f>
        <v>0</v>
      </c>
      <c r="X45" s="39">
        <f>IF(TRUE,0,_xll.PSFx2BAL(CN,"*","GLCode",$B45,"DAF_Award",X$2,PF,PT))</f>
        <v>0</v>
      </c>
      <c r="Y45" s="39">
        <f>IF(TRUE,0,_xll.PSFx2BAL(CN,"*","GLCode",$B45,"DAF_Award",Y$2,PF,PT))</f>
        <v>0</v>
      </c>
      <c r="Z45" s="39">
        <f>IF(TRUE,0,_xll.PSFx2BAL(CN,"*","GLCode",$B45,"DAF_Award",Z$2,PF,PT))</f>
        <v>0</v>
      </c>
      <c r="AA45" s="39">
        <f>IF(TRUE,0,_xll.PSFx2BAL(CN,"*","GLCode",$B45,"DAF_Award",AA$2,PF,PT))</f>
        <v>0</v>
      </c>
      <c r="AB45" s="39">
        <f>IF(TRUE,0,_xll.PSFx2BAL(CN,"*","GLCode",$B45,"DAF_Award",AB$2,PF,PT))</f>
        <v>0</v>
      </c>
      <c r="AC45" s="39">
        <f>IF(TRUE,0,_xll.PSFx2BAL(CN,"*","GLCode",$B45,"DAF_Award",AC$2,PF,PT))</f>
        <v>0</v>
      </c>
      <c r="AD45" s="39">
        <f>IF(TRUE,0,_xll.PSFx2BAL(CN,"*","GLCode",$B45,"DAF_Award",AD$2,PF,PT))</f>
        <v>0</v>
      </c>
      <c r="AE45" s="39">
        <f>IF(TRUE,0,_xll.PSFx2BAL(CN,"*","GLCode",$B45,"DAF_Award",AE$2,PF,PT))</f>
        <v>0</v>
      </c>
      <c r="AF45" s="39">
        <f>IF(TRUE,0,_xll.PSFx2BAL(CN,"*","GLCode",$B45,"DAF_Award",AF$2,PF,PT))</f>
        <v>0</v>
      </c>
      <c r="AG45" s="39">
        <f>IF(TRUE,0,_xll.PSFx2BAL(CN,"*","GLCode",$B45,"DAF_Award",AG$2,PF,PT))</f>
        <v>0</v>
      </c>
      <c r="AH45" s="39">
        <f>IF(TRUE,0,_xll.PSFx2BAL(CN,"*","GLCode",$B45,"DAF_Award",AH$2,PF,PT))</f>
        <v>0</v>
      </c>
      <c r="AI45" s="39">
        <f t="shared" si="34"/>
        <v>189.6</v>
      </c>
      <c r="AJ45" s="18">
        <f>VLOOKUP(B45,TB!$B$5:$E$140,4,FALSE)</f>
        <v>189.6</v>
      </c>
      <c r="AL45" s="39">
        <f t="shared" si="35"/>
        <v>189.6</v>
      </c>
      <c r="AM45" s="39">
        <f t="shared" si="36"/>
        <v>0</v>
      </c>
    </row>
    <row r="46" spans="1:39" x14ac:dyDescent="0.2">
      <c r="A46" s="1">
        <f t="shared" si="33"/>
        <v>7211</v>
      </c>
      <c r="B46" t="s">
        <v>98</v>
      </c>
      <c r="C46" t="s">
        <v>99</v>
      </c>
      <c r="D46" s="39">
        <f>IF(TRUE,0,_xll.PSFx2BAL(CN,"*","GLCode",$B46,"DAF_Award",D$2,PF,PT))</f>
        <v>0</v>
      </c>
      <c r="E46" s="39">
        <f>IF(TRUE,0,_xll.PSFx2BAL(CN,"*","GLCode",$B46,"DAF_Award",E$2,PF,PT))</f>
        <v>0</v>
      </c>
      <c r="F46" s="39">
        <f>IF(TRUE,0,_xll.PSFx2BAL(CN,"*","GLCode",$B46,"DAF_Award",F$2,PF,PT))</f>
        <v>0</v>
      </c>
      <c r="G46" s="39">
        <f>IF(TRUE,0,_xll.PSFx2BAL(CN,"*","GLCode",$B46,"DAF_Award",G$2,PF,PT))</f>
        <v>0</v>
      </c>
      <c r="H46" s="39">
        <f>IF(TRUE,0,_xll.PSFx2BAL(CN,"*","GLCode",$B46,"DAF_Award",H$2,PF,PT))</f>
        <v>0</v>
      </c>
      <c r="I46" s="39">
        <f>IF(TRUE,0,_xll.PSFx2BAL(CN,"*","GLCode",$B46,"DAF_Award",I$2,PF,PT))</f>
        <v>0</v>
      </c>
      <c r="J46" s="39">
        <f>IF(TRUE,0,_xll.PSFx2BAL(CN,"*","GLCode",$B46,"DAF_Award",J$2,PF,PT))</f>
        <v>0</v>
      </c>
      <c r="K46" s="39">
        <f>IF(TRUE,0,_xll.PSFx2BAL(CN,"*","GLCode",$B46,"DAF_Award",K$2,PF,PT))</f>
        <v>0</v>
      </c>
      <c r="L46" s="39">
        <f>IF(TRUE,0,_xll.PSFx2BAL(CN,"*","GLCode",$B46,"DAF_Award",L$2,PF,PT))</f>
        <v>0</v>
      </c>
      <c r="M46" s="39">
        <f>IF(TRUE,0,_xll.PSFx2BAL(CN,"*","GLCode",$B46,"DAF_Award",M$2,PF,PT))</f>
        <v>0</v>
      </c>
      <c r="N46" s="39">
        <f>IF(TRUE,0,_xll.PSFx2BAL(CN,"*","GLCode",$B46,"DAF_Award",N$2,PF,PT))</f>
        <v>0</v>
      </c>
      <c r="O46" s="39">
        <f>IF(TRUE,0,_xll.PSFx2BAL(CN,"*","GLCode",$B46,"DAF_Award",O$2,PF,PT))</f>
        <v>0</v>
      </c>
      <c r="P46" s="39">
        <f>IF(TRUE,0,_xll.PSFx2BAL(CN,"*","GLCode",$B46,"DAF_Award",P$2,PF,PT))</f>
        <v>0</v>
      </c>
      <c r="Q46" s="39">
        <f>IF(TRUE,0,_xll.PSFx2BAL(CN,"*","GLCode",$B46,"DAF_Award",Q$2,PF,PT))</f>
        <v>0</v>
      </c>
      <c r="R46" s="39">
        <f>IF(TRUE,0,_xll.PSFx2BAL(CN,"*","GLCode",$B46,"DAF_Award",R$2,PF,PT))</f>
        <v>0</v>
      </c>
      <c r="S46" s="39">
        <f>IF(TRUE,0,_xll.PSFx2BAL(CN,"*","GLCode",$B46,"DAF_Award",S$2,PF,PT))</f>
        <v>0</v>
      </c>
      <c r="T46" s="39">
        <f>IF(TRUE,0,_xll.PSFx2BAL(CN,"*","GLCode",$B46,"DAF_Award",T$2,PF,PT))</f>
        <v>0</v>
      </c>
      <c r="U46" s="39">
        <f>IF(TRUE,0,_xll.PSFx2BAL(CN,"*","GLCode",$B46,"DAF_Award",U$2,PF,PT))</f>
        <v>0</v>
      </c>
      <c r="V46" s="39">
        <f>IF(TRUE,0,_xll.PSFx2BAL(CN,"*","GLCode",$B46,"DAF_Award",V$2,PF,PT))</f>
        <v>0</v>
      </c>
      <c r="W46" s="39">
        <f>IF(TRUE,0,_xll.PSFx2BAL(CN,"*","GLCode",$B46,"DAF_Award",W$2,PF,PT))</f>
        <v>0</v>
      </c>
      <c r="X46" s="39">
        <f>IF(TRUE,0,_xll.PSFx2BAL(CN,"*","GLCode",$B46,"DAF_Award",X$2,PF,PT))</f>
        <v>0</v>
      </c>
      <c r="Y46" s="39">
        <f>IF(TRUE,0,_xll.PSFx2BAL(CN,"*","GLCode",$B46,"DAF_Award",Y$2,PF,PT))</f>
        <v>0</v>
      </c>
      <c r="Z46" s="39">
        <f>IF(TRUE,0,_xll.PSFx2BAL(CN,"*","GLCode",$B46,"DAF_Award",Z$2,PF,PT))</f>
        <v>0</v>
      </c>
      <c r="AA46" s="39">
        <f>IF(TRUE,0,_xll.PSFx2BAL(CN,"*","GLCode",$B46,"DAF_Award",AA$2,PF,PT))</f>
        <v>0</v>
      </c>
      <c r="AB46" s="39">
        <f>IF(TRUE,0,_xll.PSFx2BAL(CN,"*","GLCode",$B46,"DAF_Award",AB$2,PF,PT))</f>
        <v>0</v>
      </c>
      <c r="AC46" s="39">
        <f>IF(TRUE,0,_xll.PSFx2BAL(CN,"*","GLCode",$B46,"DAF_Award",AC$2,PF,PT))</f>
        <v>0</v>
      </c>
      <c r="AD46" s="39">
        <f>IF(TRUE,0,_xll.PSFx2BAL(CN,"*","GLCode",$B46,"DAF_Award",AD$2,PF,PT))</f>
        <v>0</v>
      </c>
      <c r="AE46" s="39">
        <f>IF(TRUE,0,_xll.PSFx2BAL(CN,"*","GLCode",$B46,"DAF_Award",AE$2,PF,PT))</f>
        <v>0</v>
      </c>
      <c r="AF46" s="39">
        <f>IF(TRUE,0,_xll.PSFx2BAL(CN,"*","GLCode",$B46,"DAF_Award",AF$2,PF,PT))</f>
        <v>0</v>
      </c>
      <c r="AG46" s="39">
        <f>IF(TRUE,0,_xll.PSFx2BAL(CN,"*","GLCode",$B46,"DAF_Award",AG$2,PF,PT))</f>
        <v>0</v>
      </c>
      <c r="AH46" s="39">
        <f>IF(TRUE,0,_xll.PSFx2BAL(CN,"*","GLCode",$B46,"DAF_Award",AH$2,PF,PT))</f>
        <v>0</v>
      </c>
      <c r="AI46" s="39">
        <f t="shared" si="34"/>
        <v>1517.47</v>
      </c>
      <c r="AJ46" s="18">
        <f>VLOOKUP(B46,TB!$B$5:$E$140,4,FALSE)</f>
        <v>1517.47</v>
      </c>
      <c r="AL46" s="39">
        <f t="shared" si="35"/>
        <v>1517.47</v>
      </c>
      <c r="AM46" s="39">
        <f t="shared" si="36"/>
        <v>0</v>
      </c>
    </row>
    <row r="47" spans="1:39" x14ac:dyDescent="0.2">
      <c r="A47" s="1">
        <f t="shared" si="33"/>
        <v>7220</v>
      </c>
      <c r="B47" t="s">
        <v>100</v>
      </c>
      <c r="C47" t="s">
        <v>101</v>
      </c>
      <c r="D47" s="39">
        <f>IF(TRUE,0,_xll.PSFx2BAL(CN,"*","GLCode",$B47,"DAF_Award",D$2,PF,PT))</f>
        <v>0</v>
      </c>
      <c r="E47" s="39">
        <f>IF(TRUE,0,_xll.PSFx2BAL(CN,"*","GLCode",$B47,"DAF_Award",E$2,PF,PT))</f>
        <v>0</v>
      </c>
      <c r="F47" s="39">
        <f>IF(TRUE,0,_xll.PSFx2BAL(CN,"*","GLCode",$B47,"DAF_Award",F$2,PF,PT))</f>
        <v>0</v>
      </c>
      <c r="G47" s="39">
        <f>IF(TRUE,0,_xll.PSFx2BAL(CN,"*","GLCode",$B47,"DAF_Award",G$2,PF,PT))</f>
        <v>0</v>
      </c>
      <c r="H47" s="39">
        <f>IF(TRUE,0,_xll.PSFx2BAL(CN,"*","GLCode",$B47,"DAF_Award",H$2,PF,PT))</f>
        <v>0</v>
      </c>
      <c r="I47" s="39">
        <f>IF(TRUE,0,_xll.PSFx2BAL(CN,"*","GLCode",$B47,"DAF_Award",I$2,PF,PT))</f>
        <v>0</v>
      </c>
      <c r="J47" s="39">
        <f>IF(TRUE,0,_xll.PSFx2BAL(CN,"*","GLCode",$B47,"DAF_Award",J$2,PF,PT))</f>
        <v>0</v>
      </c>
      <c r="K47" s="39">
        <f>IF(TRUE,0,_xll.PSFx2BAL(CN,"*","GLCode",$B47,"DAF_Award",K$2,PF,PT))</f>
        <v>0</v>
      </c>
      <c r="L47" s="39">
        <f>IF(TRUE,0,_xll.PSFx2BAL(CN,"*","GLCode",$B47,"DAF_Award",L$2,PF,PT))</f>
        <v>0</v>
      </c>
      <c r="M47" s="39">
        <f>IF(TRUE,0,_xll.PSFx2BAL(CN,"*","GLCode",$B47,"DAF_Award",M$2,PF,PT))</f>
        <v>0</v>
      </c>
      <c r="N47" s="39">
        <f>IF(TRUE,0,_xll.PSFx2BAL(CN,"*","GLCode",$B47,"DAF_Award",N$2,PF,PT))</f>
        <v>0</v>
      </c>
      <c r="O47" s="39">
        <f>IF(TRUE,0,_xll.PSFx2BAL(CN,"*","GLCode",$B47,"DAF_Award",O$2,PF,PT))</f>
        <v>0</v>
      </c>
      <c r="P47" s="39">
        <f>IF(TRUE,0,_xll.PSFx2BAL(CN,"*","GLCode",$B47,"DAF_Award",P$2,PF,PT))</f>
        <v>0</v>
      </c>
      <c r="Q47" s="39">
        <f>IF(TRUE,0,_xll.PSFx2BAL(CN,"*","GLCode",$B47,"DAF_Award",Q$2,PF,PT))</f>
        <v>0</v>
      </c>
      <c r="R47" s="39">
        <f>IF(TRUE,0,_xll.PSFx2BAL(CN,"*","GLCode",$B47,"DAF_Award",R$2,PF,PT))</f>
        <v>0</v>
      </c>
      <c r="S47" s="39">
        <f>IF(TRUE,0,_xll.PSFx2BAL(CN,"*","GLCode",$B47,"DAF_Award",S$2,PF,PT))</f>
        <v>0</v>
      </c>
      <c r="T47" s="39">
        <f>IF(TRUE,0,_xll.PSFx2BAL(CN,"*","GLCode",$B47,"DAF_Award",T$2,PF,PT))</f>
        <v>0</v>
      </c>
      <c r="U47" s="39">
        <f>IF(TRUE,0,_xll.PSFx2BAL(CN,"*","GLCode",$B47,"DAF_Award",U$2,PF,PT))</f>
        <v>0</v>
      </c>
      <c r="V47" s="39">
        <f>IF(TRUE,0,_xll.PSFx2BAL(CN,"*","GLCode",$B47,"DAF_Award",V$2,PF,PT))</f>
        <v>0</v>
      </c>
      <c r="W47" s="39">
        <f>IF(TRUE,0,_xll.PSFx2BAL(CN,"*","GLCode",$B47,"DAF_Award",W$2,PF,PT))</f>
        <v>0</v>
      </c>
      <c r="X47" s="39">
        <f>IF(TRUE,0,_xll.PSFx2BAL(CN,"*","GLCode",$B47,"DAF_Award",X$2,PF,PT))</f>
        <v>0</v>
      </c>
      <c r="Y47" s="39">
        <f>IF(TRUE,0,_xll.PSFx2BAL(CN,"*","GLCode",$B47,"DAF_Award",Y$2,PF,PT))</f>
        <v>0</v>
      </c>
      <c r="Z47" s="39">
        <f>IF(TRUE,0,_xll.PSFx2BAL(CN,"*","GLCode",$B47,"DAF_Award",Z$2,PF,PT))</f>
        <v>0</v>
      </c>
      <c r="AA47" s="39">
        <f>IF(TRUE,0,_xll.PSFx2BAL(CN,"*","GLCode",$B47,"DAF_Award",AA$2,PF,PT))</f>
        <v>0</v>
      </c>
      <c r="AB47" s="39">
        <f>IF(TRUE,0,_xll.PSFx2BAL(CN,"*","GLCode",$B47,"DAF_Award",AB$2,PF,PT))</f>
        <v>0</v>
      </c>
      <c r="AC47" s="39">
        <f>IF(TRUE,0,_xll.PSFx2BAL(CN,"*","GLCode",$B47,"DAF_Award",AC$2,PF,PT))</f>
        <v>0</v>
      </c>
      <c r="AD47" s="39">
        <f>IF(TRUE,0,_xll.PSFx2BAL(CN,"*","GLCode",$B47,"DAF_Award",AD$2,PF,PT))</f>
        <v>0</v>
      </c>
      <c r="AE47" s="39">
        <f>IF(TRUE,0,_xll.PSFx2BAL(CN,"*","GLCode",$B47,"DAF_Award",AE$2,PF,PT))</f>
        <v>0</v>
      </c>
      <c r="AF47" s="39">
        <f>IF(TRUE,0,_xll.PSFx2BAL(CN,"*","GLCode",$B47,"DAF_Award",AF$2,PF,PT))</f>
        <v>0</v>
      </c>
      <c r="AG47" s="39">
        <f>IF(TRUE,0,_xll.PSFx2BAL(CN,"*","GLCode",$B47,"DAF_Award",AG$2,PF,PT))</f>
        <v>0</v>
      </c>
      <c r="AH47" s="39">
        <f>IF(TRUE,0,_xll.PSFx2BAL(CN,"*","GLCode",$B47,"DAF_Award",AH$2,PF,PT))</f>
        <v>0</v>
      </c>
      <c r="AI47" s="39">
        <f t="shared" si="34"/>
        <v>77.150000000000006</v>
      </c>
      <c r="AJ47" s="18">
        <f>VLOOKUP(B47,TB!$B$5:$E$140,4,FALSE)</f>
        <v>77.150000000000006</v>
      </c>
      <c r="AL47" s="39">
        <f t="shared" si="35"/>
        <v>77.150000000000006</v>
      </c>
      <c r="AM47" s="39">
        <f t="shared" si="36"/>
        <v>0</v>
      </c>
    </row>
    <row r="48" spans="1:39" x14ac:dyDescent="0.2">
      <c r="A48" s="1">
        <f t="shared" si="33"/>
        <v>7230</v>
      </c>
      <c r="B48" t="s">
        <v>102</v>
      </c>
      <c r="C48" t="s">
        <v>103</v>
      </c>
      <c r="D48" s="39">
        <f>IF(TRUE,0,_xll.PSFx2BAL(CN,"*","GLCode",$B48,"DAF_Award",D$2,PF,PT))</f>
        <v>0</v>
      </c>
      <c r="E48" s="39">
        <f>IF(TRUE,0,_xll.PSFx2BAL(CN,"*","GLCode",$B48,"DAF_Award",E$2,PF,PT))</f>
        <v>0</v>
      </c>
      <c r="F48" s="39">
        <f>IF(TRUE,0,_xll.PSFx2BAL(CN,"*","GLCode",$B48,"DAF_Award",F$2,PF,PT))</f>
        <v>0</v>
      </c>
      <c r="G48" s="39">
        <f>IF(TRUE,0,_xll.PSFx2BAL(CN,"*","GLCode",$B48,"DAF_Award",G$2,PF,PT))</f>
        <v>0</v>
      </c>
      <c r="H48" s="39">
        <f>IF(TRUE,0,_xll.PSFx2BAL(CN,"*","GLCode",$B48,"DAF_Award",H$2,PF,PT))</f>
        <v>0</v>
      </c>
      <c r="I48" s="39">
        <f>IF(TRUE,0,_xll.PSFx2BAL(CN,"*","GLCode",$B48,"DAF_Award",I$2,PF,PT))</f>
        <v>0</v>
      </c>
      <c r="J48" s="39">
        <f>IF(TRUE,0,_xll.PSFx2BAL(CN,"*","GLCode",$B48,"DAF_Award",J$2,PF,PT))</f>
        <v>0</v>
      </c>
      <c r="K48" s="39">
        <f>IF(TRUE,0,_xll.PSFx2BAL(CN,"*","GLCode",$B48,"DAF_Award",K$2,PF,PT))</f>
        <v>0</v>
      </c>
      <c r="L48" s="39">
        <f>IF(TRUE,0,_xll.PSFx2BAL(CN,"*","GLCode",$B48,"DAF_Award",L$2,PF,PT))</f>
        <v>0</v>
      </c>
      <c r="M48" s="39">
        <f>IF(TRUE,0,_xll.PSFx2BAL(CN,"*","GLCode",$B48,"DAF_Award",M$2,PF,PT))</f>
        <v>0</v>
      </c>
      <c r="N48" s="39">
        <f>IF(TRUE,0,_xll.PSFx2BAL(CN,"*","GLCode",$B48,"DAF_Award",N$2,PF,PT))</f>
        <v>0</v>
      </c>
      <c r="O48" s="39">
        <f>IF(TRUE,0,_xll.PSFx2BAL(CN,"*","GLCode",$B48,"DAF_Award",O$2,PF,PT))</f>
        <v>0</v>
      </c>
      <c r="P48" s="39">
        <f>IF(TRUE,0,_xll.PSFx2BAL(CN,"*","GLCode",$B48,"DAF_Award",P$2,PF,PT))</f>
        <v>0</v>
      </c>
      <c r="Q48" s="39">
        <f>IF(TRUE,0,_xll.PSFx2BAL(CN,"*","GLCode",$B48,"DAF_Award",Q$2,PF,PT))</f>
        <v>0</v>
      </c>
      <c r="R48" s="39">
        <f>IF(TRUE,0,_xll.PSFx2BAL(CN,"*","GLCode",$B48,"DAF_Award",R$2,PF,PT))</f>
        <v>0</v>
      </c>
      <c r="S48" s="39">
        <f>IF(TRUE,0,_xll.PSFx2BAL(CN,"*","GLCode",$B48,"DAF_Award",S$2,PF,PT))</f>
        <v>0</v>
      </c>
      <c r="T48" s="39">
        <f>IF(TRUE,0,_xll.PSFx2BAL(CN,"*","GLCode",$B48,"DAF_Award",T$2,PF,PT))</f>
        <v>0</v>
      </c>
      <c r="U48" s="39">
        <f>IF(TRUE,0,_xll.PSFx2BAL(CN,"*","GLCode",$B48,"DAF_Award",U$2,PF,PT))</f>
        <v>0</v>
      </c>
      <c r="V48" s="39">
        <f>IF(TRUE,0,_xll.PSFx2BAL(CN,"*","GLCode",$B48,"DAF_Award",V$2,PF,PT))</f>
        <v>0</v>
      </c>
      <c r="W48" s="39">
        <f>IF(TRUE,0,_xll.PSFx2BAL(CN,"*","GLCode",$B48,"DAF_Award",W$2,PF,PT))</f>
        <v>0</v>
      </c>
      <c r="X48" s="39">
        <f>IF(TRUE,0,_xll.PSFx2BAL(CN,"*","GLCode",$B48,"DAF_Award",X$2,PF,PT))</f>
        <v>0</v>
      </c>
      <c r="Y48" s="39">
        <f>IF(TRUE,0,_xll.PSFx2BAL(CN,"*","GLCode",$B48,"DAF_Award",Y$2,PF,PT))</f>
        <v>0</v>
      </c>
      <c r="Z48" s="39">
        <f>IF(TRUE,0,_xll.PSFx2BAL(CN,"*","GLCode",$B48,"DAF_Award",Z$2,PF,PT))</f>
        <v>0</v>
      </c>
      <c r="AA48" s="39">
        <f>IF(TRUE,0,_xll.PSFx2BAL(CN,"*","GLCode",$B48,"DAF_Award",AA$2,PF,PT))</f>
        <v>0</v>
      </c>
      <c r="AB48" s="39">
        <f>IF(TRUE,0,_xll.PSFx2BAL(CN,"*","GLCode",$B48,"DAF_Award",AB$2,PF,PT))</f>
        <v>0</v>
      </c>
      <c r="AC48" s="39">
        <f>IF(TRUE,0,_xll.PSFx2BAL(CN,"*","GLCode",$B48,"DAF_Award",AC$2,PF,PT))</f>
        <v>0</v>
      </c>
      <c r="AD48" s="39">
        <f>IF(TRUE,0,_xll.PSFx2BAL(CN,"*","GLCode",$B48,"DAF_Award",AD$2,PF,PT))</f>
        <v>0</v>
      </c>
      <c r="AE48" s="39">
        <f>IF(TRUE,0,_xll.PSFx2BAL(CN,"*","GLCode",$B48,"DAF_Award",AE$2,PF,PT))</f>
        <v>0</v>
      </c>
      <c r="AF48" s="39">
        <f>IF(TRUE,0,_xll.PSFx2BAL(CN,"*","GLCode",$B48,"DAF_Award",AF$2,PF,PT))</f>
        <v>0</v>
      </c>
      <c r="AG48" s="39">
        <f>IF(TRUE,0,_xll.PSFx2BAL(CN,"*","GLCode",$B48,"DAF_Award",AG$2,PF,PT))</f>
        <v>0</v>
      </c>
      <c r="AH48" s="39">
        <f>IF(TRUE,0,_xll.PSFx2BAL(CN,"*","GLCode",$B48,"DAF_Award",AH$2,PF,PT))</f>
        <v>0</v>
      </c>
      <c r="AI48" s="39">
        <f t="shared" si="34"/>
        <v>13435.9</v>
      </c>
      <c r="AJ48" s="18">
        <f>VLOOKUP(B48,TB!$B$5:$E$140,4,FALSE)</f>
        <v>13435.9</v>
      </c>
      <c r="AL48" s="39">
        <f t="shared" si="35"/>
        <v>13435.9</v>
      </c>
      <c r="AM48" s="39">
        <f t="shared" si="36"/>
        <v>0</v>
      </c>
    </row>
    <row r="49" spans="1:39" x14ac:dyDescent="0.2">
      <c r="A49" s="1">
        <f t="shared" si="33"/>
        <v>7231</v>
      </c>
      <c r="B49" t="s">
        <v>104</v>
      </c>
      <c r="C49" t="s">
        <v>105</v>
      </c>
      <c r="D49" s="39">
        <f>IF(TRUE,0,_xll.PSFx2BAL(CN,"*","GLCode",$B49,"DAF_Award",D$2,PF,PT))</f>
        <v>0</v>
      </c>
      <c r="E49" s="39">
        <f>IF(TRUE,0,_xll.PSFx2BAL(CN,"*","GLCode",$B49,"DAF_Award",E$2,PF,PT))</f>
        <v>0</v>
      </c>
      <c r="F49" s="39">
        <f>IF(TRUE,0,_xll.PSFx2BAL(CN,"*","GLCode",$B49,"DAF_Award",F$2,PF,PT))</f>
        <v>0</v>
      </c>
      <c r="G49" s="39">
        <f>IF(TRUE,0,_xll.PSFx2BAL(CN,"*","GLCode",$B49,"DAF_Award",G$2,PF,PT))</f>
        <v>0</v>
      </c>
      <c r="H49" s="39">
        <f>IF(TRUE,0,_xll.PSFx2BAL(CN,"*","GLCode",$B49,"DAF_Award",H$2,PF,PT))</f>
        <v>0</v>
      </c>
      <c r="I49" s="39">
        <f>IF(TRUE,0,_xll.PSFx2BAL(CN,"*","GLCode",$B49,"DAF_Award",I$2,PF,PT))</f>
        <v>0</v>
      </c>
      <c r="J49" s="39">
        <f>IF(TRUE,0,_xll.PSFx2BAL(CN,"*","GLCode",$B49,"DAF_Award",J$2,PF,PT))</f>
        <v>0</v>
      </c>
      <c r="K49" s="39">
        <f>IF(TRUE,0,_xll.PSFx2BAL(CN,"*","GLCode",$B49,"DAF_Award",K$2,PF,PT))</f>
        <v>0</v>
      </c>
      <c r="L49" s="39">
        <f>IF(TRUE,0,_xll.PSFx2BAL(CN,"*","GLCode",$B49,"DAF_Award",L$2,PF,PT))</f>
        <v>0</v>
      </c>
      <c r="M49" s="39">
        <f>IF(TRUE,0,_xll.PSFx2BAL(CN,"*","GLCode",$B49,"DAF_Award",M$2,PF,PT))</f>
        <v>0</v>
      </c>
      <c r="N49" s="39">
        <f>IF(TRUE,0,_xll.PSFx2BAL(CN,"*","GLCode",$B49,"DAF_Award",N$2,PF,PT))</f>
        <v>0</v>
      </c>
      <c r="O49" s="39">
        <f>IF(TRUE,0,_xll.PSFx2BAL(CN,"*","GLCode",$B49,"DAF_Award",O$2,PF,PT))</f>
        <v>0</v>
      </c>
      <c r="P49" s="39">
        <f>IF(TRUE,0,_xll.PSFx2BAL(CN,"*","GLCode",$B49,"DAF_Award",P$2,PF,PT))</f>
        <v>0</v>
      </c>
      <c r="Q49" s="39">
        <f>IF(TRUE,0,_xll.PSFx2BAL(CN,"*","GLCode",$B49,"DAF_Award",Q$2,PF,PT))</f>
        <v>0</v>
      </c>
      <c r="R49" s="39">
        <f>IF(TRUE,0,_xll.PSFx2BAL(CN,"*","GLCode",$B49,"DAF_Award",R$2,PF,PT))</f>
        <v>0</v>
      </c>
      <c r="S49" s="39">
        <f>IF(TRUE,0,_xll.PSFx2BAL(CN,"*","GLCode",$B49,"DAF_Award",S$2,PF,PT))</f>
        <v>0</v>
      </c>
      <c r="T49" s="39">
        <f>IF(TRUE,0,_xll.PSFx2BAL(CN,"*","GLCode",$B49,"DAF_Award",T$2,PF,PT))</f>
        <v>0</v>
      </c>
      <c r="U49" s="39">
        <f>IF(TRUE,0,_xll.PSFx2BAL(CN,"*","GLCode",$B49,"DAF_Award",U$2,PF,PT))</f>
        <v>0</v>
      </c>
      <c r="V49" s="39">
        <f>IF(TRUE,0,_xll.PSFx2BAL(CN,"*","GLCode",$B49,"DAF_Award",V$2,PF,PT))</f>
        <v>0</v>
      </c>
      <c r="W49" s="39">
        <f>IF(TRUE,0,_xll.PSFx2BAL(CN,"*","GLCode",$B49,"DAF_Award",W$2,PF,PT))</f>
        <v>0</v>
      </c>
      <c r="X49" s="39">
        <f>IF(TRUE,0,_xll.PSFx2BAL(CN,"*","GLCode",$B49,"DAF_Award",X$2,PF,PT))</f>
        <v>0</v>
      </c>
      <c r="Y49" s="39">
        <f>IF(TRUE,0,_xll.PSFx2BAL(CN,"*","GLCode",$B49,"DAF_Award",Y$2,PF,PT))</f>
        <v>0</v>
      </c>
      <c r="Z49" s="39">
        <f>IF(TRUE,0,_xll.PSFx2BAL(CN,"*","GLCode",$B49,"DAF_Award",Z$2,PF,PT))</f>
        <v>0</v>
      </c>
      <c r="AA49" s="39">
        <f>IF(TRUE,0,_xll.PSFx2BAL(CN,"*","GLCode",$B49,"DAF_Award",AA$2,PF,PT))</f>
        <v>0</v>
      </c>
      <c r="AB49" s="39">
        <f>IF(TRUE,0,_xll.PSFx2BAL(CN,"*","GLCode",$B49,"DAF_Award",AB$2,PF,PT))</f>
        <v>0</v>
      </c>
      <c r="AC49" s="39">
        <f>IF(TRUE,0,_xll.PSFx2BAL(CN,"*","GLCode",$B49,"DAF_Award",AC$2,PF,PT))</f>
        <v>0</v>
      </c>
      <c r="AD49" s="39">
        <f>IF(TRUE,0,_xll.PSFx2BAL(CN,"*","GLCode",$B49,"DAF_Award",AD$2,PF,PT))</f>
        <v>0</v>
      </c>
      <c r="AE49" s="39">
        <f>IF(TRUE,0,_xll.PSFx2BAL(CN,"*","GLCode",$B49,"DAF_Award",AE$2,PF,PT))</f>
        <v>0</v>
      </c>
      <c r="AF49" s="39">
        <f>IF(TRUE,0,_xll.PSFx2BAL(CN,"*","GLCode",$B49,"DAF_Award",AF$2,PF,PT))</f>
        <v>0</v>
      </c>
      <c r="AG49" s="39">
        <f>IF(TRUE,0,_xll.PSFx2BAL(CN,"*","GLCode",$B49,"DAF_Award",AG$2,PF,PT))</f>
        <v>0</v>
      </c>
      <c r="AH49" s="39">
        <f>IF(TRUE,0,_xll.PSFx2BAL(CN,"*","GLCode",$B49,"DAF_Award",AH$2,PF,PT))</f>
        <v>0</v>
      </c>
      <c r="AI49" s="39">
        <f t="shared" si="34"/>
        <v>8181.17</v>
      </c>
      <c r="AJ49" s="18">
        <f>VLOOKUP(B49,TB!$B$5:$E$140,4,FALSE)</f>
        <v>8181.17</v>
      </c>
      <c r="AL49" s="39">
        <f t="shared" si="35"/>
        <v>8181.17</v>
      </c>
      <c r="AM49" s="39">
        <f t="shared" si="36"/>
        <v>0</v>
      </c>
    </row>
    <row r="50" spans="1:39" hidden="1" x14ac:dyDescent="0.2">
      <c r="A50" s="1">
        <f t="shared" si="33"/>
        <v>7232</v>
      </c>
      <c r="B50" t="s">
        <v>106</v>
      </c>
      <c r="C50" t="s">
        <v>107</v>
      </c>
      <c r="D50" s="39">
        <f>IF(TRUE,0,_xll.PSFx2BAL(CN,"*","GLCode",$B50,"DAF_Award",D$2,PF,PT))</f>
        <v>0</v>
      </c>
      <c r="E50" s="39">
        <f>IF(TRUE,0,_xll.PSFx2BAL(CN,"*","GLCode",$B50,"DAF_Award",E$2,PF,PT))</f>
        <v>0</v>
      </c>
      <c r="F50" s="39">
        <f>IF(TRUE,0,_xll.PSFx2BAL(CN,"*","GLCode",$B50,"DAF_Award",F$2,PF,PT))</f>
        <v>0</v>
      </c>
      <c r="G50" s="39">
        <f>IF(TRUE,0,_xll.PSFx2BAL(CN,"*","GLCode",$B50,"DAF_Award",G$2,PF,PT))</f>
        <v>0</v>
      </c>
      <c r="H50" s="39">
        <f>IF(TRUE,0,_xll.PSFx2BAL(CN,"*","GLCode",$B50,"DAF_Award",H$2,PF,PT))</f>
        <v>0</v>
      </c>
      <c r="I50" s="39">
        <f>IF(TRUE,0,_xll.PSFx2BAL(CN,"*","GLCode",$B50,"DAF_Award",I$2,PF,PT))</f>
        <v>0</v>
      </c>
      <c r="J50" s="39">
        <f>IF(TRUE,0,_xll.PSFx2BAL(CN,"*","GLCode",$B50,"DAF_Award",J$2,PF,PT))</f>
        <v>0</v>
      </c>
      <c r="K50" s="39">
        <f>IF(TRUE,0,_xll.PSFx2BAL(CN,"*","GLCode",$B50,"DAF_Award",K$2,PF,PT))</f>
        <v>0</v>
      </c>
      <c r="L50" s="39">
        <f>IF(TRUE,0,_xll.PSFx2BAL(CN,"*","GLCode",$B50,"DAF_Award",L$2,PF,PT))</f>
        <v>0</v>
      </c>
      <c r="M50" s="39">
        <f>IF(TRUE,0,_xll.PSFx2BAL(CN,"*","GLCode",$B50,"DAF_Award",M$2,PF,PT))</f>
        <v>0</v>
      </c>
      <c r="N50" s="39">
        <f>IF(TRUE,0,_xll.PSFx2BAL(CN,"*","GLCode",$B50,"DAF_Award",N$2,PF,PT))</f>
        <v>0</v>
      </c>
      <c r="O50" s="39">
        <f>IF(TRUE,0,_xll.PSFx2BAL(CN,"*","GLCode",$B50,"DAF_Award",O$2,PF,PT))</f>
        <v>0</v>
      </c>
      <c r="P50" s="39">
        <f>IF(TRUE,0,_xll.PSFx2BAL(CN,"*","GLCode",$B50,"DAF_Award",P$2,PF,PT))</f>
        <v>0</v>
      </c>
      <c r="Q50" s="39">
        <f>IF(TRUE,0,_xll.PSFx2BAL(CN,"*","GLCode",$B50,"DAF_Award",Q$2,PF,PT))</f>
        <v>0</v>
      </c>
      <c r="R50" s="39">
        <f>IF(TRUE,0,_xll.PSFx2BAL(CN,"*","GLCode",$B50,"DAF_Award",R$2,PF,PT))</f>
        <v>0</v>
      </c>
      <c r="S50" s="39">
        <f>IF(TRUE,0,_xll.PSFx2BAL(CN,"*","GLCode",$B50,"DAF_Award",S$2,PF,PT))</f>
        <v>0</v>
      </c>
      <c r="T50" s="39">
        <f>IF(TRUE,0,_xll.PSFx2BAL(CN,"*","GLCode",$B50,"DAF_Award",T$2,PF,PT))</f>
        <v>0</v>
      </c>
      <c r="U50" s="39">
        <f>IF(TRUE,0,_xll.PSFx2BAL(CN,"*","GLCode",$B50,"DAF_Award",U$2,PF,PT))</f>
        <v>0</v>
      </c>
      <c r="V50" s="39">
        <f>IF(TRUE,0,_xll.PSFx2BAL(CN,"*","GLCode",$B50,"DAF_Award",V$2,PF,PT))</f>
        <v>0</v>
      </c>
      <c r="W50" s="39">
        <f>IF(TRUE,0,_xll.PSFx2BAL(CN,"*","GLCode",$B50,"DAF_Award",W$2,PF,PT))</f>
        <v>0</v>
      </c>
      <c r="X50" s="39">
        <f>IF(TRUE,0,_xll.PSFx2BAL(CN,"*","GLCode",$B50,"DAF_Award",X$2,PF,PT))</f>
        <v>0</v>
      </c>
      <c r="Y50" s="39">
        <f>IF(TRUE,0,_xll.PSFx2BAL(CN,"*","GLCode",$B50,"DAF_Award",Y$2,PF,PT))</f>
        <v>0</v>
      </c>
      <c r="Z50" s="39">
        <f>IF(TRUE,0,_xll.PSFx2BAL(CN,"*","GLCode",$B50,"DAF_Award",Z$2,PF,PT))</f>
        <v>0</v>
      </c>
      <c r="AA50" s="39">
        <f>IF(TRUE,0,_xll.PSFx2BAL(CN,"*","GLCode",$B50,"DAF_Award",AA$2,PF,PT))</f>
        <v>0</v>
      </c>
      <c r="AB50" s="39">
        <f>IF(TRUE,0,_xll.PSFx2BAL(CN,"*","GLCode",$B50,"DAF_Award",AB$2,PF,PT))</f>
        <v>0</v>
      </c>
      <c r="AC50" s="39">
        <f>IF(TRUE,0,_xll.PSFx2BAL(CN,"*","GLCode",$B50,"DAF_Award",AC$2,PF,PT))</f>
        <v>0</v>
      </c>
      <c r="AD50" s="39">
        <f>IF(TRUE,0,_xll.PSFx2BAL(CN,"*","GLCode",$B50,"DAF_Award",AD$2,PF,PT))</f>
        <v>0</v>
      </c>
      <c r="AE50" s="39">
        <f>IF(TRUE,0,_xll.PSFx2BAL(CN,"*","GLCode",$B50,"DAF_Award",AE$2,PF,PT))</f>
        <v>0</v>
      </c>
      <c r="AF50" s="39">
        <f>IF(TRUE,0,_xll.PSFx2BAL(CN,"*","GLCode",$B50,"DAF_Award",AF$2,PF,PT))</f>
        <v>0</v>
      </c>
      <c r="AG50" s="39">
        <f>IF(TRUE,0,_xll.PSFx2BAL(CN,"*","GLCode",$B50,"DAF_Award",AG$2,PF,PT))</f>
        <v>0</v>
      </c>
      <c r="AH50" s="39">
        <f>IF(TRUE,0,_xll.PSFx2BAL(CN,"*","GLCode",$B50,"DAF_Award",AH$2,PF,PT))</f>
        <v>0</v>
      </c>
      <c r="AI50" s="39">
        <f t="shared" si="34"/>
        <v>0</v>
      </c>
      <c r="AJ50" s="18">
        <f>VLOOKUP(B50,TB!$B$5:$E$140,4,FALSE)</f>
        <v>0</v>
      </c>
      <c r="AL50" s="39">
        <f t="shared" si="35"/>
        <v>0</v>
      </c>
      <c r="AM50" s="39">
        <f t="shared" si="36"/>
        <v>0</v>
      </c>
    </row>
    <row r="51" spans="1:39" x14ac:dyDescent="0.2">
      <c r="A51" s="1">
        <f t="shared" si="33"/>
        <v>7240</v>
      </c>
      <c r="B51" t="s">
        <v>108</v>
      </c>
      <c r="C51" t="s">
        <v>109</v>
      </c>
      <c r="D51" s="39">
        <f>IF(TRUE,0,_xll.PSFx2BAL(CN,"*","GLCode",$B51,"DAF_Award",D$2,PF,PT))</f>
        <v>0</v>
      </c>
      <c r="E51" s="39">
        <f>IF(TRUE,0,_xll.PSFx2BAL(CN,"*","GLCode",$B51,"DAF_Award",E$2,PF,PT))</f>
        <v>0</v>
      </c>
      <c r="F51" s="39">
        <f>IF(TRUE,0,_xll.PSFx2BAL(CN,"*","GLCode",$B51,"DAF_Award",F$2,PF,PT))</f>
        <v>0</v>
      </c>
      <c r="G51" s="39">
        <f>IF(TRUE,0,_xll.PSFx2BAL(CN,"*","GLCode",$B51,"DAF_Award",G$2,PF,PT))</f>
        <v>0</v>
      </c>
      <c r="H51" s="39">
        <f>IF(TRUE,0,_xll.PSFx2BAL(CN,"*","GLCode",$B51,"DAF_Award",H$2,PF,PT))</f>
        <v>0</v>
      </c>
      <c r="I51" s="39">
        <f>IF(TRUE,0,_xll.PSFx2BAL(CN,"*","GLCode",$B51,"DAF_Award",I$2,PF,PT))</f>
        <v>0</v>
      </c>
      <c r="J51" s="39">
        <f>IF(TRUE,0,_xll.PSFx2BAL(CN,"*","GLCode",$B51,"DAF_Award",J$2,PF,PT))</f>
        <v>0</v>
      </c>
      <c r="K51" s="39">
        <f>IF(TRUE,0,_xll.PSFx2BAL(CN,"*","GLCode",$B51,"DAF_Award",K$2,PF,PT))</f>
        <v>0</v>
      </c>
      <c r="L51" s="39">
        <f>IF(TRUE,0,_xll.PSFx2BAL(CN,"*","GLCode",$B51,"DAF_Award",L$2,PF,PT))</f>
        <v>0</v>
      </c>
      <c r="M51" s="39">
        <f>IF(TRUE,0,_xll.PSFx2BAL(CN,"*","GLCode",$B51,"DAF_Award",M$2,PF,PT))</f>
        <v>0</v>
      </c>
      <c r="N51" s="39">
        <f>IF(TRUE,0,_xll.PSFx2BAL(CN,"*","GLCode",$B51,"DAF_Award",N$2,PF,PT))</f>
        <v>0</v>
      </c>
      <c r="O51" s="39">
        <f>IF(TRUE,0,_xll.PSFx2BAL(CN,"*","GLCode",$B51,"DAF_Award",O$2,PF,PT))</f>
        <v>0</v>
      </c>
      <c r="P51" s="39">
        <f>IF(TRUE,0,_xll.PSFx2BAL(CN,"*","GLCode",$B51,"DAF_Award",P$2,PF,PT))</f>
        <v>0</v>
      </c>
      <c r="Q51" s="39">
        <f>IF(TRUE,0,_xll.PSFx2BAL(CN,"*","GLCode",$B51,"DAF_Award",Q$2,PF,PT))</f>
        <v>0</v>
      </c>
      <c r="R51" s="39">
        <f>IF(TRUE,0,_xll.PSFx2BAL(CN,"*","GLCode",$B51,"DAF_Award",R$2,PF,PT))</f>
        <v>0</v>
      </c>
      <c r="S51" s="39">
        <f>IF(TRUE,0,_xll.PSFx2BAL(CN,"*","GLCode",$B51,"DAF_Award",S$2,PF,PT))</f>
        <v>0</v>
      </c>
      <c r="T51" s="39">
        <f>IF(TRUE,0,_xll.PSFx2BAL(CN,"*","GLCode",$B51,"DAF_Award",T$2,PF,PT))</f>
        <v>0</v>
      </c>
      <c r="U51" s="39">
        <f>IF(TRUE,0,_xll.PSFx2BAL(CN,"*","GLCode",$B51,"DAF_Award",U$2,PF,PT))</f>
        <v>0</v>
      </c>
      <c r="V51" s="39">
        <f>IF(TRUE,0,_xll.PSFx2BAL(CN,"*","GLCode",$B51,"DAF_Award",V$2,PF,PT))</f>
        <v>0</v>
      </c>
      <c r="W51" s="39">
        <f>IF(TRUE,0,_xll.PSFx2BAL(CN,"*","GLCode",$B51,"DAF_Award",W$2,PF,PT))</f>
        <v>0</v>
      </c>
      <c r="X51" s="39">
        <f>IF(TRUE,0,_xll.PSFx2BAL(CN,"*","GLCode",$B51,"DAF_Award",X$2,PF,PT))</f>
        <v>0</v>
      </c>
      <c r="Y51" s="39">
        <f>IF(TRUE,0,_xll.PSFx2BAL(CN,"*","GLCode",$B51,"DAF_Award",Y$2,PF,PT))</f>
        <v>0</v>
      </c>
      <c r="Z51" s="39">
        <f>IF(TRUE,0,_xll.PSFx2BAL(CN,"*","GLCode",$B51,"DAF_Award",Z$2,PF,PT))</f>
        <v>0</v>
      </c>
      <c r="AA51" s="39">
        <f>IF(TRUE,0,_xll.PSFx2BAL(CN,"*","GLCode",$B51,"DAF_Award",AA$2,PF,PT))</f>
        <v>0</v>
      </c>
      <c r="AB51" s="39">
        <f>IF(TRUE,0,_xll.PSFx2BAL(CN,"*","GLCode",$B51,"DAF_Award",AB$2,PF,PT))</f>
        <v>0</v>
      </c>
      <c r="AC51" s="39">
        <f>IF(TRUE,0,_xll.PSFx2BAL(CN,"*","GLCode",$B51,"DAF_Award",AC$2,PF,PT))</f>
        <v>0</v>
      </c>
      <c r="AD51" s="39">
        <f>IF(TRUE,0,_xll.PSFx2BAL(CN,"*","GLCode",$B51,"DAF_Award",AD$2,PF,PT))</f>
        <v>0</v>
      </c>
      <c r="AE51" s="39">
        <f>IF(TRUE,0,_xll.PSFx2BAL(CN,"*","GLCode",$B51,"DAF_Award",AE$2,PF,PT))</f>
        <v>0</v>
      </c>
      <c r="AF51" s="39">
        <f>IF(TRUE,0,_xll.PSFx2BAL(CN,"*","GLCode",$B51,"DAF_Award",AF$2,PF,PT))</f>
        <v>0</v>
      </c>
      <c r="AG51" s="39">
        <f>IF(TRUE,0,_xll.PSFx2BAL(CN,"*","GLCode",$B51,"DAF_Award",AG$2,PF,PT))</f>
        <v>0</v>
      </c>
      <c r="AH51" s="39">
        <f>IF(TRUE,0,_xll.PSFx2BAL(CN,"*","GLCode",$B51,"DAF_Award",AH$2,PF,PT))</f>
        <v>0</v>
      </c>
      <c r="AI51" s="39">
        <f t="shared" ref="AI51:AI82" si="41">AJ51-SUM(D51:AH51)</f>
        <v>6505.8</v>
      </c>
      <c r="AJ51" s="18">
        <f>VLOOKUP(B51,TB!$B$5:$E$140,4,FALSE)</f>
        <v>6505.8</v>
      </c>
      <c r="AL51" s="39">
        <f t="shared" ref="AL51:AL82" si="42">SUM(W51:AI51)</f>
        <v>6505.8</v>
      </c>
      <c r="AM51" s="39">
        <f t="shared" ref="AM51:AM82" si="43">AJ51-AL51</f>
        <v>0</v>
      </c>
    </row>
    <row r="52" spans="1:39" x14ac:dyDescent="0.2">
      <c r="A52" s="1">
        <f t="shared" si="33"/>
        <v>7241</v>
      </c>
      <c r="B52" t="s">
        <v>110</v>
      </c>
      <c r="C52" t="s">
        <v>111</v>
      </c>
      <c r="D52" s="39">
        <f>IF(TRUE,0,_xll.PSFx2BAL(CN,"*","GLCode",$B52,"DAF_Award",D$2,PF,PT))</f>
        <v>0</v>
      </c>
      <c r="E52" s="39">
        <f>IF(TRUE,0,_xll.PSFx2BAL(CN,"*","GLCode",$B52,"DAF_Award",E$2,PF,PT))</f>
        <v>0</v>
      </c>
      <c r="F52" s="39">
        <f>IF(TRUE,0,_xll.PSFx2BAL(CN,"*","GLCode",$B52,"DAF_Award",F$2,PF,PT))</f>
        <v>0</v>
      </c>
      <c r="G52" s="39">
        <f>IF(TRUE,0,_xll.PSFx2BAL(CN,"*","GLCode",$B52,"DAF_Award",G$2,PF,PT))</f>
        <v>0</v>
      </c>
      <c r="H52" s="39">
        <f>IF(TRUE,0,_xll.PSFx2BAL(CN,"*","GLCode",$B52,"DAF_Award",H$2,PF,PT))</f>
        <v>0</v>
      </c>
      <c r="I52" s="39">
        <f>IF(TRUE,0,_xll.PSFx2BAL(CN,"*","GLCode",$B52,"DAF_Award",I$2,PF,PT))</f>
        <v>0</v>
      </c>
      <c r="J52" s="39">
        <f>IF(TRUE,0,_xll.PSFx2BAL(CN,"*","GLCode",$B52,"DAF_Award",J$2,PF,PT))</f>
        <v>0</v>
      </c>
      <c r="K52" s="39">
        <f>IF(TRUE,0,_xll.PSFx2BAL(CN,"*","GLCode",$B52,"DAF_Award",K$2,PF,PT))</f>
        <v>0</v>
      </c>
      <c r="L52" s="39">
        <f>IF(TRUE,0,_xll.PSFx2BAL(CN,"*","GLCode",$B52,"DAF_Award",L$2,PF,PT))</f>
        <v>0</v>
      </c>
      <c r="M52" s="39">
        <f>IF(TRUE,0,_xll.PSFx2BAL(CN,"*","GLCode",$B52,"DAF_Award",M$2,PF,PT))</f>
        <v>0</v>
      </c>
      <c r="N52" s="39">
        <f>IF(TRUE,0,_xll.PSFx2BAL(CN,"*","GLCode",$B52,"DAF_Award",N$2,PF,PT))</f>
        <v>0</v>
      </c>
      <c r="O52" s="39">
        <f>IF(TRUE,0,_xll.PSFx2BAL(CN,"*","GLCode",$B52,"DAF_Award",O$2,PF,PT))</f>
        <v>0</v>
      </c>
      <c r="P52" s="39">
        <f>IF(TRUE,0,_xll.PSFx2BAL(CN,"*","GLCode",$B52,"DAF_Award",P$2,PF,PT))</f>
        <v>0</v>
      </c>
      <c r="Q52" s="39">
        <f>IF(TRUE,0,_xll.PSFx2BAL(CN,"*","GLCode",$B52,"DAF_Award",Q$2,PF,PT))</f>
        <v>0</v>
      </c>
      <c r="R52" s="39">
        <f>IF(TRUE,0,_xll.PSFx2BAL(CN,"*","GLCode",$B52,"DAF_Award",R$2,PF,PT))</f>
        <v>0</v>
      </c>
      <c r="S52" s="39">
        <f>IF(TRUE,0,_xll.PSFx2BAL(CN,"*","GLCode",$B52,"DAF_Award",S$2,PF,PT))</f>
        <v>0</v>
      </c>
      <c r="T52" s="39">
        <f>IF(TRUE,0,_xll.PSFx2BAL(CN,"*","GLCode",$B52,"DAF_Award",T$2,PF,PT))</f>
        <v>0</v>
      </c>
      <c r="U52" s="39">
        <f>IF(TRUE,0,_xll.PSFx2BAL(CN,"*","GLCode",$B52,"DAF_Award",U$2,PF,PT))</f>
        <v>0</v>
      </c>
      <c r="V52" s="39">
        <f>IF(TRUE,0,_xll.PSFx2BAL(CN,"*","GLCode",$B52,"DAF_Award",V$2,PF,PT))</f>
        <v>0</v>
      </c>
      <c r="W52" s="39">
        <f>IF(TRUE,0,_xll.PSFx2BAL(CN,"*","GLCode",$B52,"DAF_Award",W$2,PF,PT))</f>
        <v>0</v>
      </c>
      <c r="X52" s="39">
        <f>IF(TRUE,0,_xll.PSFx2BAL(CN,"*","GLCode",$B52,"DAF_Award",X$2,PF,PT))</f>
        <v>0</v>
      </c>
      <c r="Y52" s="39">
        <f>IF(TRUE,0,_xll.PSFx2BAL(CN,"*","GLCode",$B52,"DAF_Award",Y$2,PF,PT))</f>
        <v>0</v>
      </c>
      <c r="Z52" s="39">
        <f>IF(TRUE,0,_xll.PSFx2BAL(CN,"*","GLCode",$B52,"DAF_Award",Z$2,PF,PT))</f>
        <v>0</v>
      </c>
      <c r="AA52" s="39">
        <f>IF(TRUE,0,_xll.PSFx2BAL(CN,"*","GLCode",$B52,"DAF_Award",AA$2,PF,PT))</f>
        <v>0</v>
      </c>
      <c r="AB52" s="39">
        <f>IF(TRUE,0,_xll.PSFx2BAL(CN,"*","GLCode",$B52,"DAF_Award",AB$2,PF,PT))</f>
        <v>0</v>
      </c>
      <c r="AC52" s="39">
        <f>IF(TRUE,0,_xll.PSFx2BAL(CN,"*","GLCode",$B52,"DAF_Award",AC$2,PF,PT))</f>
        <v>0</v>
      </c>
      <c r="AD52" s="39">
        <f>IF(TRUE,0,_xll.PSFx2BAL(CN,"*","GLCode",$B52,"DAF_Award",AD$2,PF,PT))</f>
        <v>0</v>
      </c>
      <c r="AE52" s="39">
        <f>IF(TRUE,0,_xll.PSFx2BAL(CN,"*","GLCode",$B52,"DAF_Award",AE$2,PF,PT))</f>
        <v>0</v>
      </c>
      <c r="AF52" s="39">
        <f>IF(TRUE,0,_xll.PSFx2BAL(CN,"*","GLCode",$B52,"DAF_Award",AF$2,PF,PT))</f>
        <v>0</v>
      </c>
      <c r="AG52" s="39">
        <f>IF(TRUE,0,_xll.PSFx2BAL(CN,"*","GLCode",$B52,"DAF_Award",AG$2,PF,PT))</f>
        <v>0</v>
      </c>
      <c r="AH52" s="39">
        <f>IF(TRUE,0,_xll.PSFx2BAL(CN,"*","GLCode",$B52,"DAF_Award",AH$2,PF,PT))</f>
        <v>0</v>
      </c>
      <c r="AI52" s="39">
        <f t="shared" si="41"/>
        <v>98.63</v>
      </c>
      <c r="AJ52" s="18">
        <f>VLOOKUP(B52,TB!$B$5:$E$140,4,FALSE)</f>
        <v>98.63</v>
      </c>
      <c r="AL52" s="39">
        <f t="shared" si="42"/>
        <v>98.63</v>
      </c>
      <c r="AM52" s="39">
        <f t="shared" si="43"/>
        <v>0</v>
      </c>
    </row>
    <row r="53" spans="1:39" x14ac:dyDescent="0.2">
      <c r="A53" s="1">
        <f t="shared" si="33"/>
        <v>7242</v>
      </c>
      <c r="B53" t="s">
        <v>112</v>
      </c>
      <c r="C53" t="s">
        <v>113</v>
      </c>
      <c r="D53" s="39">
        <f>IF(TRUE,0,_xll.PSFx2BAL(CN,"*","GLCode",$B53,"DAF_Award",D$2,PF,PT))</f>
        <v>0</v>
      </c>
      <c r="E53" s="39">
        <f>IF(TRUE,0,_xll.PSFx2BAL(CN,"*","GLCode",$B53,"DAF_Award",E$2,PF,PT))</f>
        <v>0</v>
      </c>
      <c r="F53" s="39">
        <f>IF(TRUE,0,_xll.PSFx2BAL(CN,"*","GLCode",$B53,"DAF_Award",F$2,PF,PT))</f>
        <v>0</v>
      </c>
      <c r="G53" s="39">
        <f>IF(TRUE,0,_xll.PSFx2BAL(CN,"*","GLCode",$B53,"DAF_Award",G$2,PF,PT))</f>
        <v>0</v>
      </c>
      <c r="H53" s="39">
        <f>IF(TRUE,0,_xll.PSFx2BAL(CN,"*","GLCode",$B53,"DAF_Award",H$2,PF,PT))</f>
        <v>0</v>
      </c>
      <c r="I53" s="39">
        <f>IF(TRUE,0,_xll.PSFx2BAL(CN,"*","GLCode",$B53,"DAF_Award",I$2,PF,PT))</f>
        <v>0</v>
      </c>
      <c r="J53" s="39">
        <f>IF(TRUE,0,_xll.PSFx2BAL(CN,"*","GLCode",$B53,"DAF_Award",J$2,PF,PT))</f>
        <v>0</v>
      </c>
      <c r="K53" s="39">
        <f>IF(TRUE,0,_xll.PSFx2BAL(CN,"*","GLCode",$B53,"DAF_Award",K$2,PF,PT))</f>
        <v>0</v>
      </c>
      <c r="L53" s="39">
        <f>IF(TRUE,0,_xll.PSFx2BAL(CN,"*","GLCode",$B53,"DAF_Award",L$2,PF,PT))</f>
        <v>0</v>
      </c>
      <c r="M53" s="39">
        <f>IF(TRUE,0,_xll.PSFx2BAL(CN,"*","GLCode",$B53,"DAF_Award",M$2,PF,PT))</f>
        <v>0</v>
      </c>
      <c r="N53" s="39">
        <f>IF(TRUE,0,_xll.PSFx2BAL(CN,"*","GLCode",$B53,"DAF_Award",N$2,PF,PT))</f>
        <v>0</v>
      </c>
      <c r="O53" s="39">
        <f>IF(TRUE,0,_xll.PSFx2BAL(CN,"*","GLCode",$B53,"DAF_Award",O$2,PF,PT))</f>
        <v>0</v>
      </c>
      <c r="P53" s="39">
        <f>IF(TRUE,0,_xll.PSFx2BAL(CN,"*","GLCode",$B53,"DAF_Award",P$2,PF,PT))</f>
        <v>0</v>
      </c>
      <c r="Q53" s="39">
        <f>IF(TRUE,0,_xll.PSFx2BAL(CN,"*","GLCode",$B53,"DAF_Award",Q$2,PF,PT))</f>
        <v>0</v>
      </c>
      <c r="R53" s="39">
        <f>IF(TRUE,0,_xll.PSFx2BAL(CN,"*","GLCode",$B53,"DAF_Award",R$2,PF,PT))</f>
        <v>0</v>
      </c>
      <c r="S53" s="39">
        <f>IF(TRUE,0,_xll.PSFx2BAL(CN,"*","GLCode",$B53,"DAF_Award",S$2,PF,PT))</f>
        <v>0</v>
      </c>
      <c r="T53" s="39">
        <f>IF(TRUE,0,_xll.PSFx2BAL(CN,"*","GLCode",$B53,"DAF_Award",T$2,PF,PT))</f>
        <v>0</v>
      </c>
      <c r="U53" s="39">
        <f>IF(TRUE,0,_xll.PSFx2BAL(CN,"*","GLCode",$B53,"DAF_Award",U$2,PF,PT))</f>
        <v>0</v>
      </c>
      <c r="V53" s="39">
        <f>IF(TRUE,0,_xll.PSFx2BAL(CN,"*","GLCode",$B53,"DAF_Award",V$2,PF,PT))</f>
        <v>0</v>
      </c>
      <c r="W53" s="39">
        <f>IF(TRUE,0,_xll.PSFx2BAL(CN,"*","GLCode",$B53,"DAF_Award",W$2,PF,PT))</f>
        <v>0</v>
      </c>
      <c r="X53" s="39">
        <f>IF(TRUE,0,_xll.PSFx2BAL(CN,"*","GLCode",$B53,"DAF_Award",X$2,PF,PT))</f>
        <v>0</v>
      </c>
      <c r="Y53" s="39">
        <f>IF(TRUE,0,_xll.PSFx2BAL(CN,"*","GLCode",$B53,"DAF_Award",Y$2,PF,PT))</f>
        <v>0</v>
      </c>
      <c r="Z53" s="39">
        <f>IF(TRUE,0,_xll.PSFx2BAL(CN,"*","GLCode",$B53,"DAF_Award",Z$2,PF,PT))</f>
        <v>0</v>
      </c>
      <c r="AA53" s="39">
        <f>IF(TRUE,0,_xll.PSFx2BAL(CN,"*","GLCode",$B53,"DAF_Award",AA$2,PF,PT))</f>
        <v>0</v>
      </c>
      <c r="AB53" s="39">
        <f>IF(TRUE,0,_xll.PSFx2BAL(CN,"*","GLCode",$B53,"DAF_Award",AB$2,PF,PT))</f>
        <v>0</v>
      </c>
      <c r="AC53" s="39">
        <f>IF(TRUE,0,_xll.PSFx2BAL(CN,"*","GLCode",$B53,"DAF_Award",AC$2,PF,PT))</f>
        <v>0</v>
      </c>
      <c r="AD53" s="39">
        <f>IF(TRUE,0,_xll.PSFx2BAL(CN,"*","GLCode",$B53,"DAF_Award",AD$2,PF,PT))</f>
        <v>0</v>
      </c>
      <c r="AE53" s="39">
        <f>IF(TRUE,0,_xll.PSFx2BAL(CN,"*","GLCode",$B53,"DAF_Award",AE$2,PF,PT))</f>
        <v>0</v>
      </c>
      <c r="AF53" s="39">
        <f>IF(TRUE,0,_xll.PSFx2BAL(CN,"*","GLCode",$B53,"DAF_Award",AF$2,PF,PT))</f>
        <v>0</v>
      </c>
      <c r="AG53" s="39">
        <f>IF(TRUE,0,_xll.PSFx2BAL(CN,"*","GLCode",$B53,"DAF_Award",AG$2,PF,PT))</f>
        <v>0</v>
      </c>
      <c r="AH53" s="39">
        <f>IF(TRUE,0,_xll.PSFx2BAL(CN,"*","GLCode",$B53,"DAF_Award",AH$2,PF,PT))</f>
        <v>0</v>
      </c>
      <c r="AI53" s="39">
        <f t="shared" si="41"/>
        <v>44645.69</v>
      </c>
      <c r="AJ53" s="18">
        <f>VLOOKUP(B53,TB!$B$5:$E$140,4,FALSE)</f>
        <v>44645.69</v>
      </c>
      <c r="AL53" s="39">
        <f t="shared" si="42"/>
        <v>44645.69</v>
      </c>
      <c r="AM53" s="39">
        <f t="shared" si="43"/>
        <v>0</v>
      </c>
    </row>
    <row r="54" spans="1:39" x14ac:dyDescent="0.2">
      <c r="A54" s="1">
        <f t="shared" si="33"/>
        <v>7243</v>
      </c>
      <c r="B54" t="s">
        <v>114</v>
      </c>
      <c r="C54" t="s">
        <v>115</v>
      </c>
      <c r="D54" s="39">
        <f>IF(TRUE,0,_xll.PSFx2BAL(CN,"*","GLCode",$B54,"DAF_Award",D$2,PF,PT))</f>
        <v>0</v>
      </c>
      <c r="E54" s="39">
        <f>IF(TRUE,0,_xll.PSFx2BAL(CN,"*","GLCode",$B54,"DAF_Award",E$2,PF,PT))</f>
        <v>0</v>
      </c>
      <c r="F54" s="39">
        <f>IF(TRUE,0,_xll.PSFx2BAL(CN,"*","GLCode",$B54,"DAF_Award",F$2,PF,PT))</f>
        <v>0</v>
      </c>
      <c r="G54" s="39">
        <f>IF(TRUE,0,_xll.PSFx2BAL(CN,"*","GLCode",$B54,"DAF_Award",G$2,PF,PT))</f>
        <v>0</v>
      </c>
      <c r="H54" s="39">
        <f>IF(TRUE,0,_xll.PSFx2BAL(CN,"*","GLCode",$B54,"DAF_Award",H$2,PF,PT))</f>
        <v>0</v>
      </c>
      <c r="I54" s="39">
        <f>IF(TRUE,0,_xll.PSFx2BAL(CN,"*","GLCode",$B54,"DAF_Award",I$2,PF,PT))</f>
        <v>0</v>
      </c>
      <c r="J54" s="39">
        <f>IF(TRUE,0,_xll.PSFx2BAL(CN,"*","GLCode",$B54,"DAF_Award",J$2,PF,PT))</f>
        <v>0</v>
      </c>
      <c r="K54" s="39">
        <f>IF(TRUE,0,_xll.PSFx2BAL(CN,"*","GLCode",$B54,"DAF_Award",K$2,PF,PT))</f>
        <v>0</v>
      </c>
      <c r="L54" s="39">
        <f>IF(TRUE,0,_xll.PSFx2BAL(CN,"*","GLCode",$B54,"DAF_Award",L$2,PF,PT))</f>
        <v>0</v>
      </c>
      <c r="M54" s="39">
        <f>IF(TRUE,0,_xll.PSFx2BAL(CN,"*","GLCode",$B54,"DAF_Award",M$2,PF,PT))</f>
        <v>0</v>
      </c>
      <c r="N54" s="39">
        <f>IF(TRUE,0,_xll.PSFx2BAL(CN,"*","GLCode",$B54,"DAF_Award",N$2,PF,PT))</f>
        <v>0</v>
      </c>
      <c r="O54" s="39">
        <f>IF(TRUE,0,_xll.PSFx2BAL(CN,"*","GLCode",$B54,"DAF_Award",O$2,PF,PT))</f>
        <v>0</v>
      </c>
      <c r="P54" s="39">
        <f>IF(TRUE,0,_xll.PSFx2BAL(CN,"*","GLCode",$B54,"DAF_Award",P$2,PF,PT))</f>
        <v>0</v>
      </c>
      <c r="Q54" s="39">
        <f>IF(TRUE,0,_xll.PSFx2BAL(CN,"*","GLCode",$B54,"DAF_Award",Q$2,PF,PT))</f>
        <v>0</v>
      </c>
      <c r="R54" s="39">
        <f>IF(TRUE,0,_xll.PSFx2BAL(CN,"*","GLCode",$B54,"DAF_Award",R$2,PF,PT))</f>
        <v>0</v>
      </c>
      <c r="S54" s="39">
        <f>IF(TRUE,0,_xll.PSFx2BAL(CN,"*","GLCode",$B54,"DAF_Award",S$2,PF,PT))</f>
        <v>0</v>
      </c>
      <c r="T54" s="39">
        <f>IF(TRUE,0,_xll.PSFx2BAL(CN,"*","GLCode",$B54,"DAF_Award",T$2,PF,PT))</f>
        <v>0</v>
      </c>
      <c r="U54" s="39">
        <f>IF(TRUE,0,_xll.PSFx2BAL(CN,"*","GLCode",$B54,"DAF_Award",U$2,PF,PT))</f>
        <v>0</v>
      </c>
      <c r="V54" s="39">
        <f>IF(TRUE,0,_xll.PSFx2BAL(CN,"*","GLCode",$B54,"DAF_Award",V$2,PF,PT))</f>
        <v>0</v>
      </c>
      <c r="W54" s="39">
        <f>IF(TRUE,0,_xll.PSFx2BAL(CN,"*","GLCode",$B54,"DAF_Award",W$2,PF,PT))</f>
        <v>0</v>
      </c>
      <c r="X54" s="39">
        <f>IF(TRUE,0,_xll.PSFx2BAL(CN,"*","GLCode",$B54,"DAF_Award",X$2,PF,PT))</f>
        <v>0</v>
      </c>
      <c r="Y54" s="39">
        <f>IF(TRUE,0,_xll.PSFx2BAL(CN,"*","GLCode",$B54,"DAF_Award",Y$2,PF,PT))</f>
        <v>0</v>
      </c>
      <c r="Z54" s="39">
        <f>IF(TRUE,0,_xll.PSFx2BAL(CN,"*","GLCode",$B54,"DAF_Award",Z$2,PF,PT))</f>
        <v>0</v>
      </c>
      <c r="AA54" s="39">
        <f>IF(TRUE,0,_xll.PSFx2BAL(CN,"*","GLCode",$B54,"DAF_Award",AA$2,PF,PT))</f>
        <v>0</v>
      </c>
      <c r="AB54" s="39">
        <f>IF(TRUE,0,_xll.PSFx2BAL(CN,"*","GLCode",$B54,"DAF_Award",AB$2,PF,PT))</f>
        <v>0</v>
      </c>
      <c r="AC54" s="39">
        <f>IF(TRUE,0,_xll.PSFx2BAL(CN,"*","GLCode",$B54,"DAF_Award",AC$2,PF,PT))</f>
        <v>0</v>
      </c>
      <c r="AD54" s="39">
        <f>IF(TRUE,0,_xll.PSFx2BAL(CN,"*","GLCode",$B54,"DAF_Award",AD$2,PF,PT))</f>
        <v>0</v>
      </c>
      <c r="AE54" s="39">
        <f>IF(TRUE,0,_xll.PSFx2BAL(CN,"*","GLCode",$B54,"DAF_Award",AE$2,PF,PT))</f>
        <v>0</v>
      </c>
      <c r="AF54" s="39">
        <f>IF(TRUE,0,_xll.PSFx2BAL(CN,"*","GLCode",$B54,"DAF_Award",AF$2,PF,PT))</f>
        <v>0</v>
      </c>
      <c r="AG54" s="39">
        <f>IF(TRUE,0,_xll.PSFx2BAL(CN,"*","GLCode",$B54,"DAF_Award",AG$2,PF,PT))</f>
        <v>0</v>
      </c>
      <c r="AH54" s="39">
        <f>IF(TRUE,0,_xll.PSFx2BAL(CN,"*","GLCode",$B54,"DAF_Award",AH$2,PF,PT))</f>
        <v>0</v>
      </c>
      <c r="AI54" s="39">
        <f t="shared" si="41"/>
        <v>11750.73</v>
      </c>
      <c r="AJ54" s="18">
        <f>VLOOKUP(B54,TB!$B$5:$E$140,4,FALSE)</f>
        <v>11750.73</v>
      </c>
      <c r="AL54" s="39">
        <f t="shared" si="42"/>
        <v>11750.73</v>
      </c>
      <c r="AM54" s="39">
        <f t="shared" si="43"/>
        <v>0</v>
      </c>
    </row>
    <row r="55" spans="1:39" hidden="1" x14ac:dyDescent="0.2">
      <c r="A55" s="1">
        <f t="shared" si="33"/>
        <v>7244</v>
      </c>
      <c r="B55" t="s">
        <v>116</v>
      </c>
      <c r="C55" t="s">
        <v>117</v>
      </c>
      <c r="D55" s="39">
        <f>IF(TRUE,0,_xll.PSFx2BAL(CN,"*","GLCode",$B55,"DAF_Award",D$2,PF,PT))</f>
        <v>0</v>
      </c>
      <c r="E55" s="39">
        <f>IF(TRUE,0,_xll.PSFx2BAL(CN,"*","GLCode",$B55,"DAF_Award",E$2,PF,PT))</f>
        <v>0</v>
      </c>
      <c r="F55" s="39">
        <f>IF(TRUE,0,_xll.PSFx2BAL(CN,"*","GLCode",$B55,"DAF_Award",F$2,PF,PT))</f>
        <v>0</v>
      </c>
      <c r="G55" s="39">
        <f>IF(TRUE,0,_xll.PSFx2BAL(CN,"*","GLCode",$B55,"DAF_Award",G$2,PF,PT))</f>
        <v>0</v>
      </c>
      <c r="H55" s="39">
        <f>IF(TRUE,0,_xll.PSFx2BAL(CN,"*","GLCode",$B55,"DAF_Award",H$2,PF,PT))</f>
        <v>0</v>
      </c>
      <c r="I55" s="39">
        <f>IF(TRUE,0,_xll.PSFx2BAL(CN,"*","GLCode",$B55,"DAF_Award",I$2,PF,PT))</f>
        <v>0</v>
      </c>
      <c r="J55" s="39">
        <f>IF(TRUE,0,_xll.PSFx2BAL(CN,"*","GLCode",$B55,"DAF_Award",J$2,PF,PT))</f>
        <v>0</v>
      </c>
      <c r="K55" s="39">
        <f>IF(TRUE,0,_xll.PSFx2BAL(CN,"*","GLCode",$B55,"DAF_Award",K$2,PF,PT))</f>
        <v>0</v>
      </c>
      <c r="L55" s="39">
        <f>IF(TRUE,0,_xll.PSFx2BAL(CN,"*","GLCode",$B55,"DAF_Award",L$2,PF,PT))</f>
        <v>0</v>
      </c>
      <c r="M55" s="39">
        <f>IF(TRUE,0,_xll.PSFx2BAL(CN,"*","GLCode",$B55,"DAF_Award",M$2,PF,PT))</f>
        <v>0</v>
      </c>
      <c r="N55" s="39">
        <f>IF(TRUE,0,_xll.PSFx2BAL(CN,"*","GLCode",$B55,"DAF_Award",N$2,PF,PT))</f>
        <v>0</v>
      </c>
      <c r="O55" s="39">
        <f>IF(TRUE,0,_xll.PSFx2BAL(CN,"*","GLCode",$B55,"DAF_Award",O$2,PF,PT))</f>
        <v>0</v>
      </c>
      <c r="P55" s="39">
        <f>IF(TRUE,0,_xll.PSFx2BAL(CN,"*","GLCode",$B55,"DAF_Award",P$2,PF,PT))</f>
        <v>0</v>
      </c>
      <c r="Q55" s="39">
        <f>IF(TRUE,0,_xll.PSFx2BAL(CN,"*","GLCode",$B55,"DAF_Award",Q$2,PF,PT))</f>
        <v>0</v>
      </c>
      <c r="R55" s="39">
        <f>IF(TRUE,0,_xll.PSFx2BAL(CN,"*","GLCode",$B55,"DAF_Award",R$2,PF,PT))</f>
        <v>0</v>
      </c>
      <c r="S55" s="39">
        <f>IF(TRUE,0,_xll.PSFx2BAL(CN,"*","GLCode",$B55,"DAF_Award",S$2,PF,PT))</f>
        <v>0</v>
      </c>
      <c r="T55" s="39">
        <f>IF(TRUE,0,_xll.PSFx2BAL(CN,"*","GLCode",$B55,"DAF_Award",T$2,PF,PT))</f>
        <v>0</v>
      </c>
      <c r="U55" s="39">
        <f>IF(TRUE,0,_xll.PSFx2BAL(CN,"*","GLCode",$B55,"DAF_Award",U$2,PF,PT))</f>
        <v>0</v>
      </c>
      <c r="V55" s="39">
        <f>IF(TRUE,0,_xll.PSFx2BAL(CN,"*","GLCode",$B55,"DAF_Award",V$2,PF,PT))</f>
        <v>0</v>
      </c>
      <c r="W55" s="39">
        <f>IF(TRUE,0,_xll.PSFx2BAL(CN,"*","GLCode",$B55,"DAF_Award",W$2,PF,PT))</f>
        <v>0</v>
      </c>
      <c r="X55" s="39">
        <f>IF(TRUE,0,_xll.PSFx2BAL(CN,"*","GLCode",$B55,"DAF_Award",X$2,PF,PT))</f>
        <v>0</v>
      </c>
      <c r="Y55" s="39">
        <f>IF(TRUE,0,_xll.PSFx2BAL(CN,"*","GLCode",$B55,"DAF_Award",Y$2,PF,PT))</f>
        <v>0</v>
      </c>
      <c r="Z55" s="39">
        <f>IF(TRUE,0,_xll.PSFx2BAL(CN,"*","GLCode",$B55,"DAF_Award",Z$2,PF,PT))</f>
        <v>0</v>
      </c>
      <c r="AA55" s="39">
        <f>IF(TRUE,0,_xll.PSFx2BAL(CN,"*","GLCode",$B55,"DAF_Award",AA$2,PF,PT))</f>
        <v>0</v>
      </c>
      <c r="AB55" s="39">
        <f>IF(TRUE,0,_xll.PSFx2BAL(CN,"*","GLCode",$B55,"DAF_Award",AB$2,PF,PT))</f>
        <v>0</v>
      </c>
      <c r="AC55" s="39">
        <f>IF(TRUE,0,_xll.PSFx2BAL(CN,"*","GLCode",$B55,"DAF_Award",AC$2,PF,PT))</f>
        <v>0</v>
      </c>
      <c r="AD55" s="39">
        <f>IF(TRUE,0,_xll.PSFx2BAL(CN,"*","GLCode",$B55,"DAF_Award",AD$2,PF,PT))</f>
        <v>0</v>
      </c>
      <c r="AE55" s="39">
        <f>IF(TRUE,0,_xll.PSFx2BAL(CN,"*","GLCode",$B55,"DAF_Award",AE$2,PF,PT))</f>
        <v>0</v>
      </c>
      <c r="AF55" s="39">
        <f>IF(TRUE,0,_xll.PSFx2BAL(CN,"*","GLCode",$B55,"DAF_Award",AF$2,PF,PT))</f>
        <v>0</v>
      </c>
      <c r="AG55" s="39">
        <f>IF(TRUE,0,_xll.PSFx2BAL(CN,"*","GLCode",$B55,"DAF_Award",AG$2,PF,PT))</f>
        <v>0</v>
      </c>
      <c r="AH55" s="39">
        <f>IF(TRUE,0,_xll.PSFx2BAL(CN,"*","GLCode",$B55,"DAF_Award",AH$2,PF,PT))</f>
        <v>0</v>
      </c>
      <c r="AI55" s="39">
        <f t="shared" si="41"/>
        <v>0</v>
      </c>
      <c r="AJ55" s="18">
        <f>VLOOKUP(B55,TB!$B$5:$E$140,4,FALSE)</f>
        <v>0</v>
      </c>
      <c r="AL55" s="39">
        <f t="shared" si="42"/>
        <v>0</v>
      </c>
      <c r="AM55" s="39">
        <f t="shared" si="43"/>
        <v>0</v>
      </c>
    </row>
    <row r="56" spans="1:39" x14ac:dyDescent="0.2">
      <c r="A56" s="1">
        <f t="shared" si="33"/>
        <v>7250</v>
      </c>
      <c r="B56" t="s">
        <v>118</v>
      </c>
      <c r="C56" t="s">
        <v>119</v>
      </c>
      <c r="D56" s="39">
        <f>IF(TRUE,0,_xll.PSFx2BAL(CN,"*","GLCode",$B56,"DAF_Award",D$2,PF,PT))</f>
        <v>0</v>
      </c>
      <c r="E56" s="39">
        <f>IF(TRUE,0,_xll.PSFx2BAL(CN,"*","GLCode",$B56,"DAF_Award",E$2,PF,PT))</f>
        <v>0</v>
      </c>
      <c r="F56" s="39">
        <f>IF(TRUE,0,_xll.PSFx2BAL(CN,"*","GLCode",$B56,"DAF_Award",F$2,PF,PT))</f>
        <v>0</v>
      </c>
      <c r="G56" s="39">
        <f>IF(TRUE,0,_xll.PSFx2BAL(CN,"*","GLCode",$B56,"DAF_Award",G$2,PF,PT))</f>
        <v>0</v>
      </c>
      <c r="H56" s="39">
        <f>IF(TRUE,0,_xll.PSFx2BAL(CN,"*","GLCode",$B56,"DAF_Award",H$2,PF,PT))</f>
        <v>0</v>
      </c>
      <c r="I56" s="39">
        <f>IF(TRUE,0,_xll.PSFx2BAL(CN,"*","GLCode",$B56,"DAF_Award",I$2,PF,PT))</f>
        <v>0</v>
      </c>
      <c r="J56" s="39">
        <f>IF(TRUE,0,_xll.PSFx2BAL(CN,"*","GLCode",$B56,"DAF_Award",J$2,PF,PT))</f>
        <v>0</v>
      </c>
      <c r="K56" s="39">
        <f>IF(TRUE,0,_xll.PSFx2BAL(CN,"*","GLCode",$B56,"DAF_Award",K$2,PF,PT))</f>
        <v>0</v>
      </c>
      <c r="L56" s="39">
        <f>IF(TRUE,0,_xll.PSFx2BAL(CN,"*","GLCode",$B56,"DAF_Award",L$2,PF,PT))</f>
        <v>0</v>
      </c>
      <c r="M56" s="39">
        <f>IF(TRUE,0,_xll.PSFx2BAL(CN,"*","GLCode",$B56,"DAF_Award",M$2,PF,PT))</f>
        <v>0</v>
      </c>
      <c r="N56" s="39">
        <f>IF(TRUE,0,_xll.PSFx2BAL(CN,"*","GLCode",$B56,"DAF_Award",N$2,PF,PT))</f>
        <v>0</v>
      </c>
      <c r="O56" s="39">
        <f>IF(TRUE,0,_xll.PSFx2BAL(CN,"*","GLCode",$B56,"DAF_Award",O$2,PF,PT))</f>
        <v>0</v>
      </c>
      <c r="P56" s="39">
        <f>IF(TRUE,0,_xll.PSFx2BAL(CN,"*","GLCode",$B56,"DAF_Award",P$2,PF,PT))</f>
        <v>0</v>
      </c>
      <c r="Q56" s="39">
        <f>IF(TRUE,0,_xll.PSFx2BAL(CN,"*","GLCode",$B56,"DAF_Award",Q$2,PF,PT))</f>
        <v>0</v>
      </c>
      <c r="R56" s="39">
        <f>IF(TRUE,0,_xll.PSFx2BAL(CN,"*","GLCode",$B56,"DAF_Award",R$2,PF,PT))</f>
        <v>0</v>
      </c>
      <c r="S56" s="39">
        <f>IF(TRUE,0,_xll.PSFx2BAL(CN,"*","GLCode",$B56,"DAF_Award",S$2,PF,PT))</f>
        <v>0</v>
      </c>
      <c r="T56" s="39">
        <f>IF(TRUE,0,_xll.PSFx2BAL(CN,"*","GLCode",$B56,"DAF_Award",T$2,PF,PT))</f>
        <v>0</v>
      </c>
      <c r="U56" s="39">
        <f>IF(TRUE,0,_xll.PSFx2BAL(CN,"*","GLCode",$B56,"DAF_Award",U$2,PF,PT))</f>
        <v>0</v>
      </c>
      <c r="V56" s="39">
        <f>IF(TRUE,0,_xll.PSFx2BAL(CN,"*","GLCode",$B56,"DAF_Award",V$2,PF,PT))</f>
        <v>0</v>
      </c>
      <c r="W56" s="39">
        <f>IF(TRUE,0,_xll.PSFx2BAL(CN,"*","GLCode",$B56,"DAF_Award",W$2,PF,PT))</f>
        <v>0</v>
      </c>
      <c r="X56" s="39">
        <f>IF(TRUE,0,_xll.PSFx2BAL(CN,"*","GLCode",$B56,"DAF_Award",X$2,PF,PT))</f>
        <v>0</v>
      </c>
      <c r="Y56" s="39">
        <f>IF(TRUE,0,_xll.PSFx2BAL(CN,"*","GLCode",$B56,"DAF_Award",Y$2,PF,PT))</f>
        <v>0</v>
      </c>
      <c r="Z56" s="39">
        <f>IF(TRUE,0,_xll.PSFx2BAL(CN,"*","GLCode",$B56,"DAF_Award",Z$2,PF,PT))</f>
        <v>0</v>
      </c>
      <c r="AA56" s="39">
        <f>IF(TRUE,0,_xll.PSFx2BAL(CN,"*","GLCode",$B56,"DAF_Award",AA$2,PF,PT))</f>
        <v>0</v>
      </c>
      <c r="AB56" s="39">
        <f>IF(TRUE,0,_xll.PSFx2BAL(CN,"*","GLCode",$B56,"DAF_Award",AB$2,PF,PT))</f>
        <v>0</v>
      </c>
      <c r="AC56" s="39">
        <f>IF(TRUE,0,_xll.PSFx2BAL(CN,"*","GLCode",$B56,"DAF_Award",AC$2,PF,PT))</f>
        <v>0</v>
      </c>
      <c r="AD56" s="39">
        <f>IF(TRUE,0,_xll.PSFx2BAL(CN,"*","GLCode",$B56,"DAF_Award",AD$2,PF,PT))</f>
        <v>0</v>
      </c>
      <c r="AE56" s="39">
        <f>IF(TRUE,0,_xll.PSFx2BAL(CN,"*","GLCode",$B56,"DAF_Award",AE$2,PF,PT))</f>
        <v>0</v>
      </c>
      <c r="AF56" s="39">
        <f>IF(TRUE,0,_xll.PSFx2BAL(CN,"*","GLCode",$B56,"DAF_Award",AF$2,PF,PT))</f>
        <v>0</v>
      </c>
      <c r="AG56" s="39">
        <f>IF(TRUE,0,_xll.PSFx2BAL(CN,"*","GLCode",$B56,"DAF_Award",AG$2,PF,PT))</f>
        <v>0</v>
      </c>
      <c r="AH56" s="39">
        <f>IF(TRUE,0,_xll.PSFx2BAL(CN,"*","GLCode",$B56,"DAF_Award",AH$2,PF,PT))</f>
        <v>0</v>
      </c>
      <c r="AI56" s="39">
        <f t="shared" si="41"/>
        <v>3778.86</v>
      </c>
      <c r="AJ56" s="18">
        <f>VLOOKUP(B56,TB!$B$5:$E$140,4,FALSE)</f>
        <v>3778.86</v>
      </c>
      <c r="AL56" s="39">
        <f t="shared" si="42"/>
        <v>3778.86</v>
      </c>
      <c r="AM56" s="39">
        <f t="shared" si="43"/>
        <v>0</v>
      </c>
    </row>
    <row r="57" spans="1:39" hidden="1" x14ac:dyDescent="0.2">
      <c r="A57" s="1">
        <f t="shared" si="33"/>
        <v>7251</v>
      </c>
      <c r="B57" t="s">
        <v>120</v>
      </c>
      <c r="C57" t="s">
        <v>121</v>
      </c>
      <c r="D57" s="39">
        <f>IF(TRUE,0,_xll.PSFx2BAL(CN,"*","GLCode",$B57,"DAF_Award",D$2,PF,PT))</f>
        <v>0</v>
      </c>
      <c r="E57" s="39">
        <f>IF(TRUE,0,_xll.PSFx2BAL(CN,"*","GLCode",$B57,"DAF_Award",E$2,PF,PT))</f>
        <v>0</v>
      </c>
      <c r="F57" s="39">
        <f>IF(TRUE,0,_xll.PSFx2BAL(CN,"*","GLCode",$B57,"DAF_Award",F$2,PF,PT))</f>
        <v>0</v>
      </c>
      <c r="G57" s="39">
        <f>IF(TRUE,0,_xll.PSFx2BAL(CN,"*","GLCode",$B57,"DAF_Award",G$2,PF,PT))</f>
        <v>0</v>
      </c>
      <c r="H57" s="39">
        <f>IF(TRUE,0,_xll.PSFx2BAL(CN,"*","GLCode",$B57,"DAF_Award",H$2,PF,PT))</f>
        <v>0</v>
      </c>
      <c r="I57" s="39">
        <f>IF(TRUE,0,_xll.PSFx2BAL(CN,"*","GLCode",$B57,"DAF_Award",I$2,PF,PT))</f>
        <v>0</v>
      </c>
      <c r="J57" s="39">
        <f>IF(TRUE,0,_xll.PSFx2BAL(CN,"*","GLCode",$B57,"DAF_Award",J$2,PF,PT))</f>
        <v>0</v>
      </c>
      <c r="K57" s="39">
        <f>IF(TRUE,0,_xll.PSFx2BAL(CN,"*","GLCode",$B57,"DAF_Award",K$2,PF,PT))</f>
        <v>0</v>
      </c>
      <c r="L57" s="39">
        <f>IF(TRUE,0,_xll.PSFx2BAL(CN,"*","GLCode",$B57,"DAF_Award",L$2,PF,PT))</f>
        <v>0</v>
      </c>
      <c r="M57" s="39">
        <f>IF(TRUE,0,_xll.PSFx2BAL(CN,"*","GLCode",$B57,"DAF_Award",M$2,PF,PT))</f>
        <v>0</v>
      </c>
      <c r="N57" s="39">
        <f>IF(TRUE,0,_xll.PSFx2BAL(CN,"*","GLCode",$B57,"DAF_Award",N$2,PF,PT))</f>
        <v>0</v>
      </c>
      <c r="O57" s="39">
        <f>IF(TRUE,0,_xll.PSFx2BAL(CN,"*","GLCode",$B57,"DAF_Award",O$2,PF,PT))</f>
        <v>0</v>
      </c>
      <c r="P57" s="39">
        <f>IF(TRUE,0,_xll.PSFx2BAL(CN,"*","GLCode",$B57,"DAF_Award",P$2,PF,PT))</f>
        <v>0</v>
      </c>
      <c r="Q57" s="39">
        <f>IF(TRUE,0,_xll.PSFx2BAL(CN,"*","GLCode",$B57,"DAF_Award",Q$2,PF,PT))</f>
        <v>0</v>
      </c>
      <c r="R57" s="39">
        <f>IF(TRUE,0,_xll.PSFx2BAL(CN,"*","GLCode",$B57,"DAF_Award",R$2,PF,PT))</f>
        <v>0</v>
      </c>
      <c r="S57" s="39">
        <f>IF(TRUE,0,_xll.PSFx2BAL(CN,"*","GLCode",$B57,"DAF_Award",S$2,PF,PT))</f>
        <v>0</v>
      </c>
      <c r="T57" s="39">
        <f>IF(TRUE,0,_xll.PSFx2BAL(CN,"*","GLCode",$B57,"DAF_Award",T$2,PF,PT))</f>
        <v>0</v>
      </c>
      <c r="U57" s="39">
        <f>IF(TRUE,0,_xll.PSFx2BAL(CN,"*","GLCode",$B57,"DAF_Award",U$2,PF,PT))</f>
        <v>0</v>
      </c>
      <c r="V57" s="39">
        <f>IF(TRUE,0,_xll.PSFx2BAL(CN,"*","GLCode",$B57,"DAF_Award",V$2,PF,PT))</f>
        <v>0</v>
      </c>
      <c r="W57" s="39">
        <f>IF(TRUE,0,_xll.PSFx2BAL(CN,"*","GLCode",$B57,"DAF_Award",W$2,PF,PT))</f>
        <v>0</v>
      </c>
      <c r="X57" s="39">
        <f>IF(TRUE,0,_xll.PSFx2BAL(CN,"*","GLCode",$B57,"DAF_Award",X$2,PF,PT))</f>
        <v>0</v>
      </c>
      <c r="Y57" s="39">
        <f>IF(TRUE,0,_xll.PSFx2BAL(CN,"*","GLCode",$B57,"DAF_Award",Y$2,PF,PT))</f>
        <v>0</v>
      </c>
      <c r="Z57" s="39">
        <f>IF(TRUE,0,_xll.PSFx2BAL(CN,"*","GLCode",$B57,"DAF_Award",Z$2,PF,PT))</f>
        <v>0</v>
      </c>
      <c r="AA57" s="39">
        <f>IF(TRUE,0,_xll.PSFx2BAL(CN,"*","GLCode",$B57,"DAF_Award",AA$2,PF,PT))</f>
        <v>0</v>
      </c>
      <c r="AB57" s="39">
        <f>IF(TRUE,0,_xll.PSFx2BAL(CN,"*","GLCode",$B57,"DAF_Award",AB$2,PF,PT))</f>
        <v>0</v>
      </c>
      <c r="AC57" s="39">
        <f>IF(TRUE,0,_xll.PSFx2BAL(CN,"*","GLCode",$B57,"DAF_Award",AC$2,PF,PT))</f>
        <v>0</v>
      </c>
      <c r="AD57" s="39">
        <f>IF(TRUE,0,_xll.PSFx2BAL(CN,"*","GLCode",$B57,"DAF_Award",AD$2,PF,PT))</f>
        <v>0</v>
      </c>
      <c r="AE57" s="39">
        <f>IF(TRUE,0,_xll.PSFx2BAL(CN,"*","GLCode",$B57,"DAF_Award",AE$2,PF,PT))</f>
        <v>0</v>
      </c>
      <c r="AF57" s="39">
        <f>IF(TRUE,0,_xll.PSFx2BAL(CN,"*","GLCode",$B57,"DAF_Award",AF$2,PF,PT))</f>
        <v>0</v>
      </c>
      <c r="AG57" s="39">
        <f>IF(TRUE,0,_xll.PSFx2BAL(CN,"*","GLCode",$B57,"DAF_Award",AG$2,PF,PT))</f>
        <v>0</v>
      </c>
      <c r="AH57" s="39">
        <f>IF(TRUE,0,_xll.PSFx2BAL(CN,"*","GLCode",$B57,"DAF_Award",AH$2,PF,PT))</f>
        <v>0</v>
      </c>
      <c r="AI57" s="39">
        <f t="shared" si="41"/>
        <v>0</v>
      </c>
      <c r="AJ57" s="18">
        <f>VLOOKUP(B57,TB!$B$5:$E$140,4,FALSE)</f>
        <v>0</v>
      </c>
      <c r="AL57" s="39">
        <f t="shared" si="42"/>
        <v>0</v>
      </c>
      <c r="AM57" s="39">
        <f t="shared" si="43"/>
        <v>0</v>
      </c>
    </row>
    <row r="58" spans="1:39" x14ac:dyDescent="0.2">
      <c r="A58" s="1">
        <f t="shared" si="33"/>
        <v>7260</v>
      </c>
      <c r="B58" t="s">
        <v>122</v>
      </c>
      <c r="C58" t="s">
        <v>123</v>
      </c>
      <c r="D58" s="39">
        <f>IF(TRUE,0,_xll.PSFx2BAL(CN,"*","GLCode",$B58,"DAF_Award",D$2,PF,PT))</f>
        <v>0</v>
      </c>
      <c r="E58" s="39">
        <f>IF(TRUE,0,_xll.PSFx2BAL(CN,"*","GLCode",$B58,"DAF_Award",E$2,PF,PT))</f>
        <v>0</v>
      </c>
      <c r="F58" s="39">
        <f>IF(TRUE,0,_xll.PSFx2BAL(CN,"*","GLCode",$B58,"DAF_Award",F$2,PF,PT))</f>
        <v>0</v>
      </c>
      <c r="G58" s="39">
        <f>IF(TRUE,0,_xll.PSFx2BAL(CN,"*","GLCode",$B58,"DAF_Award",G$2,PF,PT))</f>
        <v>0</v>
      </c>
      <c r="H58" s="39">
        <f>IF(TRUE,0,_xll.PSFx2BAL(CN,"*","GLCode",$B58,"DAF_Award",H$2,PF,PT))</f>
        <v>0</v>
      </c>
      <c r="I58" s="39">
        <f>IF(TRUE,0,_xll.PSFx2BAL(CN,"*","GLCode",$B58,"DAF_Award",I$2,PF,PT))</f>
        <v>0</v>
      </c>
      <c r="J58" s="39">
        <f>IF(TRUE,0,_xll.PSFx2BAL(CN,"*","GLCode",$B58,"DAF_Award",J$2,PF,PT))</f>
        <v>0</v>
      </c>
      <c r="K58" s="39">
        <f>IF(TRUE,0,_xll.PSFx2BAL(CN,"*","GLCode",$B58,"DAF_Award",K$2,PF,PT))</f>
        <v>0</v>
      </c>
      <c r="L58" s="39">
        <f>IF(TRUE,0,_xll.PSFx2BAL(CN,"*","GLCode",$B58,"DAF_Award",L$2,PF,PT))</f>
        <v>0</v>
      </c>
      <c r="M58" s="39">
        <f>IF(TRUE,0,_xll.PSFx2BAL(CN,"*","GLCode",$B58,"DAF_Award",M$2,PF,PT))</f>
        <v>0</v>
      </c>
      <c r="N58" s="39">
        <f>IF(TRUE,0,_xll.PSFx2BAL(CN,"*","GLCode",$B58,"DAF_Award",N$2,PF,PT))</f>
        <v>0</v>
      </c>
      <c r="O58" s="39">
        <f>IF(TRUE,0,_xll.PSFx2BAL(CN,"*","GLCode",$B58,"DAF_Award",O$2,PF,PT))</f>
        <v>0</v>
      </c>
      <c r="P58" s="39">
        <f>IF(TRUE,0,_xll.PSFx2BAL(CN,"*","GLCode",$B58,"DAF_Award",P$2,PF,PT))</f>
        <v>0</v>
      </c>
      <c r="Q58" s="39">
        <f>IF(TRUE,0,_xll.PSFx2BAL(CN,"*","GLCode",$B58,"DAF_Award",Q$2,PF,PT))</f>
        <v>0</v>
      </c>
      <c r="R58" s="39">
        <f>IF(TRUE,0,_xll.PSFx2BAL(CN,"*","GLCode",$B58,"DAF_Award",R$2,PF,PT))</f>
        <v>0</v>
      </c>
      <c r="S58" s="39">
        <f>IF(TRUE,0,_xll.PSFx2BAL(CN,"*","GLCode",$B58,"DAF_Award",S$2,PF,PT))</f>
        <v>0</v>
      </c>
      <c r="T58" s="39">
        <f>IF(TRUE,0,_xll.PSFx2BAL(CN,"*","GLCode",$B58,"DAF_Award",T$2,PF,PT))</f>
        <v>0</v>
      </c>
      <c r="U58" s="39">
        <f>IF(TRUE,0,_xll.PSFx2BAL(CN,"*","GLCode",$B58,"DAF_Award",U$2,PF,PT))</f>
        <v>0</v>
      </c>
      <c r="V58" s="39">
        <f>IF(TRUE,0,_xll.PSFx2BAL(CN,"*","GLCode",$B58,"DAF_Award",V$2,PF,PT))</f>
        <v>0</v>
      </c>
      <c r="W58" s="39">
        <f>IF(TRUE,0,_xll.PSFx2BAL(CN,"*","GLCode",$B58,"DAF_Award",W$2,PF,PT))</f>
        <v>0</v>
      </c>
      <c r="X58" s="39">
        <f>IF(TRUE,0,_xll.PSFx2BAL(CN,"*","GLCode",$B58,"DAF_Award",X$2,PF,PT))</f>
        <v>0</v>
      </c>
      <c r="Y58" s="39">
        <f>IF(TRUE,0,_xll.PSFx2BAL(CN,"*","GLCode",$B58,"DAF_Award",Y$2,PF,PT))</f>
        <v>0</v>
      </c>
      <c r="Z58" s="39">
        <f>IF(TRUE,0,_xll.PSFx2BAL(CN,"*","GLCode",$B58,"DAF_Award",Z$2,PF,PT))</f>
        <v>0</v>
      </c>
      <c r="AA58" s="39">
        <f>IF(TRUE,0,_xll.PSFx2BAL(CN,"*","GLCode",$B58,"DAF_Award",AA$2,PF,PT))</f>
        <v>0</v>
      </c>
      <c r="AB58" s="39">
        <f>IF(TRUE,0,_xll.PSFx2BAL(CN,"*","GLCode",$B58,"DAF_Award",AB$2,PF,PT))</f>
        <v>0</v>
      </c>
      <c r="AC58" s="39">
        <f>IF(TRUE,0,_xll.PSFx2BAL(CN,"*","GLCode",$B58,"DAF_Award",AC$2,PF,PT))</f>
        <v>0</v>
      </c>
      <c r="AD58" s="39">
        <f>IF(TRUE,0,_xll.PSFx2BAL(CN,"*","GLCode",$B58,"DAF_Award",AD$2,PF,PT))</f>
        <v>0</v>
      </c>
      <c r="AE58" s="39">
        <f>IF(TRUE,0,_xll.PSFx2BAL(CN,"*","GLCode",$B58,"DAF_Award",AE$2,PF,PT))</f>
        <v>0</v>
      </c>
      <c r="AF58" s="39">
        <f>IF(TRUE,0,_xll.PSFx2BAL(CN,"*","GLCode",$B58,"DAF_Award",AF$2,PF,PT))</f>
        <v>0</v>
      </c>
      <c r="AG58" s="39">
        <f>IF(TRUE,0,_xll.PSFx2BAL(CN,"*","GLCode",$B58,"DAF_Award",AG$2,PF,PT))</f>
        <v>0</v>
      </c>
      <c r="AH58" s="39">
        <f>IF(TRUE,0,_xll.PSFx2BAL(CN,"*","GLCode",$B58,"DAF_Award",AH$2,PF,PT))</f>
        <v>0</v>
      </c>
      <c r="AI58" s="39">
        <f t="shared" si="41"/>
        <v>720</v>
      </c>
      <c r="AJ58" s="18">
        <f>VLOOKUP(B58,TB!$B$5:$E$140,4,FALSE)</f>
        <v>720</v>
      </c>
      <c r="AL58" s="39">
        <f t="shared" si="42"/>
        <v>720</v>
      </c>
      <c r="AM58" s="39">
        <f t="shared" si="43"/>
        <v>0</v>
      </c>
    </row>
    <row r="59" spans="1:39" x14ac:dyDescent="0.2">
      <c r="A59" s="1">
        <f t="shared" si="33"/>
        <v>7300</v>
      </c>
      <c r="B59" t="s">
        <v>124</v>
      </c>
      <c r="C59" t="s">
        <v>125</v>
      </c>
      <c r="D59" s="39">
        <f>IF(TRUE,1690.34,_xll.PSFx2BAL(CN,"*","GLCode",$B59,"DAF_Award",D$2,PF,PT))</f>
        <v>1690.34</v>
      </c>
      <c r="E59" s="39">
        <f>IF(TRUE,0,_xll.PSFx2BAL(CN,"*","GLCode",$B59,"DAF_Award",E$2,PF,PT))</f>
        <v>0</v>
      </c>
      <c r="F59" s="39">
        <f>IF(TRUE,0,_xll.PSFx2BAL(CN,"*","GLCode",$B59,"DAF_Award",F$2,PF,PT))</f>
        <v>0</v>
      </c>
      <c r="G59" s="39">
        <f>IF(TRUE,0,_xll.PSFx2BAL(CN,"*","GLCode",$B59,"DAF_Award",G$2,PF,PT))</f>
        <v>0</v>
      </c>
      <c r="H59" s="39">
        <f>IF(TRUE,0,_xll.PSFx2BAL(CN,"*","GLCode",$B59,"DAF_Award",H$2,PF,PT))</f>
        <v>0</v>
      </c>
      <c r="I59" s="39">
        <f>IF(TRUE,0,_xll.PSFx2BAL(CN,"*","GLCode",$B59,"DAF_Award",I$2,PF,PT))</f>
        <v>0</v>
      </c>
      <c r="J59" s="39">
        <f>IF(TRUE,0,_xll.PSFx2BAL(CN,"*","GLCode",$B59,"DAF_Award",J$2,PF,PT))</f>
        <v>0</v>
      </c>
      <c r="K59" s="39">
        <f>IF(TRUE,-1016.33,_xll.PSFx2BAL(CN,"*","GLCode",$B59,"DAF_Award",K$2,PF,PT))</f>
        <v>-1016.33</v>
      </c>
      <c r="L59" s="39">
        <f>IF(TRUE,0,_xll.PSFx2BAL(CN,"*","GLCode",$B59,"DAF_Award",L$2,PF,PT))</f>
        <v>0</v>
      </c>
      <c r="M59" s="39">
        <f>IF(TRUE,0,_xll.PSFx2BAL(CN,"*","GLCode",$B59,"DAF_Award",M$2,PF,PT))</f>
        <v>0</v>
      </c>
      <c r="N59" s="39">
        <f>IF(TRUE,0,_xll.PSFx2BAL(CN,"*","GLCode",$B59,"DAF_Award",N$2,PF,PT))</f>
        <v>0</v>
      </c>
      <c r="O59" s="39">
        <f>IF(TRUE,0,_xll.PSFx2BAL(CN,"*","GLCode",$B59,"DAF_Award",O$2,PF,PT))</f>
        <v>0</v>
      </c>
      <c r="P59" s="39">
        <f>IF(TRUE,0,_xll.PSFx2BAL(CN,"*","GLCode",$B59,"DAF_Award",P$2,PF,PT))</f>
        <v>0</v>
      </c>
      <c r="Q59" s="39">
        <f>IF(TRUE,0,_xll.PSFx2BAL(CN,"*","GLCode",$B59,"DAF_Award",Q$2,PF,PT))</f>
        <v>0</v>
      </c>
      <c r="R59" s="39">
        <f>IF(TRUE,0,_xll.PSFx2BAL(CN,"*","GLCode",$B59,"DAF_Award",R$2,PF,PT))</f>
        <v>0</v>
      </c>
      <c r="S59" s="39">
        <f>IF(TRUE,0,_xll.PSFx2BAL(CN,"*","GLCode",$B59,"DAF_Award",S$2,PF,PT))</f>
        <v>0</v>
      </c>
      <c r="T59" s="39">
        <f>IF(TRUE,0,_xll.PSFx2BAL(CN,"*","GLCode",$B59,"DAF_Award",T$2,PF,PT))</f>
        <v>0</v>
      </c>
      <c r="U59" s="39">
        <f>IF(TRUE,0,_xll.PSFx2BAL(CN,"*","GLCode",$B59,"DAF_Award",U$2,PF,PT))</f>
        <v>0</v>
      </c>
      <c r="V59" s="39">
        <f>IF(TRUE,0,_xll.PSFx2BAL(CN,"*","GLCode",$B59,"DAF_Award",V$2,PF,PT))</f>
        <v>0</v>
      </c>
      <c r="W59" s="39">
        <f>IF(TRUE,0,_xll.PSFx2BAL(CN,"*","GLCode",$B59,"DAF_Award",W$2,PF,PT))</f>
        <v>0</v>
      </c>
      <c r="X59" s="39">
        <f>IF(TRUE,0,_xll.PSFx2BAL(CN,"*","GLCode",$B59,"DAF_Award",X$2,PF,PT))</f>
        <v>0</v>
      </c>
      <c r="Y59" s="39">
        <f>IF(TRUE,0,_xll.PSFx2BAL(CN,"*","GLCode",$B59,"DAF_Award",Y$2,PF,PT))</f>
        <v>0</v>
      </c>
      <c r="Z59" s="39">
        <f>IF(TRUE,0,_xll.PSFx2BAL(CN,"*","GLCode",$B59,"DAF_Award",Z$2,PF,PT))</f>
        <v>0</v>
      </c>
      <c r="AA59" s="39">
        <f>IF(TRUE,0,_xll.PSFx2BAL(CN,"*","GLCode",$B59,"DAF_Award",AA$2,PF,PT))</f>
        <v>0</v>
      </c>
      <c r="AB59" s="39">
        <f>IF(TRUE,0,_xll.PSFx2BAL(CN,"*","GLCode",$B59,"DAF_Award",AB$2,PF,PT))</f>
        <v>0</v>
      </c>
      <c r="AC59" s="39">
        <f>IF(TRUE,0,_xll.PSFx2BAL(CN,"*","GLCode",$B59,"DAF_Award",AC$2,PF,PT))</f>
        <v>0</v>
      </c>
      <c r="AD59" s="39">
        <f>IF(TRUE,0,_xll.PSFx2BAL(CN,"*","GLCode",$B59,"DAF_Award",AD$2,PF,PT))</f>
        <v>0</v>
      </c>
      <c r="AE59" s="39">
        <f>IF(TRUE,0,_xll.PSFx2BAL(CN,"*","GLCode",$B59,"DAF_Award",AE$2,PF,PT))</f>
        <v>0</v>
      </c>
      <c r="AF59" s="39">
        <f>IF(TRUE,0,_xll.PSFx2BAL(CN,"*","GLCode",$B59,"DAF_Award",AF$2,PF,PT))</f>
        <v>0</v>
      </c>
      <c r="AG59" s="39">
        <f>IF(TRUE,0,_xll.PSFx2BAL(CN,"*","GLCode",$B59,"DAF_Award",AG$2,PF,PT))</f>
        <v>0</v>
      </c>
      <c r="AH59" s="39">
        <f>IF(TRUE,1016.33,_xll.PSFx2BAL(CN,"*","GLCode",$B59,"DAF_Award",AH$2,PF,PT))</f>
        <v>1016.33</v>
      </c>
      <c r="AI59" s="274">
        <f t="shared" si="41"/>
        <v>0</v>
      </c>
      <c r="AJ59" s="18">
        <f>VLOOKUP(B59,TB!$B$5:$E$140,4,FALSE)</f>
        <v>1690.34</v>
      </c>
      <c r="AL59" s="39">
        <f t="shared" si="42"/>
        <v>1016.33</v>
      </c>
      <c r="AM59" s="39">
        <f t="shared" si="43"/>
        <v>674.00999999999988</v>
      </c>
    </row>
    <row r="60" spans="1:39" x14ac:dyDescent="0.2">
      <c r="A60" s="1">
        <f t="shared" si="33"/>
        <v>7301</v>
      </c>
      <c r="B60" t="s">
        <v>126</v>
      </c>
      <c r="C60" t="s">
        <v>127</v>
      </c>
      <c r="D60" s="39">
        <f>IF(TRUE,0,_xll.PSFx2BAL(CN,"*","GLCode",$B60,"DAF_Award",D$2,PF,PT))</f>
        <v>0</v>
      </c>
      <c r="E60" s="39">
        <f>IF(TRUE,0,_xll.PSFx2BAL(CN,"*","GLCode",$B60,"DAF_Award",E$2,PF,PT))</f>
        <v>0</v>
      </c>
      <c r="F60" s="39">
        <f>IF(TRUE,0,_xll.PSFx2BAL(CN,"*","GLCode",$B60,"DAF_Award",F$2,PF,PT))</f>
        <v>0</v>
      </c>
      <c r="G60" s="39">
        <f>IF(TRUE,0,_xll.PSFx2BAL(CN,"*","GLCode",$B60,"DAF_Award",G$2,PF,PT))</f>
        <v>0</v>
      </c>
      <c r="H60" s="39">
        <f>IF(TRUE,0,_xll.PSFx2BAL(CN,"*","GLCode",$B60,"DAF_Award",H$2,PF,PT))</f>
        <v>0</v>
      </c>
      <c r="I60" s="39">
        <f>IF(TRUE,0,_xll.PSFx2BAL(CN,"*","GLCode",$B60,"DAF_Award",I$2,PF,PT))</f>
        <v>0</v>
      </c>
      <c r="J60" s="39">
        <f>IF(TRUE,0,_xll.PSFx2BAL(CN,"*","GLCode",$B60,"DAF_Award",J$2,PF,PT))</f>
        <v>0</v>
      </c>
      <c r="K60" s="39">
        <f>IF(TRUE,0,_xll.PSFx2BAL(CN,"*","GLCode",$B60,"DAF_Award",K$2,PF,PT))</f>
        <v>0</v>
      </c>
      <c r="L60" s="39">
        <f>IF(TRUE,0,_xll.PSFx2BAL(CN,"*","GLCode",$B60,"DAF_Award",L$2,PF,PT))</f>
        <v>0</v>
      </c>
      <c r="M60" s="39">
        <f>IF(TRUE,0,_xll.PSFx2BAL(CN,"*","GLCode",$B60,"DAF_Award",M$2,PF,PT))</f>
        <v>0</v>
      </c>
      <c r="N60" s="39">
        <f>IF(TRUE,0,_xll.PSFx2BAL(CN,"*","GLCode",$B60,"DAF_Award",N$2,PF,PT))</f>
        <v>0</v>
      </c>
      <c r="O60" s="39">
        <f>IF(TRUE,0,_xll.PSFx2BAL(CN,"*","GLCode",$B60,"DAF_Award",O$2,PF,PT))</f>
        <v>0</v>
      </c>
      <c r="P60" s="39">
        <f>IF(TRUE,0,_xll.PSFx2BAL(CN,"*","GLCode",$B60,"DAF_Award",P$2,PF,PT))</f>
        <v>0</v>
      </c>
      <c r="Q60" s="39">
        <f>IF(TRUE,0,_xll.PSFx2BAL(CN,"*","GLCode",$B60,"DAF_Award",Q$2,PF,PT))</f>
        <v>0</v>
      </c>
      <c r="R60" s="39">
        <f>IF(TRUE,0,_xll.PSFx2BAL(CN,"*","GLCode",$B60,"DAF_Award",R$2,PF,PT))</f>
        <v>0</v>
      </c>
      <c r="S60" s="39">
        <f>IF(TRUE,0,_xll.PSFx2BAL(CN,"*","GLCode",$B60,"DAF_Award",S$2,PF,PT))</f>
        <v>0</v>
      </c>
      <c r="T60" s="39">
        <f>IF(TRUE,0,_xll.PSFx2BAL(CN,"*","GLCode",$B60,"DAF_Award",T$2,PF,PT))</f>
        <v>0</v>
      </c>
      <c r="U60" s="39">
        <f>IF(TRUE,0,_xll.PSFx2BAL(CN,"*","GLCode",$B60,"DAF_Award",U$2,PF,PT))</f>
        <v>0</v>
      </c>
      <c r="V60" s="39">
        <f>IF(TRUE,0,_xll.PSFx2BAL(CN,"*","GLCode",$B60,"DAF_Award",V$2,PF,PT))</f>
        <v>0</v>
      </c>
      <c r="W60" s="39">
        <f>IF(TRUE,0,_xll.PSFx2BAL(CN,"*","GLCode",$B60,"DAF_Award",W$2,PF,PT))</f>
        <v>0</v>
      </c>
      <c r="X60" s="39">
        <f>IF(TRUE,0,_xll.PSFx2BAL(CN,"*","GLCode",$B60,"DAF_Award",X$2,PF,PT))</f>
        <v>0</v>
      </c>
      <c r="Y60" s="39">
        <f>IF(TRUE,0,_xll.PSFx2BAL(CN,"*","GLCode",$B60,"DAF_Award",Y$2,PF,PT))</f>
        <v>0</v>
      </c>
      <c r="Z60" s="39">
        <f>IF(TRUE,0,_xll.PSFx2BAL(CN,"*","GLCode",$B60,"DAF_Award",Z$2,PF,PT))</f>
        <v>0</v>
      </c>
      <c r="AA60" s="39">
        <f>IF(TRUE,0,_xll.PSFx2BAL(CN,"*","GLCode",$B60,"DAF_Award",AA$2,PF,PT))</f>
        <v>0</v>
      </c>
      <c r="AB60" s="39">
        <f>IF(TRUE,0,_xll.PSFx2BAL(CN,"*","GLCode",$B60,"DAF_Award",AB$2,PF,PT))</f>
        <v>0</v>
      </c>
      <c r="AC60" s="39">
        <f>IF(TRUE,0,_xll.PSFx2BAL(CN,"*","GLCode",$B60,"DAF_Award",AC$2,PF,PT))</f>
        <v>0</v>
      </c>
      <c r="AD60" s="39">
        <f>IF(TRUE,0,_xll.PSFx2BAL(CN,"*","GLCode",$B60,"DAF_Award",AD$2,PF,PT))</f>
        <v>0</v>
      </c>
      <c r="AE60" s="39">
        <f>IF(TRUE,0,_xll.PSFx2BAL(CN,"*","GLCode",$B60,"DAF_Award",AE$2,PF,PT))</f>
        <v>0</v>
      </c>
      <c r="AF60" s="39">
        <f>IF(TRUE,0,_xll.PSFx2BAL(CN,"*","GLCode",$B60,"DAF_Award",AF$2,PF,PT))</f>
        <v>0</v>
      </c>
      <c r="AG60" s="39">
        <f>IF(TRUE,0,_xll.PSFx2BAL(CN,"*","GLCode",$B60,"DAF_Award",AG$2,PF,PT))</f>
        <v>0</v>
      </c>
      <c r="AH60" s="39">
        <f>IF(TRUE,92.2,_xll.PSFx2BAL(CN,"*","GLCode",$B60,"DAF_Award",AH$2,PF,PT))</f>
        <v>92.2</v>
      </c>
      <c r="AI60" s="274">
        <f t="shared" si="41"/>
        <v>0</v>
      </c>
      <c r="AJ60" s="18">
        <f>VLOOKUP(B60,TB!$B$5:$E$140,4,FALSE)</f>
        <v>92.2</v>
      </c>
      <c r="AL60" s="39">
        <f t="shared" si="42"/>
        <v>92.2</v>
      </c>
      <c r="AM60" s="39">
        <f t="shared" si="43"/>
        <v>0</v>
      </c>
    </row>
    <row r="61" spans="1:39" x14ac:dyDescent="0.2">
      <c r="A61" s="1">
        <f t="shared" si="33"/>
        <v>7302</v>
      </c>
      <c r="B61" t="s">
        <v>128</v>
      </c>
      <c r="C61" t="s">
        <v>129</v>
      </c>
      <c r="D61" s="39">
        <f>IF(TRUE,0,_xll.PSFx2BAL(CN,"*","GLCode",$B61,"DAF_Award",D$2,PF,PT))</f>
        <v>0</v>
      </c>
      <c r="E61" s="39">
        <f>IF(TRUE,0,_xll.PSFx2BAL(CN,"*","GLCode",$B61,"DAF_Award",E$2,PF,PT))</f>
        <v>0</v>
      </c>
      <c r="F61" s="39">
        <f>IF(TRUE,0,_xll.PSFx2BAL(CN,"*","GLCode",$B61,"DAF_Award",F$2,PF,PT))</f>
        <v>0</v>
      </c>
      <c r="G61" s="39">
        <f>IF(TRUE,0,_xll.PSFx2BAL(CN,"*","GLCode",$B61,"DAF_Award",G$2,PF,PT))</f>
        <v>0</v>
      </c>
      <c r="H61" s="39">
        <f>IF(TRUE,0,_xll.PSFx2BAL(CN,"*","GLCode",$B61,"DAF_Award",H$2,PF,PT))</f>
        <v>0</v>
      </c>
      <c r="I61" s="39">
        <f>IF(TRUE,0,_xll.PSFx2BAL(CN,"*","GLCode",$B61,"DAF_Award",I$2,PF,PT))</f>
        <v>0</v>
      </c>
      <c r="J61" s="39">
        <f>IF(TRUE,0,_xll.PSFx2BAL(CN,"*","GLCode",$B61,"DAF_Award",J$2,PF,PT))</f>
        <v>0</v>
      </c>
      <c r="K61" s="39">
        <f>IF(TRUE,0,_xll.PSFx2BAL(CN,"*","GLCode",$B61,"DAF_Award",K$2,PF,PT))</f>
        <v>0</v>
      </c>
      <c r="L61" s="39">
        <f>IF(TRUE,0,_xll.PSFx2BAL(CN,"*","GLCode",$B61,"DAF_Award",L$2,PF,PT))</f>
        <v>0</v>
      </c>
      <c r="M61" s="39">
        <f>IF(TRUE,0,_xll.PSFx2BAL(CN,"*","GLCode",$B61,"DAF_Award",M$2,PF,PT))</f>
        <v>0</v>
      </c>
      <c r="N61" s="39">
        <f>IF(TRUE,0,_xll.PSFx2BAL(CN,"*","GLCode",$B61,"DAF_Award",N$2,PF,PT))</f>
        <v>0</v>
      </c>
      <c r="O61" s="39">
        <f>IF(TRUE,0,_xll.PSFx2BAL(CN,"*","GLCode",$B61,"DAF_Award",O$2,PF,PT))</f>
        <v>0</v>
      </c>
      <c r="P61" s="39">
        <f>IF(TRUE,0,_xll.PSFx2BAL(CN,"*","GLCode",$B61,"DAF_Award",P$2,PF,PT))</f>
        <v>0</v>
      </c>
      <c r="Q61" s="39">
        <f>IF(TRUE,0,_xll.PSFx2BAL(CN,"*","GLCode",$B61,"DAF_Award",Q$2,PF,PT))</f>
        <v>0</v>
      </c>
      <c r="R61" s="39">
        <f>IF(TRUE,0,_xll.PSFx2BAL(CN,"*","GLCode",$B61,"DAF_Award",R$2,PF,PT))</f>
        <v>0</v>
      </c>
      <c r="S61" s="39">
        <f>IF(TRUE,0,_xll.PSFx2BAL(CN,"*","GLCode",$B61,"DAF_Award",S$2,PF,PT))</f>
        <v>0</v>
      </c>
      <c r="T61" s="39">
        <f>IF(TRUE,0,_xll.PSFx2BAL(CN,"*","GLCode",$B61,"DAF_Award",T$2,PF,PT))</f>
        <v>0</v>
      </c>
      <c r="U61" s="39">
        <f>IF(TRUE,0,_xll.PSFx2BAL(CN,"*","GLCode",$B61,"DAF_Award",U$2,PF,PT))</f>
        <v>0</v>
      </c>
      <c r="V61" s="39">
        <f>IF(TRUE,0,_xll.PSFx2BAL(CN,"*","GLCode",$B61,"DAF_Award",V$2,PF,PT))</f>
        <v>0</v>
      </c>
      <c r="W61" s="39">
        <f>IF(TRUE,0,_xll.PSFx2BAL(CN,"*","GLCode",$B61,"DAF_Award",W$2,PF,PT))</f>
        <v>0</v>
      </c>
      <c r="X61" s="39">
        <f>IF(TRUE,0,_xll.PSFx2BAL(CN,"*","GLCode",$B61,"DAF_Award",X$2,PF,PT))</f>
        <v>0</v>
      </c>
      <c r="Y61" s="39">
        <f>IF(TRUE,0,_xll.PSFx2BAL(CN,"*","GLCode",$B61,"DAF_Award",Y$2,PF,PT))</f>
        <v>0</v>
      </c>
      <c r="Z61" s="39">
        <f>IF(TRUE,0,_xll.PSFx2BAL(CN,"*","GLCode",$B61,"DAF_Award",Z$2,PF,PT))</f>
        <v>0</v>
      </c>
      <c r="AA61" s="39">
        <f>IF(TRUE,0,_xll.PSFx2BAL(CN,"*","GLCode",$B61,"DAF_Award",AA$2,PF,PT))</f>
        <v>0</v>
      </c>
      <c r="AB61" s="39">
        <f>IF(TRUE,0,_xll.PSFx2BAL(CN,"*","GLCode",$B61,"DAF_Award",AB$2,PF,PT))</f>
        <v>0</v>
      </c>
      <c r="AC61" s="39">
        <f>IF(TRUE,0,_xll.PSFx2BAL(CN,"*","GLCode",$B61,"DAF_Award",AC$2,PF,PT))</f>
        <v>0</v>
      </c>
      <c r="AD61" s="39">
        <f>IF(TRUE,0,_xll.PSFx2BAL(CN,"*","GLCode",$B61,"DAF_Award",AD$2,PF,PT))</f>
        <v>0</v>
      </c>
      <c r="AE61" s="39">
        <f>IF(TRUE,0,_xll.PSFx2BAL(CN,"*","GLCode",$B61,"DAF_Award",AE$2,PF,PT))</f>
        <v>0</v>
      </c>
      <c r="AF61" s="39">
        <f>IF(TRUE,0,_xll.PSFx2BAL(CN,"*","GLCode",$B61,"DAF_Award",AF$2,PF,PT))</f>
        <v>0</v>
      </c>
      <c r="AG61" s="39">
        <f>IF(TRUE,0,_xll.PSFx2BAL(CN,"*","GLCode",$B61,"DAF_Award",AG$2,PF,PT))</f>
        <v>0</v>
      </c>
      <c r="AH61" s="39">
        <f>IF(TRUE,91.99,_xll.PSFx2BAL(CN,"*","GLCode",$B61,"DAF_Award",AH$2,PF,PT))</f>
        <v>91.99</v>
      </c>
      <c r="AI61" s="274">
        <f t="shared" si="41"/>
        <v>0</v>
      </c>
      <c r="AJ61" s="18">
        <f>VLOOKUP(B61,TB!$B$5:$E$140,4,FALSE)</f>
        <v>91.99</v>
      </c>
      <c r="AL61" s="39">
        <f t="shared" si="42"/>
        <v>91.99</v>
      </c>
      <c r="AM61" s="39">
        <f t="shared" si="43"/>
        <v>0</v>
      </c>
    </row>
    <row r="62" spans="1:39" hidden="1" x14ac:dyDescent="0.2">
      <c r="A62" s="1">
        <f t="shared" si="33"/>
        <v>7303</v>
      </c>
      <c r="B62" t="s">
        <v>130</v>
      </c>
      <c r="C62" t="s">
        <v>131</v>
      </c>
      <c r="D62" s="39">
        <f>IF(TRUE,0,_xll.PSFx2BAL(CN,"*","GLCode",$B62,"DAF_Award",D$2,PF,PT))</f>
        <v>0</v>
      </c>
      <c r="E62" s="39">
        <f>IF(TRUE,0,_xll.PSFx2BAL(CN,"*","GLCode",$B62,"DAF_Award",E$2,PF,PT))</f>
        <v>0</v>
      </c>
      <c r="F62" s="39">
        <f>IF(TRUE,0,_xll.PSFx2BAL(CN,"*","GLCode",$B62,"DAF_Award",F$2,PF,PT))</f>
        <v>0</v>
      </c>
      <c r="G62" s="39">
        <f>IF(TRUE,0,_xll.PSFx2BAL(CN,"*","GLCode",$B62,"DAF_Award",G$2,PF,PT))</f>
        <v>0</v>
      </c>
      <c r="H62" s="39">
        <f>IF(TRUE,0,_xll.PSFx2BAL(CN,"*","GLCode",$B62,"DAF_Award",H$2,PF,PT))</f>
        <v>0</v>
      </c>
      <c r="I62" s="39">
        <f>IF(TRUE,0,_xll.PSFx2BAL(CN,"*","GLCode",$B62,"DAF_Award",I$2,PF,PT))</f>
        <v>0</v>
      </c>
      <c r="J62" s="39">
        <f>IF(TRUE,0,_xll.PSFx2BAL(CN,"*","GLCode",$B62,"DAF_Award",J$2,PF,PT))</f>
        <v>0</v>
      </c>
      <c r="K62" s="39">
        <f>IF(TRUE,0,_xll.PSFx2BAL(CN,"*","GLCode",$B62,"DAF_Award",K$2,PF,PT))</f>
        <v>0</v>
      </c>
      <c r="L62" s="39">
        <f>IF(TRUE,0,_xll.PSFx2BAL(CN,"*","GLCode",$B62,"DAF_Award",L$2,PF,PT))</f>
        <v>0</v>
      </c>
      <c r="M62" s="39">
        <f>IF(TRUE,0,_xll.PSFx2BAL(CN,"*","GLCode",$B62,"DAF_Award",M$2,PF,PT))</f>
        <v>0</v>
      </c>
      <c r="N62" s="39">
        <f>IF(TRUE,0,_xll.PSFx2BAL(CN,"*","GLCode",$B62,"DAF_Award",N$2,PF,PT))</f>
        <v>0</v>
      </c>
      <c r="O62" s="39">
        <f>IF(TRUE,0,_xll.PSFx2BAL(CN,"*","GLCode",$B62,"DAF_Award",O$2,PF,PT))</f>
        <v>0</v>
      </c>
      <c r="P62" s="39">
        <f>IF(TRUE,0,_xll.PSFx2BAL(CN,"*","GLCode",$B62,"DAF_Award",P$2,PF,PT))</f>
        <v>0</v>
      </c>
      <c r="Q62" s="39">
        <f>IF(TRUE,0,_xll.PSFx2BAL(CN,"*","GLCode",$B62,"DAF_Award",Q$2,PF,PT))</f>
        <v>0</v>
      </c>
      <c r="R62" s="39">
        <f>IF(TRUE,0,_xll.PSFx2BAL(CN,"*","GLCode",$B62,"DAF_Award",R$2,PF,PT))</f>
        <v>0</v>
      </c>
      <c r="S62" s="39">
        <f>IF(TRUE,0,_xll.PSFx2BAL(CN,"*","GLCode",$B62,"DAF_Award",S$2,PF,PT))</f>
        <v>0</v>
      </c>
      <c r="T62" s="39">
        <f>IF(TRUE,0,_xll.PSFx2BAL(CN,"*","GLCode",$B62,"DAF_Award",T$2,PF,PT))</f>
        <v>0</v>
      </c>
      <c r="U62" s="39">
        <f>IF(TRUE,0,_xll.PSFx2BAL(CN,"*","GLCode",$B62,"DAF_Award",U$2,PF,PT))</f>
        <v>0</v>
      </c>
      <c r="V62" s="39">
        <f>IF(TRUE,0,_xll.PSFx2BAL(CN,"*","GLCode",$B62,"DAF_Award",V$2,PF,PT))</f>
        <v>0</v>
      </c>
      <c r="W62" s="39">
        <f>IF(TRUE,0,_xll.PSFx2BAL(CN,"*","GLCode",$B62,"DAF_Award",W$2,PF,PT))</f>
        <v>0</v>
      </c>
      <c r="X62" s="39">
        <f>IF(TRUE,0,_xll.PSFx2BAL(CN,"*","GLCode",$B62,"DAF_Award",X$2,PF,PT))</f>
        <v>0</v>
      </c>
      <c r="Y62" s="39">
        <f>IF(TRUE,0,_xll.PSFx2BAL(CN,"*","GLCode",$B62,"DAF_Award",Y$2,PF,PT))</f>
        <v>0</v>
      </c>
      <c r="Z62" s="39">
        <f>IF(TRUE,0,_xll.PSFx2BAL(CN,"*","GLCode",$B62,"DAF_Award",Z$2,PF,PT))</f>
        <v>0</v>
      </c>
      <c r="AA62" s="39">
        <f>IF(TRUE,0,_xll.PSFx2BAL(CN,"*","GLCode",$B62,"DAF_Award",AA$2,PF,PT))</f>
        <v>0</v>
      </c>
      <c r="AB62" s="39">
        <f>IF(TRUE,0,_xll.PSFx2BAL(CN,"*","GLCode",$B62,"DAF_Award",AB$2,PF,PT))</f>
        <v>0</v>
      </c>
      <c r="AC62" s="39">
        <f>IF(TRUE,0,_xll.PSFx2BAL(CN,"*","GLCode",$B62,"DAF_Award",AC$2,PF,PT))</f>
        <v>0</v>
      </c>
      <c r="AD62" s="39">
        <f>IF(TRUE,0,_xll.PSFx2BAL(CN,"*","GLCode",$B62,"DAF_Award",AD$2,PF,PT))</f>
        <v>0</v>
      </c>
      <c r="AE62" s="39">
        <f>IF(TRUE,0,_xll.PSFx2BAL(CN,"*","GLCode",$B62,"DAF_Award",AE$2,PF,PT))</f>
        <v>0</v>
      </c>
      <c r="AF62" s="39">
        <f>IF(TRUE,0,_xll.PSFx2BAL(CN,"*","GLCode",$B62,"DAF_Award",AF$2,PF,PT))</f>
        <v>0</v>
      </c>
      <c r="AG62" s="39">
        <f>IF(TRUE,0,_xll.PSFx2BAL(CN,"*","GLCode",$B62,"DAF_Award",AG$2,PF,PT))</f>
        <v>0</v>
      </c>
      <c r="AH62" s="39">
        <f>IF(TRUE,0,_xll.PSFx2BAL(CN,"*","GLCode",$B62,"DAF_Award",AH$2,PF,PT))</f>
        <v>0</v>
      </c>
      <c r="AI62" s="274">
        <f t="shared" si="41"/>
        <v>0</v>
      </c>
      <c r="AJ62" s="18">
        <f>VLOOKUP(B62,TB!$B$5:$E$140,4,FALSE)</f>
        <v>0</v>
      </c>
      <c r="AL62" s="39">
        <f t="shared" si="42"/>
        <v>0</v>
      </c>
      <c r="AM62" s="39">
        <f t="shared" si="43"/>
        <v>0</v>
      </c>
    </row>
    <row r="63" spans="1:39" hidden="1" x14ac:dyDescent="0.2">
      <c r="A63" s="1">
        <f t="shared" si="33"/>
        <v>7304</v>
      </c>
      <c r="B63" t="s">
        <v>132</v>
      </c>
      <c r="C63" t="s">
        <v>133</v>
      </c>
      <c r="D63" s="39">
        <f>IF(TRUE,0,_xll.PSFx2BAL(CN,"*","GLCode",$B63,"DAF_Award",D$2,PF,PT))</f>
        <v>0</v>
      </c>
      <c r="E63" s="39">
        <f>IF(TRUE,0,_xll.PSFx2BAL(CN,"*","GLCode",$B63,"DAF_Award",E$2,PF,PT))</f>
        <v>0</v>
      </c>
      <c r="F63" s="39">
        <f>IF(TRUE,0,_xll.PSFx2BAL(CN,"*","GLCode",$B63,"DAF_Award",F$2,PF,PT))</f>
        <v>0</v>
      </c>
      <c r="G63" s="39">
        <f>IF(TRUE,0,_xll.PSFx2BAL(CN,"*","GLCode",$B63,"DAF_Award",G$2,PF,PT))</f>
        <v>0</v>
      </c>
      <c r="H63" s="39">
        <f>IF(TRUE,0,_xll.PSFx2BAL(CN,"*","GLCode",$B63,"DAF_Award",H$2,PF,PT))</f>
        <v>0</v>
      </c>
      <c r="I63" s="39">
        <f>IF(TRUE,0,_xll.PSFx2BAL(CN,"*","GLCode",$B63,"DAF_Award",I$2,PF,PT))</f>
        <v>0</v>
      </c>
      <c r="J63" s="39">
        <f>IF(TRUE,0,_xll.PSFx2BAL(CN,"*","GLCode",$B63,"DAF_Award",J$2,PF,PT))</f>
        <v>0</v>
      </c>
      <c r="K63" s="39">
        <f>IF(TRUE,0,_xll.PSFx2BAL(CN,"*","GLCode",$B63,"DAF_Award",K$2,PF,PT))</f>
        <v>0</v>
      </c>
      <c r="L63" s="39">
        <f>IF(TRUE,0,_xll.PSFx2BAL(CN,"*","GLCode",$B63,"DAF_Award",L$2,PF,PT))</f>
        <v>0</v>
      </c>
      <c r="M63" s="39">
        <f>IF(TRUE,0,_xll.PSFx2BAL(CN,"*","GLCode",$B63,"DAF_Award",M$2,PF,PT))</f>
        <v>0</v>
      </c>
      <c r="N63" s="39">
        <f>IF(TRUE,0,_xll.PSFx2BAL(CN,"*","GLCode",$B63,"DAF_Award",N$2,PF,PT))</f>
        <v>0</v>
      </c>
      <c r="O63" s="39">
        <f>IF(TRUE,0,_xll.PSFx2BAL(CN,"*","GLCode",$B63,"DAF_Award",O$2,PF,PT))</f>
        <v>0</v>
      </c>
      <c r="P63" s="39">
        <f>IF(TRUE,0,_xll.PSFx2BAL(CN,"*","GLCode",$B63,"DAF_Award",P$2,PF,PT))</f>
        <v>0</v>
      </c>
      <c r="Q63" s="39">
        <f>IF(TRUE,0,_xll.PSFx2BAL(CN,"*","GLCode",$B63,"DAF_Award",Q$2,PF,PT))</f>
        <v>0</v>
      </c>
      <c r="R63" s="39">
        <f>IF(TRUE,0,_xll.PSFx2BAL(CN,"*","GLCode",$B63,"DAF_Award",R$2,PF,PT))</f>
        <v>0</v>
      </c>
      <c r="S63" s="39">
        <f>IF(TRUE,0,_xll.PSFx2BAL(CN,"*","GLCode",$B63,"DAF_Award",S$2,PF,PT))</f>
        <v>0</v>
      </c>
      <c r="T63" s="39">
        <f>IF(TRUE,0,_xll.PSFx2BAL(CN,"*","GLCode",$B63,"DAF_Award",T$2,PF,PT))</f>
        <v>0</v>
      </c>
      <c r="U63" s="39">
        <f>IF(TRUE,0,_xll.PSFx2BAL(CN,"*","GLCode",$B63,"DAF_Award",U$2,PF,PT))</f>
        <v>0</v>
      </c>
      <c r="V63" s="39">
        <f>IF(TRUE,0,_xll.PSFx2BAL(CN,"*","GLCode",$B63,"DAF_Award",V$2,PF,PT))</f>
        <v>0</v>
      </c>
      <c r="W63" s="39">
        <f>IF(TRUE,0,_xll.PSFx2BAL(CN,"*","GLCode",$B63,"DAF_Award",W$2,PF,PT))</f>
        <v>0</v>
      </c>
      <c r="X63" s="39">
        <f>IF(TRUE,0,_xll.PSFx2BAL(CN,"*","GLCode",$B63,"DAF_Award",X$2,PF,PT))</f>
        <v>0</v>
      </c>
      <c r="Y63" s="39">
        <f>IF(TRUE,0,_xll.PSFx2BAL(CN,"*","GLCode",$B63,"DAF_Award",Y$2,PF,PT))</f>
        <v>0</v>
      </c>
      <c r="Z63" s="39">
        <f>IF(TRUE,0,_xll.PSFx2BAL(CN,"*","GLCode",$B63,"DAF_Award",Z$2,PF,PT))</f>
        <v>0</v>
      </c>
      <c r="AA63" s="39">
        <f>IF(TRUE,0,_xll.PSFx2BAL(CN,"*","GLCode",$B63,"DAF_Award",AA$2,PF,PT))</f>
        <v>0</v>
      </c>
      <c r="AB63" s="39">
        <f>IF(TRUE,0,_xll.PSFx2BAL(CN,"*","GLCode",$B63,"DAF_Award",AB$2,PF,PT))</f>
        <v>0</v>
      </c>
      <c r="AC63" s="39">
        <f>IF(TRUE,0,_xll.PSFx2BAL(CN,"*","GLCode",$B63,"DAF_Award",AC$2,PF,PT))</f>
        <v>0</v>
      </c>
      <c r="AD63" s="39">
        <f>IF(TRUE,0,_xll.PSFx2BAL(CN,"*","GLCode",$B63,"DAF_Award",AD$2,PF,PT))</f>
        <v>0</v>
      </c>
      <c r="AE63" s="39">
        <f>IF(TRUE,0,_xll.PSFx2BAL(CN,"*","GLCode",$B63,"DAF_Award",AE$2,PF,PT))</f>
        <v>0</v>
      </c>
      <c r="AF63" s="39">
        <f>IF(TRUE,0,_xll.PSFx2BAL(CN,"*","GLCode",$B63,"DAF_Award",AF$2,PF,PT))</f>
        <v>0</v>
      </c>
      <c r="AG63" s="39">
        <f>IF(TRUE,0,_xll.PSFx2BAL(CN,"*","GLCode",$B63,"DAF_Award",AG$2,PF,PT))</f>
        <v>0</v>
      </c>
      <c r="AH63" s="39">
        <f>IF(TRUE,0,_xll.PSFx2BAL(CN,"*","GLCode",$B63,"DAF_Award",AH$2,PF,PT))</f>
        <v>0</v>
      </c>
      <c r="AI63" s="274">
        <f t="shared" si="41"/>
        <v>0</v>
      </c>
      <c r="AJ63" s="18">
        <f>VLOOKUP(B63,TB!$B$5:$E$140,4,FALSE)</f>
        <v>0</v>
      </c>
      <c r="AL63" s="39">
        <f t="shared" si="42"/>
        <v>0</v>
      </c>
      <c r="AM63" s="39">
        <f t="shared" si="43"/>
        <v>0</v>
      </c>
    </row>
    <row r="64" spans="1:39" hidden="1" x14ac:dyDescent="0.2">
      <c r="A64" s="1">
        <f t="shared" si="33"/>
        <v>7305</v>
      </c>
      <c r="B64" t="s">
        <v>134</v>
      </c>
      <c r="C64" t="s">
        <v>135</v>
      </c>
      <c r="D64" s="39">
        <f>IF(TRUE,0,_xll.PSFx2BAL(CN,"*","GLCode",$B64,"DAF_Award",D$2,PF,PT))</f>
        <v>0</v>
      </c>
      <c r="E64" s="39">
        <f>IF(TRUE,0,_xll.PSFx2BAL(CN,"*","GLCode",$B64,"DAF_Award",E$2,PF,PT))</f>
        <v>0</v>
      </c>
      <c r="F64" s="39">
        <f>IF(TRUE,0,_xll.PSFx2BAL(CN,"*","GLCode",$B64,"DAF_Award",F$2,PF,PT))</f>
        <v>0</v>
      </c>
      <c r="G64" s="39">
        <f>IF(TRUE,0,_xll.PSFx2BAL(CN,"*","GLCode",$B64,"DAF_Award",G$2,PF,PT))</f>
        <v>0</v>
      </c>
      <c r="H64" s="39">
        <f>IF(TRUE,0,_xll.PSFx2BAL(CN,"*","GLCode",$B64,"DAF_Award",H$2,PF,PT))</f>
        <v>0</v>
      </c>
      <c r="I64" s="39">
        <f>IF(TRUE,0,_xll.PSFx2BAL(CN,"*","GLCode",$B64,"DAF_Award",I$2,PF,PT))</f>
        <v>0</v>
      </c>
      <c r="J64" s="39">
        <f>IF(TRUE,0,_xll.PSFx2BAL(CN,"*","GLCode",$B64,"DAF_Award",J$2,PF,PT))</f>
        <v>0</v>
      </c>
      <c r="K64" s="39">
        <f>IF(TRUE,0,_xll.PSFx2BAL(CN,"*","GLCode",$B64,"DAF_Award",K$2,PF,PT))</f>
        <v>0</v>
      </c>
      <c r="L64" s="39">
        <f>IF(TRUE,0,_xll.PSFx2BAL(CN,"*","GLCode",$B64,"DAF_Award",L$2,PF,PT))</f>
        <v>0</v>
      </c>
      <c r="M64" s="39">
        <f>IF(TRUE,0,_xll.PSFx2BAL(CN,"*","GLCode",$B64,"DAF_Award",M$2,PF,PT))</f>
        <v>0</v>
      </c>
      <c r="N64" s="39">
        <f>IF(TRUE,0,_xll.PSFx2BAL(CN,"*","GLCode",$B64,"DAF_Award",N$2,PF,PT))</f>
        <v>0</v>
      </c>
      <c r="O64" s="39">
        <f>IF(TRUE,0,_xll.PSFx2BAL(CN,"*","GLCode",$B64,"DAF_Award",O$2,PF,PT))</f>
        <v>0</v>
      </c>
      <c r="P64" s="39">
        <f>IF(TRUE,0,_xll.PSFx2BAL(CN,"*","GLCode",$B64,"DAF_Award",P$2,PF,PT))</f>
        <v>0</v>
      </c>
      <c r="Q64" s="39">
        <f>IF(TRUE,0,_xll.PSFx2BAL(CN,"*","GLCode",$B64,"DAF_Award",Q$2,PF,PT))</f>
        <v>0</v>
      </c>
      <c r="R64" s="39">
        <f>IF(TRUE,0,_xll.PSFx2BAL(CN,"*","GLCode",$B64,"DAF_Award",R$2,PF,PT))</f>
        <v>0</v>
      </c>
      <c r="S64" s="39">
        <f>IF(TRUE,0,_xll.PSFx2BAL(CN,"*","GLCode",$B64,"DAF_Award",S$2,PF,PT))</f>
        <v>0</v>
      </c>
      <c r="T64" s="39">
        <f>IF(TRUE,0,_xll.PSFx2BAL(CN,"*","GLCode",$B64,"DAF_Award",T$2,PF,PT))</f>
        <v>0</v>
      </c>
      <c r="U64" s="39">
        <f>IF(TRUE,0,_xll.PSFx2BAL(CN,"*","GLCode",$B64,"DAF_Award",U$2,PF,PT))</f>
        <v>0</v>
      </c>
      <c r="V64" s="39">
        <f>IF(TRUE,0,_xll.PSFx2BAL(CN,"*","GLCode",$B64,"DAF_Award",V$2,PF,PT))</f>
        <v>0</v>
      </c>
      <c r="W64" s="39">
        <f>IF(TRUE,0,_xll.PSFx2BAL(CN,"*","GLCode",$B64,"DAF_Award",W$2,PF,PT))</f>
        <v>0</v>
      </c>
      <c r="X64" s="39">
        <f>IF(TRUE,0,_xll.PSFx2BAL(CN,"*","GLCode",$B64,"DAF_Award",X$2,PF,PT))</f>
        <v>0</v>
      </c>
      <c r="Y64" s="39">
        <f>IF(TRUE,0,_xll.PSFx2BAL(CN,"*","GLCode",$B64,"DAF_Award",Y$2,PF,PT))</f>
        <v>0</v>
      </c>
      <c r="Z64" s="39">
        <f>IF(TRUE,0,_xll.PSFx2BAL(CN,"*","GLCode",$B64,"DAF_Award",Z$2,PF,PT))</f>
        <v>0</v>
      </c>
      <c r="AA64" s="39">
        <f>IF(TRUE,0,_xll.PSFx2BAL(CN,"*","GLCode",$B64,"DAF_Award",AA$2,PF,PT))</f>
        <v>0</v>
      </c>
      <c r="AB64" s="39">
        <f>IF(TRUE,0,_xll.PSFx2BAL(CN,"*","GLCode",$B64,"DAF_Award",AB$2,PF,PT))</f>
        <v>0</v>
      </c>
      <c r="AC64" s="39">
        <f>IF(TRUE,0,_xll.PSFx2BAL(CN,"*","GLCode",$B64,"DAF_Award",AC$2,PF,PT))</f>
        <v>0</v>
      </c>
      <c r="AD64" s="39">
        <f>IF(TRUE,0,_xll.PSFx2BAL(CN,"*","GLCode",$B64,"DAF_Award",AD$2,PF,PT))</f>
        <v>0</v>
      </c>
      <c r="AE64" s="39">
        <f>IF(TRUE,0,_xll.PSFx2BAL(CN,"*","GLCode",$B64,"DAF_Award",AE$2,PF,PT))</f>
        <v>0</v>
      </c>
      <c r="AF64" s="39">
        <f>IF(TRUE,0,_xll.PSFx2BAL(CN,"*","GLCode",$B64,"DAF_Award",AF$2,PF,PT))</f>
        <v>0</v>
      </c>
      <c r="AG64" s="39">
        <f>IF(TRUE,0,_xll.PSFx2BAL(CN,"*","GLCode",$B64,"DAF_Award",AG$2,PF,PT))</f>
        <v>0</v>
      </c>
      <c r="AH64" s="39">
        <f>IF(TRUE,0,_xll.PSFx2BAL(CN,"*","GLCode",$B64,"DAF_Award",AH$2,PF,PT))</f>
        <v>0</v>
      </c>
      <c r="AI64" s="274">
        <f t="shared" si="41"/>
        <v>0</v>
      </c>
      <c r="AJ64" s="18">
        <f>VLOOKUP(B64,TB!$B$5:$E$140,4,FALSE)</f>
        <v>0</v>
      </c>
      <c r="AL64" s="39">
        <f t="shared" si="42"/>
        <v>0</v>
      </c>
      <c r="AM64" s="39">
        <f t="shared" si="43"/>
        <v>0</v>
      </c>
    </row>
    <row r="65" spans="1:39" x14ac:dyDescent="0.2">
      <c r="A65" s="1">
        <f t="shared" si="33"/>
        <v>7306</v>
      </c>
      <c r="B65" t="s">
        <v>136</v>
      </c>
      <c r="C65" t="s">
        <v>137</v>
      </c>
      <c r="D65" s="39">
        <f>IF(TRUE,0,_xll.PSFx2BAL(CN,"*","GLCode",$B65,"DAF_Award",D$2,PF,PT))</f>
        <v>0</v>
      </c>
      <c r="E65" s="39">
        <f>IF(TRUE,0,_xll.PSFx2BAL(CN,"*","GLCode",$B65,"DAF_Award",E$2,PF,PT))</f>
        <v>0</v>
      </c>
      <c r="F65" s="39">
        <f>IF(TRUE,0,_xll.PSFx2BAL(CN,"*","GLCode",$B65,"DAF_Award",F$2,PF,PT))</f>
        <v>0</v>
      </c>
      <c r="G65" s="39">
        <f>IF(TRUE,0,_xll.PSFx2BAL(CN,"*","GLCode",$B65,"DAF_Award",G$2,PF,PT))</f>
        <v>0</v>
      </c>
      <c r="H65" s="39">
        <f>IF(TRUE,0,_xll.PSFx2BAL(CN,"*","GLCode",$B65,"DAF_Award",H$2,PF,PT))</f>
        <v>0</v>
      </c>
      <c r="I65" s="39">
        <f>IF(TRUE,0,_xll.PSFx2BAL(CN,"*","GLCode",$B65,"DAF_Award",I$2,PF,PT))</f>
        <v>0</v>
      </c>
      <c r="J65" s="39">
        <f>IF(TRUE,0,_xll.PSFx2BAL(CN,"*","GLCode",$B65,"DAF_Award",J$2,PF,PT))</f>
        <v>0</v>
      </c>
      <c r="K65" s="39">
        <f>IF(TRUE,0,_xll.PSFx2BAL(CN,"*","GLCode",$B65,"DAF_Award",K$2,PF,PT))</f>
        <v>0</v>
      </c>
      <c r="L65" s="39">
        <f>IF(TRUE,0,_xll.PSFx2BAL(CN,"*","GLCode",$B65,"DAF_Award",L$2,PF,PT))</f>
        <v>0</v>
      </c>
      <c r="M65" s="39">
        <f>IF(TRUE,0,_xll.PSFx2BAL(CN,"*","GLCode",$B65,"DAF_Award",M$2,PF,PT))</f>
        <v>0</v>
      </c>
      <c r="N65" s="39">
        <f>IF(TRUE,0,_xll.PSFx2BAL(CN,"*","GLCode",$B65,"DAF_Award",N$2,PF,PT))</f>
        <v>0</v>
      </c>
      <c r="O65" s="39">
        <f>IF(TRUE,0,_xll.PSFx2BAL(CN,"*","GLCode",$B65,"DAF_Award",O$2,PF,PT))</f>
        <v>0</v>
      </c>
      <c r="P65" s="39">
        <f>IF(TRUE,0,_xll.PSFx2BAL(CN,"*","GLCode",$B65,"DAF_Award",P$2,PF,PT))</f>
        <v>0</v>
      </c>
      <c r="Q65" s="39">
        <f>IF(TRUE,0,_xll.PSFx2BAL(CN,"*","GLCode",$B65,"DAF_Award",Q$2,PF,PT))</f>
        <v>0</v>
      </c>
      <c r="R65" s="39">
        <f>IF(TRUE,0,_xll.PSFx2BAL(CN,"*","GLCode",$B65,"DAF_Award",R$2,PF,PT))</f>
        <v>0</v>
      </c>
      <c r="S65" s="39">
        <f>IF(TRUE,0,_xll.PSFx2BAL(CN,"*","GLCode",$B65,"DAF_Award",S$2,PF,PT))</f>
        <v>0</v>
      </c>
      <c r="T65" s="39">
        <f>IF(TRUE,0,_xll.PSFx2BAL(CN,"*","GLCode",$B65,"DAF_Award",T$2,PF,PT))</f>
        <v>0</v>
      </c>
      <c r="U65" s="39">
        <f>IF(TRUE,0,_xll.PSFx2BAL(CN,"*","GLCode",$B65,"DAF_Award",U$2,PF,PT))</f>
        <v>0</v>
      </c>
      <c r="V65" s="39">
        <f>IF(TRUE,0,_xll.PSFx2BAL(CN,"*","GLCode",$B65,"DAF_Award",V$2,PF,PT))</f>
        <v>0</v>
      </c>
      <c r="W65" s="39">
        <f>IF(TRUE,0,_xll.PSFx2BAL(CN,"*","GLCode",$B65,"DAF_Award",W$2,PF,PT))</f>
        <v>0</v>
      </c>
      <c r="X65" s="39">
        <f>IF(TRUE,0,_xll.PSFx2BAL(CN,"*","GLCode",$B65,"DAF_Award",X$2,PF,PT))</f>
        <v>0</v>
      </c>
      <c r="Y65" s="39">
        <f>IF(TRUE,0,_xll.PSFx2BAL(CN,"*","GLCode",$B65,"DAF_Award",Y$2,PF,PT))</f>
        <v>0</v>
      </c>
      <c r="Z65" s="39">
        <f>IF(TRUE,0,_xll.PSFx2BAL(CN,"*","GLCode",$B65,"DAF_Award",Z$2,PF,PT))</f>
        <v>0</v>
      </c>
      <c r="AA65" s="39">
        <f>IF(TRUE,0,_xll.PSFx2BAL(CN,"*","GLCode",$B65,"DAF_Award",AA$2,PF,PT))</f>
        <v>0</v>
      </c>
      <c r="AB65" s="39">
        <f>IF(TRUE,0,_xll.PSFx2BAL(CN,"*","GLCode",$B65,"DAF_Award",AB$2,PF,PT))</f>
        <v>0</v>
      </c>
      <c r="AC65" s="39">
        <f>IF(TRUE,0,_xll.PSFx2BAL(CN,"*","GLCode",$B65,"DAF_Award",AC$2,PF,PT))</f>
        <v>0</v>
      </c>
      <c r="AD65" s="39">
        <f>IF(TRUE,0,_xll.PSFx2BAL(CN,"*","GLCode",$B65,"DAF_Award",AD$2,PF,PT))</f>
        <v>0</v>
      </c>
      <c r="AE65" s="39">
        <f>IF(TRUE,0,_xll.PSFx2BAL(CN,"*","GLCode",$B65,"DAF_Award",AE$2,PF,PT))</f>
        <v>0</v>
      </c>
      <c r="AF65" s="39">
        <f>IF(TRUE,0,_xll.PSFx2BAL(CN,"*","GLCode",$B65,"DAF_Award",AF$2,PF,PT))</f>
        <v>0</v>
      </c>
      <c r="AG65" s="39">
        <f>IF(TRUE,0,_xll.PSFx2BAL(CN,"*","GLCode",$B65,"DAF_Award",AG$2,PF,PT))</f>
        <v>0</v>
      </c>
      <c r="AH65" s="39">
        <f>IF(TRUE,160,_xll.PSFx2BAL(CN,"*","GLCode",$B65,"DAF_Award",AH$2,PF,PT))</f>
        <v>160</v>
      </c>
      <c r="AI65" s="274">
        <f t="shared" si="41"/>
        <v>0</v>
      </c>
      <c r="AJ65" s="18">
        <f>VLOOKUP(B65,TB!$B$5:$E$140,4,FALSE)</f>
        <v>160</v>
      </c>
      <c r="AL65" s="39">
        <f t="shared" si="42"/>
        <v>160</v>
      </c>
      <c r="AM65" s="39">
        <f t="shared" si="43"/>
        <v>0</v>
      </c>
    </row>
    <row r="66" spans="1:39" x14ac:dyDescent="0.2">
      <c r="A66" s="1">
        <f t="shared" si="33"/>
        <v>7310</v>
      </c>
      <c r="B66" t="s">
        <v>138</v>
      </c>
      <c r="C66" t="s">
        <v>139</v>
      </c>
      <c r="D66" s="39">
        <f>IF(TRUE,-2759.34,_xll.PSFx2BAL(CN,"*","GLCode",$B66,"DAF_Award",D$2,PF,PT))</f>
        <v>-2759.34</v>
      </c>
      <c r="E66" s="39">
        <f>IF(TRUE,0,_xll.PSFx2BAL(CN,"*","GLCode",$B66,"DAF_Award",E$2,PF,PT))</f>
        <v>0</v>
      </c>
      <c r="F66" s="39">
        <f>IF(TRUE,0,_xll.PSFx2BAL(CN,"*","GLCode",$B66,"DAF_Award",F$2,PF,PT))</f>
        <v>0</v>
      </c>
      <c r="G66" s="39">
        <f>IF(TRUE,0,_xll.PSFx2BAL(CN,"*","GLCode",$B66,"DAF_Award",G$2,PF,PT))</f>
        <v>0</v>
      </c>
      <c r="H66" s="39">
        <f>IF(TRUE,0,_xll.PSFx2BAL(CN,"*","GLCode",$B66,"DAF_Award",H$2,PF,PT))</f>
        <v>0</v>
      </c>
      <c r="I66" s="39">
        <f>IF(TRUE,0,_xll.PSFx2BAL(CN,"*","GLCode",$B66,"DAF_Award",I$2,PF,PT))</f>
        <v>0</v>
      </c>
      <c r="J66" s="39">
        <f>IF(TRUE,0,_xll.PSFx2BAL(CN,"*","GLCode",$B66,"DAF_Award",J$2,PF,PT))</f>
        <v>0</v>
      </c>
      <c r="K66" s="39">
        <f>IF(TRUE,0,_xll.PSFx2BAL(CN,"*","GLCode",$B66,"DAF_Award",K$2,PF,PT))</f>
        <v>0</v>
      </c>
      <c r="L66" s="39">
        <f>IF(TRUE,0,_xll.PSFx2BAL(CN,"*","GLCode",$B66,"DAF_Award",L$2,PF,PT))</f>
        <v>0</v>
      </c>
      <c r="M66" s="39">
        <f>IF(TRUE,0,_xll.PSFx2BAL(CN,"*","GLCode",$B66,"DAF_Award",M$2,PF,PT))</f>
        <v>0</v>
      </c>
      <c r="N66" s="39">
        <f>IF(TRUE,0,_xll.PSFx2BAL(CN,"*","GLCode",$B66,"DAF_Award",N$2,PF,PT))</f>
        <v>0</v>
      </c>
      <c r="O66" s="39">
        <f>IF(TRUE,0,_xll.PSFx2BAL(CN,"*","GLCode",$B66,"DAF_Award",O$2,PF,PT))</f>
        <v>0</v>
      </c>
      <c r="P66" s="39">
        <f>IF(TRUE,0,_xll.PSFx2BAL(CN,"*","GLCode",$B66,"DAF_Award",P$2,PF,PT))</f>
        <v>0</v>
      </c>
      <c r="Q66" s="39">
        <f>IF(TRUE,0,_xll.PSFx2BAL(CN,"*","GLCode",$B66,"DAF_Award",Q$2,PF,PT))</f>
        <v>0</v>
      </c>
      <c r="R66" s="39">
        <f>IF(TRUE,0,_xll.PSFx2BAL(CN,"*","GLCode",$B66,"DAF_Award",R$2,PF,PT))</f>
        <v>0</v>
      </c>
      <c r="S66" s="39">
        <f>IF(TRUE,0,_xll.PSFx2BAL(CN,"*","GLCode",$B66,"DAF_Award",S$2,PF,PT))</f>
        <v>0</v>
      </c>
      <c r="T66" s="39">
        <f>IF(TRUE,0,_xll.PSFx2BAL(CN,"*","GLCode",$B66,"DAF_Award",T$2,PF,PT))</f>
        <v>0</v>
      </c>
      <c r="U66" s="39">
        <f>IF(TRUE,0,_xll.PSFx2BAL(CN,"*","GLCode",$B66,"DAF_Award",U$2,PF,PT))</f>
        <v>0</v>
      </c>
      <c r="V66" s="39">
        <f>IF(TRUE,0,_xll.PSFx2BAL(CN,"*","GLCode",$B66,"DAF_Award",V$2,PF,PT))</f>
        <v>0</v>
      </c>
      <c r="W66" s="39">
        <f>IF(TRUE,0,_xll.PSFx2BAL(CN,"*","GLCode",$B66,"DAF_Award",W$2,PF,PT))</f>
        <v>0</v>
      </c>
      <c r="X66" s="39">
        <f>IF(TRUE,0,_xll.PSFx2BAL(CN,"*","GLCode",$B66,"DAF_Award",X$2,PF,PT))</f>
        <v>0</v>
      </c>
      <c r="Y66" s="39">
        <f>IF(TRUE,0,_xll.PSFx2BAL(CN,"*","GLCode",$B66,"DAF_Award",Y$2,PF,PT))</f>
        <v>0</v>
      </c>
      <c r="Z66" s="39">
        <f>IF(TRUE,0,_xll.PSFx2BAL(CN,"*","GLCode",$B66,"DAF_Award",Z$2,PF,PT))</f>
        <v>0</v>
      </c>
      <c r="AA66" s="39">
        <f>IF(TRUE,0,_xll.PSFx2BAL(CN,"*","GLCode",$B66,"DAF_Award",AA$2,PF,PT))</f>
        <v>0</v>
      </c>
      <c r="AB66" s="39">
        <f>IF(TRUE,0,_xll.PSFx2BAL(CN,"*","GLCode",$B66,"DAF_Award",AB$2,PF,PT))</f>
        <v>0</v>
      </c>
      <c r="AC66" s="39">
        <f>IF(TRUE,0,_xll.PSFx2BAL(CN,"*","GLCode",$B66,"DAF_Award",AC$2,PF,PT))</f>
        <v>0</v>
      </c>
      <c r="AD66" s="39">
        <f>IF(TRUE,0,_xll.PSFx2BAL(CN,"*","GLCode",$B66,"DAF_Award",AD$2,PF,PT))</f>
        <v>0</v>
      </c>
      <c r="AE66" s="39">
        <f>IF(TRUE,0,_xll.PSFx2BAL(CN,"*","GLCode",$B66,"DAF_Award",AE$2,PF,PT))</f>
        <v>0</v>
      </c>
      <c r="AF66" s="39">
        <f>IF(TRUE,0,_xll.PSFx2BAL(CN,"*","GLCode",$B66,"DAF_Award",AF$2,PF,PT))</f>
        <v>0</v>
      </c>
      <c r="AG66" s="39">
        <f>IF(TRUE,0,_xll.PSFx2BAL(CN,"*","GLCode",$B66,"DAF_Award",AG$2,PF,PT))</f>
        <v>0</v>
      </c>
      <c r="AH66" s="39">
        <f>IF(TRUE,0,_xll.PSFx2BAL(CN,"*","GLCode",$B66,"DAF_Award",AH$2,PF,PT))</f>
        <v>0</v>
      </c>
      <c r="AI66" s="274">
        <f t="shared" si="41"/>
        <v>0</v>
      </c>
      <c r="AJ66" s="18">
        <f>VLOOKUP(B66,TB!$B$5:$E$140,4,FALSE)</f>
        <v>-2759.34</v>
      </c>
      <c r="AL66" s="39">
        <f t="shared" si="42"/>
        <v>0</v>
      </c>
      <c r="AM66" s="39">
        <f t="shared" si="43"/>
        <v>-2759.34</v>
      </c>
    </row>
    <row r="67" spans="1:39" hidden="1" x14ac:dyDescent="0.2">
      <c r="A67" s="1">
        <f t="shared" si="33"/>
        <v>7311</v>
      </c>
      <c r="B67" t="s">
        <v>140</v>
      </c>
      <c r="C67" t="s">
        <v>141</v>
      </c>
      <c r="D67" s="39">
        <f>IF(TRUE,0,_xll.PSFx2BAL(CN,"*","GLCode",$B67,"DAF_Award",D$2,PF,PT))</f>
        <v>0</v>
      </c>
      <c r="E67" s="39">
        <f>IF(TRUE,0,_xll.PSFx2BAL(CN,"*","GLCode",$B67,"DAF_Award",E$2,PF,PT))</f>
        <v>0</v>
      </c>
      <c r="F67" s="39">
        <f>IF(TRUE,0,_xll.PSFx2BAL(CN,"*","GLCode",$B67,"DAF_Award",F$2,PF,PT))</f>
        <v>0</v>
      </c>
      <c r="G67" s="39">
        <f>IF(TRUE,0,_xll.PSFx2BAL(CN,"*","GLCode",$B67,"DAF_Award",G$2,PF,PT))</f>
        <v>0</v>
      </c>
      <c r="H67" s="39">
        <f>IF(TRUE,0,_xll.PSFx2BAL(CN,"*","GLCode",$B67,"DAF_Award",H$2,PF,PT))</f>
        <v>0</v>
      </c>
      <c r="I67" s="39">
        <f>IF(TRUE,0,_xll.PSFx2BAL(CN,"*","GLCode",$B67,"DAF_Award",I$2,PF,PT))</f>
        <v>0</v>
      </c>
      <c r="J67" s="39">
        <f>IF(TRUE,0,_xll.PSFx2BAL(CN,"*","GLCode",$B67,"DAF_Award",J$2,PF,PT))</f>
        <v>0</v>
      </c>
      <c r="K67" s="39">
        <f>IF(TRUE,0,_xll.PSFx2BAL(CN,"*","GLCode",$B67,"DAF_Award",K$2,PF,PT))</f>
        <v>0</v>
      </c>
      <c r="L67" s="39">
        <f>IF(TRUE,0,_xll.PSFx2BAL(CN,"*","GLCode",$B67,"DAF_Award",L$2,PF,PT))</f>
        <v>0</v>
      </c>
      <c r="M67" s="39">
        <f>IF(TRUE,0,_xll.PSFx2BAL(CN,"*","GLCode",$B67,"DAF_Award",M$2,PF,PT))</f>
        <v>0</v>
      </c>
      <c r="N67" s="39">
        <f>IF(TRUE,0,_xll.PSFx2BAL(CN,"*","GLCode",$B67,"DAF_Award",N$2,PF,PT))</f>
        <v>0</v>
      </c>
      <c r="O67" s="39">
        <f>IF(TRUE,0,_xll.PSFx2BAL(CN,"*","GLCode",$B67,"DAF_Award",O$2,PF,PT))</f>
        <v>0</v>
      </c>
      <c r="P67" s="39">
        <f>IF(TRUE,0,_xll.PSFx2BAL(CN,"*","GLCode",$B67,"DAF_Award",P$2,PF,PT))</f>
        <v>0</v>
      </c>
      <c r="Q67" s="39">
        <f>IF(TRUE,0,_xll.PSFx2BAL(CN,"*","GLCode",$B67,"DAF_Award",Q$2,PF,PT))</f>
        <v>0</v>
      </c>
      <c r="R67" s="39">
        <f>IF(TRUE,0,_xll.PSFx2BAL(CN,"*","GLCode",$B67,"DAF_Award",R$2,PF,PT))</f>
        <v>0</v>
      </c>
      <c r="S67" s="39">
        <f>IF(TRUE,0,_xll.PSFx2BAL(CN,"*","GLCode",$B67,"DAF_Award",S$2,PF,PT))</f>
        <v>0</v>
      </c>
      <c r="T67" s="39">
        <f>IF(TRUE,0,_xll.PSFx2BAL(CN,"*","GLCode",$B67,"DAF_Award",T$2,PF,PT))</f>
        <v>0</v>
      </c>
      <c r="U67" s="39">
        <f>IF(TRUE,0,_xll.PSFx2BAL(CN,"*","GLCode",$B67,"DAF_Award",U$2,PF,PT))</f>
        <v>0</v>
      </c>
      <c r="V67" s="39">
        <f>IF(TRUE,0,_xll.PSFx2BAL(CN,"*","GLCode",$B67,"DAF_Award",V$2,PF,PT))</f>
        <v>0</v>
      </c>
      <c r="W67" s="39">
        <f>IF(TRUE,0,_xll.PSFx2BAL(CN,"*","GLCode",$B67,"DAF_Award",W$2,PF,PT))</f>
        <v>0</v>
      </c>
      <c r="X67" s="39">
        <f>IF(TRUE,0,_xll.PSFx2BAL(CN,"*","GLCode",$B67,"DAF_Award",X$2,PF,PT))</f>
        <v>0</v>
      </c>
      <c r="Y67" s="39">
        <f>IF(TRUE,0,_xll.PSFx2BAL(CN,"*","GLCode",$B67,"DAF_Award",Y$2,PF,PT))</f>
        <v>0</v>
      </c>
      <c r="Z67" s="39">
        <f>IF(TRUE,0,_xll.PSFx2BAL(CN,"*","GLCode",$B67,"DAF_Award",Z$2,PF,PT))</f>
        <v>0</v>
      </c>
      <c r="AA67" s="39">
        <f>IF(TRUE,0,_xll.PSFx2BAL(CN,"*","GLCode",$B67,"DAF_Award",AA$2,PF,PT))</f>
        <v>0</v>
      </c>
      <c r="AB67" s="39">
        <f>IF(TRUE,0,_xll.PSFx2BAL(CN,"*","GLCode",$B67,"DAF_Award",AB$2,PF,PT))</f>
        <v>0</v>
      </c>
      <c r="AC67" s="39">
        <f>IF(TRUE,0,_xll.PSFx2BAL(CN,"*","GLCode",$B67,"DAF_Award",AC$2,PF,PT))</f>
        <v>0</v>
      </c>
      <c r="AD67" s="39">
        <f>IF(TRUE,0,_xll.PSFx2BAL(CN,"*","GLCode",$B67,"DAF_Award",AD$2,PF,PT))</f>
        <v>0</v>
      </c>
      <c r="AE67" s="39">
        <f>IF(TRUE,0,_xll.PSFx2BAL(CN,"*","GLCode",$B67,"DAF_Award",AE$2,PF,PT))</f>
        <v>0</v>
      </c>
      <c r="AF67" s="39">
        <f>IF(TRUE,0,_xll.PSFx2BAL(CN,"*","GLCode",$B67,"DAF_Award",AF$2,PF,PT))</f>
        <v>0</v>
      </c>
      <c r="AG67" s="39">
        <f>IF(TRUE,0,_xll.PSFx2BAL(CN,"*","GLCode",$B67,"DAF_Award",AG$2,PF,PT))</f>
        <v>0</v>
      </c>
      <c r="AH67" s="39">
        <f>IF(TRUE,0,_xll.PSFx2BAL(CN,"*","GLCode",$B67,"DAF_Award",AH$2,PF,PT))</f>
        <v>0</v>
      </c>
      <c r="AI67" s="274">
        <f t="shared" si="41"/>
        <v>0</v>
      </c>
      <c r="AJ67" s="18">
        <f>VLOOKUP(B67,TB!$B$5:$E$140,4,FALSE)</f>
        <v>0</v>
      </c>
      <c r="AL67" s="39">
        <f t="shared" si="42"/>
        <v>0</v>
      </c>
      <c r="AM67" s="39">
        <f t="shared" si="43"/>
        <v>0</v>
      </c>
    </row>
    <row r="68" spans="1:39" x14ac:dyDescent="0.2">
      <c r="A68" s="1">
        <f t="shared" si="33"/>
        <v>7320</v>
      </c>
      <c r="B68" t="s">
        <v>142</v>
      </c>
      <c r="C68" t="s">
        <v>143</v>
      </c>
      <c r="D68" s="39">
        <f>IF(TRUE,0,_xll.PSFx2BAL(CN,"*","GLCode",$B68,"DAF_Award",D$2,PF,PT))</f>
        <v>0</v>
      </c>
      <c r="E68" s="39">
        <f>IF(TRUE,0,_xll.PSFx2BAL(CN,"*","GLCode",$B68,"DAF_Award",E$2,PF,PT))</f>
        <v>0</v>
      </c>
      <c r="F68" s="39">
        <f>IF(TRUE,0,_xll.PSFx2BAL(CN,"*","GLCode",$B68,"DAF_Award",F$2,PF,PT))</f>
        <v>0</v>
      </c>
      <c r="G68" s="39">
        <f>IF(TRUE,0,_xll.PSFx2BAL(CN,"*","GLCode",$B68,"DAF_Award",G$2,PF,PT))</f>
        <v>0</v>
      </c>
      <c r="H68" s="39">
        <f>IF(TRUE,0,_xll.PSFx2BAL(CN,"*","GLCode",$B68,"DAF_Award",H$2,PF,PT))</f>
        <v>0</v>
      </c>
      <c r="I68" s="39">
        <f>IF(TRUE,0,_xll.PSFx2BAL(CN,"*","GLCode",$B68,"DAF_Award",I$2,PF,PT))</f>
        <v>0</v>
      </c>
      <c r="J68" s="39">
        <f>IF(TRUE,0,_xll.PSFx2BAL(CN,"*","GLCode",$B68,"DAF_Award",J$2,PF,PT))</f>
        <v>0</v>
      </c>
      <c r="K68" s="39">
        <f>IF(TRUE,0,_xll.PSFx2BAL(CN,"*","GLCode",$B68,"DAF_Award",K$2,PF,PT))</f>
        <v>0</v>
      </c>
      <c r="L68" s="39">
        <f>IF(TRUE,0,_xll.PSFx2BAL(CN,"*","GLCode",$B68,"DAF_Award",L$2,PF,PT))</f>
        <v>0</v>
      </c>
      <c r="M68" s="39">
        <f>IF(TRUE,0,_xll.PSFx2BAL(CN,"*","GLCode",$B68,"DAF_Award",M$2,PF,PT))</f>
        <v>0</v>
      </c>
      <c r="N68" s="39">
        <f>IF(TRUE,0,_xll.PSFx2BAL(CN,"*","GLCode",$B68,"DAF_Award",N$2,PF,PT))</f>
        <v>0</v>
      </c>
      <c r="O68" s="39">
        <f>IF(TRUE,0,_xll.PSFx2BAL(CN,"*","GLCode",$B68,"DAF_Award",O$2,PF,PT))</f>
        <v>0</v>
      </c>
      <c r="P68" s="39">
        <f>IF(TRUE,0,_xll.PSFx2BAL(CN,"*","GLCode",$B68,"DAF_Award",P$2,PF,PT))</f>
        <v>0</v>
      </c>
      <c r="Q68" s="39">
        <f>IF(TRUE,0,_xll.PSFx2BAL(CN,"*","GLCode",$B68,"DAF_Award",Q$2,PF,PT))</f>
        <v>0</v>
      </c>
      <c r="R68" s="39">
        <f>IF(TRUE,0,_xll.PSFx2BAL(CN,"*","GLCode",$B68,"DAF_Award",R$2,PF,PT))</f>
        <v>0</v>
      </c>
      <c r="S68" s="39">
        <f>IF(TRUE,0,_xll.PSFx2BAL(CN,"*","GLCode",$B68,"DAF_Award",S$2,PF,PT))</f>
        <v>0</v>
      </c>
      <c r="T68" s="39">
        <f>IF(TRUE,0,_xll.PSFx2BAL(CN,"*","GLCode",$B68,"DAF_Award",T$2,PF,PT))</f>
        <v>0</v>
      </c>
      <c r="U68" s="39">
        <f>IF(TRUE,0,_xll.PSFx2BAL(CN,"*","GLCode",$B68,"DAF_Award",U$2,PF,PT))</f>
        <v>0</v>
      </c>
      <c r="V68" s="39">
        <f>IF(TRUE,0,_xll.PSFx2BAL(CN,"*","GLCode",$B68,"DAF_Award",V$2,PF,PT))</f>
        <v>0</v>
      </c>
      <c r="W68" s="39">
        <f>IF(TRUE,0,_xll.PSFx2BAL(CN,"*","GLCode",$B68,"DAF_Award",W$2,PF,PT))</f>
        <v>0</v>
      </c>
      <c r="X68" s="39">
        <f>IF(TRUE,0,_xll.PSFx2BAL(CN,"*","GLCode",$B68,"DAF_Award",X$2,PF,PT))</f>
        <v>0</v>
      </c>
      <c r="Y68" s="39">
        <f>IF(TRUE,0,_xll.PSFx2BAL(CN,"*","GLCode",$B68,"DAF_Award",Y$2,PF,PT))</f>
        <v>0</v>
      </c>
      <c r="Z68" s="39">
        <f>IF(TRUE,0,_xll.PSFx2BAL(CN,"*","GLCode",$B68,"DAF_Award",Z$2,PF,PT))</f>
        <v>0</v>
      </c>
      <c r="AA68" s="39">
        <f>IF(TRUE,0,_xll.PSFx2BAL(CN,"*","GLCode",$B68,"DAF_Award",AA$2,PF,PT))</f>
        <v>0</v>
      </c>
      <c r="AB68" s="39">
        <f>IF(TRUE,0,_xll.PSFx2BAL(CN,"*","GLCode",$B68,"DAF_Award",AB$2,PF,PT))</f>
        <v>0</v>
      </c>
      <c r="AC68" s="39">
        <f>IF(TRUE,0,_xll.PSFx2BAL(CN,"*","GLCode",$B68,"DAF_Award",AC$2,PF,PT))</f>
        <v>0</v>
      </c>
      <c r="AD68" s="39">
        <f>IF(TRUE,0,_xll.PSFx2BAL(CN,"*","GLCode",$B68,"DAF_Award",AD$2,PF,PT))</f>
        <v>0</v>
      </c>
      <c r="AE68" s="39">
        <f>IF(TRUE,0,_xll.PSFx2BAL(CN,"*","GLCode",$B68,"DAF_Award",AE$2,PF,PT))</f>
        <v>0</v>
      </c>
      <c r="AF68" s="39">
        <f>IF(TRUE,0,_xll.PSFx2BAL(CN,"*","GLCode",$B68,"DAF_Award",AF$2,PF,PT))</f>
        <v>0</v>
      </c>
      <c r="AG68" s="39">
        <f>IF(TRUE,0,_xll.PSFx2BAL(CN,"*","GLCode",$B68,"DAF_Award",AG$2,PF,PT))</f>
        <v>0</v>
      </c>
      <c r="AH68" s="39">
        <f>IF(TRUE,1.69,_xll.PSFx2BAL(CN,"*","GLCode",$B68,"DAF_Award",AH$2,PF,PT))</f>
        <v>1.69</v>
      </c>
      <c r="AI68" s="274">
        <f t="shared" si="41"/>
        <v>0</v>
      </c>
      <c r="AJ68" s="18">
        <f>VLOOKUP(B68,TB!$B$5:$E$140,4,FALSE)</f>
        <v>1.69</v>
      </c>
      <c r="AL68" s="39">
        <f t="shared" si="42"/>
        <v>1.69</v>
      </c>
      <c r="AM68" s="39">
        <f t="shared" si="43"/>
        <v>0</v>
      </c>
    </row>
    <row r="69" spans="1:39" hidden="1" x14ac:dyDescent="0.2">
      <c r="A69" s="1">
        <f t="shared" si="33"/>
        <v>7321</v>
      </c>
      <c r="B69" t="s">
        <v>144</v>
      </c>
      <c r="C69" t="s">
        <v>145</v>
      </c>
      <c r="D69" s="39">
        <f>IF(TRUE,0,_xll.PSFx2BAL(CN,"*","GLCode",$B69,"DAF_Award",D$2,PF,PT))</f>
        <v>0</v>
      </c>
      <c r="E69" s="39">
        <f>IF(TRUE,0,_xll.PSFx2BAL(CN,"*","GLCode",$B69,"DAF_Award",E$2,PF,PT))</f>
        <v>0</v>
      </c>
      <c r="F69" s="39">
        <f>IF(TRUE,0,_xll.PSFx2BAL(CN,"*","GLCode",$B69,"DAF_Award",F$2,PF,PT))</f>
        <v>0</v>
      </c>
      <c r="G69" s="39">
        <f>IF(TRUE,0,_xll.PSFx2BAL(CN,"*","GLCode",$B69,"DAF_Award",G$2,PF,PT))</f>
        <v>0</v>
      </c>
      <c r="H69" s="39">
        <f>IF(TRUE,0,_xll.PSFx2BAL(CN,"*","GLCode",$B69,"DAF_Award",H$2,PF,PT))</f>
        <v>0</v>
      </c>
      <c r="I69" s="39">
        <f>IF(TRUE,0,_xll.PSFx2BAL(CN,"*","GLCode",$B69,"DAF_Award",I$2,PF,PT))</f>
        <v>0</v>
      </c>
      <c r="J69" s="39">
        <f>IF(TRUE,0,_xll.PSFx2BAL(CN,"*","GLCode",$B69,"DAF_Award",J$2,PF,PT))</f>
        <v>0</v>
      </c>
      <c r="K69" s="39">
        <f>IF(TRUE,0,_xll.PSFx2BAL(CN,"*","GLCode",$B69,"DAF_Award",K$2,PF,PT))</f>
        <v>0</v>
      </c>
      <c r="L69" s="39">
        <f>IF(TRUE,0,_xll.PSFx2BAL(CN,"*","GLCode",$B69,"DAF_Award",L$2,PF,PT))</f>
        <v>0</v>
      </c>
      <c r="M69" s="39">
        <f>IF(TRUE,0,_xll.PSFx2BAL(CN,"*","GLCode",$B69,"DAF_Award",M$2,PF,PT))</f>
        <v>0</v>
      </c>
      <c r="N69" s="39">
        <f>IF(TRUE,0,_xll.PSFx2BAL(CN,"*","GLCode",$B69,"DAF_Award",N$2,PF,PT))</f>
        <v>0</v>
      </c>
      <c r="O69" s="39">
        <f>IF(TRUE,0,_xll.PSFx2BAL(CN,"*","GLCode",$B69,"DAF_Award",O$2,PF,PT))</f>
        <v>0</v>
      </c>
      <c r="P69" s="39">
        <f>IF(TRUE,0,_xll.PSFx2BAL(CN,"*","GLCode",$B69,"DAF_Award",P$2,PF,PT))</f>
        <v>0</v>
      </c>
      <c r="Q69" s="39">
        <f>IF(TRUE,0,_xll.PSFx2BAL(CN,"*","GLCode",$B69,"DAF_Award",Q$2,PF,PT))</f>
        <v>0</v>
      </c>
      <c r="R69" s="39">
        <f>IF(TRUE,0,_xll.PSFx2BAL(CN,"*","GLCode",$B69,"DAF_Award",R$2,PF,PT))</f>
        <v>0</v>
      </c>
      <c r="S69" s="39">
        <f>IF(TRUE,0,_xll.PSFx2BAL(CN,"*","GLCode",$B69,"DAF_Award",S$2,PF,PT))</f>
        <v>0</v>
      </c>
      <c r="T69" s="39">
        <f>IF(TRUE,0,_xll.PSFx2BAL(CN,"*","GLCode",$B69,"DAF_Award",T$2,PF,PT))</f>
        <v>0</v>
      </c>
      <c r="U69" s="39">
        <f>IF(TRUE,0,_xll.PSFx2BAL(CN,"*","GLCode",$B69,"DAF_Award",U$2,PF,PT))</f>
        <v>0</v>
      </c>
      <c r="V69" s="39">
        <f>IF(TRUE,0,_xll.PSFx2BAL(CN,"*","GLCode",$B69,"DAF_Award",V$2,PF,PT))</f>
        <v>0</v>
      </c>
      <c r="W69" s="39">
        <f>IF(TRUE,0,_xll.PSFx2BAL(CN,"*","GLCode",$B69,"DAF_Award",W$2,PF,PT))</f>
        <v>0</v>
      </c>
      <c r="X69" s="39">
        <f>IF(TRUE,0,_xll.PSFx2BAL(CN,"*","GLCode",$B69,"DAF_Award",X$2,PF,PT))</f>
        <v>0</v>
      </c>
      <c r="Y69" s="39">
        <f>IF(TRUE,0,_xll.PSFx2BAL(CN,"*","GLCode",$B69,"DAF_Award",Y$2,PF,PT))</f>
        <v>0</v>
      </c>
      <c r="Z69" s="39">
        <f>IF(TRUE,0,_xll.PSFx2BAL(CN,"*","GLCode",$B69,"DAF_Award",Z$2,PF,PT))</f>
        <v>0</v>
      </c>
      <c r="AA69" s="39">
        <f>IF(TRUE,0,_xll.PSFx2BAL(CN,"*","GLCode",$B69,"DAF_Award",AA$2,PF,PT))</f>
        <v>0</v>
      </c>
      <c r="AB69" s="39">
        <f>IF(TRUE,0,_xll.PSFx2BAL(CN,"*","GLCode",$B69,"DAF_Award",AB$2,PF,PT))</f>
        <v>0</v>
      </c>
      <c r="AC69" s="39">
        <f>IF(TRUE,0,_xll.PSFx2BAL(CN,"*","GLCode",$B69,"DAF_Award",AC$2,PF,PT))</f>
        <v>0</v>
      </c>
      <c r="AD69" s="39">
        <f>IF(TRUE,0,_xll.PSFx2BAL(CN,"*","GLCode",$B69,"DAF_Award",AD$2,PF,PT))</f>
        <v>0</v>
      </c>
      <c r="AE69" s="39">
        <f>IF(TRUE,0,_xll.PSFx2BAL(CN,"*","GLCode",$B69,"DAF_Award",AE$2,PF,PT))</f>
        <v>0</v>
      </c>
      <c r="AF69" s="39">
        <f>IF(TRUE,0,_xll.PSFx2BAL(CN,"*","GLCode",$B69,"DAF_Award",AF$2,PF,PT))</f>
        <v>0</v>
      </c>
      <c r="AG69" s="39">
        <f>IF(TRUE,0,_xll.PSFx2BAL(CN,"*","GLCode",$B69,"DAF_Award",AG$2,PF,PT))</f>
        <v>0</v>
      </c>
      <c r="AH69" s="39">
        <f>IF(TRUE,0,_xll.PSFx2BAL(CN,"*","GLCode",$B69,"DAF_Award",AH$2,PF,PT))</f>
        <v>0</v>
      </c>
      <c r="AI69" s="274">
        <f t="shared" si="41"/>
        <v>0</v>
      </c>
      <c r="AJ69" s="18">
        <f>VLOOKUP(B69,TB!$B$5:$E$140,4,FALSE)</f>
        <v>0</v>
      </c>
      <c r="AL69" s="39">
        <f t="shared" si="42"/>
        <v>0</v>
      </c>
      <c r="AM69" s="39">
        <f t="shared" si="43"/>
        <v>0</v>
      </c>
    </row>
    <row r="70" spans="1:39" hidden="1" x14ac:dyDescent="0.2">
      <c r="A70" s="1">
        <f t="shared" si="33"/>
        <v>7322</v>
      </c>
      <c r="B70" t="s">
        <v>146</v>
      </c>
      <c r="C70" t="s">
        <v>147</v>
      </c>
      <c r="D70" s="39">
        <f>IF(TRUE,0,_xll.PSFx2BAL(CN,"*","GLCode",$B70,"DAF_Award",D$2,PF,PT))</f>
        <v>0</v>
      </c>
      <c r="E70" s="39">
        <f>IF(TRUE,0,_xll.PSFx2BAL(CN,"*","GLCode",$B70,"DAF_Award",E$2,PF,PT))</f>
        <v>0</v>
      </c>
      <c r="F70" s="39">
        <f>IF(TRUE,0,_xll.PSFx2BAL(CN,"*","GLCode",$B70,"DAF_Award",F$2,PF,PT))</f>
        <v>0</v>
      </c>
      <c r="G70" s="39">
        <f>IF(TRUE,0,_xll.PSFx2BAL(CN,"*","GLCode",$B70,"DAF_Award",G$2,PF,PT))</f>
        <v>0</v>
      </c>
      <c r="H70" s="39">
        <f>IF(TRUE,0,_xll.PSFx2BAL(CN,"*","GLCode",$B70,"DAF_Award",H$2,PF,PT))</f>
        <v>0</v>
      </c>
      <c r="I70" s="39">
        <f>IF(TRUE,0,_xll.PSFx2BAL(CN,"*","GLCode",$B70,"DAF_Award",I$2,PF,PT))</f>
        <v>0</v>
      </c>
      <c r="J70" s="39">
        <f>IF(TRUE,0,_xll.PSFx2BAL(CN,"*","GLCode",$B70,"DAF_Award",J$2,PF,PT))</f>
        <v>0</v>
      </c>
      <c r="K70" s="39">
        <f>IF(TRUE,0,_xll.PSFx2BAL(CN,"*","GLCode",$B70,"DAF_Award",K$2,PF,PT))</f>
        <v>0</v>
      </c>
      <c r="L70" s="39">
        <f>IF(TRUE,0,_xll.PSFx2BAL(CN,"*","GLCode",$B70,"DAF_Award",L$2,PF,PT))</f>
        <v>0</v>
      </c>
      <c r="M70" s="39">
        <f>IF(TRUE,0,_xll.PSFx2BAL(CN,"*","GLCode",$B70,"DAF_Award",M$2,PF,PT))</f>
        <v>0</v>
      </c>
      <c r="N70" s="39">
        <f>IF(TRUE,0,_xll.PSFx2BAL(CN,"*","GLCode",$B70,"DAF_Award",N$2,PF,PT))</f>
        <v>0</v>
      </c>
      <c r="O70" s="39">
        <f>IF(TRUE,0,_xll.PSFx2BAL(CN,"*","GLCode",$B70,"DAF_Award",O$2,PF,PT))</f>
        <v>0</v>
      </c>
      <c r="P70" s="39">
        <f>IF(TRUE,0,_xll.PSFx2BAL(CN,"*","GLCode",$B70,"DAF_Award",P$2,PF,PT))</f>
        <v>0</v>
      </c>
      <c r="Q70" s="39">
        <f>IF(TRUE,0,_xll.PSFx2BAL(CN,"*","GLCode",$B70,"DAF_Award",Q$2,PF,PT))</f>
        <v>0</v>
      </c>
      <c r="R70" s="39">
        <f>IF(TRUE,0,_xll.PSFx2BAL(CN,"*","GLCode",$B70,"DAF_Award",R$2,PF,PT))</f>
        <v>0</v>
      </c>
      <c r="S70" s="39">
        <f>IF(TRUE,0,_xll.PSFx2BAL(CN,"*","GLCode",$B70,"DAF_Award",S$2,PF,PT))</f>
        <v>0</v>
      </c>
      <c r="T70" s="39">
        <f>IF(TRUE,0,_xll.PSFx2BAL(CN,"*","GLCode",$B70,"DAF_Award",T$2,PF,PT))</f>
        <v>0</v>
      </c>
      <c r="U70" s="39">
        <f>IF(TRUE,0,_xll.PSFx2BAL(CN,"*","GLCode",$B70,"DAF_Award",U$2,PF,PT))</f>
        <v>0</v>
      </c>
      <c r="V70" s="39">
        <f>IF(TRUE,0,_xll.PSFx2BAL(CN,"*","GLCode",$B70,"DAF_Award",V$2,PF,PT))</f>
        <v>0</v>
      </c>
      <c r="W70" s="39">
        <f>IF(TRUE,0,_xll.PSFx2BAL(CN,"*","GLCode",$B70,"DAF_Award",W$2,PF,PT))</f>
        <v>0</v>
      </c>
      <c r="X70" s="39">
        <f>IF(TRUE,0,_xll.PSFx2BAL(CN,"*","GLCode",$B70,"DAF_Award",X$2,PF,PT))</f>
        <v>0</v>
      </c>
      <c r="Y70" s="39">
        <f>IF(TRUE,0,_xll.PSFx2BAL(CN,"*","GLCode",$B70,"DAF_Award",Y$2,PF,PT))</f>
        <v>0</v>
      </c>
      <c r="Z70" s="39">
        <f>IF(TRUE,0,_xll.PSFx2BAL(CN,"*","GLCode",$B70,"DAF_Award",Z$2,PF,PT))</f>
        <v>0</v>
      </c>
      <c r="AA70" s="39">
        <f>IF(TRUE,0,_xll.PSFx2BAL(CN,"*","GLCode",$B70,"DAF_Award",AA$2,PF,PT))</f>
        <v>0</v>
      </c>
      <c r="AB70" s="39">
        <f>IF(TRUE,0,_xll.PSFx2BAL(CN,"*","GLCode",$B70,"DAF_Award",AB$2,PF,PT))</f>
        <v>0</v>
      </c>
      <c r="AC70" s="39">
        <f>IF(TRUE,0,_xll.PSFx2BAL(CN,"*","GLCode",$B70,"DAF_Award",AC$2,PF,PT))</f>
        <v>0</v>
      </c>
      <c r="AD70" s="39">
        <f>IF(TRUE,0,_xll.PSFx2BAL(CN,"*","GLCode",$B70,"DAF_Award",AD$2,PF,PT))</f>
        <v>0</v>
      </c>
      <c r="AE70" s="39">
        <f>IF(TRUE,0,_xll.PSFx2BAL(CN,"*","GLCode",$B70,"DAF_Award",AE$2,PF,PT))</f>
        <v>0</v>
      </c>
      <c r="AF70" s="39">
        <f>IF(TRUE,0,_xll.PSFx2BAL(CN,"*","GLCode",$B70,"DAF_Award",AF$2,PF,PT))</f>
        <v>0</v>
      </c>
      <c r="AG70" s="39">
        <f>IF(TRUE,0,_xll.PSFx2BAL(CN,"*","GLCode",$B70,"DAF_Award",AG$2,PF,PT))</f>
        <v>0</v>
      </c>
      <c r="AH70" s="39">
        <f>IF(TRUE,0,_xll.PSFx2BAL(CN,"*","GLCode",$B70,"DAF_Award",AH$2,PF,PT))</f>
        <v>0</v>
      </c>
      <c r="AI70" s="274">
        <f t="shared" si="41"/>
        <v>0</v>
      </c>
      <c r="AJ70" s="18">
        <f>VLOOKUP(B70,TB!$B$5:$E$140,4,FALSE)</f>
        <v>0</v>
      </c>
      <c r="AL70" s="39">
        <f t="shared" si="42"/>
        <v>0</v>
      </c>
      <c r="AM70" s="39">
        <f t="shared" si="43"/>
        <v>0</v>
      </c>
    </row>
    <row r="71" spans="1:39" x14ac:dyDescent="0.2">
      <c r="A71" s="1">
        <f t="shared" si="33"/>
        <v>7323</v>
      </c>
      <c r="B71" t="s">
        <v>148</v>
      </c>
      <c r="C71" t="s">
        <v>149</v>
      </c>
      <c r="D71" s="39">
        <f>IF(TRUE,222.41,_xll.PSFx2BAL(CN,"*","GLCode",$B71,"DAF_Award",D$2,PF,PT))</f>
        <v>222.41</v>
      </c>
      <c r="E71" s="39">
        <f>IF(TRUE,0,_xll.PSFx2BAL(CN,"*","GLCode",$B71,"DAF_Award",E$2,PF,PT))</f>
        <v>0</v>
      </c>
      <c r="F71" s="39">
        <f>IF(TRUE,0,_xll.PSFx2BAL(CN,"*","GLCode",$B71,"DAF_Award",F$2,PF,PT))</f>
        <v>0</v>
      </c>
      <c r="G71" s="39">
        <f>IF(TRUE,0,_xll.PSFx2BAL(CN,"*","GLCode",$B71,"DAF_Award",G$2,PF,PT))</f>
        <v>0</v>
      </c>
      <c r="H71" s="39">
        <f>IF(TRUE,0,_xll.PSFx2BAL(CN,"*","GLCode",$B71,"DAF_Award",H$2,PF,PT))</f>
        <v>0</v>
      </c>
      <c r="I71" s="39">
        <f>IF(TRUE,0,_xll.PSFx2BAL(CN,"*","GLCode",$B71,"DAF_Award",I$2,PF,PT))</f>
        <v>0</v>
      </c>
      <c r="J71" s="39">
        <f>IF(TRUE,0,_xll.PSFx2BAL(CN,"*","GLCode",$B71,"DAF_Award",J$2,PF,PT))</f>
        <v>0</v>
      </c>
      <c r="K71" s="39">
        <f>IF(TRUE,0,_xll.PSFx2BAL(CN,"*","GLCode",$B71,"DAF_Award",K$2,PF,PT))</f>
        <v>0</v>
      </c>
      <c r="L71" s="39">
        <f>IF(TRUE,0,_xll.PSFx2BAL(CN,"*","GLCode",$B71,"DAF_Award",L$2,PF,PT))</f>
        <v>0</v>
      </c>
      <c r="M71" s="39">
        <f>IF(TRUE,0,_xll.PSFx2BAL(CN,"*","GLCode",$B71,"DAF_Award",M$2,PF,PT))</f>
        <v>0</v>
      </c>
      <c r="N71" s="39">
        <f>IF(TRUE,0,_xll.PSFx2BAL(CN,"*","GLCode",$B71,"DAF_Award",N$2,PF,PT))</f>
        <v>0</v>
      </c>
      <c r="O71" s="39">
        <f>IF(TRUE,0,_xll.PSFx2BAL(CN,"*","GLCode",$B71,"DAF_Award",O$2,PF,PT))</f>
        <v>0</v>
      </c>
      <c r="P71" s="39">
        <f>IF(TRUE,0,_xll.PSFx2BAL(CN,"*","GLCode",$B71,"DAF_Award",P$2,PF,PT))</f>
        <v>0</v>
      </c>
      <c r="Q71" s="39">
        <f>IF(TRUE,0,_xll.PSFx2BAL(CN,"*","GLCode",$B71,"DAF_Award",Q$2,PF,PT))</f>
        <v>0</v>
      </c>
      <c r="R71" s="39">
        <f>IF(TRUE,0,_xll.PSFx2BAL(CN,"*","GLCode",$B71,"DAF_Award",R$2,PF,PT))</f>
        <v>0</v>
      </c>
      <c r="S71" s="39">
        <f>IF(TRUE,0,_xll.PSFx2BAL(CN,"*","GLCode",$B71,"DAF_Award",S$2,PF,PT))</f>
        <v>0</v>
      </c>
      <c r="T71" s="39">
        <f>IF(TRUE,0,_xll.PSFx2BAL(CN,"*","GLCode",$B71,"DAF_Award",T$2,PF,PT))</f>
        <v>0</v>
      </c>
      <c r="U71" s="39">
        <f>IF(TRUE,0,_xll.PSFx2BAL(CN,"*","GLCode",$B71,"DAF_Award",U$2,PF,PT))</f>
        <v>0</v>
      </c>
      <c r="V71" s="39">
        <f>IF(TRUE,0,_xll.PSFx2BAL(CN,"*","GLCode",$B71,"DAF_Award",V$2,PF,PT))</f>
        <v>0</v>
      </c>
      <c r="W71" s="39">
        <f>IF(TRUE,0,_xll.PSFx2BAL(CN,"*","GLCode",$B71,"DAF_Award",W$2,PF,PT))</f>
        <v>0</v>
      </c>
      <c r="X71" s="39">
        <f>IF(TRUE,0,_xll.PSFx2BAL(CN,"*","GLCode",$B71,"DAF_Award",X$2,PF,PT))</f>
        <v>0</v>
      </c>
      <c r="Y71" s="39">
        <f>IF(TRUE,0,_xll.PSFx2BAL(CN,"*","GLCode",$B71,"DAF_Award",Y$2,PF,PT))</f>
        <v>0</v>
      </c>
      <c r="Z71" s="39">
        <f>IF(TRUE,0,_xll.PSFx2BAL(CN,"*","GLCode",$B71,"DAF_Award",Z$2,PF,PT))</f>
        <v>0</v>
      </c>
      <c r="AA71" s="39">
        <f>IF(TRUE,0,_xll.PSFx2BAL(CN,"*","GLCode",$B71,"DAF_Award",AA$2,PF,PT))</f>
        <v>0</v>
      </c>
      <c r="AB71" s="39">
        <f>IF(TRUE,0,_xll.PSFx2BAL(CN,"*","GLCode",$B71,"DAF_Award",AB$2,PF,PT))</f>
        <v>0</v>
      </c>
      <c r="AC71" s="39">
        <f>IF(TRUE,0,_xll.PSFx2BAL(CN,"*","GLCode",$B71,"DAF_Award",AC$2,PF,PT))</f>
        <v>0</v>
      </c>
      <c r="AD71" s="39">
        <f>IF(TRUE,0,_xll.PSFx2BAL(CN,"*","GLCode",$B71,"DAF_Award",AD$2,PF,PT))</f>
        <v>0</v>
      </c>
      <c r="AE71" s="39">
        <f>IF(TRUE,0,_xll.PSFx2BAL(CN,"*","GLCode",$B71,"DAF_Award",AE$2,PF,PT))</f>
        <v>0</v>
      </c>
      <c r="AF71" s="39">
        <f>IF(TRUE,0,_xll.PSFx2BAL(CN,"*","GLCode",$B71,"DAF_Award",AF$2,PF,PT))</f>
        <v>0</v>
      </c>
      <c r="AG71" s="39">
        <f>IF(TRUE,0,_xll.PSFx2BAL(CN,"*","GLCode",$B71,"DAF_Award",AG$2,PF,PT))</f>
        <v>0</v>
      </c>
      <c r="AH71" s="39">
        <f>IF(TRUE,83.32,_xll.PSFx2BAL(CN,"*","GLCode",$B71,"DAF_Award",AH$2,PF,PT))</f>
        <v>83.32</v>
      </c>
      <c r="AI71" s="274">
        <f t="shared" si="41"/>
        <v>0</v>
      </c>
      <c r="AJ71" s="18">
        <f>VLOOKUP(B71,TB!$B$5:$E$140,4,FALSE)</f>
        <v>305.73</v>
      </c>
      <c r="AL71" s="39">
        <f t="shared" si="42"/>
        <v>83.32</v>
      </c>
      <c r="AM71" s="39">
        <f t="shared" si="43"/>
        <v>222.41000000000003</v>
      </c>
    </row>
    <row r="72" spans="1:39" hidden="1" x14ac:dyDescent="0.2">
      <c r="A72" s="1">
        <f t="shared" si="33"/>
        <v>7324</v>
      </c>
      <c r="B72" t="s">
        <v>150</v>
      </c>
      <c r="C72" t="s">
        <v>151</v>
      </c>
      <c r="D72" s="39">
        <f>IF(TRUE,0,_xll.PSFx2BAL(CN,"*","GLCode",$B72,"DAF_Award",D$2,PF,PT))</f>
        <v>0</v>
      </c>
      <c r="E72" s="39">
        <f>IF(TRUE,0,_xll.PSFx2BAL(CN,"*","GLCode",$B72,"DAF_Award",E$2,PF,PT))</f>
        <v>0</v>
      </c>
      <c r="F72" s="39">
        <f>IF(TRUE,0,_xll.PSFx2BAL(CN,"*","GLCode",$B72,"DAF_Award",F$2,PF,PT))</f>
        <v>0</v>
      </c>
      <c r="G72" s="39">
        <f>IF(TRUE,0,_xll.PSFx2BAL(CN,"*","GLCode",$B72,"DAF_Award",G$2,PF,PT))</f>
        <v>0</v>
      </c>
      <c r="H72" s="39">
        <f>IF(TRUE,0,_xll.PSFx2BAL(CN,"*","GLCode",$B72,"DAF_Award",H$2,PF,PT))</f>
        <v>0</v>
      </c>
      <c r="I72" s="39">
        <f>IF(TRUE,0,_xll.PSFx2BAL(CN,"*","GLCode",$B72,"DAF_Award",I$2,PF,PT))</f>
        <v>0</v>
      </c>
      <c r="J72" s="39">
        <f>IF(TRUE,0,_xll.PSFx2BAL(CN,"*","GLCode",$B72,"DAF_Award",J$2,PF,PT))</f>
        <v>0</v>
      </c>
      <c r="K72" s="39">
        <f>IF(TRUE,0,_xll.PSFx2BAL(CN,"*","GLCode",$B72,"DAF_Award",K$2,PF,PT))</f>
        <v>0</v>
      </c>
      <c r="L72" s="39">
        <f>IF(TRUE,0,_xll.PSFx2BAL(CN,"*","GLCode",$B72,"DAF_Award",L$2,PF,PT))</f>
        <v>0</v>
      </c>
      <c r="M72" s="39">
        <f>IF(TRUE,0,_xll.PSFx2BAL(CN,"*","GLCode",$B72,"DAF_Award",M$2,PF,PT))</f>
        <v>0</v>
      </c>
      <c r="N72" s="39">
        <f>IF(TRUE,0,_xll.PSFx2BAL(CN,"*","GLCode",$B72,"DAF_Award",N$2,PF,PT))</f>
        <v>0</v>
      </c>
      <c r="O72" s="39">
        <f>IF(TRUE,0,_xll.PSFx2BAL(CN,"*","GLCode",$B72,"DAF_Award",O$2,PF,PT))</f>
        <v>0</v>
      </c>
      <c r="P72" s="39">
        <f>IF(TRUE,0,_xll.PSFx2BAL(CN,"*","GLCode",$B72,"DAF_Award",P$2,PF,PT))</f>
        <v>0</v>
      </c>
      <c r="Q72" s="39">
        <f>IF(TRUE,0,_xll.PSFx2BAL(CN,"*","GLCode",$B72,"DAF_Award",Q$2,PF,PT))</f>
        <v>0</v>
      </c>
      <c r="R72" s="39">
        <f>IF(TRUE,0,_xll.PSFx2BAL(CN,"*","GLCode",$B72,"DAF_Award",R$2,PF,PT))</f>
        <v>0</v>
      </c>
      <c r="S72" s="39">
        <f>IF(TRUE,0,_xll.PSFx2BAL(CN,"*","GLCode",$B72,"DAF_Award",S$2,PF,PT))</f>
        <v>0</v>
      </c>
      <c r="T72" s="39">
        <f>IF(TRUE,0,_xll.PSFx2BAL(CN,"*","GLCode",$B72,"DAF_Award",T$2,PF,PT))</f>
        <v>0</v>
      </c>
      <c r="U72" s="39">
        <f>IF(TRUE,0,_xll.PSFx2BAL(CN,"*","GLCode",$B72,"DAF_Award",U$2,PF,PT))</f>
        <v>0</v>
      </c>
      <c r="V72" s="39">
        <f>IF(TRUE,0,_xll.PSFx2BAL(CN,"*","GLCode",$B72,"DAF_Award",V$2,PF,PT))</f>
        <v>0</v>
      </c>
      <c r="W72" s="39">
        <f>IF(TRUE,0,_xll.PSFx2BAL(CN,"*","GLCode",$B72,"DAF_Award",W$2,PF,PT))</f>
        <v>0</v>
      </c>
      <c r="X72" s="39">
        <f>IF(TRUE,0,_xll.PSFx2BAL(CN,"*","GLCode",$B72,"DAF_Award",X$2,PF,PT))</f>
        <v>0</v>
      </c>
      <c r="Y72" s="39">
        <f>IF(TRUE,0,_xll.PSFx2BAL(CN,"*","GLCode",$B72,"DAF_Award",Y$2,PF,PT))</f>
        <v>0</v>
      </c>
      <c r="Z72" s="39">
        <f>IF(TRUE,0,_xll.PSFx2BAL(CN,"*","GLCode",$B72,"DAF_Award",Z$2,PF,PT))</f>
        <v>0</v>
      </c>
      <c r="AA72" s="39">
        <f>IF(TRUE,0,_xll.PSFx2BAL(CN,"*","GLCode",$B72,"DAF_Award",AA$2,PF,PT))</f>
        <v>0</v>
      </c>
      <c r="AB72" s="39">
        <f>IF(TRUE,0,_xll.PSFx2BAL(CN,"*","GLCode",$B72,"DAF_Award",AB$2,PF,PT))</f>
        <v>0</v>
      </c>
      <c r="AC72" s="39">
        <f>IF(TRUE,0,_xll.PSFx2BAL(CN,"*","GLCode",$B72,"DAF_Award",AC$2,PF,PT))</f>
        <v>0</v>
      </c>
      <c r="AD72" s="39">
        <f>IF(TRUE,0,_xll.PSFx2BAL(CN,"*","GLCode",$B72,"DAF_Award",AD$2,PF,PT))</f>
        <v>0</v>
      </c>
      <c r="AE72" s="39">
        <f>IF(TRUE,0,_xll.PSFx2BAL(CN,"*","GLCode",$B72,"DAF_Award",AE$2,PF,PT))</f>
        <v>0</v>
      </c>
      <c r="AF72" s="39">
        <f>IF(TRUE,0,_xll.PSFx2BAL(CN,"*","GLCode",$B72,"DAF_Award",AF$2,PF,PT))</f>
        <v>0</v>
      </c>
      <c r="AG72" s="39">
        <f>IF(TRUE,0,_xll.PSFx2BAL(CN,"*","GLCode",$B72,"DAF_Award",AG$2,PF,PT))</f>
        <v>0</v>
      </c>
      <c r="AH72" s="39">
        <f>IF(TRUE,0,_xll.PSFx2BAL(CN,"*","GLCode",$B72,"DAF_Award",AH$2,PF,PT))</f>
        <v>0</v>
      </c>
      <c r="AI72" s="274">
        <f t="shared" si="41"/>
        <v>0</v>
      </c>
      <c r="AJ72" s="18">
        <f>VLOOKUP(B72,TB!$B$5:$E$140,4,FALSE)</f>
        <v>0</v>
      </c>
      <c r="AL72" s="39">
        <f t="shared" si="42"/>
        <v>0</v>
      </c>
      <c r="AM72" s="39">
        <f t="shared" si="43"/>
        <v>0</v>
      </c>
    </row>
    <row r="73" spans="1:39" hidden="1" x14ac:dyDescent="0.2">
      <c r="A73" s="1">
        <f t="shared" si="33"/>
        <v>7330</v>
      </c>
      <c r="B73" t="s">
        <v>152</v>
      </c>
      <c r="C73" t="s">
        <v>153</v>
      </c>
      <c r="D73" s="39">
        <f>IF(TRUE,0,_xll.PSFx2BAL(CN,"*","GLCode",$B73,"DAF_Award",D$2,PF,PT))</f>
        <v>0</v>
      </c>
      <c r="E73" s="39">
        <f>IF(TRUE,0,_xll.PSFx2BAL(CN,"*","GLCode",$B73,"DAF_Award",E$2,PF,PT))</f>
        <v>0</v>
      </c>
      <c r="F73" s="39">
        <f>IF(TRUE,0,_xll.PSFx2BAL(CN,"*","GLCode",$B73,"DAF_Award",F$2,PF,PT))</f>
        <v>0</v>
      </c>
      <c r="G73" s="39">
        <f>IF(TRUE,0,_xll.PSFx2BAL(CN,"*","GLCode",$B73,"DAF_Award",G$2,PF,PT))</f>
        <v>0</v>
      </c>
      <c r="H73" s="39">
        <f>IF(TRUE,0,_xll.PSFx2BAL(CN,"*","GLCode",$B73,"DAF_Award",H$2,PF,PT))</f>
        <v>0</v>
      </c>
      <c r="I73" s="39">
        <f>IF(TRUE,0,_xll.PSFx2BAL(CN,"*","GLCode",$B73,"DAF_Award",I$2,PF,PT))</f>
        <v>0</v>
      </c>
      <c r="J73" s="39">
        <f>IF(TRUE,0,_xll.PSFx2BAL(CN,"*","GLCode",$B73,"DAF_Award",J$2,PF,PT))</f>
        <v>0</v>
      </c>
      <c r="K73" s="39">
        <f>IF(TRUE,0,_xll.PSFx2BAL(CN,"*","GLCode",$B73,"DAF_Award",K$2,PF,PT))</f>
        <v>0</v>
      </c>
      <c r="L73" s="39">
        <f>IF(TRUE,0,_xll.PSFx2BAL(CN,"*","GLCode",$B73,"DAF_Award",L$2,PF,PT))</f>
        <v>0</v>
      </c>
      <c r="M73" s="39">
        <f>IF(TRUE,0,_xll.PSFx2BAL(CN,"*","GLCode",$B73,"DAF_Award",M$2,PF,PT))</f>
        <v>0</v>
      </c>
      <c r="N73" s="39">
        <f>IF(TRUE,0,_xll.PSFx2BAL(CN,"*","GLCode",$B73,"DAF_Award",N$2,PF,PT))</f>
        <v>0</v>
      </c>
      <c r="O73" s="39">
        <f>IF(TRUE,0,_xll.PSFx2BAL(CN,"*","GLCode",$B73,"DAF_Award",O$2,PF,PT))</f>
        <v>0</v>
      </c>
      <c r="P73" s="39">
        <f>IF(TRUE,0,_xll.PSFx2BAL(CN,"*","GLCode",$B73,"DAF_Award",P$2,PF,PT))</f>
        <v>0</v>
      </c>
      <c r="Q73" s="39">
        <f>IF(TRUE,0,_xll.PSFx2BAL(CN,"*","GLCode",$B73,"DAF_Award",Q$2,PF,PT))</f>
        <v>0</v>
      </c>
      <c r="R73" s="39">
        <f>IF(TRUE,0,_xll.PSFx2BAL(CN,"*","GLCode",$B73,"DAF_Award",R$2,PF,PT))</f>
        <v>0</v>
      </c>
      <c r="S73" s="39">
        <f>IF(TRUE,0,_xll.PSFx2BAL(CN,"*","GLCode",$B73,"DAF_Award",S$2,PF,PT))</f>
        <v>0</v>
      </c>
      <c r="T73" s="39">
        <f>IF(TRUE,0,_xll.PSFx2BAL(CN,"*","GLCode",$B73,"DAF_Award",T$2,PF,PT))</f>
        <v>0</v>
      </c>
      <c r="U73" s="39">
        <f>IF(TRUE,0,_xll.PSFx2BAL(CN,"*","GLCode",$B73,"DAF_Award",U$2,PF,PT))</f>
        <v>0</v>
      </c>
      <c r="V73" s="39">
        <f>IF(TRUE,0,_xll.PSFx2BAL(CN,"*","GLCode",$B73,"DAF_Award",V$2,PF,PT))</f>
        <v>0</v>
      </c>
      <c r="W73" s="39">
        <f>IF(TRUE,0,_xll.PSFx2BAL(CN,"*","GLCode",$B73,"DAF_Award",W$2,PF,PT))</f>
        <v>0</v>
      </c>
      <c r="X73" s="39">
        <f>IF(TRUE,0,_xll.PSFx2BAL(CN,"*","GLCode",$B73,"DAF_Award",X$2,PF,PT))</f>
        <v>0</v>
      </c>
      <c r="Y73" s="39">
        <f>IF(TRUE,0,_xll.PSFx2BAL(CN,"*","GLCode",$B73,"DAF_Award",Y$2,PF,PT))</f>
        <v>0</v>
      </c>
      <c r="Z73" s="39">
        <f>IF(TRUE,0,_xll.PSFx2BAL(CN,"*","GLCode",$B73,"DAF_Award",Z$2,PF,PT))</f>
        <v>0</v>
      </c>
      <c r="AA73" s="39">
        <f>IF(TRUE,0,_xll.PSFx2BAL(CN,"*","GLCode",$B73,"DAF_Award",AA$2,PF,PT))</f>
        <v>0</v>
      </c>
      <c r="AB73" s="39">
        <f>IF(TRUE,0,_xll.PSFx2BAL(CN,"*","GLCode",$B73,"DAF_Award",AB$2,PF,PT))</f>
        <v>0</v>
      </c>
      <c r="AC73" s="39">
        <f>IF(TRUE,0,_xll.PSFx2BAL(CN,"*","GLCode",$B73,"DAF_Award",AC$2,PF,PT))</f>
        <v>0</v>
      </c>
      <c r="AD73" s="39">
        <f>IF(TRUE,0,_xll.PSFx2BAL(CN,"*","GLCode",$B73,"DAF_Award",AD$2,PF,PT))</f>
        <v>0</v>
      </c>
      <c r="AE73" s="39">
        <f>IF(TRUE,0,_xll.PSFx2BAL(CN,"*","GLCode",$B73,"DAF_Award",AE$2,PF,PT))</f>
        <v>0</v>
      </c>
      <c r="AF73" s="39">
        <f>IF(TRUE,0,_xll.PSFx2BAL(CN,"*","GLCode",$B73,"DAF_Award",AF$2,PF,PT))</f>
        <v>0</v>
      </c>
      <c r="AG73" s="39">
        <f>IF(TRUE,0,_xll.PSFx2BAL(CN,"*","GLCode",$B73,"DAF_Award",AG$2,PF,PT))</f>
        <v>0</v>
      </c>
      <c r="AH73" s="39">
        <f>IF(TRUE,0,_xll.PSFx2BAL(CN,"*","GLCode",$B73,"DAF_Award",AH$2,PF,PT))</f>
        <v>0</v>
      </c>
      <c r="AI73" s="274">
        <f t="shared" si="41"/>
        <v>0</v>
      </c>
      <c r="AJ73" s="18">
        <f>VLOOKUP(B73,TB!$B$5:$E$140,4,FALSE)</f>
        <v>0</v>
      </c>
      <c r="AL73" s="39">
        <f t="shared" si="42"/>
        <v>0</v>
      </c>
      <c r="AM73" s="39">
        <f t="shared" si="43"/>
        <v>0</v>
      </c>
    </row>
    <row r="74" spans="1:39" x14ac:dyDescent="0.2">
      <c r="A74" s="1">
        <f t="shared" si="33"/>
        <v>7331</v>
      </c>
      <c r="B74" t="s">
        <v>154</v>
      </c>
      <c r="C74" t="s">
        <v>155</v>
      </c>
      <c r="D74" s="39">
        <f>IF(TRUE,0,_xll.PSFx2BAL(CN,"*","GLCode",$B74,"DAF_Award",D$2,PF,PT))</f>
        <v>0</v>
      </c>
      <c r="E74" s="39">
        <f>IF(TRUE,0,_xll.PSFx2BAL(CN,"*","GLCode",$B74,"DAF_Award",E$2,PF,PT))</f>
        <v>0</v>
      </c>
      <c r="F74" s="39">
        <f>IF(TRUE,0,_xll.PSFx2BAL(CN,"*","GLCode",$B74,"DAF_Award",F$2,PF,PT))</f>
        <v>0</v>
      </c>
      <c r="G74" s="39">
        <f>IF(TRUE,0,_xll.PSFx2BAL(CN,"*","GLCode",$B74,"DAF_Award",G$2,PF,PT))</f>
        <v>0</v>
      </c>
      <c r="H74" s="39">
        <f>IF(TRUE,0,_xll.PSFx2BAL(CN,"*","GLCode",$B74,"DAF_Award",H$2,PF,PT))</f>
        <v>0</v>
      </c>
      <c r="I74" s="39">
        <f>IF(TRUE,0,_xll.PSFx2BAL(CN,"*","GLCode",$B74,"DAF_Award",I$2,PF,PT))</f>
        <v>0</v>
      </c>
      <c r="J74" s="39">
        <f>IF(TRUE,0,_xll.PSFx2BAL(CN,"*","GLCode",$B74,"DAF_Award",J$2,PF,PT))</f>
        <v>0</v>
      </c>
      <c r="K74" s="39">
        <f>IF(TRUE,0,_xll.PSFx2BAL(CN,"*","GLCode",$B74,"DAF_Award",K$2,PF,PT))</f>
        <v>0</v>
      </c>
      <c r="L74" s="39">
        <f>IF(TRUE,0,_xll.PSFx2BAL(CN,"*","GLCode",$B74,"DAF_Award",L$2,PF,PT))</f>
        <v>0</v>
      </c>
      <c r="M74" s="39">
        <f>IF(TRUE,0,_xll.PSFx2BAL(CN,"*","GLCode",$B74,"DAF_Award",M$2,PF,PT))</f>
        <v>0</v>
      </c>
      <c r="N74" s="39">
        <f>IF(TRUE,0,_xll.PSFx2BAL(CN,"*","GLCode",$B74,"DAF_Award",N$2,PF,PT))</f>
        <v>0</v>
      </c>
      <c r="O74" s="39">
        <f>IF(TRUE,0,_xll.PSFx2BAL(CN,"*","GLCode",$B74,"DAF_Award",O$2,PF,PT))</f>
        <v>0</v>
      </c>
      <c r="P74" s="39">
        <f>IF(TRUE,0,_xll.PSFx2BAL(CN,"*","GLCode",$B74,"DAF_Award",P$2,PF,PT))</f>
        <v>0</v>
      </c>
      <c r="Q74" s="39">
        <f>IF(TRUE,0,_xll.PSFx2BAL(CN,"*","GLCode",$B74,"DAF_Award",Q$2,PF,PT))</f>
        <v>0</v>
      </c>
      <c r="R74" s="39">
        <f>IF(TRUE,0,_xll.PSFx2BAL(CN,"*","GLCode",$B74,"DAF_Award",R$2,PF,PT))</f>
        <v>0</v>
      </c>
      <c r="S74" s="39">
        <f>IF(TRUE,0,_xll.PSFx2BAL(CN,"*","GLCode",$B74,"DAF_Award",S$2,PF,PT))</f>
        <v>0</v>
      </c>
      <c r="T74" s="39">
        <f>IF(TRUE,0,_xll.PSFx2BAL(CN,"*","GLCode",$B74,"DAF_Award",T$2,PF,PT))</f>
        <v>0</v>
      </c>
      <c r="U74" s="39">
        <f>IF(TRUE,0,_xll.PSFx2BAL(CN,"*","GLCode",$B74,"DAF_Award",U$2,PF,PT))</f>
        <v>0</v>
      </c>
      <c r="V74" s="39">
        <f>IF(TRUE,0,_xll.PSFx2BAL(CN,"*","GLCode",$B74,"DAF_Award",V$2,PF,PT))</f>
        <v>0</v>
      </c>
      <c r="W74" s="39">
        <f>IF(TRUE,0,_xll.PSFx2BAL(CN,"*","GLCode",$B74,"DAF_Award",W$2,PF,PT))</f>
        <v>0</v>
      </c>
      <c r="X74" s="39">
        <f>IF(TRUE,0,_xll.PSFx2BAL(CN,"*","GLCode",$B74,"DAF_Award",X$2,PF,PT))</f>
        <v>0</v>
      </c>
      <c r="Y74" s="39">
        <f>IF(TRUE,0,_xll.PSFx2BAL(CN,"*","GLCode",$B74,"DAF_Award",Y$2,PF,PT))</f>
        <v>0</v>
      </c>
      <c r="Z74" s="39">
        <f>IF(TRUE,0,_xll.PSFx2BAL(CN,"*","GLCode",$B74,"DAF_Award",Z$2,PF,PT))</f>
        <v>0</v>
      </c>
      <c r="AA74" s="39">
        <f>IF(TRUE,0,_xll.PSFx2BAL(CN,"*","GLCode",$B74,"DAF_Award",AA$2,PF,PT))</f>
        <v>0</v>
      </c>
      <c r="AB74" s="39">
        <f>IF(TRUE,0,_xll.PSFx2BAL(CN,"*","GLCode",$B74,"DAF_Award",AB$2,PF,PT))</f>
        <v>0</v>
      </c>
      <c r="AC74" s="39">
        <f>IF(TRUE,0,_xll.PSFx2BAL(CN,"*","GLCode",$B74,"DAF_Award",AC$2,PF,PT))</f>
        <v>0</v>
      </c>
      <c r="AD74" s="39">
        <f>IF(TRUE,0,_xll.PSFx2BAL(CN,"*","GLCode",$B74,"DAF_Award",AD$2,PF,PT))</f>
        <v>0</v>
      </c>
      <c r="AE74" s="39">
        <f>IF(TRUE,0,_xll.PSFx2BAL(CN,"*","GLCode",$B74,"DAF_Award",AE$2,PF,PT))</f>
        <v>0</v>
      </c>
      <c r="AF74" s="39">
        <f>IF(TRUE,0,_xll.PSFx2BAL(CN,"*","GLCode",$B74,"DAF_Award",AF$2,PF,PT))</f>
        <v>0</v>
      </c>
      <c r="AG74" s="39">
        <f>IF(TRUE,0,_xll.PSFx2BAL(CN,"*","GLCode",$B74,"DAF_Award",AG$2,PF,PT))</f>
        <v>0</v>
      </c>
      <c r="AH74" s="39">
        <f>IF(TRUE,900,_xll.PSFx2BAL(CN,"*","GLCode",$B74,"DAF_Award",AH$2,PF,PT))</f>
        <v>900</v>
      </c>
      <c r="AI74" s="274">
        <f t="shared" si="41"/>
        <v>0</v>
      </c>
      <c r="AJ74" s="18">
        <f>VLOOKUP(B74,TB!$B$5:$E$140,4,FALSE)</f>
        <v>900</v>
      </c>
      <c r="AL74" s="39">
        <f t="shared" si="42"/>
        <v>900</v>
      </c>
      <c r="AM74" s="39">
        <f t="shared" si="43"/>
        <v>0</v>
      </c>
    </row>
    <row r="75" spans="1:39" hidden="1" x14ac:dyDescent="0.2">
      <c r="A75" s="1">
        <f t="shared" si="33"/>
        <v>7332</v>
      </c>
      <c r="B75" t="s">
        <v>156</v>
      </c>
      <c r="C75" t="s">
        <v>157</v>
      </c>
      <c r="D75" s="39">
        <f>IF(TRUE,0,_xll.PSFx2BAL(CN,"*","GLCode",$B75,"DAF_Award",D$2,PF,PT))</f>
        <v>0</v>
      </c>
      <c r="E75" s="39">
        <f>IF(TRUE,0,_xll.PSFx2BAL(CN,"*","GLCode",$B75,"DAF_Award",E$2,PF,PT))</f>
        <v>0</v>
      </c>
      <c r="F75" s="39">
        <f>IF(TRUE,0,_xll.PSFx2BAL(CN,"*","GLCode",$B75,"DAF_Award",F$2,PF,PT))</f>
        <v>0</v>
      </c>
      <c r="G75" s="39">
        <f>IF(TRUE,0,_xll.PSFx2BAL(CN,"*","GLCode",$B75,"DAF_Award",G$2,PF,PT))</f>
        <v>0</v>
      </c>
      <c r="H75" s="39">
        <f>IF(TRUE,0,_xll.PSFx2BAL(CN,"*","GLCode",$B75,"DAF_Award",H$2,PF,PT))</f>
        <v>0</v>
      </c>
      <c r="I75" s="39">
        <f>IF(TRUE,0,_xll.PSFx2BAL(CN,"*","GLCode",$B75,"DAF_Award",I$2,PF,PT))</f>
        <v>0</v>
      </c>
      <c r="J75" s="39">
        <f>IF(TRUE,0,_xll.PSFx2BAL(CN,"*","GLCode",$B75,"DAF_Award",J$2,PF,PT))</f>
        <v>0</v>
      </c>
      <c r="K75" s="39">
        <f>IF(TRUE,0,_xll.PSFx2BAL(CN,"*","GLCode",$B75,"DAF_Award",K$2,PF,PT))</f>
        <v>0</v>
      </c>
      <c r="L75" s="39">
        <f>IF(TRUE,0,_xll.PSFx2BAL(CN,"*","GLCode",$B75,"DAF_Award",L$2,PF,PT))</f>
        <v>0</v>
      </c>
      <c r="M75" s="39">
        <f>IF(TRUE,0,_xll.PSFx2BAL(CN,"*","GLCode",$B75,"DAF_Award",M$2,PF,PT))</f>
        <v>0</v>
      </c>
      <c r="N75" s="39">
        <f>IF(TRUE,0,_xll.PSFx2BAL(CN,"*","GLCode",$B75,"DAF_Award",N$2,PF,PT))</f>
        <v>0</v>
      </c>
      <c r="O75" s="39">
        <f>IF(TRUE,0,_xll.PSFx2BAL(CN,"*","GLCode",$B75,"DAF_Award",O$2,PF,PT))</f>
        <v>0</v>
      </c>
      <c r="P75" s="39">
        <f>IF(TRUE,0,_xll.PSFx2BAL(CN,"*","GLCode",$B75,"DAF_Award",P$2,PF,PT))</f>
        <v>0</v>
      </c>
      <c r="Q75" s="39">
        <f>IF(TRUE,0,_xll.PSFx2BAL(CN,"*","GLCode",$B75,"DAF_Award",Q$2,PF,PT))</f>
        <v>0</v>
      </c>
      <c r="R75" s="39">
        <f>IF(TRUE,0,_xll.PSFx2BAL(CN,"*","GLCode",$B75,"DAF_Award",R$2,PF,PT))</f>
        <v>0</v>
      </c>
      <c r="S75" s="39">
        <f>IF(TRUE,0,_xll.PSFx2BAL(CN,"*","GLCode",$B75,"DAF_Award",S$2,PF,PT))</f>
        <v>0</v>
      </c>
      <c r="T75" s="39">
        <f>IF(TRUE,0,_xll.PSFx2BAL(CN,"*","GLCode",$B75,"DAF_Award",T$2,PF,PT))</f>
        <v>0</v>
      </c>
      <c r="U75" s="39">
        <f>IF(TRUE,0,_xll.PSFx2BAL(CN,"*","GLCode",$B75,"DAF_Award",U$2,PF,PT))</f>
        <v>0</v>
      </c>
      <c r="V75" s="39">
        <f>IF(TRUE,0,_xll.PSFx2BAL(CN,"*","GLCode",$B75,"DAF_Award",V$2,PF,PT))</f>
        <v>0</v>
      </c>
      <c r="W75" s="39">
        <f>IF(TRUE,0,_xll.PSFx2BAL(CN,"*","GLCode",$B75,"DAF_Award",W$2,PF,PT))</f>
        <v>0</v>
      </c>
      <c r="X75" s="39">
        <f>IF(TRUE,0,_xll.PSFx2BAL(CN,"*","GLCode",$B75,"DAF_Award",X$2,PF,PT))</f>
        <v>0</v>
      </c>
      <c r="Y75" s="39">
        <f>IF(TRUE,0,_xll.PSFx2BAL(CN,"*","GLCode",$B75,"DAF_Award",Y$2,PF,PT))</f>
        <v>0</v>
      </c>
      <c r="Z75" s="39">
        <f>IF(TRUE,0,_xll.PSFx2BAL(CN,"*","GLCode",$B75,"DAF_Award",Z$2,PF,PT))</f>
        <v>0</v>
      </c>
      <c r="AA75" s="39">
        <f>IF(TRUE,0,_xll.PSFx2BAL(CN,"*","GLCode",$B75,"DAF_Award",AA$2,PF,PT))</f>
        <v>0</v>
      </c>
      <c r="AB75" s="39">
        <f>IF(TRUE,0,_xll.PSFx2BAL(CN,"*","GLCode",$B75,"DAF_Award",AB$2,PF,PT))</f>
        <v>0</v>
      </c>
      <c r="AC75" s="39">
        <f>IF(TRUE,0,_xll.PSFx2BAL(CN,"*","GLCode",$B75,"DAF_Award",AC$2,PF,PT))</f>
        <v>0</v>
      </c>
      <c r="AD75" s="39">
        <f>IF(TRUE,0,_xll.PSFx2BAL(CN,"*","GLCode",$B75,"DAF_Award",AD$2,PF,PT))</f>
        <v>0</v>
      </c>
      <c r="AE75" s="39">
        <f>IF(TRUE,0,_xll.PSFx2BAL(CN,"*","GLCode",$B75,"DAF_Award",AE$2,PF,PT))</f>
        <v>0</v>
      </c>
      <c r="AF75" s="39">
        <f>IF(TRUE,0,_xll.PSFx2BAL(CN,"*","GLCode",$B75,"DAF_Award",AF$2,PF,PT))</f>
        <v>0</v>
      </c>
      <c r="AG75" s="39">
        <f>IF(TRUE,0,_xll.PSFx2BAL(CN,"*","GLCode",$B75,"DAF_Award",AG$2,PF,PT))</f>
        <v>0</v>
      </c>
      <c r="AH75" s="39">
        <f>IF(TRUE,0,_xll.PSFx2BAL(CN,"*","GLCode",$B75,"DAF_Award",AH$2,PF,PT))</f>
        <v>0</v>
      </c>
      <c r="AI75" s="39">
        <f t="shared" si="41"/>
        <v>0</v>
      </c>
      <c r="AJ75" s="18">
        <f>VLOOKUP(B75,TB!$B$5:$E$140,4,FALSE)</f>
        <v>0</v>
      </c>
      <c r="AL75" s="39">
        <f t="shared" si="42"/>
        <v>0</v>
      </c>
      <c r="AM75" s="39">
        <f t="shared" si="43"/>
        <v>0</v>
      </c>
    </row>
    <row r="76" spans="1:39" hidden="1" x14ac:dyDescent="0.2">
      <c r="A76" s="1">
        <f t="shared" si="33"/>
        <v>7334</v>
      </c>
      <c r="B76" t="s">
        <v>158</v>
      </c>
      <c r="C76" t="s">
        <v>159</v>
      </c>
      <c r="D76" s="39">
        <f>IF(TRUE,0,_xll.PSFx2BAL(CN,"*","GLCode",$B76,"DAF_Award",D$2,PF,PT))</f>
        <v>0</v>
      </c>
      <c r="E76" s="39">
        <f>IF(TRUE,0,_xll.PSFx2BAL(CN,"*","GLCode",$B76,"DAF_Award",E$2,PF,PT))</f>
        <v>0</v>
      </c>
      <c r="F76" s="39">
        <f>IF(TRUE,0,_xll.PSFx2BAL(CN,"*","GLCode",$B76,"DAF_Award",F$2,PF,PT))</f>
        <v>0</v>
      </c>
      <c r="G76" s="39">
        <f>IF(TRUE,0,_xll.PSFx2BAL(CN,"*","GLCode",$B76,"DAF_Award",G$2,PF,PT))</f>
        <v>0</v>
      </c>
      <c r="H76" s="39">
        <f>IF(TRUE,0,_xll.PSFx2BAL(CN,"*","GLCode",$B76,"DAF_Award",H$2,PF,PT))</f>
        <v>0</v>
      </c>
      <c r="I76" s="39">
        <f>IF(TRUE,0,_xll.PSFx2BAL(CN,"*","GLCode",$B76,"DAF_Award",I$2,PF,PT))</f>
        <v>0</v>
      </c>
      <c r="J76" s="39">
        <f>IF(TRUE,0,_xll.PSFx2BAL(CN,"*","GLCode",$B76,"DAF_Award",J$2,PF,PT))</f>
        <v>0</v>
      </c>
      <c r="K76" s="39">
        <f>IF(TRUE,0,_xll.PSFx2BAL(CN,"*","GLCode",$B76,"DAF_Award",K$2,PF,PT))</f>
        <v>0</v>
      </c>
      <c r="L76" s="39">
        <f>IF(TRUE,0,_xll.PSFx2BAL(CN,"*","GLCode",$B76,"DAF_Award",L$2,PF,PT))</f>
        <v>0</v>
      </c>
      <c r="M76" s="39">
        <f>IF(TRUE,0,_xll.PSFx2BAL(CN,"*","GLCode",$B76,"DAF_Award",M$2,PF,PT))</f>
        <v>0</v>
      </c>
      <c r="N76" s="39">
        <f>IF(TRUE,0,_xll.PSFx2BAL(CN,"*","GLCode",$B76,"DAF_Award",N$2,PF,PT))</f>
        <v>0</v>
      </c>
      <c r="O76" s="39">
        <f>IF(TRUE,0,_xll.PSFx2BAL(CN,"*","GLCode",$B76,"DAF_Award",O$2,PF,PT))</f>
        <v>0</v>
      </c>
      <c r="P76" s="39">
        <f>IF(TRUE,0,_xll.PSFx2BAL(CN,"*","GLCode",$B76,"DAF_Award",P$2,PF,PT))</f>
        <v>0</v>
      </c>
      <c r="Q76" s="39">
        <f>IF(TRUE,0,_xll.PSFx2BAL(CN,"*","GLCode",$B76,"DAF_Award",Q$2,PF,PT))</f>
        <v>0</v>
      </c>
      <c r="R76" s="39">
        <f>IF(TRUE,0,_xll.PSFx2BAL(CN,"*","GLCode",$B76,"DAF_Award",R$2,PF,PT))</f>
        <v>0</v>
      </c>
      <c r="S76" s="39">
        <f>IF(TRUE,0,_xll.PSFx2BAL(CN,"*","GLCode",$B76,"DAF_Award",S$2,PF,PT))</f>
        <v>0</v>
      </c>
      <c r="T76" s="39">
        <f>IF(TRUE,0,_xll.PSFx2BAL(CN,"*","GLCode",$B76,"DAF_Award",T$2,PF,PT))</f>
        <v>0</v>
      </c>
      <c r="U76" s="39">
        <f>IF(TRUE,0,_xll.PSFx2BAL(CN,"*","GLCode",$B76,"DAF_Award",U$2,PF,PT))</f>
        <v>0</v>
      </c>
      <c r="V76" s="39">
        <f>IF(TRUE,0,_xll.PSFx2BAL(CN,"*","GLCode",$B76,"DAF_Award",V$2,PF,PT))</f>
        <v>0</v>
      </c>
      <c r="W76" s="39">
        <f>IF(TRUE,0,_xll.PSFx2BAL(CN,"*","GLCode",$B76,"DAF_Award",W$2,PF,PT))</f>
        <v>0</v>
      </c>
      <c r="X76" s="39">
        <f>IF(TRUE,0,_xll.PSFx2BAL(CN,"*","GLCode",$B76,"DAF_Award",X$2,PF,PT))</f>
        <v>0</v>
      </c>
      <c r="Y76" s="39">
        <f>IF(TRUE,0,_xll.PSFx2BAL(CN,"*","GLCode",$B76,"DAF_Award",Y$2,PF,PT))</f>
        <v>0</v>
      </c>
      <c r="Z76" s="39">
        <f>IF(TRUE,0,_xll.PSFx2BAL(CN,"*","GLCode",$B76,"DAF_Award",Z$2,PF,PT))</f>
        <v>0</v>
      </c>
      <c r="AA76" s="39">
        <f>IF(TRUE,0,_xll.PSFx2BAL(CN,"*","GLCode",$B76,"DAF_Award",AA$2,PF,PT))</f>
        <v>0</v>
      </c>
      <c r="AB76" s="39">
        <f>IF(TRUE,0,_xll.PSFx2BAL(CN,"*","GLCode",$B76,"DAF_Award",AB$2,PF,PT))</f>
        <v>0</v>
      </c>
      <c r="AC76" s="39">
        <f>IF(TRUE,0,_xll.PSFx2BAL(CN,"*","GLCode",$B76,"DAF_Award",AC$2,PF,PT))</f>
        <v>0</v>
      </c>
      <c r="AD76" s="39">
        <f>IF(TRUE,0,_xll.PSFx2BAL(CN,"*","GLCode",$B76,"DAF_Award",AD$2,PF,PT))</f>
        <v>0</v>
      </c>
      <c r="AE76" s="39">
        <f>IF(TRUE,0,_xll.PSFx2BAL(CN,"*","GLCode",$B76,"DAF_Award",AE$2,PF,PT))</f>
        <v>0</v>
      </c>
      <c r="AF76" s="39">
        <f>IF(TRUE,0,_xll.PSFx2BAL(CN,"*","GLCode",$B76,"DAF_Award",AF$2,PF,PT))</f>
        <v>0</v>
      </c>
      <c r="AG76" s="39">
        <f>IF(TRUE,0,_xll.PSFx2BAL(CN,"*","GLCode",$B76,"DAF_Award",AG$2,PF,PT))</f>
        <v>0</v>
      </c>
      <c r="AH76" s="39">
        <f>IF(TRUE,0,_xll.PSFx2BAL(CN,"*","GLCode",$B76,"DAF_Award",AH$2,PF,PT))</f>
        <v>0</v>
      </c>
      <c r="AI76" s="39">
        <f t="shared" si="41"/>
        <v>0</v>
      </c>
      <c r="AJ76" s="18">
        <f>VLOOKUP(B76,TB!$B$5:$E$140,4,FALSE)</f>
        <v>0</v>
      </c>
      <c r="AL76" s="39">
        <f t="shared" si="42"/>
        <v>0</v>
      </c>
      <c r="AM76" s="39">
        <f t="shared" si="43"/>
        <v>0</v>
      </c>
    </row>
    <row r="77" spans="1:39" x14ac:dyDescent="0.2">
      <c r="A77" s="1">
        <f t="shared" si="33"/>
        <v>7400</v>
      </c>
      <c r="B77" t="s">
        <v>160</v>
      </c>
      <c r="C77" t="s">
        <v>161</v>
      </c>
      <c r="D77" s="39">
        <f>IF(TRUE,0,_xll.PSFx2BAL(CN,"*","GLCode",$B77,"DAF_Award",D$2,PF,PT))</f>
        <v>0</v>
      </c>
      <c r="E77" s="39">
        <f>IF(TRUE,0,_xll.PSFx2BAL(CN,"*","GLCode",$B77,"DAF_Award",E$2,PF,PT))</f>
        <v>0</v>
      </c>
      <c r="F77" s="39">
        <f>IF(TRUE,0,_xll.PSFx2BAL(CN,"*","GLCode",$B77,"DAF_Award",F$2,PF,PT))</f>
        <v>0</v>
      </c>
      <c r="G77" s="39">
        <f>IF(TRUE,0,_xll.PSFx2BAL(CN,"*","GLCode",$B77,"DAF_Award",G$2,PF,PT))</f>
        <v>0</v>
      </c>
      <c r="H77" s="39">
        <f>IF(TRUE,0,_xll.PSFx2BAL(CN,"*","GLCode",$B77,"DAF_Award",H$2,PF,PT))</f>
        <v>0</v>
      </c>
      <c r="I77" s="39">
        <f>IF(TRUE,0,_xll.PSFx2BAL(CN,"*","GLCode",$B77,"DAF_Award",I$2,PF,PT))</f>
        <v>0</v>
      </c>
      <c r="J77" s="39">
        <f>IF(TRUE,0,_xll.PSFx2BAL(CN,"*","GLCode",$B77,"DAF_Award",J$2,PF,PT))</f>
        <v>0</v>
      </c>
      <c r="K77" s="39">
        <f>IF(TRUE,0,_xll.PSFx2BAL(CN,"*","GLCode",$B77,"DAF_Award",K$2,PF,PT))</f>
        <v>0</v>
      </c>
      <c r="L77" s="39">
        <f>IF(TRUE,0,_xll.PSFx2BAL(CN,"*","GLCode",$B77,"DAF_Award",L$2,PF,PT))</f>
        <v>0</v>
      </c>
      <c r="M77" s="39">
        <f>IF(TRUE,0,_xll.PSFx2BAL(CN,"*","GLCode",$B77,"DAF_Award",M$2,PF,PT))</f>
        <v>0</v>
      </c>
      <c r="N77" s="39">
        <f>IF(TRUE,0,_xll.PSFx2BAL(CN,"*","GLCode",$B77,"DAF_Award",N$2,PF,PT))</f>
        <v>0</v>
      </c>
      <c r="O77" s="39">
        <f>IF(TRUE,0,_xll.PSFx2BAL(CN,"*","GLCode",$B77,"DAF_Award",O$2,PF,PT))</f>
        <v>0</v>
      </c>
      <c r="P77" s="39">
        <f>IF(TRUE,0,_xll.PSFx2BAL(CN,"*","GLCode",$B77,"DAF_Award",P$2,PF,PT))</f>
        <v>0</v>
      </c>
      <c r="Q77" s="39">
        <f>IF(TRUE,0,_xll.PSFx2BAL(CN,"*","GLCode",$B77,"DAF_Award",Q$2,PF,PT))</f>
        <v>0</v>
      </c>
      <c r="R77" s="39">
        <f>IF(TRUE,0,_xll.PSFx2BAL(CN,"*","GLCode",$B77,"DAF_Award",R$2,PF,PT))</f>
        <v>0</v>
      </c>
      <c r="S77" s="39">
        <f>IF(TRUE,0,_xll.PSFx2BAL(CN,"*","GLCode",$B77,"DAF_Award",S$2,PF,PT))</f>
        <v>0</v>
      </c>
      <c r="T77" s="39">
        <f>IF(TRUE,0,_xll.PSFx2BAL(CN,"*","GLCode",$B77,"DAF_Award",T$2,PF,PT))</f>
        <v>0</v>
      </c>
      <c r="U77" s="39">
        <f>IF(TRUE,0,_xll.PSFx2BAL(CN,"*","GLCode",$B77,"DAF_Award",U$2,PF,PT))</f>
        <v>0</v>
      </c>
      <c r="V77" s="39">
        <f>IF(TRUE,0,_xll.PSFx2BAL(CN,"*","GLCode",$B77,"DAF_Award",V$2,PF,PT))</f>
        <v>0</v>
      </c>
      <c r="W77" s="39">
        <f>IF(TRUE,0,_xll.PSFx2BAL(CN,"*","GLCode",$B77,"DAF_Award",W$2,PF,PT))</f>
        <v>0</v>
      </c>
      <c r="X77" s="39">
        <f>IF(TRUE,0,_xll.PSFx2BAL(CN,"*","GLCode",$B77,"DAF_Award",X$2,PF,PT))</f>
        <v>0</v>
      </c>
      <c r="Y77" s="39">
        <f>IF(TRUE,0,_xll.PSFx2BAL(CN,"*","GLCode",$B77,"DAF_Award",Y$2,PF,PT))</f>
        <v>0</v>
      </c>
      <c r="Z77" s="39">
        <f>IF(TRUE,0,_xll.PSFx2BAL(CN,"*","GLCode",$B77,"DAF_Award",Z$2,PF,PT))</f>
        <v>0</v>
      </c>
      <c r="AA77" s="39">
        <f>IF(TRUE,0,_xll.PSFx2BAL(CN,"*","GLCode",$B77,"DAF_Award",AA$2,PF,PT))</f>
        <v>0</v>
      </c>
      <c r="AB77" s="39">
        <f>IF(TRUE,0,_xll.PSFx2BAL(CN,"*","GLCode",$B77,"DAF_Award",AB$2,PF,PT))</f>
        <v>0</v>
      </c>
      <c r="AC77" s="39">
        <f>IF(TRUE,0,_xll.PSFx2BAL(CN,"*","GLCode",$B77,"DAF_Award",AC$2,PF,PT))</f>
        <v>0</v>
      </c>
      <c r="AD77" s="39">
        <f>IF(TRUE,0,_xll.PSFx2BAL(CN,"*","GLCode",$B77,"DAF_Award",AD$2,PF,PT))</f>
        <v>0</v>
      </c>
      <c r="AE77" s="39">
        <f>IF(TRUE,0,_xll.PSFx2BAL(CN,"*","GLCode",$B77,"DAF_Award",AE$2,PF,PT))</f>
        <v>0</v>
      </c>
      <c r="AF77" s="39">
        <f>IF(TRUE,0,_xll.PSFx2BAL(CN,"*","GLCode",$B77,"DAF_Award",AF$2,PF,PT))</f>
        <v>0</v>
      </c>
      <c r="AG77" s="39">
        <f>IF(TRUE,0,_xll.PSFx2BAL(CN,"*","GLCode",$B77,"DAF_Award",AG$2,PF,PT))</f>
        <v>0</v>
      </c>
      <c r="AH77" s="39">
        <f>IF(TRUE,0,_xll.PSFx2BAL(CN,"*","GLCode",$B77,"DAF_Award",AH$2,PF,PT))</f>
        <v>0</v>
      </c>
      <c r="AI77" s="39">
        <f t="shared" si="41"/>
        <v>24240.38</v>
      </c>
      <c r="AJ77" s="18">
        <f>VLOOKUP(B77,TB!$B$5:$E$140,4,FALSE)</f>
        <v>24240.38</v>
      </c>
      <c r="AL77" s="39">
        <f t="shared" si="42"/>
        <v>24240.38</v>
      </c>
      <c r="AM77" s="39">
        <f t="shared" si="43"/>
        <v>0</v>
      </c>
    </row>
    <row r="78" spans="1:39" x14ac:dyDescent="0.2">
      <c r="A78" s="1">
        <f t="shared" si="33"/>
        <v>7410</v>
      </c>
      <c r="B78" t="s">
        <v>162</v>
      </c>
      <c r="C78" t="s">
        <v>163</v>
      </c>
      <c r="D78" s="39">
        <f>IF(TRUE,0,_xll.PSFx2BAL(CN,"*","GLCode",$B78,"DAF_Award",D$2,PF,PT))</f>
        <v>0</v>
      </c>
      <c r="E78" s="39">
        <f>IF(TRUE,0,_xll.PSFx2BAL(CN,"*","GLCode",$B78,"DAF_Award",E$2,PF,PT))</f>
        <v>0</v>
      </c>
      <c r="F78" s="39">
        <f>IF(TRUE,0,_xll.PSFx2BAL(CN,"*","GLCode",$B78,"DAF_Award",F$2,PF,PT))</f>
        <v>0</v>
      </c>
      <c r="G78" s="39">
        <f>IF(TRUE,0,_xll.PSFx2BAL(CN,"*","GLCode",$B78,"DAF_Award",G$2,PF,PT))</f>
        <v>0</v>
      </c>
      <c r="H78" s="39">
        <f>IF(TRUE,0,_xll.PSFx2BAL(CN,"*","GLCode",$B78,"DAF_Award",H$2,PF,PT))</f>
        <v>0</v>
      </c>
      <c r="I78" s="39">
        <f>IF(TRUE,0,_xll.PSFx2BAL(CN,"*","GLCode",$B78,"DAF_Award",I$2,PF,PT))</f>
        <v>0</v>
      </c>
      <c r="J78" s="39">
        <f>IF(TRUE,0,_xll.PSFx2BAL(CN,"*","GLCode",$B78,"DAF_Award",J$2,PF,PT))</f>
        <v>0</v>
      </c>
      <c r="K78" s="39">
        <f>IF(TRUE,0,_xll.PSFx2BAL(CN,"*","GLCode",$B78,"DAF_Award",K$2,PF,PT))</f>
        <v>0</v>
      </c>
      <c r="L78" s="39">
        <f>IF(TRUE,0,_xll.PSFx2BAL(CN,"*","GLCode",$B78,"DAF_Award",L$2,PF,PT))</f>
        <v>0</v>
      </c>
      <c r="M78" s="39">
        <f>IF(TRUE,0,_xll.PSFx2BAL(CN,"*","GLCode",$B78,"DAF_Award",M$2,PF,PT))</f>
        <v>0</v>
      </c>
      <c r="N78" s="39">
        <f>IF(TRUE,0,_xll.PSFx2BAL(CN,"*","GLCode",$B78,"DAF_Award",N$2,PF,PT))</f>
        <v>0</v>
      </c>
      <c r="O78" s="39">
        <f>IF(TRUE,0,_xll.PSFx2BAL(CN,"*","GLCode",$B78,"DAF_Award",O$2,PF,PT))</f>
        <v>0</v>
      </c>
      <c r="P78" s="39">
        <f>IF(TRUE,0,_xll.PSFx2BAL(CN,"*","GLCode",$B78,"DAF_Award",P$2,PF,PT))</f>
        <v>0</v>
      </c>
      <c r="Q78" s="39">
        <f>IF(TRUE,0,_xll.PSFx2BAL(CN,"*","GLCode",$B78,"DAF_Award",Q$2,PF,PT))</f>
        <v>0</v>
      </c>
      <c r="R78" s="39">
        <f>IF(TRUE,0,_xll.PSFx2BAL(CN,"*","GLCode",$B78,"DAF_Award",R$2,PF,PT))</f>
        <v>0</v>
      </c>
      <c r="S78" s="39">
        <f>IF(TRUE,0,_xll.PSFx2BAL(CN,"*","GLCode",$B78,"DAF_Award",S$2,PF,PT))</f>
        <v>0</v>
      </c>
      <c r="T78" s="39">
        <f>IF(TRUE,0,_xll.PSFx2BAL(CN,"*","GLCode",$B78,"DAF_Award",T$2,PF,PT))</f>
        <v>0</v>
      </c>
      <c r="U78" s="39">
        <f>IF(TRUE,0,_xll.PSFx2BAL(CN,"*","GLCode",$B78,"DAF_Award",U$2,PF,PT))</f>
        <v>0</v>
      </c>
      <c r="V78" s="39">
        <f>IF(TRUE,0,_xll.PSFx2BAL(CN,"*","GLCode",$B78,"DAF_Award",V$2,PF,PT))</f>
        <v>0</v>
      </c>
      <c r="W78" s="39">
        <f>IF(TRUE,0,_xll.PSFx2BAL(CN,"*","GLCode",$B78,"DAF_Award",W$2,PF,PT))</f>
        <v>0</v>
      </c>
      <c r="X78" s="39">
        <f>IF(TRUE,0,_xll.PSFx2BAL(CN,"*","GLCode",$B78,"DAF_Award",X$2,PF,PT))</f>
        <v>0</v>
      </c>
      <c r="Y78" s="39">
        <f>IF(TRUE,0,_xll.PSFx2BAL(CN,"*","GLCode",$B78,"DAF_Award",Y$2,PF,PT))</f>
        <v>0</v>
      </c>
      <c r="Z78" s="39">
        <f>IF(TRUE,0,_xll.PSFx2BAL(CN,"*","GLCode",$B78,"DAF_Award",Z$2,PF,PT))</f>
        <v>0</v>
      </c>
      <c r="AA78" s="39">
        <f>IF(TRUE,0,_xll.PSFx2BAL(CN,"*","GLCode",$B78,"DAF_Award",AA$2,PF,PT))</f>
        <v>0</v>
      </c>
      <c r="AB78" s="39">
        <f>IF(TRUE,0,_xll.PSFx2BAL(CN,"*","GLCode",$B78,"DAF_Award",AB$2,PF,PT))</f>
        <v>0</v>
      </c>
      <c r="AC78" s="39">
        <f>IF(TRUE,0,_xll.PSFx2BAL(CN,"*","GLCode",$B78,"DAF_Award",AC$2,PF,PT))</f>
        <v>0</v>
      </c>
      <c r="AD78" s="39">
        <f>IF(TRUE,0,_xll.PSFx2BAL(CN,"*","GLCode",$B78,"DAF_Award",AD$2,PF,PT))</f>
        <v>0</v>
      </c>
      <c r="AE78" s="39">
        <f>IF(TRUE,0,_xll.PSFx2BAL(CN,"*","GLCode",$B78,"DAF_Award",AE$2,PF,PT))</f>
        <v>0</v>
      </c>
      <c r="AF78" s="39">
        <f>IF(TRUE,0,_xll.PSFx2BAL(CN,"*","GLCode",$B78,"DAF_Award",AF$2,PF,PT))</f>
        <v>0</v>
      </c>
      <c r="AG78" s="39">
        <f>IF(TRUE,0,_xll.PSFx2BAL(CN,"*","GLCode",$B78,"DAF_Award",AG$2,PF,PT))</f>
        <v>0</v>
      </c>
      <c r="AH78" s="39">
        <f>IF(TRUE,0,_xll.PSFx2BAL(CN,"*","GLCode",$B78,"DAF_Award",AH$2,PF,PT))</f>
        <v>0</v>
      </c>
      <c r="AI78" s="39">
        <f t="shared" si="41"/>
        <v>3654</v>
      </c>
      <c r="AJ78" s="18">
        <f>VLOOKUP(B78,TB!$B$5:$E$140,4,FALSE)</f>
        <v>3654</v>
      </c>
      <c r="AL78" s="39">
        <f t="shared" si="42"/>
        <v>3654</v>
      </c>
      <c r="AM78" s="39">
        <f t="shared" si="43"/>
        <v>0</v>
      </c>
    </row>
    <row r="79" spans="1:39" x14ac:dyDescent="0.2">
      <c r="A79" s="1">
        <f t="shared" si="33"/>
        <v>7420</v>
      </c>
      <c r="B79" t="s">
        <v>164</v>
      </c>
      <c r="C79" t="s">
        <v>165</v>
      </c>
      <c r="D79" s="39">
        <f>IF(TRUE,0,_xll.PSFx2BAL(CN,"*","GLCode",$B79,"DAF_Award",D$2,PF,PT))</f>
        <v>0</v>
      </c>
      <c r="E79" s="39">
        <f>IF(TRUE,0,_xll.PSFx2BAL(CN,"*","GLCode",$B79,"DAF_Award",E$2,PF,PT))</f>
        <v>0</v>
      </c>
      <c r="F79" s="39">
        <f>IF(TRUE,0,_xll.PSFx2BAL(CN,"*","GLCode",$B79,"DAF_Award",F$2,PF,PT))</f>
        <v>0</v>
      </c>
      <c r="G79" s="39">
        <f>IF(TRUE,0,_xll.PSFx2BAL(CN,"*","GLCode",$B79,"DAF_Award",G$2,PF,PT))</f>
        <v>0</v>
      </c>
      <c r="H79" s="39">
        <f>IF(TRUE,0,_xll.PSFx2BAL(CN,"*","GLCode",$B79,"DAF_Award",H$2,PF,PT))</f>
        <v>0</v>
      </c>
      <c r="I79" s="39">
        <f>IF(TRUE,0,_xll.PSFx2BAL(CN,"*","GLCode",$B79,"DAF_Award",I$2,PF,PT))</f>
        <v>0</v>
      </c>
      <c r="J79" s="39">
        <f>IF(TRUE,0,_xll.PSFx2BAL(CN,"*","GLCode",$B79,"DAF_Award",J$2,PF,PT))</f>
        <v>0</v>
      </c>
      <c r="K79" s="39">
        <f>IF(TRUE,0,_xll.PSFx2BAL(CN,"*","GLCode",$B79,"DAF_Award",K$2,PF,PT))</f>
        <v>0</v>
      </c>
      <c r="L79" s="39">
        <f>IF(TRUE,0,_xll.PSFx2BAL(CN,"*","GLCode",$B79,"DAF_Award",L$2,PF,PT))</f>
        <v>0</v>
      </c>
      <c r="M79" s="39">
        <f>IF(TRUE,0,_xll.PSFx2BAL(CN,"*","GLCode",$B79,"DAF_Award",M$2,PF,PT))</f>
        <v>0</v>
      </c>
      <c r="N79" s="39">
        <f>IF(TRUE,0,_xll.PSFx2BAL(CN,"*","GLCode",$B79,"DAF_Award",N$2,PF,PT))</f>
        <v>0</v>
      </c>
      <c r="O79" s="39">
        <f>IF(TRUE,0,_xll.PSFx2BAL(CN,"*","GLCode",$B79,"DAF_Award",O$2,PF,PT))</f>
        <v>0</v>
      </c>
      <c r="P79" s="39">
        <f>IF(TRUE,0,_xll.PSFx2BAL(CN,"*","GLCode",$B79,"DAF_Award",P$2,PF,PT))</f>
        <v>0</v>
      </c>
      <c r="Q79" s="39">
        <f>IF(TRUE,0,_xll.PSFx2BAL(CN,"*","GLCode",$B79,"DAF_Award",Q$2,PF,PT))</f>
        <v>0</v>
      </c>
      <c r="R79" s="39">
        <f>IF(TRUE,0,_xll.PSFx2BAL(CN,"*","GLCode",$B79,"DAF_Award",R$2,PF,PT))</f>
        <v>0</v>
      </c>
      <c r="S79" s="39">
        <f>IF(TRUE,0,_xll.PSFx2BAL(CN,"*","GLCode",$B79,"DAF_Award",S$2,PF,PT))</f>
        <v>0</v>
      </c>
      <c r="T79" s="39">
        <f>IF(TRUE,0,_xll.PSFx2BAL(CN,"*","GLCode",$B79,"DAF_Award",T$2,PF,PT))</f>
        <v>0</v>
      </c>
      <c r="U79" s="39">
        <f>IF(TRUE,0,_xll.PSFx2BAL(CN,"*","GLCode",$B79,"DAF_Award",U$2,PF,PT))</f>
        <v>0</v>
      </c>
      <c r="V79" s="39">
        <f>IF(TRUE,0,_xll.PSFx2BAL(CN,"*","GLCode",$B79,"DAF_Award",V$2,PF,PT))</f>
        <v>0</v>
      </c>
      <c r="W79" s="39">
        <f>IF(TRUE,0,_xll.PSFx2BAL(CN,"*","GLCode",$B79,"DAF_Award",W$2,PF,PT))</f>
        <v>0</v>
      </c>
      <c r="X79" s="39">
        <f>IF(TRUE,0,_xll.PSFx2BAL(CN,"*","GLCode",$B79,"DAF_Award",X$2,PF,PT))</f>
        <v>0</v>
      </c>
      <c r="Y79" s="39">
        <f>IF(TRUE,0,_xll.PSFx2BAL(CN,"*","GLCode",$B79,"DAF_Award",Y$2,PF,PT))</f>
        <v>0</v>
      </c>
      <c r="Z79" s="39">
        <f>IF(TRUE,0,_xll.PSFx2BAL(CN,"*","GLCode",$B79,"DAF_Award",Z$2,PF,PT))</f>
        <v>0</v>
      </c>
      <c r="AA79" s="39">
        <f>IF(TRUE,0,_xll.PSFx2BAL(CN,"*","GLCode",$B79,"DAF_Award",AA$2,PF,PT))</f>
        <v>0</v>
      </c>
      <c r="AB79" s="39">
        <f>IF(TRUE,0,_xll.PSFx2BAL(CN,"*","GLCode",$B79,"DAF_Award",AB$2,PF,PT))</f>
        <v>0</v>
      </c>
      <c r="AC79" s="39">
        <f>IF(TRUE,0,_xll.PSFx2BAL(CN,"*","GLCode",$B79,"DAF_Award",AC$2,PF,PT))</f>
        <v>0</v>
      </c>
      <c r="AD79" s="39">
        <f>IF(TRUE,0,_xll.PSFx2BAL(CN,"*","GLCode",$B79,"DAF_Award",AD$2,PF,PT))</f>
        <v>0</v>
      </c>
      <c r="AE79" s="39">
        <f>IF(TRUE,0,_xll.PSFx2BAL(CN,"*","GLCode",$B79,"DAF_Award",AE$2,PF,PT))</f>
        <v>0</v>
      </c>
      <c r="AF79" s="39">
        <f>IF(TRUE,0,_xll.PSFx2BAL(CN,"*","GLCode",$B79,"DAF_Award",AF$2,PF,PT))</f>
        <v>0</v>
      </c>
      <c r="AG79" s="39">
        <f>IF(TRUE,0,_xll.PSFx2BAL(CN,"*","GLCode",$B79,"DAF_Award",AG$2,PF,PT))</f>
        <v>0</v>
      </c>
      <c r="AH79" s="39">
        <f>IF(TRUE,18540.01,_xll.PSFx2BAL(CN,"*","GLCode",$B79,"DAF_Award",AH$2,PF,PT))</f>
        <v>18540.009999999998</v>
      </c>
      <c r="AI79" s="274">
        <f t="shared" si="41"/>
        <v>0</v>
      </c>
      <c r="AJ79" s="18">
        <f>VLOOKUP(B79,TB!$B$5:$E$140,4,FALSE)</f>
        <v>18540.009999999998</v>
      </c>
      <c r="AL79" s="39">
        <f t="shared" si="42"/>
        <v>18540.009999999998</v>
      </c>
      <c r="AM79" s="39">
        <f t="shared" si="43"/>
        <v>0</v>
      </c>
    </row>
    <row r="80" spans="1:39" x14ac:dyDescent="0.2">
      <c r="A80" s="1">
        <f t="shared" si="33"/>
        <v>7430</v>
      </c>
      <c r="B80" t="s">
        <v>166</v>
      </c>
      <c r="C80" t="s">
        <v>167</v>
      </c>
      <c r="D80" s="39">
        <f>IF(TRUE,0,_xll.PSFx2BAL(CN,"*","GLCode",$B80,"DAF_Award",D$2,PF,PT))</f>
        <v>0</v>
      </c>
      <c r="E80" s="39">
        <f>IF(TRUE,2199.81,_xll.PSFx2BAL(CN,"*","GLCode",$B80,"DAF_Award",E$2,PF,PT))</f>
        <v>2199.81</v>
      </c>
      <c r="F80" s="39">
        <f>IF(TRUE,0,_xll.PSFx2BAL(CN,"*","GLCode",$B80,"DAF_Award",F$2,PF,PT))</f>
        <v>0</v>
      </c>
      <c r="G80" s="39">
        <f>IF(TRUE,0,_xll.PSFx2BAL(CN,"*","GLCode",$B80,"DAF_Award",G$2,PF,PT))</f>
        <v>0</v>
      </c>
      <c r="H80" s="39">
        <f>IF(TRUE,0,_xll.PSFx2BAL(CN,"*","GLCode",$B80,"DAF_Award",H$2,PF,PT))</f>
        <v>0</v>
      </c>
      <c r="I80" s="39">
        <f>IF(TRUE,0,_xll.PSFx2BAL(CN,"*","GLCode",$B80,"DAF_Award",I$2,PF,PT))</f>
        <v>0</v>
      </c>
      <c r="J80" s="39">
        <f>IF(TRUE,0,_xll.PSFx2BAL(CN,"*","GLCode",$B80,"DAF_Award",J$2,PF,PT))</f>
        <v>0</v>
      </c>
      <c r="K80" s="39">
        <f>IF(TRUE,0,_xll.PSFx2BAL(CN,"*","GLCode",$B80,"DAF_Award",K$2,PF,PT))</f>
        <v>0</v>
      </c>
      <c r="L80" s="39">
        <f>IF(TRUE,0,_xll.PSFx2BAL(CN,"*","GLCode",$B80,"DAF_Award",L$2,PF,PT))</f>
        <v>0</v>
      </c>
      <c r="M80" s="39">
        <f>IF(TRUE,0,_xll.PSFx2BAL(CN,"*","GLCode",$B80,"DAF_Award",M$2,PF,PT))</f>
        <v>0</v>
      </c>
      <c r="N80" s="39">
        <f>IF(TRUE,0,_xll.PSFx2BAL(CN,"*","GLCode",$B80,"DAF_Award",N$2,PF,PT))</f>
        <v>0</v>
      </c>
      <c r="O80" s="39">
        <f>IF(TRUE,0,_xll.PSFx2BAL(CN,"*","GLCode",$B80,"DAF_Award",O$2,PF,PT))</f>
        <v>0</v>
      </c>
      <c r="P80" s="39">
        <f>IF(TRUE,0,_xll.PSFx2BAL(CN,"*","GLCode",$B80,"DAF_Award",P$2,PF,PT))</f>
        <v>0</v>
      </c>
      <c r="Q80" s="39">
        <f>IF(TRUE,0,_xll.PSFx2BAL(CN,"*","GLCode",$B80,"DAF_Award",Q$2,PF,PT))</f>
        <v>0</v>
      </c>
      <c r="R80" s="39">
        <f>IF(TRUE,0,_xll.PSFx2BAL(CN,"*","GLCode",$B80,"DAF_Award",R$2,PF,PT))</f>
        <v>0</v>
      </c>
      <c r="S80" s="39">
        <f>IF(TRUE,0,_xll.PSFx2BAL(CN,"*","GLCode",$B80,"DAF_Award",S$2,PF,PT))</f>
        <v>0</v>
      </c>
      <c r="T80" s="39">
        <f>IF(TRUE,0,_xll.PSFx2BAL(CN,"*","GLCode",$B80,"DAF_Award",T$2,PF,PT))</f>
        <v>0</v>
      </c>
      <c r="U80" s="39">
        <f>IF(TRUE,0,_xll.PSFx2BAL(CN,"*","GLCode",$B80,"DAF_Award",U$2,PF,PT))</f>
        <v>0</v>
      </c>
      <c r="V80" s="39">
        <f>IF(TRUE,0,_xll.PSFx2BAL(CN,"*","GLCode",$B80,"DAF_Award",V$2,PF,PT))</f>
        <v>0</v>
      </c>
      <c r="W80" s="39">
        <f>IF(TRUE,0,_xll.PSFx2BAL(CN,"*","GLCode",$B80,"DAF_Award",W$2,PF,PT))</f>
        <v>0</v>
      </c>
      <c r="X80" s="39">
        <f>IF(TRUE,0,_xll.PSFx2BAL(CN,"*","GLCode",$B80,"DAF_Award",X$2,PF,PT))</f>
        <v>0</v>
      </c>
      <c r="Y80" s="39">
        <f>IF(TRUE,0,_xll.PSFx2BAL(CN,"*","GLCode",$B80,"DAF_Award",Y$2,PF,PT))</f>
        <v>0</v>
      </c>
      <c r="Z80" s="39">
        <f>IF(TRUE,0,_xll.PSFx2BAL(CN,"*","GLCode",$B80,"DAF_Award",Z$2,PF,PT))</f>
        <v>0</v>
      </c>
      <c r="AA80" s="39">
        <f>IF(TRUE,0,_xll.PSFx2BAL(CN,"*","GLCode",$B80,"DAF_Award",AA$2,PF,PT))</f>
        <v>0</v>
      </c>
      <c r="AB80" s="39">
        <f>IF(TRUE,0,_xll.PSFx2BAL(CN,"*","GLCode",$B80,"DAF_Award",AB$2,PF,PT))</f>
        <v>0</v>
      </c>
      <c r="AC80" s="39">
        <f>IF(TRUE,0,_xll.PSFx2BAL(CN,"*","GLCode",$B80,"DAF_Award",AC$2,PF,PT))</f>
        <v>0</v>
      </c>
      <c r="AD80" s="39">
        <f>IF(TRUE,0,_xll.PSFx2BAL(CN,"*","GLCode",$B80,"DAF_Award",AD$2,PF,PT))</f>
        <v>0</v>
      </c>
      <c r="AE80" s="39">
        <f>IF(TRUE,0,_xll.PSFx2BAL(CN,"*","GLCode",$B80,"DAF_Award",AE$2,PF,PT))</f>
        <v>0</v>
      </c>
      <c r="AF80" s="39">
        <f>IF(TRUE,0,_xll.PSFx2BAL(CN,"*","GLCode",$B80,"DAF_Award",AF$2,PF,PT))</f>
        <v>0</v>
      </c>
      <c r="AG80" s="39">
        <f>IF(TRUE,0,_xll.PSFx2BAL(CN,"*","GLCode",$B80,"DAF_Award",AG$2,PF,PT))</f>
        <v>0</v>
      </c>
      <c r="AH80" s="39">
        <f>IF(TRUE,1653.13,_xll.PSFx2BAL(CN,"*","GLCode",$B80,"DAF_Award",AH$2,PF,PT))</f>
        <v>1653.13</v>
      </c>
      <c r="AI80" s="274">
        <f t="shared" si="41"/>
        <v>0</v>
      </c>
      <c r="AJ80" s="18">
        <f>VLOOKUP(B80,TB!$B$5:$E$140,4,FALSE)</f>
        <v>3852.94</v>
      </c>
      <c r="AL80" s="39">
        <f t="shared" si="42"/>
        <v>1653.13</v>
      </c>
      <c r="AM80" s="39">
        <f t="shared" si="43"/>
        <v>2199.81</v>
      </c>
    </row>
    <row r="81" spans="1:39" x14ac:dyDescent="0.2">
      <c r="A81" s="1">
        <f t="shared" si="33"/>
        <v>7500</v>
      </c>
      <c r="B81" t="s">
        <v>168</v>
      </c>
      <c r="C81" t="s">
        <v>169</v>
      </c>
      <c r="D81" s="39">
        <f>IF(TRUE,0,_xll.PSFx2BAL(CN,"*","GLCode",$B81,"DAF_Award",D$2,PF,PT))</f>
        <v>0</v>
      </c>
      <c r="E81" s="39">
        <f>IF(TRUE,0,_xll.PSFx2BAL(CN,"*","GLCode",$B81,"DAF_Award",E$2,PF,PT))</f>
        <v>0</v>
      </c>
      <c r="F81" s="39">
        <f>IF(TRUE,0,_xll.PSFx2BAL(CN,"*","GLCode",$B81,"DAF_Award",F$2,PF,PT))</f>
        <v>0</v>
      </c>
      <c r="G81" s="39">
        <f>IF(TRUE,0,_xll.PSFx2BAL(CN,"*","GLCode",$B81,"DAF_Award",G$2,PF,PT))</f>
        <v>0</v>
      </c>
      <c r="H81" s="39">
        <f>IF(TRUE,0,_xll.PSFx2BAL(CN,"*","GLCode",$B81,"DAF_Award",H$2,PF,PT))</f>
        <v>0</v>
      </c>
      <c r="I81" s="39">
        <f>IF(TRUE,0,_xll.PSFx2BAL(CN,"*","GLCode",$B81,"DAF_Award",I$2,PF,PT))</f>
        <v>0</v>
      </c>
      <c r="J81" s="39">
        <f>IF(TRUE,0,_xll.PSFx2BAL(CN,"*","GLCode",$B81,"DAF_Award",J$2,PF,PT))</f>
        <v>0</v>
      </c>
      <c r="K81" s="39">
        <f>IF(TRUE,0,_xll.PSFx2BAL(CN,"*","GLCode",$B81,"DAF_Award",K$2,PF,PT))</f>
        <v>0</v>
      </c>
      <c r="L81" s="39">
        <f>IF(TRUE,0,_xll.PSFx2BAL(CN,"*","GLCode",$B81,"DAF_Award",L$2,PF,PT))</f>
        <v>0</v>
      </c>
      <c r="M81" s="39">
        <f>IF(TRUE,0,_xll.PSFx2BAL(CN,"*","GLCode",$B81,"DAF_Award",M$2,PF,PT))</f>
        <v>0</v>
      </c>
      <c r="N81" s="39">
        <f>IF(TRUE,0,_xll.PSFx2BAL(CN,"*","GLCode",$B81,"DAF_Award",N$2,PF,PT))</f>
        <v>0</v>
      </c>
      <c r="O81" s="39">
        <f>IF(TRUE,0,_xll.PSFx2BAL(CN,"*","GLCode",$B81,"DAF_Award",O$2,PF,PT))</f>
        <v>0</v>
      </c>
      <c r="P81" s="39">
        <f>IF(TRUE,0,_xll.PSFx2BAL(CN,"*","GLCode",$B81,"DAF_Award",P$2,PF,PT))</f>
        <v>0</v>
      </c>
      <c r="Q81" s="39">
        <f>IF(TRUE,0,_xll.PSFx2BAL(CN,"*","GLCode",$B81,"DAF_Award",Q$2,PF,PT))</f>
        <v>0</v>
      </c>
      <c r="R81" s="39">
        <f>IF(TRUE,0,_xll.PSFx2BAL(CN,"*","GLCode",$B81,"DAF_Award",R$2,PF,PT))</f>
        <v>0</v>
      </c>
      <c r="S81" s="39">
        <f>IF(TRUE,0,_xll.PSFx2BAL(CN,"*","GLCode",$B81,"DAF_Award",S$2,PF,PT))</f>
        <v>0</v>
      </c>
      <c r="T81" s="39">
        <f>IF(TRUE,0,_xll.PSFx2BAL(CN,"*","GLCode",$B81,"DAF_Award",T$2,PF,PT))</f>
        <v>0</v>
      </c>
      <c r="U81" s="39">
        <f>IF(TRUE,0,_xll.PSFx2BAL(CN,"*","GLCode",$B81,"DAF_Award",U$2,PF,PT))</f>
        <v>0</v>
      </c>
      <c r="V81" s="39">
        <f>IF(TRUE,0,_xll.PSFx2BAL(CN,"*","GLCode",$B81,"DAF_Award",V$2,PF,PT))</f>
        <v>0</v>
      </c>
      <c r="W81" s="39">
        <f>IF(TRUE,0,_xll.PSFx2BAL(CN,"*","GLCode",$B81,"DAF_Award",W$2,PF,PT))</f>
        <v>0</v>
      </c>
      <c r="X81" s="39">
        <f>IF(TRUE,0,_xll.PSFx2BAL(CN,"*","GLCode",$B81,"DAF_Award",X$2,PF,PT))</f>
        <v>0</v>
      </c>
      <c r="Y81" s="39">
        <f>IF(TRUE,0,_xll.PSFx2BAL(CN,"*","GLCode",$B81,"DAF_Award",Y$2,PF,PT))</f>
        <v>0</v>
      </c>
      <c r="Z81" s="39">
        <f>IF(TRUE,0,_xll.PSFx2BAL(CN,"*","GLCode",$B81,"DAF_Award",Z$2,PF,PT))</f>
        <v>0</v>
      </c>
      <c r="AA81" s="39">
        <f>IF(TRUE,0,_xll.PSFx2BAL(CN,"*","GLCode",$B81,"DAF_Award",AA$2,PF,PT))</f>
        <v>0</v>
      </c>
      <c r="AB81" s="39">
        <f>IF(TRUE,0,_xll.PSFx2BAL(CN,"*","GLCode",$B81,"DAF_Award",AB$2,PF,PT))</f>
        <v>0</v>
      </c>
      <c r="AC81" s="39">
        <f>IF(TRUE,0,_xll.PSFx2BAL(CN,"*","GLCode",$B81,"DAF_Award",AC$2,PF,PT))</f>
        <v>0</v>
      </c>
      <c r="AD81" s="39">
        <f>IF(TRUE,0,_xll.PSFx2BAL(CN,"*","GLCode",$B81,"DAF_Award",AD$2,PF,PT))</f>
        <v>0</v>
      </c>
      <c r="AE81" s="39">
        <f>IF(TRUE,0,_xll.PSFx2BAL(CN,"*","GLCode",$B81,"DAF_Award",AE$2,PF,PT))</f>
        <v>0</v>
      </c>
      <c r="AF81" s="39">
        <f>IF(TRUE,0,_xll.PSFx2BAL(CN,"*","GLCode",$B81,"DAF_Award",AF$2,PF,PT))</f>
        <v>0</v>
      </c>
      <c r="AG81" s="39">
        <f>IF(TRUE,0,_xll.PSFx2BAL(CN,"*","GLCode",$B81,"DAF_Award",AG$2,PF,PT))</f>
        <v>0</v>
      </c>
      <c r="AH81" s="39">
        <f>IF(TRUE,0,_xll.PSFx2BAL(CN,"*","GLCode",$B81,"DAF_Award",AH$2,PF,PT))</f>
        <v>0</v>
      </c>
      <c r="AI81" s="39">
        <f t="shared" si="41"/>
        <v>3352.32</v>
      </c>
      <c r="AJ81" s="18">
        <f>VLOOKUP(B81,TB!$B$5:$E$140,4,FALSE)</f>
        <v>3352.32</v>
      </c>
      <c r="AL81" s="39">
        <f t="shared" si="42"/>
        <v>3352.32</v>
      </c>
      <c r="AM81" s="39">
        <f t="shared" si="43"/>
        <v>0</v>
      </c>
    </row>
    <row r="82" spans="1:39" hidden="1" x14ac:dyDescent="0.2">
      <c r="A82" s="1">
        <f t="shared" si="33"/>
        <v>7501</v>
      </c>
      <c r="B82" t="s">
        <v>170</v>
      </c>
      <c r="C82" t="s">
        <v>171</v>
      </c>
      <c r="D82" s="39">
        <f>IF(TRUE,0,_xll.PSFx2BAL(CN,"*","GLCode",$B82,"DAF_Award",D$2,PF,PT))</f>
        <v>0</v>
      </c>
      <c r="E82" s="39">
        <f>IF(TRUE,0,_xll.PSFx2BAL(CN,"*","GLCode",$B82,"DAF_Award",E$2,PF,PT))</f>
        <v>0</v>
      </c>
      <c r="F82" s="39">
        <f>IF(TRUE,0,_xll.PSFx2BAL(CN,"*","GLCode",$B82,"DAF_Award",F$2,PF,PT))</f>
        <v>0</v>
      </c>
      <c r="G82" s="39">
        <f>IF(TRUE,0,_xll.PSFx2BAL(CN,"*","GLCode",$B82,"DAF_Award",G$2,PF,PT))</f>
        <v>0</v>
      </c>
      <c r="H82" s="39">
        <f>IF(TRUE,0,_xll.PSFx2BAL(CN,"*","GLCode",$B82,"DAF_Award",H$2,PF,PT))</f>
        <v>0</v>
      </c>
      <c r="I82" s="39">
        <f>IF(TRUE,0,_xll.PSFx2BAL(CN,"*","GLCode",$B82,"DAF_Award",I$2,PF,PT))</f>
        <v>0</v>
      </c>
      <c r="J82" s="39">
        <f>IF(TRUE,0,_xll.PSFx2BAL(CN,"*","GLCode",$B82,"DAF_Award",J$2,PF,PT))</f>
        <v>0</v>
      </c>
      <c r="K82" s="39">
        <f>IF(TRUE,0,_xll.PSFx2BAL(CN,"*","GLCode",$B82,"DAF_Award",K$2,PF,PT))</f>
        <v>0</v>
      </c>
      <c r="L82" s="39">
        <f>IF(TRUE,0,_xll.PSFx2BAL(CN,"*","GLCode",$B82,"DAF_Award",L$2,PF,PT))</f>
        <v>0</v>
      </c>
      <c r="M82" s="39">
        <f>IF(TRUE,0,_xll.PSFx2BAL(CN,"*","GLCode",$B82,"DAF_Award",M$2,PF,PT))</f>
        <v>0</v>
      </c>
      <c r="N82" s="39">
        <f>IF(TRUE,0,_xll.PSFx2BAL(CN,"*","GLCode",$B82,"DAF_Award",N$2,PF,PT))</f>
        <v>0</v>
      </c>
      <c r="O82" s="39">
        <f>IF(TRUE,0,_xll.PSFx2BAL(CN,"*","GLCode",$B82,"DAF_Award",O$2,PF,PT))</f>
        <v>0</v>
      </c>
      <c r="P82" s="39">
        <f>IF(TRUE,0,_xll.PSFx2BAL(CN,"*","GLCode",$B82,"DAF_Award",P$2,PF,PT))</f>
        <v>0</v>
      </c>
      <c r="Q82" s="39">
        <f>IF(TRUE,0,_xll.PSFx2BAL(CN,"*","GLCode",$B82,"DAF_Award",Q$2,PF,PT))</f>
        <v>0</v>
      </c>
      <c r="R82" s="39">
        <f>IF(TRUE,0,_xll.PSFx2BAL(CN,"*","GLCode",$B82,"DAF_Award",R$2,PF,PT))</f>
        <v>0</v>
      </c>
      <c r="S82" s="39">
        <f>IF(TRUE,0,_xll.PSFx2BAL(CN,"*","GLCode",$B82,"DAF_Award",S$2,PF,PT))</f>
        <v>0</v>
      </c>
      <c r="T82" s="39">
        <f>IF(TRUE,0,_xll.PSFx2BAL(CN,"*","GLCode",$B82,"DAF_Award",T$2,PF,PT))</f>
        <v>0</v>
      </c>
      <c r="U82" s="39">
        <f>IF(TRUE,0,_xll.PSFx2BAL(CN,"*","GLCode",$B82,"DAF_Award",U$2,PF,PT))</f>
        <v>0</v>
      </c>
      <c r="V82" s="39">
        <f>IF(TRUE,0,_xll.PSFx2BAL(CN,"*","GLCode",$B82,"DAF_Award",V$2,PF,PT))</f>
        <v>0</v>
      </c>
      <c r="W82" s="39">
        <f>IF(TRUE,0,_xll.PSFx2BAL(CN,"*","GLCode",$B82,"DAF_Award",W$2,PF,PT))</f>
        <v>0</v>
      </c>
      <c r="X82" s="39">
        <f>IF(TRUE,0,_xll.PSFx2BAL(CN,"*","GLCode",$B82,"DAF_Award",X$2,PF,PT))</f>
        <v>0</v>
      </c>
      <c r="Y82" s="39">
        <f>IF(TRUE,0,_xll.PSFx2BAL(CN,"*","GLCode",$B82,"DAF_Award",Y$2,PF,PT))</f>
        <v>0</v>
      </c>
      <c r="Z82" s="39">
        <f>IF(TRUE,0,_xll.PSFx2BAL(CN,"*","GLCode",$B82,"DAF_Award",Z$2,PF,PT))</f>
        <v>0</v>
      </c>
      <c r="AA82" s="39">
        <f>IF(TRUE,0,_xll.PSFx2BAL(CN,"*","GLCode",$B82,"DAF_Award",AA$2,PF,PT))</f>
        <v>0</v>
      </c>
      <c r="AB82" s="39">
        <f>IF(TRUE,0,_xll.PSFx2BAL(CN,"*","GLCode",$B82,"DAF_Award",AB$2,PF,PT))</f>
        <v>0</v>
      </c>
      <c r="AC82" s="39">
        <f>IF(TRUE,0,_xll.PSFx2BAL(CN,"*","GLCode",$B82,"DAF_Award",AC$2,PF,PT))</f>
        <v>0</v>
      </c>
      <c r="AD82" s="39">
        <f>IF(TRUE,0,_xll.PSFx2BAL(CN,"*","GLCode",$B82,"DAF_Award",AD$2,PF,PT))</f>
        <v>0</v>
      </c>
      <c r="AE82" s="39">
        <f>IF(TRUE,0,_xll.PSFx2BAL(CN,"*","GLCode",$B82,"DAF_Award",AE$2,PF,PT))</f>
        <v>0</v>
      </c>
      <c r="AF82" s="39">
        <f>IF(TRUE,0,_xll.PSFx2BAL(CN,"*","GLCode",$B82,"DAF_Award",AF$2,PF,PT))</f>
        <v>0</v>
      </c>
      <c r="AG82" s="39">
        <f>IF(TRUE,0,_xll.PSFx2BAL(CN,"*","GLCode",$B82,"DAF_Award",AG$2,PF,PT))</f>
        <v>0</v>
      </c>
      <c r="AH82" s="39">
        <f>IF(TRUE,0,_xll.PSFx2BAL(CN,"*","GLCode",$B82,"DAF_Award",AH$2,PF,PT))</f>
        <v>0</v>
      </c>
      <c r="AI82" s="39">
        <f t="shared" si="41"/>
        <v>0</v>
      </c>
      <c r="AJ82" s="18">
        <f>VLOOKUP(B82,TB!$B$5:$E$140,4,FALSE)</f>
        <v>0</v>
      </c>
      <c r="AL82" s="39">
        <f t="shared" si="42"/>
        <v>0</v>
      </c>
      <c r="AM82" s="39">
        <f t="shared" si="43"/>
        <v>0</v>
      </c>
    </row>
    <row r="83" spans="1:39" x14ac:dyDescent="0.2">
      <c r="A83" s="1">
        <f t="shared" ref="A83:A99" si="44">VALUE(B83)</f>
        <v>7510</v>
      </c>
      <c r="B83" t="s">
        <v>172</v>
      </c>
      <c r="C83" t="s">
        <v>173</v>
      </c>
      <c r="D83" s="39">
        <f>IF(TRUE,0,_xll.PSFx2BAL(CN,"*","GLCode",$B83,"DAF_Award",D$2,PF,PT))</f>
        <v>0</v>
      </c>
      <c r="E83" s="39">
        <f>IF(TRUE,0,_xll.PSFx2BAL(CN,"*","GLCode",$B83,"DAF_Award",E$2,PF,PT))</f>
        <v>0</v>
      </c>
      <c r="F83" s="39">
        <f>IF(TRUE,0,_xll.PSFx2BAL(CN,"*","GLCode",$B83,"DAF_Award",F$2,PF,PT))</f>
        <v>0</v>
      </c>
      <c r="G83" s="39">
        <f>IF(TRUE,0,_xll.PSFx2BAL(CN,"*","GLCode",$B83,"DAF_Award",G$2,PF,PT))</f>
        <v>0</v>
      </c>
      <c r="H83" s="39">
        <f>IF(TRUE,0,_xll.PSFx2BAL(CN,"*","GLCode",$B83,"DAF_Award",H$2,PF,PT))</f>
        <v>0</v>
      </c>
      <c r="I83" s="39">
        <f>IF(TRUE,0,_xll.PSFx2BAL(CN,"*","GLCode",$B83,"DAF_Award",I$2,PF,PT))</f>
        <v>0</v>
      </c>
      <c r="J83" s="39">
        <f>IF(TRUE,0,_xll.PSFx2BAL(CN,"*","GLCode",$B83,"DAF_Award",J$2,PF,PT))</f>
        <v>0</v>
      </c>
      <c r="K83" s="39">
        <f>IF(TRUE,0,_xll.PSFx2BAL(CN,"*","GLCode",$B83,"DAF_Award",K$2,PF,PT))</f>
        <v>0</v>
      </c>
      <c r="L83" s="39">
        <f>IF(TRUE,0,_xll.PSFx2BAL(CN,"*","GLCode",$B83,"DAF_Award",L$2,PF,PT))</f>
        <v>0</v>
      </c>
      <c r="M83" s="39">
        <f>IF(TRUE,0,_xll.PSFx2BAL(CN,"*","GLCode",$B83,"DAF_Award",M$2,PF,PT))</f>
        <v>0</v>
      </c>
      <c r="N83" s="39">
        <f>IF(TRUE,0,_xll.PSFx2BAL(CN,"*","GLCode",$B83,"DAF_Award",N$2,PF,PT))</f>
        <v>0</v>
      </c>
      <c r="O83" s="39">
        <f>IF(TRUE,0,_xll.PSFx2BAL(CN,"*","GLCode",$B83,"DAF_Award",O$2,PF,PT))</f>
        <v>0</v>
      </c>
      <c r="P83" s="39">
        <f>IF(TRUE,0,_xll.PSFx2BAL(CN,"*","GLCode",$B83,"DAF_Award",P$2,PF,PT))</f>
        <v>0</v>
      </c>
      <c r="Q83" s="39">
        <f>IF(TRUE,0,_xll.PSFx2BAL(CN,"*","GLCode",$B83,"DAF_Award",Q$2,PF,PT))</f>
        <v>0</v>
      </c>
      <c r="R83" s="39">
        <f>IF(TRUE,0,_xll.PSFx2BAL(CN,"*","GLCode",$B83,"DAF_Award",R$2,PF,PT))</f>
        <v>0</v>
      </c>
      <c r="S83" s="39">
        <f>IF(TRUE,0,_xll.PSFx2BAL(CN,"*","GLCode",$B83,"DAF_Award",S$2,PF,PT))</f>
        <v>0</v>
      </c>
      <c r="T83" s="39">
        <f>IF(TRUE,0,_xll.PSFx2BAL(CN,"*","GLCode",$B83,"DAF_Award",T$2,PF,PT))</f>
        <v>0</v>
      </c>
      <c r="U83" s="39">
        <f>IF(TRUE,0,_xll.PSFx2BAL(CN,"*","GLCode",$B83,"DAF_Award",U$2,PF,PT))</f>
        <v>0</v>
      </c>
      <c r="V83" s="39">
        <f>IF(TRUE,0,_xll.PSFx2BAL(CN,"*","GLCode",$B83,"DAF_Award",V$2,PF,PT))</f>
        <v>0</v>
      </c>
      <c r="W83" s="39">
        <f>IF(TRUE,0,_xll.PSFx2BAL(CN,"*","GLCode",$B83,"DAF_Award",W$2,PF,PT))</f>
        <v>0</v>
      </c>
      <c r="X83" s="39">
        <f>IF(TRUE,0,_xll.PSFx2BAL(CN,"*","GLCode",$B83,"DAF_Award",X$2,PF,PT))</f>
        <v>0</v>
      </c>
      <c r="Y83" s="39">
        <f>IF(TRUE,0,_xll.PSFx2BAL(CN,"*","GLCode",$B83,"DAF_Award",Y$2,PF,PT))</f>
        <v>0</v>
      </c>
      <c r="Z83" s="39">
        <f>IF(TRUE,0,_xll.PSFx2BAL(CN,"*","GLCode",$B83,"DAF_Award",Z$2,PF,PT))</f>
        <v>0</v>
      </c>
      <c r="AA83" s="39">
        <f>IF(TRUE,0,_xll.PSFx2BAL(CN,"*","GLCode",$B83,"DAF_Award",AA$2,PF,PT))</f>
        <v>0</v>
      </c>
      <c r="AB83" s="39">
        <f>IF(TRUE,0,_xll.PSFx2BAL(CN,"*","GLCode",$B83,"DAF_Award",AB$2,PF,PT))</f>
        <v>0</v>
      </c>
      <c r="AC83" s="39">
        <f>IF(TRUE,0,_xll.PSFx2BAL(CN,"*","GLCode",$B83,"DAF_Award",AC$2,PF,PT))</f>
        <v>0</v>
      </c>
      <c r="AD83" s="39">
        <f>IF(TRUE,0,_xll.PSFx2BAL(CN,"*","GLCode",$B83,"DAF_Award",AD$2,PF,PT))</f>
        <v>0</v>
      </c>
      <c r="AE83" s="39">
        <f>IF(TRUE,0,_xll.PSFx2BAL(CN,"*","GLCode",$B83,"DAF_Award",AE$2,PF,PT))</f>
        <v>0</v>
      </c>
      <c r="AF83" s="39">
        <f>IF(TRUE,0,_xll.PSFx2BAL(CN,"*","GLCode",$B83,"DAF_Award",AF$2,PF,PT))</f>
        <v>0</v>
      </c>
      <c r="AG83" s="39">
        <f>IF(TRUE,0,_xll.PSFx2BAL(CN,"*","GLCode",$B83,"DAF_Award",AG$2,PF,PT))</f>
        <v>0</v>
      </c>
      <c r="AH83" s="39">
        <f>IF(TRUE,0,_xll.PSFx2BAL(CN,"*","GLCode",$B83,"DAF_Award",AH$2,PF,PT))</f>
        <v>0</v>
      </c>
      <c r="AI83" s="39">
        <f t="shared" ref="AI83:AI92" si="45">AJ83-SUM(D83:AH83)</f>
        <v>27120</v>
      </c>
      <c r="AJ83" s="18">
        <f>VLOOKUP(B83,TB!$B$5:$E$140,4,FALSE)</f>
        <v>27120</v>
      </c>
      <c r="AL83" s="39">
        <f t="shared" ref="AL83:AL92" si="46">SUM(W83:AI83)</f>
        <v>27120</v>
      </c>
      <c r="AM83" s="39">
        <f t="shared" ref="AM83:AM92" si="47">AJ83-AL83</f>
        <v>0</v>
      </c>
    </row>
    <row r="84" spans="1:39" hidden="1" x14ac:dyDescent="0.2">
      <c r="A84" s="1">
        <f t="shared" si="44"/>
        <v>7511</v>
      </c>
      <c r="B84" t="s">
        <v>174</v>
      </c>
      <c r="C84" t="s">
        <v>175</v>
      </c>
      <c r="D84" s="39">
        <f>IF(TRUE,0,_xll.PSFx2BAL(CN,"*","GLCode",$B84,"DAF_Award",D$2,PF,PT))</f>
        <v>0</v>
      </c>
      <c r="E84" s="39">
        <f>IF(TRUE,0,_xll.PSFx2BAL(CN,"*","GLCode",$B84,"DAF_Award",E$2,PF,PT))</f>
        <v>0</v>
      </c>
      <c r="F84" s="39">
        <f>IF(TRUE,0,_xll.PSFx2BAL(CN,"*","GLCode",$B84,"DAF_Award",F$2,PF,PT))</f>
        <v>0</v>
      </c>
      <c r="G84" s="39">
        <f>IF(TRUE,0,_xll.PSFx2BAL(CN,"*","GLCode",$B84,"DAF_Award",G$2,PF,PT))</f>
        <v>0</v>
      </c>
      <c r="H84" s="39">
        <f>IF(TRUE,0,_xll.PSFx2BAL(CN,"*","GLCode",$B84,"DAF_Award",H$2,PF,PT))</f>
        <v>0</v>
      </c>
      <c r="I84" s="39">
        <f>IF(TRUE,0,_xll.PSFx2BAL(CN,"*","GLCode",$B84,"DAF_Award",I$2,PF,PT))</f>
        <v>0</v>
      </c>
      <c r="J84" s="39">
        <f>IF(TRUE,0,_xll.PSFx2BAL(CN,"*","GLCode",$B84,"DAF_Award",J$2,PF,PT))</f>
        <v>0</v>
      </c>
      <c r="K84" s="39">
        <f>IF(TRUE,0,_xll.PSFx2BAL(CN,"*","GLCode",$B84,"DAF_Award",K$2,PF,PT))</f>
        <v>0</v>
      </c>
      <c r="L84" s="39">
        <f>IF(TRUE,0,_xll.PSFx2BAL(CN,"*","GLCode",$B84,"DAF_Award",L$2,PF,PT))</f>
        <v>0</v>
      </c>
      <c r="M84" s="39">
        <f>IF(TRUE,0,_xll.PSFx2BAL(CN,"*","GLCode",$B84,"DAF_Award",M$2,PF,PT))</f>
        <v>0</v>
      </c>
      <c r="N84" s="39">
        <f>IF(TRUE,0,_xll.PSFx2BAL(CN,"*","GLCode",$B84,"DAF_Award",N$2,PF,PT))</f>
        <v>0</v>
      </c>
      <c r="O84" s="39">
        <f>IF(TRUE,0,_xll.PSFx2BAL(CN,"*","GLCode",$B84,"DAF_Award",O$2,PF,PT))</f>
        <v>0</v>
      </c>
      <c r="P84" s="39">
        <f>IF(TRUE,0,_xll.PSFx2BAL(CN,"*","GLCode",$B84,"DAF_Award",P$2,PF,PT))</f>
        <v>0</v>
      </c>
      <c r="Q84" s="39">
        <f>IF(TRUE,0,_xll.PSFx2BAL(CN,"*","GLCode",$B84,"DAF_Award",Q$2,PF,PT))</f>
        <v>0</v>
      </c>
      <c r="R84" s="39">
        <f>IF(TRUE,0,_xll.PSFx2BAL(CN,"*","GLCode",$B84,"DAF_Award",R$2,PF,PT))</f>
        <v>0</v>
      </c>
      <c r="S84" s="39">
        <f>IF(TRUE,0,_xll.PSFx2BAL(CN,"*","GLCode",$B84,"DAF_Award",S$2,PF,PT))</f>
        <v>0</v>
      </c>
      <c r="T84" s="39">
        <f>IF(TRUE,0,_xll.PSFx2BAL(CN,"*","GLCode",$B84,"DAF_Award",T$2,PF,PT))</f>
        <v>0</v>
      </c>
      <c r="U84" s="39">
        <f>IF(TRUE,0,_xll.PSFx2BAL(CN,"*","GLCode",$B84,"DAF_Award",U$2,PF,PT))</f>
        <v>0</v>
      </c>
      <c r="V84" s="39">
        <f>IF(TRUE,0,_xll.PSFx2BAL(CN,"*","GLCode",$B84,"DAF_Award",V$2,PF,PT))</f>
        <v>0</v>
      </c>
      <c r="W84" s="39">
        <f>IF(TRUE,0,_xll.PSFx2BAL(CN,"*","GLCode",$B84,"DAF_Award",W$2,PF,PT))</f>
        <v>0</v>
      </c>
      <c r="X84" s="39">
        <f>IF(TRUE,0,_xll.PSFx2BAL(CN,"*","GLCode",$B84,"DAF_Award",X$2,PF,PT))</f>
        <v>0</v>
      </c>
      <c r="Y84" s="39">
        <f>IF(TRUE,0,_xll.PSFx2BAL(CN,"*","GLCode",$B84,"DAF_Award",Y$2,PF,PT))</f>
        <v>0</v>
      </c>
      <c r="Z84" s="39">
        <f>IF(TRUE,0,_xll.PSFx2BAL(CN,"*","GLCode",$B84,"DAF_Award",Z$2,PF,PT))</f>
        <v>0</v>
      </c>
      <c r="AA84" s="39">
        <f>IF(TRUE,0,_xll.PSFx2BAL(CN,"*","GLCode",$B84,"DAF_Award",AA$2,PF,PT))</f>
        <v>0</v>
      </c>
      <c r="AB84" s="39">
        <f>IF(TRUE,0,_xll.PSFx2BAL(CN,"*","GLCode",$B84,"DAF_Award",AB$2,PF,PT))</f>
        <v>0</v>
      </c>
      <c r="AC84" s="39">
        <f>IF(TRUE,0,_xll.PSFx2BAL(CN,"*","GLCode",$B84,"DAF_Award",AC$2,PF,PT))</f>
        <v>0</v>
      </c>
      <c r="AD84" s="39">
        <f>IF(TRUE,0,_xll.PSFx2BAL(CN,"*","GLCode",$B84,"DAF_Award",AD$2,PF,PT))</f>
        <v>0</v>
      </c>
      <c r="AE84" s="39">
        <f>IF(TRUE,0,_xll.PSFx2BAL(CN,"*","GLCode",$B84,"DAF_Award",AE$2,PF,PT))</f>
        <v>0</v>
      </c>
      <c r="AF84" s="39">
        <f>IF(TRUE,0,_xll.PSFx2BAL(CN,"*","GLCode",$B84,"DAF_Award",AF$2,PF,PT))</f>
        <v>0</v>
      </c>
      <c r="AG84" s="39">
        <f>IF(TRUE,0,_xll.PSFx2BAL(CN,"*","GLCode",$B84,"DAF_Award",AG$2,PF,PT))</f>
        <v>0</v>
      </c>
      <c r="AH84" s="39">
        <f>IF(TRUE,0,_xll.PSFx2BAL(CN,"*","GLCode",$B84,"DAF_Award",AH$2,PF,PT))</f>
        <v>0</v>
      </c>
      <c r="AI84" s="39">
        <f t="shared" si="45"/>
        <v>0</v>
      </c>
      <c r="AJ84" s="18">
        <f>VLOOKUP(B84,TB!$B$5:$E$140,4,FALSE)</f>
        <v>0</v>
      </c>
      <c r="AL84" s="39">
        <f t="shared" si="46"/>
        <v>0</v>
      </c>
      <c r="AM84" s="39">
        <f t="shared" si="47"/>
        <v>0</v>
      </c>
    </row>
    <row r="85" spans="1:39" x14ac:dyDescent="0.2">
      <c r="A85" s="1">
        <f t="shared" si="44"/>
        <v>7515</v>
      </c>
      <c r="B85" t="s">
        <v>176</v>
      </c>
      <c r="C85" t="s">
        <v>177</v>
      </c>
      <c r="D85" s="39">
        <f>IF(TRUE,0,_xll.PSFx2BAL(CN,"*","GLCode",$B85,"DAF_Award",D$2,PF,PT))</f>
        <v>0</v>
      </c>
      <c r="E85" s="39">
        <f>IF(TRUE,0,_xll.PSFx2BAL(CN,"*","GLCode",$B85,"DAF_Award",E$2,PF,PT))</f>
        <v>0</v>
      </c>
      <c r="F85" s="39">
        <f>IF(TRUE,0,_xll.PSFx2BAL(CN,"*","GLCode",$B85,"DAF_Award",F$2,PF,PT))</f>
        <v>0</v>
      </c>
      <c r="G85" s="39">
        <f>IF(TRUE,0,_xll.PSFx2BAL(CN,"*","GLCode",$B85,"DAF_Award",G$2,PF,PT))</f>
        <v>0</v>
      </c>
      <c r="H85" s="39">
        <f>IF(TRUE,0,_xll.PSFx2BAL(CN,"*","GLCode",$B85,"DAF_Award",H$2,PF,PT))</f>
        <v>0</v>
      </c>
      <c r="I85" s="39">
        <f>IF(TRUE,0,_xll.PSFx2BAL(CN,"*","GLCode",$B85,"DAF_Award",I$2,PF,PT))</f>
        <v>0</v>
      </c>
      <c r="J85" s="39">
        <f>IF(TRUE,0,_xll.PSFx2BAL(CN,"*","GLCode",$B85,"DAF_Award",J$2,PF,PT))</f>
        <v>0</v>
      </c>
      <c r="K85" s="39">
        <f>IF(TRUE,0,_xll.PSFx2BAL(CN,"*","GLCode",$B85,"DAF_Award",K$2,PF,PT))</f>
        <v>0</v>
      </c>
      <c r="L85" s="39">
        <f>IF(TRUE,0,_xll.PSFx2BAL(CN,"*","GLCode",$B85,"DAF_Award",L$2,PF,PT))</f>
        <v>0</v>
      </c>
      <c r="M85" s="39">
        <f>IF(TRUE,0,_xll.PSFx2BAL(CN,"*","GLCode",$B85,"DAF_Award",M$2,PF,PT))</f>
        <v>0</v>
      </c>
      <c r="N85" s="39">
        <f>IF(TRUE,0,_xll.PSFx2BAL(CN,"*","GLCode",$B85,"DAF_Award",N$2,PF,PT))</f>
        <v>0</v>
      </c>
      <c r="O85" s="39">
        <f>IF(TRUE,0,_xll.PSFx2BAL(CN,"*","GLCode",$B85,"DAF_Award",O$2,PF,PT))</f>
        <v>0</v>
      </c>
      <c r="P85" s="39">
        <f>IF(TRUE,0,_xll.PSFx2BAL(CN,"*","GLCode",$B85,"DAF_Award",P$2,PF,PT))</f>
        <v>0</v>
      </c>
      <c r="Q85" s="39">
        <f>IF(TRUE,0,_xll.PSFx2BAL(CN,"*","GLCode",$B85,"DAF_Award",Q$2,PF,PT))</f>
        <v>0</v>
      </c>
      <c r="R85" s="39">
        <f>IF(TRUE,0,_xll.PSFx2BAL(CN,"*","GLCode",$B85,"DAF_Award",R$2,PF,PT))</f>
        <v>0</v>
      </c>
      <c r="S85" s="39">
        <f>IF(TRUE,0,_xll.PSFx2BAL(CN,"*","GLCode",$B85,"DAF_Award",S$2,PF,PT))</f>
        <v>0</v>
      </c>
      <c r="T85" s="39">
        <f>IF(TRUE,0,_xll.PSFx2BAL(CN,"*","GLCode",$B85,"DAF_Award",T$2,PF,PT))</f>
        <v>0</v>
      </c>
      <c r="U85" s="39">
        <f>IF(TRUE,0,_xll.PSFx2BAL(CN,"*","GLCode",$B85,"DAF_Award",U$2,PF,PT))</f>
        <v>0</v>
      </c>
      <c r="V85" s="39">
        <f>IF(TRUE,0,_xll.PSFx2BAL(CN,"*","GLCode",$B85,"DAF_Award",V$2,PF,PT))</f>
        <v>0</v>
      </c>
      <c r="W85" s="39">
        <f>IF(TRUE,0,_xll.PSFx2BAL(CN,"*","GLCode",$B85,"DAF_Award",W$2,PF,PT))</f>
        <v>0</v>
      </c>
      <c r="X85" s="39">
        <f>IF(TRUE,0,_xll.PSFx2BAL(CN,"*","GLCode",$B85,"DAF_Award",X$2,PF,PT))</f>
        <v>0</v>
      </c>
      <c r="Y85" s="39">
        <f>IF(TRUE,0,_xll.PSFx2BAL(CN,"*","GLCode",$B85,"DAF_Award",Y$2,PF,PT))</f>
        <v>0</v>
      </c>
      <c r="Z85" s="39">
        <f>IF(TRUE,0,_xll.PSFx2BAL(CN,"*","GLCode",$B85,"DAF_Award",Z$2,PF,PT))</f>
        <v>0</v>
      </c>
      <c r="AA85" s="39">
        <f>IF(TRUE,0,_xll.PSFx2BAL(CN,"*","GLCode",$B85,"DAF_Award",AA$2,PF,PT))</f>
        <v>0</v>
      </c>
      <c r="AB85" s="39">
        <f>IF(TRUE,0,_xll.PSFx2BAL(CN,"*","GLCode",$B85,"DAF_Award",AB$2,PF,PT))</f>
        <v>0</v>
      </c>
      <c r="AC85" s="39">
        <f>IF(TRUE,0,_xll.PSFx2BAL(CN,"*","GLCode",$B85,"DAF_Award",AC$2,PF,PT))</f>
        <v>0</v>
      </c>
      <c r="AD85" s="39">
        <f>IF(TRUE,0,_xll.PSFx2BAL(CN,"*","GLCode",$B85,"DAF_Award",AD$2,PF,PT))</f>
        <v>0</v>
      </c>
      <c r="AE85" s="39">
        <f>IF(TRUE,0,_xll.PSFx2BAL(CN,"*","GLCode",$B85,"DAF_Award",AE$2,PF,PT))</f>
        <v>0</v>
      </c>
      <c r="AF85" s="39">
        <f>IF(TRUE,0,_xll.PSFx2BAL(CN,"*","GLCode",$B85,"DAF_Award",AF$2,PF,PT))</f>
        <v>0</v>
      </c>
      <c r="AG85" s="39">
        <f>IF(TRUE,0,_xll.PSFx2BAL(CN,"*","GLCode",$B85,"DAF_Award",AG$2,PF,PT))</f>
        <v>0</v>
      </c>
      <c r="AH85" s="39">
        <f>IF(TRUE,0,_xll.PSFx2BAL(CN,"*","GLCode",$B85,"DAF_Award",AH$2,PF,PT))</f>
        <v>0</v>
      </c>
      <c r="AI85" s="39">
        <f t="shared" si="45"/>
        <v>3489.22</v>
      </c>
      <c r="AJ85" s="18">
        <f>VLOOKUP(B85,TB!$B$5:$E$140,4,FALSE)</f>
        <v>3489.22</v>
      </c>
      <c r="AL85" s="39">
        <f t="shared" si="46"/>
        <v>3489.22</v>
      </c>
      <c r="AM85" s="39">
        <f t="shared" si="47"/>
        <v>0</v>
      </c>
    </row>
    <row r="86" spans="1:39" x14ac:dyDescent="0.2">
      <c r="A86" s="1">
        <f t="shared" si="44"/>
        <v>7520</v>
      </c>
      <c r="B86" t="s">
        <v>178</v>
      </c>
      <c r="C86" t="s">
        <v>179</v>
      </c>
      <c r="D86" s="39">
        <f>IF(TRUE,0,_xll.PSFx2BAL(CN,"*","GLCode",$B86,"DAF_Award",D$2,PF,PT))</f>
        <v>0</v>
      </c>
      <c r="E86" s="39">
        <f>IF(TRUE,0,_xll.PSFx2BAL(CN,"*","GLCode",$B86,"DAF_Award",E$2,PF,PT))</f>
        <v>0</v>
      </c>
      <c r="F86" s="39">
        <f>IF(TRUE,0,_xll.PSFx2BAL(CN,"*","GLCode",$B86,"DAF_Award",F$2,PF,PT))</f>
        <v>0</v>
      </c>
      <c r="G86" s="39">
        <f>IF(TRUE,0,_xll.PSFx2BAL(CN,"*","GLCode",$B86,"DAF_Award",G$2,PF,PT))</f>
        <v>0</v>
      </c>
      <c r="H86" s="39">
        <f>IF(TRUE,0,_xll.PSFx2BAL(CN,"*","GLCode",$B86,"DAF_Award",H$2,PF,PT))</f>
        <v>0</v>
      </c>
      <c r="I86" s="39">
        <f>IF(TRUE,0,_xll.PSFx2BAL(CN,"*","GLCode",$B86,"DAF_Award",I$2,PF,PT))</f>
        <v>0</v>
      </c>
      <c r="J86" s="39">
        <f>IF(TRUE,0,_xll.PSFx2BAL(CN,"*","GLCode",$B86,"DAF_Award",J$2,PF,PT))</f>
        <v>0</v>
      </c>
      <c r="K86" s="39">
        <f>IF(TRUE,0,_xll.PSFx2BAL(CN,"*","GLCode",$B86,"DAF_Award",K$2,PF,PT))</f>
        <v>0</v>
      </c>
      <c r="L86" s="39">
        <f>IF(TRUE,0,_xll.PSFx2BAL(CN,"*","GLCode",$B86,"DAF_Award",L$2,PF,PT))</f>
        <v>0</v>
      </c>
      <c r="M86" s="39">
        <f>IF(TRUE,0,_xll.PSFx2BAL(CN,"*","GLCode",$B86,"DAF_Award",M$2,PF,PT))</f>
        <v>0</v>
      </c>
      <c r="N86" s="39">
        <f>IF(TRUE,0,_xll.PSFx2BAL(CN,"*","GLCode",$B86,"DAF_Award",N$2,PF,PT))</f>
        <v>0</v>
      </c>
      <c r="O86" s="39">
        <f>IF(TRUE,0,_xll.PSFx2BAL(CN,"*","GLCode",$B86,"DAF_Award",O$2,PF,PT))</f>
        <v>0</v>
      </c>
      <c r="P86" s="39">
        <f>IF(TRUE,0,_xll.PSFx2BAL(CN,"*","GLCode",$B86,"DAF_Award",P$2,PF,PT))</f>
        <v>0</v>
      </c>
      <c r="Q86" s="39">
        <f>IF(TRUE,0,_xll.PSFx2BAL(CN,"*","GLCode",$B86,"DAF_Award",Q$2,PF,PT))</f>
        <v>0</v>
      </c>
      <c r="R86" s="39">
        <f>IF(TRUE,0,_xll.PSFx2BAL(CN,"*","GLCode",$B86,"DAF_Award",R$2,PF,PT))</f>
        <v>0</v>
      </c>
      <c r="S86" s="39">
        <f>IF(TRUE,0,_xll.PSFx2BAL(CN,"*","GLCode",$B86,"DAF_Award",S$2,PF,PT))</f>
        <v>0</v>
      </c>
      <c r="T86" s="39">
        <f>IF(TRUE,0,_xll.PSFx2BAL(CN,"*","GLCode",$B86,"DAF_Award",T$2,PF,PT))</f>
        <v>0</v>
      </c>
      <c r="U86" s="39">
        <f>IF(TRUE,0,_xll.PSFx2BAL(CN,"*","GLCode",$B86,"DAF_Award",U$2,PF,PT))</f>
        <v>0</v>
      </c>
      <c r="V86" s="39">
        <f>IF(TRUE,0,_xll.PSFx2BAL(CN,"*","GLCode",$B86,"DAF_Award",V$2,PF,PT))</f>
        <v>0</v>
      </c>
      <c r="W86" s="39">
        <f>IF(TRUE,0,_xll.PSFx2BAL(CN,"*","GLCode",$B86,"DAF_Award",W$2,PF,PT))</f>
        <v>0</v>
      </c>
      <c r="X86" s="39">
        <f>IF(TRUE,0,_xll.PSFx2BAL(CN,"*","GLCode",$B86,"DAF_Award",X$2,PF,PT))</f>
        <v>0</v>
      </c>
      <c r="Y86" s="39">
        <f>IF(TRUE,0,_xll.PSFx2BAL(CN,"*","GLCode",$B86,"DAF_Award",Y$2,PF,PT))</f>
        <v>0</v>
      </c>
      <c r="Z86" s="39">
        <f>IF(TRUE,0,_xll.PSFx2BAL(CN,"*","GLCode",$B86,"DAF_Award",Z$2,PF,PT))</f>
        <v>0</v>
      </c>
      <c r="AA86" s="39">
        <f>IF(TRUE,0,_xll.PSFx2BAL(CN,"*","GLCode",$B86,"DAF_Award",AA$2,PF,PT))</f>
        <v>0</v>
      </c>
      <c r="AB86" s="39">
        <f>IF(TRUE,0,_xll.PSFx2BAL(CN,"*","GLCode",$B86,"DAF_Award",AB$2,PF,PT))</f>
        <v>0</v>
      </c>
      <c r="AC86" s="39">
        <f>IF(TRUE,0,_xll.PSFx2BAL(CN,"*","GLCode",$B86,"DAF_Award",AC$2,PF,PT))</f>
        <v>0</v>
      </c>
      <c r="AD86" s="39">
        <f>IF(TRUE,0,_xll.PSFx2BAL(CN,"*","GLCode",$B86,"DAF_Award",AD$2,PF,PT))</f>
        <v>0</v>
      </c>
      <c r="AE86" s="39">
        <f>IF(TRUE,0,_xll.PSFx2BAL(CN,"*","GLCode",$B86,"DAF_Award",AE$2,PF,PT))</f>
        <v>0</v>
      </c>
      <c r="AF86" s="39">
        <f>IF(TRUE,0,_xll.PSFx2BAL(CN,"*","GLCode",$B86,"DAF_Award",AF$2,PF,PT))</f>
        <v>0</v>
      </c>
      <c r="AG86" s="39">
        <f>IF(TRUE,0,_xll.PSFx2BAL(CN,"*","GLCode",$B86,"DAF_Award",AG$2,PF,PT))</f>
        <v>0</v>
      </c>
      <c r="AH86" s="39">
        <f>IF(TRUE,40.2,_xll.PSFx2BAL(CN,"*","GLCode",$B86,"DAF_Award",AH$2,PF,PT))</f>
        <v>40.200000000000003</v>
      </c>
      <c r="AI86" s="274">
        <f t="shared" si="45"/>
        <v>0</v>
      </c>
      <c r="AJ86" s="18">
        <f>VLOOKUP(B86,TB!$B$5:$E$140,4,FALSE)</f>
        <v>40.200000000000003</v>
      </c>
      <c r="AL86" s="39">
        <f t="shared" si="46"/>
        <v>40.200000000000003</v>
      </c>
      <c r="AM86" s="39">
        <f t="shared" si="47"/>
        <v>0</v>
      </c>
    </row>
    <row r="87" spans="1:39" x14ac:dyDescent="0.2">
      <c r="A87" s="1">
        <f t="shared" si="44"/>
        <v>7530</v>
      </c>
      <c r="B87" t="s">
        <v>180</v>
      </c>
      <c r="C87" t="s">
        <v>181</v>
      </c>
      <c r="D87" s="39">
        <f>IF(TRUE,0,_xll.PSFx2BAL(CN,"*","GLCode",$B87,"DAF_Award",D$2,PF,PT))</f>
        <v>0</v>
      </c>
      <c r="E87" s="39">
        <f>IF(TRUE,0,_xll.PSFx2BAL(CN,"*","GLCode",$B87,"DAF_Award",E$2,PF,PT))</f>
        <v>0</v>
      </c>
      <c r="F87" s="39">
        <f>IF(TRUE,0,_xll.PSFx2BAL(CN,"*","GLCode",$B87,"DAF_Award",F$2,PF,PT))</f>
        <v>0</v>
      </c>
      <c r="G87" s="39">
        <f>IF(TRUE,0,_xll.PSFx2BAL(CN,"*","GLCode",$B87,"DAF_Award",G$2,PF,PT))</f>
        <v>0</v>
      </c>
      <c r="H87" s="39">
        <f>IF(TRUE,0,_xll.PSFx2BAL(CN,"*","GLCode",$B87,"DAF_Award",H$2,PF,PT))</f>
        <v>0</v>
      </c>
      <c r="I87" s="39">
        <f>IF(TRUE,0,_xll.PSFx2BAL(CN,"*","GLCode",$B87,"DAF_Award",I$2,PF,PT))</f>
        <v>0</v>
      </c>
      <c r="J87" s="39">
        <f>IF(TRUE,0,_xll.PSFx2BAL(CN,"*","GLCode",$B87,"DAF_Award",J$2,PF,PT))</f>
        <v>0</v>
      </c>
      <c r="K87" s="39">
        <f>IF(TRUE,0,_xll.PSFx2BAL(CN,"*","GLCode",$B87,"DAF_Award",K$2,PF,PT))</f>
        <v>0</v>
      </c>
      <c r="L87" s="39">
        <f>IF(TRUE,0,_xll.PSFx2BAL(CN,"*","GLCode",$B87,"DAF_Award",L$2,PF,PT))</f>
        <v>0</v>
      </c>
      <c r="M87" s="39">
        <f>IF(TRUE,0,_xll.PSFx2BAL(CN,"*","GLCode",$B87,"DAF_Award",M$2,PF,PT))</f>
        <v>0</v>
      </c>
      <c r="N87" s="39">
        <f>IF(TRUE,0,_xll.PSFx2BAL(CN,"*","GLCode",$B87,"DAF_Award",N$2,PF,PT))</f>
        <v>0</v>
      </c>
      <c r="O87" s="39">
        <f>IF(TRUE,0,_xll.PSFx2BAL(CN,"*","GLCode",$B87,"DAF_Award",O$2,PF,PT))</f>
        <v>0</v>
      </c>
      <c r="P87" s="39">
        <f>IF(TRUE,0,_xll.PSFx2BAL(CN,"*","GLCode",$B87,"DAF_Award",P$2,PF,PT))</f>
        <v>0</v>
      </c>
      <c r="Q87" s="39">
        <f>IF(TRUE,0,_xll.PSFx2BAL(CN,"*","GLCode",$B87,"DAF_Award",Q$2,PF,PT))</f>
        <v>0</v>
      </c>
      <c r="R87" s="39">
        <f>IF(TRUE,0,_xll.PSFx2BAL(CN,"*","GLCode",$B87,"DAF_Award",R$2,PF,PT))</f>
        <v>0</v>
      </c>
      <c r="S87" s="39">
        <f>IF(TRUE,0,_xll.PSFx2BAL(CN,"*","GLCode",$B87,"DAF_Award",S$2,PF,PT))</f>
        <v>0</v>
      </c>
      <c r="T87" s="39">
        <f>IF(TRUE,0,_xll.PSFx2BAL(CN,"*","GLCode",$B87,"DAF_Award",T$2,PF,PT))</f>
        <v>0</v>
      </c>
      <c r="U87" s="39">
        <f>IF(TRUE,0,_xll.PSFx2BAL(CN,"*","GLCode",$B87,"DAF_Award",U$2,PF,PT))</f>
        <v>0</v>
      </c>
      <c r="V87" s="39">
        <f>IF(TRUE,0,_xll.PSFx2BAL(CN,"*","GLCode",$B87,"DAF_Award",V$2,PF,PT))</f>
        <v>0</v>
      </c>
      <c r="W87" s="39">
        <f>IF(TRUE,0,_xll.PSFx2BAL(CN,"*","GLCode",$B87,"DAF_Award",W$2,PF,PT))</f>
        <v>0</v>
      </c>
      <c r="X87" s="39">
        <f>IF(TRUE,0,_xll.PSFx2BAL(CN,"*","GLCode",$B87,"DAF_Award",X$2,PF,PT))</f>
        <v>0</v>
      </c>
      <c r="Y87" s="39">
        <f>IF(TRUE,0,_xll.PSFx2BAL(CN,"*","GLCode",$B87,"DAF_Award",Y$2,PF,PT))</f>
        <v>0</v>
      </c>
      <c r="Z87" s="39">
        <f>IF(TRUE,0,_xll.PSFx2BAL(CN,"*","GLCode",$B87,"DAF_Award",Z$2,PF,PT))</f>
        <v>0</v>
      </c>
      <c r="AA87" s="39">
        <f>IF(TRUE,0,_xll.PSFx2BAL(CN,"*","GLCode",$B87,"DAF_Award",AA$2,PF,PT))</f>
        <v>0</v>
      </c>
      <c r="AB87" s="39">
        <f>IF(TRUE,0,_xll.PSFx2BAL(CN,"*","GLCode",$B87,"DAF_Award",AB$2,PF,PT))</f>
        <v>0</v>
      </c>
      <c r="AC87" s="39">
        <f>IF(TRUE,0,_xll.PSFx2BAL(CN,"*","GLCode",$B87,"DAF_Award",AC$2,PF,PT))</f>
        <v>0</v>
      </c>
      <c r="AD87" s="39">
        <f>IF(TRUE,0,_xll.PSFx2BAL(CN,"*","GLCode",$B87,"DAF_Award",AD$2,PF,PT))</f>
        <v>0</v>
      </c>
      <c r="AE87" s="39">
        <f>IF(TRUE,0,_xll.PSFx2BAL(CN,"*","GLCode",$B87,"DAF_Award",AE$2,PF,PT))</f>
        <v>0</v>
      </c>
      <c r="AF87" s="39">
        <f>IF(TRUE,0,_xll.PSFx2BAL(CN,"*","GLCode",$B87,"DAF_Award",AF$2,PF,PT))</f>
        <v>0</v>
      </c>
      <c r="AG87" s="39">
        <f>IF(TRUE,0,_xll.PSFx2BAL(CN,"*","GLCode",$B87,"DAF_Award",AG$2,PF,PT))</f>
        <v>0</v>
      </c>
      <c r="AH87" s="39">
        <f>IF(TRUE,0,_xll.PSFx2BAL(CN,"*","GLCode",$B87,"DAF_Award",AH$2,PF,PT))</f>
        <v>0</v>
      </c>
      <c r="AI87" s="39">
        <f t="shared" si="45"/>
        <v>5100</v>
      </c>
      <c r="AJ87" s="18">
        <f>VLOOKUP(B87,TB!$B$5:$E$140,4,FALSE)</f>
        <v>5100</v>
      </c>
      <c r="AL87" s="39">
        <f t="shared" si="46"/>
        <v>5100</v>
      </c>
      <c r="AM87" s="39">
        <f t="shared" si="47"/>
        <v>0</v>
      </c>
    </row>
    <row r="88" spans="1:39" x14ac:dyDescent="0.2">
      <c r="A88" s="1">
        <f t="shared" si="44"/>
        <v>7535</v>
      </c>
      <c r="B88" t="s">
        <v>182</v>
      </c>
      <c r="C88" t="s">
        <v>183</v>
      </c>
      <c r="D88" s="39">
        <f>IF(TRUE,0,_xll.PSFx2BAL(CN,"*","GLCode",$B88,"DAF_Award",D$2,PF,PT))</f>
        <v>0</v>
      </c>
      <c r="E88" s="39">
        <f>IF(TRUE,0,_xll.PSFx2BAL(CN,"*","GLCode",$B88,"DAF_Award",E$2,PF,PT))</f>
        <v>0</v>
      </c>
      <c r="F88" s="39">
        <f>IF(TRUE,0,_xll.PSFx2BAL(CN,"*","GLCode",$B88,"DAF_Award",F$2,PF,PT))</f>
        <v>0</v>
      </c>
      <c r="G88" s="39">
        <f>IF(TRUE,0,_xll.PSFx2BAL(CN,"*","GLCode",$B88,"DAF_Award",G$2,PF,PT))</f>
        <v>0</v>
      </c>
      <c r="H88" s="39">
        <f>IF(TRUE,0,_xll.PSFx2BAL(CN,"*","GLCode",$B88,"DAF_Award",H$2,PF,PT))</f>
        <v>0</v>
      </c>
      <c r="I88" s="39">
        <f>IF(TRUE,0,_xll.PSFx2BAL(CN,"*","GLCode",$B88,"DAF_Award",I$2,PF,PT))</f>
        <v>0</v>
      </c>
      <c r="J88" s="39">
        <f>IF(TRUE,0,_xll.PSFx2BAL(CN,"*","GLCode",$B88,"DAF_Award",J$2,PF,PT))</f>
        <v>0</v>
      </c>
      <c r="K88" s="39">
        <f>IF(TRUE,0,_xll.PSFx2BAL(CN,"*","GLCode",$B88,"DAF_Award",K$2,PF,PT))</f>
        <v>0</v>
      </c>
      <c r="L88" s="39">
        <f>IF(TRUE,0,_xll.PSFx2BAL(CN,"*","GLCode",$B88,"DAF_Award",L$2,PF,PT))</f>
        <v>0</v>
      </c>
      <c r="M88" s="39">
        <f>IF(TRUE,0,_xll.PSFx2BAL(CN,"*","GLCode",$B88,"DAF_Award",M$2,PF,PT))</f>
        <v>0</v>
      </c>
      <c r="N88" s="39">
        <f>IF(TRUE,0,_xll.PSFx2BAL(CN,"*","GLCode",$B88,"DAF_Award",N$2,PF,PT))</f>
        <v>0</v>
      </c>
      <c r="O88" s="39">
        <f>IF(TRUE,0,_xll.PSFx2BAL(CN,"*","GLCode",$B88,"DAF_Award",O$2,PF,PT))</f>
        <v>0</v>
      </c>
      <c r="P88" s="39">
        <f>IF(TRUE,0,_xll.PSFx2BAL(CN,"*","GLCode",$B88,"DAF_Award",P$2,PF,PT))</f>
        <v>0</v>
      </c>
      <c r="Q88" s="39">
        <f>IF(TRUE,0,_xll.PSFx2BAL(CN,"*","GLCode",$B88,"DAF_Award",Q$2,PF,PT))</f>
        <v>0</v>
      </c>
      <c r="R88" s="39">
        <f>IF(TRUE,0,_xll.PSFx2BAL(CN,"*","GLCode",$B88,"DAF_Award",R$2,PF,PT))</f>
        <v>0</v>
      </c>
      <c r="S88" s="39">
        <f>IF(TRUE,0,_xll.PSFx2BAL(CN,"*","GLCode",$B88,"DAF_Award",S$2,PF,PT))</f>
        <v>0</v>
      </c>
      <c r="T88" s="39">
        <f>IF(TRUE,0,_xll.PSFx2BAL(CN,"*","GLCode",$B88,"DAF_Award",T$2,PF,PT))</f>
        <v>0</v>
      </c>
      <c r="U88" s="39">
        <f>IF(TRUE,0,_xll.PSFx2BAL(CN,"*","GLCode",$B88,"DAF_Award",U$2,PF,PT))</f>
        <v>0</v>
      </c>
      <c r="V88" s="39">
        <f>IF(TRUE,0,_xll.PSFx2BAL(CN,"*","GLCode",$B88,"DAF_Award",V$2,PF,PT))</f>
        <v>0</v>
      </c>
      <c r="W88" s="39">
        <f>IF(TRUE,0,_xll.PSFx2BAL(CN,"*","GLCode",$B88,"DAF_Award",W$2,PF,PT))</f>
        <v>0</v>
      </c>
      <c r="X88" s="39">
        <f>IF(TRUE,0,_xll.PSFx2BAL(CN,"*","GLCode",$B88,"DAF_Award",X$2,PF,PT))</f>
        <v>0</v>
      </c>
      <c r="Y88" s="39">
        <f>IF(TRUE,0,_xll.PSFx2BAL(CN,"*","GLCode",$B88,"DAF_Award",Y$2,PF,PT))</f>
        <v>0</v>
      </c>
      <c r="Z88" s="39">
        <f>IF(TRUE,0,_xll.PSFx2BAL(CN,"*","GLCode",$B88,"DAF_Award",Z$2,PF,PT))</f>
        <v>0</v>
      </c>
      <c r="AA88" s="39">
        <f>IF(TRUE,0,_xll.PSFx2BAL(CN,"*","GLCode",$B88,"DAF_Award",AA$2,PF,PT))</f>
        <v>0</v>
      </c>
      <c r="AB88" s="39">
        <f>IF(TRUE,0,_xll.PSFx2BAL(CN,"*","GLCode",$B88,"DAF_Award",AB$2,PF,PT))</f>
        <v>0</v>
      </c>
      <c r="AC88" s="39">
        <f>IF(TRUE,0,_xll.PSFx2BAL(CN,"*","GLCode",$B88,"DAF_Award",AC$2,PF,PT))</f>
        <v>0</v>
      </c>
      <c r="AD88" s="39">
        <f>IF(TRUE,0,_xll.PSFx2BAL(CN,"*","GLCode",$B88,"DAF_Award",AD$2,PF,PT))</f>
        <v>0</v>
      </c>
      <c r="AE88" s="39">
        <f>IF(TRUE,0,_xll.PSFx2BAL(CN,"*","GLCode",$B88,"DAF_Award",AE$2,PF,PT))</f>
        <v>0</v>
      </c>
      <c r="AF88" s="39">
        <f>IF(TRUE,0,_xll.PSFx2BAL(CN,"*","GLCode",$B88,"DAF_Award",AF$2,PF,PT))</f>
        <v>0</v>
      </c>
      <c r="AG88" s="39">
        <f>IF(TRUE,0,_xll.PSFx2BAL(CN,"*","GLCode",$B88,"DAF_Award",AG$2,PF,PT))</f>
        <v>0</v>
      </c>
      <c r="AH88" s="39">
        <f>IF(TRUE,0,_xll.PSFx2BAL(CN,"*","GLCode",$B88,"DAF_Award",AH$2,PF,PT))</f>
        <v>0</v>
      </c>
      <c r="AI88" s="39">
        <f t="shared" si="45"/>
        <v>28342.31</v>
      </c>
      <c r="AJ88" s="18">
        <f>VLOOKUP(B88,TB!$B$5:$E$140,4,FALSE)</f>
        <v>28342.31</v>
      </c>
      <c r="AL88" s="39">
        <f t="shared" si="46"/>
        <v>28342.31</v>
      </c>
      <c r="AM88" s="39">
        <f t="shared" si="47"/>
        <v>0</v>
      </c>
    </row>
    <row r="89" spans="1:39" x14ac:dyDescent="0.2">
      <c r="A89" s="1">
        <f t="shared" si="44"/>
        <v>7540</v>
      </c>
      <c r="B89" t="s">
        <v>184</v>
      </c>
      <c r="C89" t="s">
        <v>185</v>
      </c>
      <c r="D89" s="39">
        <f>IF(TRUE,0,_xll.PSFx2BAL(CN,"*","GLCode",$B89,"DAF_Award",D$2,PF,PT))</f>
        <v>0</v>
      </c>
      <c r="E89" s="39">
        <f>IF(TRUE,0,_xll.PSFx2BAL(CN,"*","GLCode",$B89,"DAF_Award",E$2,PF,PT))</f>
        <v>0</v>
      </c>
      <c r="F89" s="39">
        <f>IF(TRUE,0,_xll.PSFx2BAL(CN,"*","GLCode",$B89,"DAF_Award",F$2,PF,PT))</f>
        <v>0</v>
      </c>
      <c r="G89" s="39">
        <f>IF(TRUE,0,_xll.PSFx2BAL(CN,"*","GLCode",$B89,"DAF_Award",G$2,PF,PT))</f>
        <v>0</v>
      </c>
      <c r="H89" s="39">
        <f>IF(TRUE,0,_xll.PSFx2BAL(CN,"*","GLCode",$B89,"DAF_Award",H$2,PF,PT))</f>
        <v>0</v>
      </c>
      <c r="I89" s="39">
        <f>IF(TRUE,0,_xll.PSFx2BAL(CN,"*","GLCode",$B89,"DAF_Award",I$2,PF,PT))</f>
        <v>0</v>
      </c>
      <c r="J89" s="39">
        <f>IF(TRUE,0,_xll.PSFx2BAL(CN,"*","GLCode",$B89,"DAF_Award",J$2,PF,PT))</f>
        <v>0</v>
      </c>
      <c r="K89" s="39">
        <f>IF(TRUE,0,_xll.PSFx2BAL(CN,"*","GLCode",$B89,"DAF_Award",K$2,PF,PT))</f>
        <v>0</v>
      </c>
      <c r="L89" s="39">
        <f>IF(TRUE,0,_xll.PSFx2BAL(CN,"*","GLCode",$B89,"DAF_Award",L$2,PF,PT))</f>
        <v>0</v>
      </c>
      <c r="M89" s="39">
        <f>IF(TRUE,0,_xll.PSFx2BAL(CN,"*","GLCode",$B89,"DAF_Award",M$2,PF,PT))</f>
        <v>0</v>
      </c>
      <c r="N89" s="39">
        <f>IF(TRUE,0,_xll.PSFx2BAL(CN,"*","GLCode",$B89,"DAF_Award",N$2,PF,PT))</f>
        <v>0</v>
      </c>
      <c r="O89" s="39">
        <f>IF(TRUE,0,_xll.PSFx2BAL(CN,"*","GLCode",$B89,"DAF_Award",O$2,PF,PT))</f>
        <v>0</v>
      </c>
      <c r="P89" s="39">
        <f>IF(TRUE,0,_xll.PSFx2BAL(CN,"*","GLCode",$B89,"DAF_Award",P$2,PF,PT))</f>
        <v>0</v>
      </c>
      <c r="Q89" s="39">
        <f>IF(TRUE,0,_xll.PSFx2BAL(CN,"*","GLCode",$B89,"DAF_Award",Q$2,PF,PT))</f>
        <v>0</v>
      </c>
      <c r="R89" s="39">
        <f>IF(TRUE,0,_xll.PSFx2BAL(CN,"*","GLCode",$B89,"DAF_Award",R$2,PF,PT))</f>
        <v>0</v>
      </c>
      <c r="S89" s="39">
        <f>IF(TRUE,0,_xll.PSFx2BAL(CN,"*","GLCode",$B89,"DAF_Award",S$2,PF,PT))</f>
        <v>0</v>
      </c>
      <c r="T89" s="39">
        <f>IF(TRUE,0,_xll.PSFx2BAL(CN,"*","GLCode",$B89,"DAF_Award",T$2,PF,PT))</f>
        <v>0</v>
      </c>
      <c r="U89" s="39">
        <f>IF(TRUE,0,_xll.PSFx2BAL(CN,"*","GLCode",$B89,"DAF_Award",U$2,PF,PT))</f>
        <v>0</v>
      </c>
      <c r="V89" s="39">
        <f>IF(TRUE,0,_xll.PSFx2BAL(CN,"*","GLCode",$B89,"DAF_Award",V$2,PF,PT))</f>
        <v>0</v>
      </c>
      <c r="W89" s="39">
        <f>IF(TRUE,0,_xll.PSFx2BAL(CN,"*","GLCode",$B89,"DAF_Award",W$2,PF,PT))</f>
        <v>0</v>
      </c>
      <c r="X89" s="39">
        <f>IF(TRUE,0,_xll.PSFx2BAL(CN,"*","GLCode",$B89,"DAF_Award",X$2,PF,PT))</f>
        <v>0</v>
      </c>
      <c r="Y89" s="39">
        <f>IF(TRUE,0,_xll.PSFx2BAL(CN,"*","GLCode",$B89,"DAF_Award",Y$2,PF,PT))</f>
        <v>0</v>
      </c>
      <c r="Z89" s="39">
        <f>IF(TRUE,0,_xll.PSFx2BAL(CN,"*","GLCode",$B89,"DAF_Award",Z$2,PF,PT))</f>
        <v>0</v>
      </c>
      <c r="AA89" s="39">
        <f>IF(TRUE,0,_xll.PSFx2BAL(CN,"*","GLCode",$B89,"DAF_Award",AA$2,PF,PT))</f>
        <v>0</v>
      </c>
      <c r="AB89" s="39">
        <f>IF(TRUE,0,_xll.PSFx2BAL(CN,"*","GLCode",$B89,"DAF_Award",AB$2,PF,PT))</f>
        <v>0</v>
      </c>
      <c r="AC89" s="39">
        <f>IF(TRUE,0,_xll.PSFx2BAL(CN,"*","GLCode",$B89,"DAF_Award",AC$2,PF,PT))</f>
        <v>0</v>
      </c>
      <c r="AD89" s="39">
        <f>IF(TRUE,0,_xll.PSFx2BAL(CN,"*","GLCode",$B89,"DAF_Award",AD$2,PF,PT))</f>
        <v>0</v>
      </c>
      <c r="AE89" s="39">
        <f>IF(TRUE,0,_xll.PSFx2BAL(CN,"*","GLCode",$B89,"DAF_Award",AE$2,PF,PT))</f>
        <v>0</v>
      </c>
      <c r="AF89" s="39">
        <f>IF(TRUE,0,_xll.PSFx2BAL(CN,"*","GLCode",$B89,"DAF_Award",AF$2,PF,PT))</f>
        <v>0</v>
      </c>
      <c r="AG89" s="39">
        <f>IF(TRUE,0,_xll.PSFx2BAL(CN,"*","GLCode",$B89,"DAF_Award",AG$2,PF,PT))</f>
        <v>0</v>
      </c>
      <c r="AH89" s="39">
        <f>IF(TRUE,-6432.7,_xll.PSFx2BAL(CN,"*","GLCode",$B89,"DAF_Award",AH$2,PF,PT))</f>
        <v>-6432.7</v>
      </c>
      <c r="AI89" s="274">
        <f t="shared" si="45"/>
        <v>0</v>
      </c>
      <c r="AJ89" s="18">
        <f>VLOOKUP(B89,TB!$B$5:$E$140,4,FALSE)</f>
        <v>-6432.7</v>
      </c>
      <c r="AL89" s="39">
        <f t="shared" si="46"/>
        <v>-6432.7</v>
      </c>
      <c r="AM89" s="39">
        <f t="shared" si="47"/>
        <v>0</v>
      </c>
    </row>
    <row r="90" spans="1:39" x14ac:dyDescent="0.2">
      <c r="A90" s="1">
        <f t="shared" si="44"/>
        <v>7550</v>
      </c>
      <c r="B90" t="s">
        <v>186</v>
      </c>
      <c r="C90" t="s">
        <v>187</v>
      </c>
      <c r="D90" s="39">
        <f>IF(TRUE,0,_xll.PSFx2BAL(CN,"*","GLCode",$B90,"DAF_Award",D$2,PF,PT))</f>
        <v>0</v>
      </c>
      <c r="E90" s="39">
        <f>IF(TRUE,0,_xll.PSFx2BAL(CN,"*","GLCode",$B90,"DAF_Award",E$2,PF,PT))</f>
        <v>0</v>
      </c>
      <c r="F90" s="39">
        <f>IF(TRUE,0,_xll.PSFx2BAL(CN,"*","GLCode",$B90,"DAF_Award",F$2,PF,PT))</f>
        <v>0</v>
      </c>
      <c r="G90" s="39">
        <f>IF(TRUE,0,_xll.PSFx2BAL(CN,"*","GLCode",$B90,"DAF_Award",G$2,PF,PT))</f>
        <v>0</v>
      </c>
      <c r="H90" s="39">
        <f>IF(TRUE,0,_xll.PSFx2BAL(CN,"*","GLCode",$B90,"DAF_Award",H$2,PF,PT))</f>
        <v>0</v>
      </c>
      <c r="I90" s="39">
        <f>IF(TRUE,0,_xll.PSFx2BAL(CN,"*","GLCode",$B90,"DAF_Award",I$2,PF,PT))</f>
        <v>0</v>
      </c>
      <c r="J90" s="39">
        <f>IF(TRUE,0,_xll.PSFx2BAL(CN,"*","GLCode",$B90,"DAF_Award",J$2,PF,PT))</f>
        <v>0</v>
      </c>
      <c r="K90" s="39">
        <f>IF(TRUE,0,_xll.PSFx2BAL(CN,"*","GLCode",$B90,"DAF_Award",K$2,PF,PT))</f>
        <v>0</v>
      </c>
      <c r="L90" s="39">
        <f>IF(TRUE,0,_xll.PSFx2BAL(CN,"*","GLCode",$B90,"DAF_Award",L$2,PF,PT))</f>
        <v>0</v>
      </c>
      <c r="M90" s="39">
        <f>IF(TRUE,0,_xll.PSFx2BAL(CN,"*","GLCode",$B90,"DAF_Award",M$2,PF,PT))</f>
        <v>0</v>
      </c>
      <c r="N90" s="39">
        <f>IF(TRUE,0,_xll.PSFx2BAL(CN,"*","GLCode",$B90,"DAF_Award",N$2,PF,PT))</f>
        <v>0</v>
      </c>
      <c r="O90" s="39">
        <f>IF(TRUE,0,_xll.PSFx2BAL(CN,"*","GLCode",$B90,"DAF_Award",O$2,PF,PT))</f>
        <v>0</v>
      </c>
      <c r="P90" s="39">
        <f>IF(TRUE,0,_xll.PSFx2BAL(CN,"*","GLCode",$B90,"DAF_Award",P$2,PF,PT))</f>
        <v>0</v>
      </c>
      <c r="Q90" s="39">
        <f>IF(TRUE,0,_xll.PSFx2BAL(CN,"*","GLCode",$B90,"DAF_Award",Q$2,PF,PT))</f>
        <v>0</v>
      </c>
      <c r="R90" s="39">
        <f>IF(TRUE,0,_xll.PSFx2BAL(CN,"*","GLCode",$B90,"DAF_Award",R$2,PF,PT))</f>
        <v>0</v>
      </c>
      <c r="S90" s="39">
        <f>IF(TRUE,0,_xll.PSFx2BAL(CN,"*","GLCode",$B90,"DAF_Award",S$2,PF,PT))</f>
        <v>0</v>
      </c>
      <c r="T90" s="39">
        <f>IF(TRUE,0,_xll.PSFx2BAL(CN,"*","GLCode",$B90,"DAF_Award",T$2,PF,PT))</f>
        <v>0</v>
      </c>
      <c r="U90" s="39">
        <f>IF(TRUE,0,_xll.PSFx2BAL(CN,"*","GLCode",$B90,"DAF_Award",U$2,PF,PT))</f>
        <v>0</v>
      </c>
      <c r="V90" s="39">
        <f>IF(TRUE,0,_xll.PSFx2BAL(CN,"*","GLCode",$B90,"DAF_Award",V$2,PF,PT))</f>
        <v>0</v>
      </c>
      <c r="W90" s="39">
        <f>IF(TRUE,0,_xll.PSFx2BAL(CN,"*","GLCode",$B90,"DAF_Award",W$2,PF,PT))</f>
        <v>0</v>
      </c>
      <c r="X90" s="39">
        <f>IF(TRUE,0,_xll.PSFx2BAL(CN,"*","GLCode",$B90,"DAF_Award",X$2,PF,PT))</f>
        <v>0</v>
      </c>
      <c r="Y90" s="39">
        <f>IF(TRUE,0,_xll.PSFx2BAL(CN,"*","GLCode",$B90,"DAF_Award",Y$2,PF,PT))</f>
        <v>0</v>
      </c>
      <c r="Z90" s="39">
        <f>IF(TRUE,0,_xll.PSFx2BAL(CN,"*","GLCode",$B90,"DAF_Award",Z$2,PF,PT))</f>
        <v>0</v>
      </c>
      <c r="AA90" s="39">
        <f>IF(TRUE,0,_xll.PSFx2BAL(CN,"*","GLCode",$B90,"DAF_Award",AA$2,PF,PT))</f>
        <v>0</v>
      </c>
      <c r="AB90" s="39">
        <f>IF(TRUE,0,_xll.PSFx2BAL(CN,"*","GLCode",$B90,"DAF_Award",AB$2,PF,PT))</f>
        <v>0</v>
      </c>
      <c r="AC90" s="39">
        <f>IF(TRUE,0,_xll.PSFx2BAL(CN,"*","GLCode",$B90,"DAF_Award",AC$2,PF,PT))</f>
        <v>0</v>
      </c>
      <c r="AD90" s="39">
        <f>IF(TRUE,0,_xll.PSFx2BAL(CN,"*","GLCode",$B90,"DAF_Award",AD$2,PF,PT))</f>
        <v>0</v>
      </c>
      <c r="AE90" s="39">
        <f>IF(TRUE,0,_xll.PSFx2BAL(CN,"*","GLCode",$B90,"DAF_Award",AE$2,PF,PT))</f>
        <v>0</v>
      </c>
      <c r="AF90" s="39">
        <f>IF(TRUE,0,_xll.PSFx2BAL(CN,"*","GLCode",$B90,"DAF_Award",AF$2,PF,PT))</f>
        <v>0</v>
      </c>
      <c r="AG90" s="39">
        <f>IF(TRUE,0,_xll.PSFx2BAL(CN,"*","GLCode",$B90,"DAF_Award",AG$2,PF,PT))</f>
        <v>0</v>
      </c>
      <c r="AH90" s="39">
        <f>IF(TRUE,0,_xll.PSFx2BAL(CN,"*","GLCode",$B90,"DAF_Award",AH$2,PF,PT))</f>
        <v>0</v>
      </c>
      <c r="AI90" s="39">
        <f t="shared" si="45"/>
        <v>46.1</v>
      </c>
      <c r="AJ90" s="18">
        <f>VLOOKUP(B90,TB!$B$5:$E$140,4,FALSE)</f>
        <v>46.1</v>
      </c>
      <c r="AL90" s="39">
        <f t="shared" si="46"/>
        <v>46.1</v>
      </c>
      <c r="AM90" s="39">
        <f t="shared" si="47"/>
        <v>0</v>
      </c>
    </row>
    <row r="91" spans="1:39" hidden="1" x14ac:dyDescent="0.2">
      <c r="A91" s="1">
        <f t="shared" si="44"/>
        <v>7600</v>
      </c>
      <c r="B91" t="s">
        <v>188</v>
      </c>
      <c r="C91" t="s">
        <v>189</v>
      </c>
      <c r="D91" s="39">
        <f>IF(TRUE,0,_xll.PSFx2BAL(CN,"*","GLCode",$B91,"DAF_Award",D$2,PF,PT))</f>
        <v>0</v>
      </c>
      <c r="E91" s="39">
        <f>IF(TRUE,0,_xll.PSFx2BAL(CN,"*","GLCode",$B91,"DAF_Award",E$2,PF,PT))</f>
        <v>0</v>
      </c>
      <c r="F91" s="39">
        <f>IF(TRUE,0,_xll.PSFx2BAL(CN,"*","GLCode",$B91,"DAF_Award",F$2,PF,PT))</f>
        <v>0</v>
      </c>
      <c r="G91" s="39">
        <f>IF(TRUE,0,_xll.PSFx2BAL(CN,"*","GLCode",$B91,"DAF_Award",G$2,PF,PT))</f>
        <v>0</v>
      </c>
      <c r="H91" s="39">
        <f>IF(TRUE,0,_xll.PSFx2BAL(CN,"*","GLCode",$B91,"DAF_Award",H$2,PF,PT))</f>
        <v>0</v>
      </c>
      <c r="I91" s="39">
        <f>IF(TRUE,0,_xll.PSFx2BAL(CN,"*","GLCode",$B91,"DAF_Award",I$2,PF,PT))</f>
        <v>0</v>
      </c>
      <c r="J91" s="39">
        <f>IF(TRUE,0,_xll.PSFx2BAL(CN,"*","GLCode",$B91,"DAF_Award",J$2,PF,PT))</f>
        <v>0</v>
      </c>
      <c r="K91" s="39">
        <f>IF(TRUE,0,_xll.PSFx2BAL(CN,"*","GLCode",$B91,"DAF_Award",K$2,PF,PT))</f>
        <v>0</v>
      </c>
      <c r="L91" s="39">
        <f>IF(TRUE,0,_xll.PSFx2BAL(CN,"*","GLCode",$B91,"DAF_Award",L$2,PF,PT))</f>
        <v>0</v>
      </c>
      <c r="M91" s="39">
        <f>IF(TRUE,0,_xll.PSFx2BAL(CN,"*","GLCode",$B91,"DAF_Award",M$2,PF,PT))</f>
        <v>0</v>
      </c>
      <c r="N91" s="39">
        <f>IF(TRUE,0,_xll.PSFx2BAL(CN,"*","GLCode",$B91,"DAF_Award",N$2,PF,PT))</f>
        <v>0</v>
      </c>
      <c r="O91" s="39">
        <f>IF(TRUE,0,_xll.PSFx2BAL(CN,"*","GLCode",$B91,"DAF_Award",O$2,PF,PT))</f>
        <v>0</v>
      </c>
      <c r="P91" s="39">
        <f>IF(TRUE,0,_xll.PSFx2BAL(CN,"*","GLCode",$B91,"DAF_Award",P$2,PF,PT))</f>
        <v>0</v>
      </c>
      <c r="Q91" s="39">
        <f>IF(TRUE,0,_xll.PSFx2BAL(CN,"*","GLCode",$B91,"DAF_Award",Q$2,PF,PT))</f>
        <v>0</v>
      </c>
      <c r="R91" s="39">
        <f>IF(TRUE,0,_xll.PSFx2BAL(CN,"*","GLCode",$B91,"DAF_Award",R$2,PF,PT))</f>
        <v>0</v>
      </c>
      <c r="S91" s="39">
        <f>IF(TRUE,0,_xll.PSFx2BAL(CN,"*","GLCode",$B91,"DAF_Award",S$2,PF,PT))</f>
        <v>0</v>
      </c>
      <c r="T91" s="39">
        <f>IF(TRUE,0,_xll.PSFx2BAL(CN,"*","GLCode",$B91,"DAF_Award",T$2,PF,PT))</f>
        <v>0</v>
      </c>
      <c r="U91" s="39">
        <f>IF(TRUE,0,_xll.PSFx2BAL(CN,"*","GLCode",$B91,"DAF_Award",U$2,PF,PT))</f>
        <v>0</v>
      </c>
      <c r="V91" s="39">
        <f>IF(TRUE,0,_xll.PSFx2BAL(CN,"*","GLCode",$B91,"DAF_Award",V$2,PF,PT))</f>
        <v>0</v>
      </c>
      <c r="W91" s="39">
        <f>IF(TRUE,0,_xll.PSFx2BAL(CN,"*","GLCode",$B91,"DAF_Award",W$2,PF,PT))</f>
        <v>0</v>
      </c>
      <c r="X91" s="39">
        <f>IF(TRUE,0,_xll.PSFx2BAL(CN,"*","GLCode",$B91,"DAF_Award",X$2,PF,PT))</f>
        <v>0</v>
      </c>
      <c r="Y91" s="39">
        <f>IF(TRUE,0,_xll.PSFx2BAL(CN,"*","GLCode",$B91,"DAF_Award",Y$2,PF,PT))</f>
        <v>0</v>
      </c>
      <c r="Z91" s="39">
        <f>IF(TRUE,0,_xll.PSFx2BAL(CN,"*","GLCode",$B91,"DAF_Award",Z$2,PF,PT))</f>
        <v>0</v>
      </c>
      <c r="AA91" s="39">
        <f>IF(TRUE,0,_xll.PSFx2BAL(CN,"*","GLCode",$B91,"DAF_Award",AA$2,PF,PT))</f>
        <v>0</v>
      </c>
      <c r="AB91" s="39">
        <f>IF(TRUE,0,_xll.PSFx2BAL(CN,"*","GLCode",$B91,"DAF_Award",AB$2,PF,PT))</f>
        <v>0</v>
      </c>
      <c r="AC91" s="39">
        <f>IF(TRUE,0,_xll.PSFx2BAL(CN,"*","GLCode",$B91,"DAF_Award",AC$2,PF,PT))</f>
        <v>0</v>
      </c>
      <c r="AD91" s="39">
        <f>IF(TRUE,0,_xll.PSFx2BAL(CN,"*","GLCode",$B91,"DAF_Award",AD$2,PF,PT))</f>
        <v>0</v>
      </c>
      <c r="AE91" s="39">
        <f>IF(TRUE,0,_xll.PSFx2BAL(CN,"*","GLCode",$B91,"DAF_Award",AE$2,PF,PT))</f>
        <v>0</v>
      </c>
      <c r="AF91" s="39">
        <f>IF(TRUE,0,_xll.PSFx2BAL(CN,"*","GLCode",$B91,"DAF_Award",AF$2,PF,PT))</f>
        <v>0</v>
      </c>
      <c r="AG91" s="39">
        <f>IF(TRUE,0,_xll.PSFx2BAL(CN,"*","GLCode",$B91,"DAF_Award",AG$2,PF,PT))</f>
        <v>0</v>
      </c>
      <c r="AH91" s="39">
        <f>IF(TRUE,0,_xll.PSFx2BAL(CN,"*","GLCode",$B91,"DAF_Award",AH$2,PF,PT))</f>
        <v>0</v>
      </c>
      <c r="AI91" s="39">
        <f t="shared" si="45"/>
        <v>0</v>
      </c>
      <c r="AJ91" s="18">
        <f>VLOOKUP(B91,TB!$B$5:$E$140,4,FALSE)</f>
        <v>0</v>
      </c>
      <c r="AL91" s="39">
        <f t="shared" si="46"/>
        <v>0</v>
      </c>
      <c r="AM91" s="39">
        <f t="shared" si="47"/>
        <v>0</v>
      </c>
    </row>
    <row r="92" spans="1:39" x14ac:dyDescent="0.2">
      <c r="A92" s="1">
        <f t="shared" si="44"/>
        <v>7800</v>
      </c>
      <c r="B92" t="s">
        <v>190</v>
      </c>
      <c r="C92" t="s">
        <v>191</v>
      </c>
      <c r="D92" s="39">
        <f>IF(TRUE,0,_xll.PSFx2BAL(CN,"*","GLCode",$B92,"DAF_Award",D$2,PF,PT))</f>
        <v>0</v>
      </c>
      <c r="E92" s="39">
        <f>IF(TRUE,0,_xll.PSFx2BAL(CN,"*","GLCode",$B92,"DAF_Award",E$2,PF,PT))</f>
        <v>0</v>
      </c>
      <c r="F92" s="39">
        <f>IF(TRUE,0,_xll.PSFx2BAL(CN,"*","GLCode",$B92,"DAF_Award",F$2,PF,PT))</f>
        <v>0</v>
      </c>
      <c r="G92" s="39">
        <f>IF(TRUE,0,_xll.PSFx2BAL(CN,"*","GLCode",$B92,"DAF_Award",G$2,PF,PT))</f>
        <v>0</v>
      </c>
      <c r="H92" s="39">
        <f>IF(TRUE,0,_xll.PSFx2BAL(CN,"*","GLCode",$B92,"DAF_Award",H$2,PF,PT))</f>
        <v>0</v>
      </c>
      <c r="I92" s="39">
        <f>IF(TRUE,0,_xll.PSFx2BAL(CN,"*","GLCode",$B92,"DAF_Award",I$2,PF,PT))</f>
        <v>0</v>
      </c>
      <c r="J92" s="39">
        <f>IF(TRUE,0,_xll.PSFx2BAL(CN,"*","GLCode",$B92,"DAF_Award",J$2,PF,PT))</f>
        <v>0</v>
      </c>
      <c r="K92" s="39">
        <f>IF(TRUE,0,_xll.PSFx2BAL(CN,"*","GLCode",$B92,"DAF_Award",K$2,PF,PT))</f>
        <v>0</v>
      </c>
      <c r="L92" s="39">
        <f>IF(TRUE,0,_xll.PSFx2BAL(CN,"*","GLCode",$B92,"DAF_Award",L$2,PF,PT))</f>
        <v>0</v>
      </c>
      <c r="M92" s="39">
        <f>IF(TRUE,0,_xll.PSFx2BAL(CN,"*","GLCode",$B92,"DAF_Award",M$2,PF,PT))</f>
        <v>0</v>
      </c>
      <c r="N92" s="39">
        <f>IF(TRUE,0,_xll.PSFx2BAL(CN,"*","GLCode",$B92,"DAF_Award",N$2,PF,PT))</f>
        <v>0</v>
      </c>
      <c r="O92" s="39">
        <f>IF(TRUE,0,_xll.PSFx2BAL(CN,"*","GLCode",$B92,"DAF_Award",O$2,PF,PT))</f>
        <v>0</v>
      </c>
      <c r="P92" s="39">
        <f>IF(TRUE,0,_xll.PSFx2BAL(CN,"*","GLCode",$B92,"DAF_Award",P$2,PF,PT))</f>
        <v>0</v>
      </c>
      <c r="Q92" s="39">
        <f>IF(TRUE,0,_xll.PSFx2BAL(CN,"*","GLCode",$B92,"DAF_Award",Q$2,PF,PT))</f>
        <v>0</v>
      </c>
      <c r="R92" s="39">
        <f>IF(TRUE,0,_xll.PSFx2BAL(CN,"*","GLCode",$B92,"DAF_Award",R$2,PF,PT))</f>
        <v>0</v>
      </c>
      <c r="S92" s="39">
        <f>IF(TRUE,0,_xll.PSFx2BAL(CN,"*","GLCode",$B92,"DAF_Award",S$2,PF,PT))</f>
        <v>0</v>
      </c>
      <c r="T92" s="39">
        <f>IF(TRUE,0,_xll.PSFx2BAL(CN,"*","GLCode",$B92,"DAF_Award",T$2,PF,PT))</f>
        <v>0</v>
      </c>
      <c r="U92" s="39">
        <f>IF(TRUE,0,_xll.PSFx2BAL(CN,"*","GLCode",$B92,"DAF_Award",U$2,PF,PT))</f>
        <v>0</v>
      </c>
      <c r="V92" s="39">
        <f>IF(TRUE,0,_xll.PSFx2BAL(CN,"*","GLCode",$B92,"DAF_Award",V$2,PF,PT))</f>
        <v>0</v>
      </c>
      <c r="W92" s="39">
        <f>IF(TRUE,0,_xll.PSFx2BAL(CN,"*","GLCode",$B92,"DAF_Award",W$2,PF,PT))</f>
        <v>0</v>
      </c>
      <c r="X92" s="39">
        <f>IF(TRUE,0,_xll.PSFx2BAL(CN,"*","GLCode",$B92,"DAF_Award",X$2,PF,PT))</f>
        <v>0</v>
      </c>
      <c r="Y92" s="39">
        <f>IF(TRUE,0,_xll.PSFx2BAL(CN,"*","GLCode",$B92,"DAF_Award",Y$2,PF,PT))</f>
        <v>0</v>
      </c>
      <c r="Z92" s="39">
        <f>IF(TRUE,0,_xll.PSFx2BAL(CN,"*","GLCode",$B92,"DAF_Award",Z$2,PF,PT))</f>
        <v>0</v>
      </c>
      <c r="AA92" s="39">
        <f>IF(TRUE,0,_xll.PSFx2BAL(CN,"*","GLCode",$B92,"DAF_Award",AA$2,PF,PT))</f>
        <v>0</v>
      </c>
      <c r="AB92" s="39">
        <f>IF(TRUE,0,_xll.PSFx2BAL(CN,"*","GLCode",$B92,"DAF_Award",AB$2,PF,PT))</f>
        <v>0</v>
      </c>
      <c r="AC92" s="39">
        <f>IF(TRUE,0,_xll.PSFx2BAL(CN,"*","GLCode",$B92,"DAF_Award",AC$2,PF,PT))</f>
        <v>0</v>
      </c>
      <c r="AD92" s="39">
        <f>IF(TRUE,0,_xll.PSFx2BAL(CN,"*","GLCode",$B92,"DAF_Award",AD$2,PF,PT))</f>
        <v>0</v>
      </c>
      <c r="AE92" s="39">
        <f>IF(TRUE,0,_xll.PSFx2BAL(CN,"*","GLCode",$B92,"DAF_Award",AE$2,PF,PT))</f>
        <v>0</v>
      </c>
      <c r="AF92" s="39">
        <f>IF(TRUE,0,_xll.PSFx2BAL(CN,"*","GLCode",$B92,"DAF_Award",AF$2,PF,PT))</f>
        <v>0</v>
      </c>
      <c r="AG92" s="39">
        <f>IF(TRUE,0,_xll.PSFx2BAL(CN,"*","GLCode",$B92,"DAF_Award",AG$2,PF,PT))</f>
        <v>0</v>
      </c>
      <c r="AH92" s="39">
        <f>IF(TRUE,0,_xll.PSFx2BAL(CN,"*","GLCode",$B92,"DAF_Award",AH$2,PF,PT))</f>
        <v>0</v>
      </c>
      <c r="AI92" s="39">
        <f t="shared" si="45"/>
        <v>83923.16</v>
      </c>
      <c r="AJ92" s="18">
        <f>VLOOKUP(B92,TB!$B$5:$E$140,4,FALSE)</f>
        <v>83923.16</v>
      </c>
      <c r="AL92" s="39">
        <f t="shared" si="46"/>
        <v>83923.16</v>
      </c>
      <c r="AM92" s="39">
        <f t="shared" si="47"/>
        <v>0</v>
      </c>
    </row>
    <row r="93" spans="1:39" hidden="1" x14ac:dyDescent="0.2">
      <c r="A93" s="1">
        <f t="shared" ref="A93" si="48">VALUE(B93)</f>
        <v>7801</v>
      </c>
      <c r="B93" s="202" t="s">
        <v>492</v>
      </c>
      <c r="C93" s="5" t="s">
        <v>493</v>
      </c>
      <c r="D93" s="39">
        <f>IF(TRUE,0,_xll.PSFx2BAL(CN,"*","GLCode",$B93,"DAF_Award",D$2,PF,PT))</f>
        <v>0</v>
      </c>
      <c r="E93" s="39">
        <f>IF(TRUE,0,_xll.PSFx2BAL(CN,"*","GLCode",$B93,"DAF_Award",E$2,PF,PT))</f>
        <v>0</v>
      </c>
      <c r="F93" s="39">
        <f>IF(TRUE,0,_xll.PSFx2BAL(CN,"*","GLCode",$B93,"DAF_Award",F$2,PF,PT))</f>
        <v>0</v>
      </c>
      <c r="G93" s="39">
        <f>IF(TRUE,0,_xll.PSFx2BAL(CN,"*","GLCode",$B93,"DAF_Award",G$2,PF,PT))</f>
        <v>0</v>
      </c>
      <c r="H93" s="39">
        <f>IF(TRUE,0,_xll.PSFx2BAL(CN,"*","GLCode",$B93,"DAF_Award",H$2,PF,PT))</f>
        <v>0</v>
      </c>
      <c r="I93" s="39">
        <f>IF(TRUE,0,_xll.PSFx2BAL(CN,"*","GLCode",$B93,"DAF_Award",I$2,PF,PT))</f>
        <v>0</v>
      </c>
      <c r="J93" s="39">
        <f>IF(TRUE,0,_xll.PSFx2BAL(CN,"*","GLCode",$B93,"DAF_Award",J$2,PF,PT))</f>
        <v>0</v>
      </c>
      <c r="K93" s="39">
        <f>IF(TRUE,0,_xll.PSFx2BAL(CN,"*","GLCode",$B93,"DAF_Award",K$2,PF,PT))</f>
        <v>0</v>
      </c>
      <c r="L93" s="39">
        <f>IF(TRUE,0,_xll.PSFx2BAL(CN,"*","GLCode",$B93,"DAF_Award",L$2,PF,PT))</f>
        <v>0</v>
      </c>
      <c r="M93" s="39">
        <f>IF(TRUE,0,_xll.PSFx2BAL(CN,"*","GLCode",$B93,"DAF_Award",M$2,PF,PT))</f>
        <v>0</v>
      </c>
      <c r="N93" s="39">
        <f>IF(TRUE,0,_xll.PSFx2BAL(CN,"*","GLCode",$B93,"DAF_Award",N$2,PF,PT))</f>
        <v>0</v>
      </c>
      <c r="O93" s="39">
        <f>IF(TRUE,0,_xll.PSFx2BAL(CN,"*","GLCode",$B93,"DAF_Award",O$2,PF,PT))</f>
        <v>0</v>
      </c>
      <c r="P93" s="39">
        <f>IF(TRUE,0,_xll.PSFx2BAL(CN,"*","GLCode",$B93,"DAF_Award",P$2,PF,PT))</f>
        <v>0</v>
      </c>
      <c r="Q93" s="39">
        <f>IF(TRUE,0,_xll.PSFx2BAL(CN,"*","GLCode",$B93,"DAF_Award",Q$2,PF,PT))</f>
        <v>0</v>
      </c>
      <c r="R93" s="39">
        <f>IF(TRUE,0,_xll.PSFx2BAL(CN,"*","GLCode",$B93,"DAF_Award",R$2,PF,PT))</f>
        <v>0</v>
      </c>
      <c r="S93" s="39">
        <f>IF(TRUE,0,_xll.PSFx2BAL(CN,"*","GLCode",$B93,"DAF_Award",S$2,PF,PT))</f>
        <v>0</v>
      </c>
      <c r="T93" s="39">
        <f>IF(TRUE,0,_xll.PSFx2BAL(CN,"*","GLCode",$B93,"DAF_Award",T$2,PF,PT))</f>
        <v>0</v>
      </c>
      <c r="U93" s="39">
        <f>IF(TRUE,0,_xll.PSFx2BAL(CN,"*","GLCode",$B93,"DAF_Award",U$2,PF,PT))</f>
        <v>0</v>
      </c>
      <c r="V93" s="39">
        <f>IF(TRUE,0,_xll.PSFx2BAL(CN,"*","GLCode",$B93,"DAF_Award",V$2,PF,PT))</f>
        <v>0</v>
      </c>
      <c r="W93" s="39">
        <f>IF(TRUE,0,_xll.PSFx2BAL(CN,"*","GLCode",$B93,"DAF_Award",W$2,PF,PT))</f>
        <v>0</v>
      </c>
      <c r="X93" s="39">
        <f>IF(TRUE,0,_xll.PSFx2BAL(CN,"*","GLCode",$B93,"DAF_Award",X$2,PF,PT))</f>
        <v>0</v>
      </c>
      <c r="Y93" s="39">
        <f>IF(TRUE,0,_xll.PSFx2BAL(CN,"*","GLCode",$B93,"DAF_Award",Y$2,PF,PT))</f>
        <v>0</v>
      </c>
      <c r="Z93" s="39">
        <f>IF(TRUE,0,_xll.PSFx2BAL(CN,"*","GLCode",$B93,"DAF_Award",Z$2,PF,PT))</f>
        <v>0</v>
      </c>
      <c r="AA93" s="39">
        <f>IF(TRUE,0,_xll.PSFx2BAL(CN,"*","GLCode",$B93,"DAF_Award",AA$2,PF,PT))</f>
        <v>0</v>
      </c>
      <c r="AB93" s="39">
        <f>IF(TRUE,0,_xll.PSFx2BAL(CN,"*","GLCode",$B93,"DAF_Award",AB$2,PF,PT))</f>
        <v>0</v>
      </c>
      <c r="AC93" s="39">
        <f>IF(TRUE,0,_xll.PSFx2BAL(CN,"*","GLCode",$B93,"DAF_Award",AC$2,PF,PT))</f>
        <v>0</v>
      </c>
      <c r="AD93" s="39">
        <f>IF(TRUE,0,_xll.PSFx2BAL(CN,"*","GLCode",$B93,"DAF_Award",AD$2,PF,PT))</f>
        <v>0</v>
      </c>
      <c r="AE93" s="39">
        <f>IF(TRUE,0,_xll.PSFx2BAL(CN,"*","GLCode",$B93,"DAF_Award",AE$2,PF,PT))</f>
        <v>0</v>
      </c>
      <c r="AF93" s="39">
        <f>IF(TRUE,0,_xll.PSFx2BAL(CN,"*","GLCode",$B93,"DAF_Award",AF$2,PF,PT))</f>
        <v>0</v>
      </c>
      <c r="AG93" s="39">
        <f>IF(TRUE,0,_xll.PSFx2BAL(CN,"*","GLCode",$B93,"DAF_Award",AG$2,PF,PT))</f>
        <v>0</v>
      </c>
      <c r="AH93" s="39">
        <f>IF(TRUE,0,_xll.PSFx2BAL(CN,"*","GLCode",$B93,"DAF_Award",AH$2,PF,PT))</f>
        <v>0</v>
      </c>
      <c r="AI93" s="39">
        <f t="shared" ref="AI93" si="49">AJ93-SUM(D93:AH93)</f>
        <v>0</v>
      </c>
      <c r="AJ93" s="18">
        <f>VLOOKUP(B93,TB!$B$5:$E$140,4,FALSE)</f>
        <v>0</v>
      </c>
      <c r="AL93" s="39">
        <f t="shared" ref="AL93" si="50">SUM(W93:AI93)</f>
        <v>0</v>
      </c>
      <c r="AM93" s="39">
        <f t="shared" ref="AM93" si="51">AJ93-AL93</f>
        <v>0</v>
      </c>
    </row>
    <row r="94" spans="1:39" x14ac:dyDescent="0.2">
      <c r="C94" s="30" t="s">
        <v>313</v>
      </c>
      <c r="D94" s="41">
        <f t="shared" ref="D94:AJ94" si="52">SUM(D18:D93)</f>
        <v>3531722.8900000006</v>
      </c>
      <c r="E94" s="41">
        <f t="shared" si="52"/>
        <v>19787.43</v>
      </c>
      <c r="F94" s="41">
        <f t="shared" si="52"/>
        <v>17473.14</v>
      </c>
      <c r="G94" s="41">
        <f t="shared" si="52"/>
        <v>295165.05</v>
      </c>
      <c r="H94" s="41">
        <f t="shared" si="52"/>
        <v>5751</v>
      </c>
      <c r="I94" s="41">
        <f t="shared" si="52"/>
        <v>0</v>
      </c>
      <c r="J94" s="41">
        <f t="shared" si="52"/>
        <v>24533.409999999996</v>
      </c>
      <c r="K94" s="41">
        <f t="shared" si="52"/>
        <v>-24493.360000000008</v>
      </c>
      <c r="L94" s="41">
        <f t="shared" si="52"/>
        <v>124345.76000000001</v>
      </c>
      <c r="M94" s="41">
        <f t="shared" si="52"/>
        <v>7697.67</v>
      </c>
      <c r="N94" s="41">
        <f t="shared" si="52"/>
        <v>8293.7099999999991</v>
      </c>
      <c r="O94" s="41">
        <f t="shared" si="52"/>
        <v>13707.87</v>
      </c>
      <c r="P94" s="41">
        <f t="shared" si="52"/>
        <v>17965.77</v>
      </c>
      <c r="Q94" s="41">
        <f t="shared" ref="Q94:R94" si="53">SUM(Q18:Q93)</f>
        <v>11504.13</v>
      </c>
      <c r="R94" s="41">
        <f t="shared" si="53"/>
        <v>2236.23</v>
      </c>
      <c r="S94" s="41">
        <f t="shared" ref="S94" si="54">SUM(S18:S93)</f>
        <v>388.52</v>
      </c>
      <c r="T94" s="41">
        <f t="shared" si="52"/>
        <v>89232.36</v>
      </c>
      <c r="U94" s="41">
        <f t="shared" si="52"/>
        <v>0</v>
      </c>
      <c r="V94" s="41">
        <f t="shared" si="52"/>
        <v>3550.55</v>
      </c>
      <c r="W94" s="41">
        <f t="shared" si="52"/>
        <v>0</v>
      </c>
      <c r="X94" s="41">
        <f t="shared" si="52"/>
        <v>0</v>
      </c>
      <c r="Y94" s="41">
        <f t="shared" si="52"/>
        <v>0</v>
      </c>
      <c r="Z94" s="41">
        <f t="shared" si="52"/>
        <v>36774.42</v>
      </c>
      <c r="AA94" s="41">
        <f t="shared" si="52"/>
        <v>268854.75</v>
      </c>
      <c r="AB94" s="41">
        <f t="shared" si="52"/>
        <v>1432442.6</v>
      </c>
      <c r="AC94" s="41">
        <f t="shared" si="52"/>
        <v>81600.12999999999</v>
      </c>
      <c r="AD94" s="41">
        <f t="shared" si="52"/>
        <v>54823.979999999996</v>
      </c>
      <c r="AE94" s="41">
        <f t="shared" si="52"/>
        <v>194090</v>
      </c>
      <c r="AF94" s="41">
        <f t="shared" si="52"/>
        <v>202901.6</v>
      </c>
      <c r="AG94" s="41">
        <f t="shared" si="52"/>
        <v>1027538.42</v>
      </c>
      <c r="AH94" s="41">
        <f t="shared" si="52"/>
        <v>1072060.8899999999</v>
      </c>
      <c r="AI94" s="41">
        <f t="shared" si="52"/>
        <v>481849.72</v>
      </c>
      <c r="AJ94" s="41">
        <f t="shared" si="52"/>
        <v>9001798.6400000025</v>
      </c>
      <c r="AL94" s="41">
        <f>SUM(AL18:AL93)</f>
        <v>4852936.5100000035</v>
      </c>
      <c r="AM94" s="41">
        <f>SUM(AM18:AM93)</f>
        <v>4148862.1300000004</v>
      </c>
    </row>
    <row r="95" spans="1:39" x14ac:dyDescent="0.2">
      <c r="A95" s="1">
        <f t="shared" si="44"/>
        <v>7900</v>
      </c>
      <c r="B95" t="s">
        <v>192</v>
      </c>
      <c r="C95" t="s">
        <v>193</v>
      </c>
      <c r="D95" s="39">
        <f>IF(TRUE,0,_xll.PSFx2BAL(CN,"*","GLCode",$B95,"DAF_Award",D$2,PF,PT))</f>
        <v>0</v>
      </c>
      <c r="E95" s="39">
        <f>IF(TRUE,0,_xll.PSFx2BAL(CN,"*","GLCode",$B95,"DAF_Award",E$2,PF,PT))</f>
        <v>0</v>
      </c>
      <c r="F95" s="39">
        <f>IF(TRUE,0,_xll.PSFx2BAL(CN,"*","GLCode",$B95,"DAF_Award",F$2,PF,PT))</f>
        <v>0</v>
      </c>
      <c r="G95" s="39">
        <f>IF(TRUE,0,_xll.PSFx2BAL(CN,"*","GLCode",$B95,"DAF_Award",G$2,PF,PT))</f>
        <v>0</v>
      </c>
      <c r="H95" s="39">
        <f>IF(TRUE,0,_xll.PSFx2BAL(CN,"*","GLCode",$B95,"DAF_Award",H$2,PF,PT))</f>
        <v>0</v>
      </c>
      <c r="I95" s="39">
        <f>IF(TRUE,0,_xll.PSFx2BAL(CN,"*","GLCode",$B95,"DAF_Award",I$2,PF,PT))</f>
        <v>0</v>
      </c>
      <c r="J95" s="39">
        <f>IF(TRUE,0,_xll.PSFx2BAL(CN,"*","GLCode",$B95,"DAF_Award",J$2,PF,PT))</f>
        <v>0</v>
      </c>
      <c r="K95" s="39">
        <f>IF(TRUE,0,_xll.PSFx2BAL(CN,"*","GLCode",$B95,"DAF_Award",K$2,PF,PT))</f>
        <v>0</v>
      </c>
      <c r="L95" s="39">
        <f>IF(TRUE,0,_xll.PSFx2BAL(CN,"*","GLCode",$B95,"DAF_Award",L$2,PF,PT))</f>
        <v>0</v>
      </c>
      <c r="M95" s="39">
        <f>IF(TRUE,0,_xll.PSFx2BAL(CN,"*","GLCode",$B95,"DAF_Award",M$2,PF,PT))</f>
        <v>0</v>
      </c>
      <c r="N95" s="39">
        <f>IF(TRUE,0,_xll.PSFx2BAL(CN,"*","GLCode",$B95,"DAF_Award",N$2,PF,PT))</f>
        <v>0</v>
      </c>
      <c r="O95" s="39">
        <f>IF(TRUE,0,_xll.PSFx2BAL(CN,"*","GLCode",$B95,"DAF_Award",O$2,PF,PT))</f>
        <v>0</v>
      </c>
      <c r="P95" s="39">
        <f>IF(TRUE,0,_xll.PSFx2BAL(CN,"*","GLCode",$B95,"DAF_Award",P$2,PF,PT))</f>
        <v>0</v>
      </c>
      <c r="Q95" s="39">
        <f>IF(TRUE,0,_xll.PSFx2BAL(CN,"*","GLCode",$B95,"DAF_Award",Q$2,PF,PT))</f>
        <v>0</v>
      </c>
      <c r="R95" s="39">
        <f>IF(TRUE,0,_xll.PSFx2BAL(CN,"*","GLCode",$B95,"DAF_Award",R$2,PF,PT))</f>
        <v>0</v>
      </c>
      <c r="S95" s="39">
        <f>IF(TRUE,0,_xll.PSFx2BAL(CN,"*","GLCode",$B95,"DAF_Award",S$2,PF,PT))</f>
        <v>0</v>
      </c>
      <c r="T95" s="39">
        <f>IF(TRUE,0,_xll.PSFx2BAL(CN,"*","GLCode",$B95,"DAF_Award",T$2,PF,PT))</f>
        <v>0</v>
      </c>
      <c r="U95" s="39">
        <f>IF(TRUE,0,_xll.PSFx2BAL(CN,"*","GLCode",$B95,"DAF_Award",U$2,PF,PT))</f>
        <v>0</v>
      </c>
      <c r="V95" s="39">
        <f>IF(TRUE,0,_xll.PSFx2BAL(CN,"*","GLCode",$B95,"DAF_Award",V$2,PF,PT))</f>
        <v>0</v>
      </c>
      <c r="W95" s="39">
        <f>IF(TRUE,0,_xll.PSFx2BAL(CN,"*","GLCode",$B95,"DAF_Award",W$2,PF,PT))</f>
        <v>0</v>
      </c>
      <c r="X95" s="39">
        <f>IF(TRUE,0,_xll.PSFx2BAL(CN,"*","GLCode",$B95,"DAF_Award",X$2,PF,PT))</f>
        <v>0</v>
      </c>
      <c r="Y95" s="39">
        <f>IF(TRUE,0,_xll.PSFx2BAL(CN,"*","GLCode",$B95,"DAF_Award",Y$2,PF,PT))</f>
        <v>0</v>
      </c>
      <c r="Z95" s="39">
        <f>IF(TRUE,0,_xll.PSFx2BAL(CN,"*","GLCode",$B95,"DAF_Award",Z$2,PF,PT))</f>
        <v>0</v>
      </c>
      <c r="AA95" s="39">
        <f>IF(TRUE,0,_xll.PSFx2BAL(CN,"*","GLCode",$B95,"DAF_Award",AA$2,PF,PT))</f>
        <v>0</v>
      </c>
      <c r="AB95" s="39">
        <f>IF(TRUE,0,_xll.PSFx2BAL(CN,"*","GLCode",$B95,"DAF_Award",AB$2,PF,PT))</f>
        <v>0</v>
      </c>
      <c r="AC95" s="39">
        <f>IF(TRUE,0,_xll.PSFx2BAL(CN,"*","GLCode",$B95,"DAF_Award",AC$2,PF,PT))</f>
        <v>0</v>
      </c>
      <c r="AD95" s="39">
        <f>IF(TRUE,0,_xll.PSFx2BAL(CN,"*","GLCode",$B95,"DAF_Award",AD$2,PF,PT))</f>
        <v>0</v>
      </c>
      <c r="AE95" s="39">
        <f>IF(TRUE,0,_xll.PSFx2BAL(CN,"*","GLCode",$B95,"DAF_Award",AE$2,PF,PT))</f>
        <v>0</v>
      </c>
      <c r="AF95" s="39">
        <f>IF(TRUE,0,_xll.PSFx2BAL(CN,"*","GLCode",$B95,"DAF_Award",AF$2,PF,PT))</f>
        <v>0</v>
      </c>
      <c r="AG95" s="39">
        <f>IF(TRUE,0,_xll.PSFx2BAL(CN,"*","GLCode",$B95,"DAF_Award",AG$2,PF,PT))</f>
        <v>0</v>
      </c>
      <c r="AH95" s="39">
        <f>IF(TRUE,0,_xll.PSFx2BAL(CN,"*","GLCode",$B95,"DAF_Award",AH$2,PF,PT))</f>
        <v>0</v>
      </c>
      <c r="AI95" s="39">
        <f>AJ95-SUM(D95:AH95)</f>
        <v>-0.08</v>
      </c>
      <c r="AJ95" s="18">
        <f>VLOOKUP(B95,TB!$B$5:$E$140,4,FALSE)</f>
        <v>-0.08</v>
      </c>
      <c r="AL95" s="39">
        <f>SUM(W95:AI95)</f>
        <v>-0.08</v>
      </c>
      <c r="AM95" s="39">
        <f>AJ95-AL95</f>
        <v>0</v>
      </c>
    </row>
    <row r="96" spans="1:39" hidden="1" x14ac:dyDescent="0.2">
      <c r="A96" s="1">
        <f t="shared" si="44"/>
        <v>7950</v>
      </c>
      <c r="B96" t="s">
        <v>194</v>
      </c>
      <c r="C96" t="s">
        <v>195</v>
      </c>
      <c r="D96" s="39">
        <f>IF(TRUE,0,_xll.PSFx2BAL(CN,"*","GLCode",$B96,"DAF_Award",D$2,PF,PT))</f>
        <v>0</v>
      </c>
      <c r="E96" s="39">
        <f>IF(TRUE,0,_xll.PSFx2BAL(CN,"*","GLCode",$B96,"DAF_Award",E$2,PF,PT))</f>
        <v>0</v>
      </c>
      <c r="F96" s="39">
        <f>IF(TRUE,0,_xll.PSFx2BAL(CN,"*","GLCode",$B96,"DAF_Award",F$2,PF,PT))</f>
        <v>0</v>
      </c>
      <c r="G96" s="39">
        <f>IF(TRUE,0,_xll.PSFx2BAL(CN,"*","GLCode",$B96,"DAF_Award",G$2,PF,PT))</f>
        <v>0</v>
      </c>
      <c r="H96" s="39">
        <f>IF(TRUE,0,_xll.PSFx2BAL(CN,"*","GLCode",$B96,"DAF_Award",H$2,PF,PT))</f>
        <v>0</v>
      </c>
      <c r="I96" s="39">
        <f>IF(TRUE,0,_xll.PSFx2BAL(CN,"*","GLCode",$B96,"DAF_Award",I$2,PF,PT))</f>
        <v>0</v>
      </c>
      <c r="J96" s="39">
        <f>IF(TRUE,0,_xll.PSFx2BAL(CN,"*","GLCode",$B96,"DAF_Award",J$2,PF,PT))</f>
        <v>0</v>
      </c>
      <c r="K96" s="39">
        <f>IF(TRUE,0,_xll.PSFx2BAL(CN,"*","GLCode",$B96,"DAF_Award",K$2,PF,PT))</f>
        <v>0</v>
      </c>
      <c r="L96" s="39">
        <f>IF(TRUE,0,_xll.PSFx2BAL(CN,"*","GLCode",$B96,"DAF_Award",L$2,PF,PT))</f>
        <v>0</v>
      </c>
      <c r="M96" s="39">
        <f>IF(TRUE,0,_xll.PSFx2BAL(CN,"*","GLCode",$B96,"DAF_Award",M$2,PF,PT))</f>
        <v>0</v>
      </c>
      <c r="N96" s="39">
        <f>IF(TRUE,0,_xll.PSFx2BAL(CN,"*","GLCode",$B96,"DAF_Award",N$2,PF,PT))</f>
        <v>0</v>
      </c>
      <c r="O96" s="39">
        <f>IF(TRUE,0,_xll.PSFx2BAL(CN,"*","GLCode",$B96,"DAF_Award",O$2,PF,PT))</f>
        <v>0</v>
      </c>
      <c r="P96" s="39">
        <f>IF(TRUE,0,_xll.PSFx2BAL(CN,"*","GLCode",$B96,"DAF_Award",P$2,PF,PT))</f>
        <v>0</v>
      </c>
      <c r="Q96" s="39">
        <f>IF(TRUE,0,_xll.PSFx2BAL(CN,"*","GLCode",$B96,"DAF_Award",Q$2,PF,PT))</f>
        <v>0</v>
      </c>
      <c r="R96" s="39">
        <f>IF(TRUE,0,_xll.PSFx2BAL(CN,"*","GLCode",$B96,"DAF_Award",R$2,PF,PT))</f>
        <v>0</v>
      </c>
      <c r="S96" s="39">
        <f>IF(TRUE,0,_xll.PSFx2BAL(CN,"*","GLCode",$B96,"DAF_Award",S$2,PF,PT))</f>
        <v>0</v>
      </c>
      <c r="T96" s="39">
        <f>IF(TRUE,0,_xll.PSFx2BAL(CN,"*","GLCode",$B96,"DAF_Award",T$2,PF,PT))</f>
        <v>0</v>
      </c>
      <c r="U96" s="39">
        <f>IF(TRUE,0,_xll.PSFx2BAL(CN,"*","GLCode",$B96,"DAF_Award",U$2,PF,PT))</f>
        <v>0</v>
      </c>
      <c r="V96" s="39">
        <f>IF(TRUE,0,_xll.PSFx2BAL(CN,"*","GLCode",$B96,"DAF_Award",V$2,PF,PT))</f>
        <v>0</v>
      </c>
      <c r="W96" s="39">
        <f>IF(TRUE,0,_xll.PSFx2BAL(CN,"*","GLCode",$B96,"DAF_Award",W$2,PF,PT))</f>
        <v>0</v>
      </c>
      <c r="X96" s="39">
        <f>IF(TRUE,0,_xll.PSFx2BAL(CN,"*","GLCode",$B96,"DAF_Award",X$2,PF,PT))</f>
        <v>0</v>
      </c>
      <c r="Y96" s="39">
        <f>IF(TRUE,0,_xll.PSFx2BAL(CN,"*","GLCode",$B96,"DAF_Award",Y$2,PF,PT))</f>
        <v>0</v>
      </c>
      <c r="Z96" s="39">
        <f>IF(TRUE,0,_xll.PSFx2BAL(CN,"*","GLCode",$B96,"DAF_Award",Z$2,PF,PT))</f>
        <v>0</v>
      </c>
      <c r="AA96" s="39">
        <f>IF(TRUE,0,_xll.PSFx2BAL(CN,"*","GLCode",$B96,"DAF_Award",AA$2,PF,PT))</f>
        <v>0</v>
      </c>
      <c r="AB96" s="39">
        <f>IF(TRUE,0,_xll.PSFx2BAL(CN,"*","GLCode",$B96,"DAF_Award",AB$2,PF,PT))</f>
        <v>0</v>
      </c>
      <c r="AC96" s="39">
        <f>IF(TRUE,0,_xll.PSFx2BAL(CN,"*","GLCode",$B96,"DAF_Award",AC$2,PF,PT))</f>
        <v>0</v>
      </c>
      <c r="AD96" s="39">
        <f>IF(TRUE,0,_xll.PSFx2BAL(CN,"*","GLCode",$B96,"DAF_Award",AD$2,PF,PT))</f>
        <v>0</v>
      </c>
      <c r="AE96" s="39">
        <f>IF(TRUE,0,_xll.PSFx2BAL(CN,"*","GLCode",$B96,"DAF_Award",AE$2,PF,PT))</f>
        <v>0</v>
      </c>
      <c r="AF96" s="39">
        <f>IF(TRUE,0,_xll.PSFx2BAL(CN,"*","GLCode",$B96,"DAF_Award",AF$2,PF,PT))</f>
        <v>0</v>
      </c>
      <c r="AG96" s="39">
        <f>IF(TRUE,0,_xll.PSFx2BAL(CN,"*","GLCode",$B96,"DAF_Award",AG$2,PF,PT))</f>
        <v>0</v>
      </c>
      <c r="AH96" s="39">
        <f>IF(TRUE,0,_xll.PSFx2BAL(CN,"*","GLCode",$B96,"DAF_Award",AH$2,PF,PT))</f>
        <v>0</v>
      </c>
      <c r="AI96" s="39">
        <f>AJ96-SUM(D96:AH96)</f>
        <v>0</v>
      </c>
      <c r="AJ96" s="18">
        <f>VLOOKUP(B96,TB!$B$5:$E$140,4,FALSE)</f>
        <v>0</v>
      </c>
    </row>
    <row r="97" spans="1:39" hidden="1" x14ac:dyDescent="0.2">
      <c r="A97" s="1">
        <f t="shared" si="44"/>
        <v>8101</v>
      </c>
      <c r="B97" t="s">
        <v>196</v>
      </c>
      <c r="C97" t="s">
        <v>197</v>
      </c>
      <c r="D97" s="39">
        <f>IF(TRUE,0,_xll.PSFx2BAL(CN,"*","GLCode",$B97,"DAF_Award",D$2,PF,PT))</f>
        <v>0</v>
      </c>
      <c r="E97" s="39">
        <f>IF(TRUE,0,_xll.PSFx2BAL(CN,"*","GLCode",$B97,"DAF_Award",E$2,PF,PT))</f>
        <v>0</v>
      </c>
      <c r="F97" s="39">
        <f>IF(TRUE,0,_xll.PSFx2BAL(CN,"*","GLCode",$B97,"DAF_Award",F$2,PF,PT))</f>
        <v>0</v>
      </c>
      <c r="G97" s="39">
        <f>IF(TRUE,0,_xll.PSFx2BAL(CN,"*","GLCode",$B97,"DAF_Award",G$2,PF,PT))</f>
        <v>0</v>
      </c>
      <c r="H97" s="39">
        <f>IF(TRUE,0,_xll.PSFx2BAL(CN,"*","GLCode",$B97,"DAF_Award",H$2,PF,PT))</f>
        <v>0</v>
      </c>
      <c r="I97" s="39">
        <f>IF(TRUE,0,_xll.PSFx2BAL(CN,"*","GLCode",$B97,"DAF_Award",I$2,PF,PT))</f>
        <v>0</v>
      </c>
      <c r="J97" s="39">
        <f>IF(TRUE,0,_xll.PSFx2BAL(CN,"*","GLCode",$B97,"DAF_Award",J$2,PF,PT))</f>
        <v>0</v>
      </c>
      <c r="K97" s="39">
        <f>IF(TRUE,0,_xll.PSFx2BAL(CN,"*","GLCode",$B97,"DAF_Award",K$2,PF,PT))</f>
        <v>0</v>
      </c>
      <c r="L97" s="39">
        <f>IF(TRUE,0,_xll.PSFx2BAL(CN,"*","GLCode",$B97,"DAF_Award",L$2,PF,PT))</f>
        <v>0</v>
      </c>
      <c r="M97" s="39">
        <f>IF(TRUE,0,_xll.PSFx2BAL(CN,"*","GLCode",$B97,"DAF_Award",M$2,PF,PT))</f>
        <v>0</v>
      </c>
      <c r="N97" s="39">
        <f>IF(TRUE,0,_xll.PSFx2BAL(CN,"*","GLCode",$B97,"DAF_Award",N$2,PF,PT))</f>
        <v>0</v>
      </c>
      <c r="O97" s="39">
        <f>IF(TRUE,0,_xll.PSFx2BAL(CN,"*","GLCode",$B97,"DAF_Award",O$2,PF,PT))</f>
        <v>0</v>
      </c>
      <c r="P97" s="39">
        <f>IF(TRUE,0,_xll.PSFx2BAL(CN,"*","GLCode",$B97,"DAF_Award",P$2,PF,PT))</f>
        <v>0</v>
      </c>
      <c r="Q97" s="39">
        <f>IF(TRUE,0,_xll.PSFx2BAL(CN,"*","GLCode",$B97,"DAF_Award",Q$2,PF,PT))</f>
        <v>0</v>
      </c>
      <c r="R97" s="39">
        <f>IF(TRUE,0,_xll.PSFx2BAL(CN,"*","GLCode",$B97,"DAF_Award",R$2,PF,PT))</f>
        <v>0</v>
      </c>
      <c r="S97" s="39">
        <f>IF(TRUE,0,_xll.PSFx2BAL(CN,"*","GLCode",$B97,"DAF_Award",S$2,PF,PT))</f>
        <v>0</v>
      </c>
      <c r="T97" s="39">
        <f>IF(TRUE,0,_xll.PSFx2BAL(CN,"*","GLCode",$B97,"DAF_Award",T$2,PF,PT))</f>
        <v>0</v>
      </c>
      <c r="U97" s="39">
        <f>IF(TRUE,0,_xll.PSFx2BAL(CN,"*","GLCode",$B97,"DAF_Award",U$2,PF,PT))</f>
        <v>0</v>
      </c>
      <c r="V97" s="39">
        <f>IF(TRUE,0,_xll.PSFx2BAL(CN,"*","GLCode",$B97,"DAF_Award",V$2,PF,PT))</f>
        <v>0</v>
      </c>
      <c r="W97" s="39">
        <f>IF(TRUE,0,_xll.PSFx2BAL(CN,"*","GLCode",$B97,"DAF_Award",W$2,PF,PT))</f>
        <v>0</v>
      </c>
      <c r="X97" s="39">
        <f>IF(TRUE,0,_xll.PSFx2BAL(CN,"*","GLCode",$B97,"DAF_Award",X$2,PF,PT))</f>
        <v>0</v>
      </c>
      <c r="Y97" s="39">
        <f>IF(TRUE,0,_xll.PSFx2BAL(CN,"*","GLCode",$B97,"DAF_Award",Y$2,PF,PT))</f>
        <v>0</v>
      </c>
      <c r="Z97" s="39">
        <f>IF(TRUE,0,_xll.PSFx2BAL(CN,"*","GLCode",$B97,"DAF_Award",Z$2,PF,PT))</f>
        <v>0</v>
      </c>
      <c r="AA97" s="39">
        <f>IF(TRUE,0,_xll.PSFx2BAL(CN,"*","GLCode",$B97,"DAF_Award",AA$2,PF,PT))</f>
        <v>0</v>
      </c>
      <c r="AB97" s="39">
        <f>IF(TRUE,0,_xll.PSFx2BAL(CN,"*","GLCode",$B97,"DAF_Award",AB$2,PF,PT))</f>
        <v>0</v>
      </c>
      <c r="AC97" s="39">
        <f>IF(TRUE,0,_xll.PSFx2BAL(CN,"*","GLCode",$B97,"DAF_Award",AC$2,PF,PT))</f>
        <v>0</v>
      </c>
      <c r="AD97" s="39">
        <f>IF(TRUE,0,_xll.PSFx2BAL(CN,"*","GLCode",$B97,"DAF_Award",AD$2,PF,PT))</f>
        <v>0</v>
      </c>
      <c r="AE97" s="39">
        <f>IF(TRUE,0,_xll.PSFx2BAL(CN,"*","GLCode",$B97,"DAF_Award",AE$2,PF,PT))</f>
        <v>0</v>
      </c>
      <c r="AF97" s="39">
        <f>IF(TRUE,0,_xll.PSFx2BAL(CN,"*","GLCode",$B97,"DAF_Award",AF$2,PF,PT))</f>
        <v>0</v>
      </c>
      <c r="AG97" s="39">
        <f>IF(TRUE,0,_xll.PSFx2BAL(CN,"*","GLCode",$B97,"DAF_Award",AG$2,PF,PT))</f>
        <v>0</v>
      </c>
      <c r="AH97" s="39">
        <f>IF(TRUE,0,_xll.PSFx2BAL(CN,"*","GLCode",$B97,"DAF_Award",AH$2,PF,PT))</f>
        <v>0</v>
      </c>
      <c r="AI97" s="39">
        <f>AJ97-SUM(D97:AH97)</f>
        <v>0</v>
      </c>
      <c r="AJ97" s="18">
        <f>VLOOKUP(B97,TB!$B$5:$E$140,4,FALSE)</f>
        <v>0</v>
      </c>
    </row>
    <row r="98" spans="1:39" hidden="1" x14ac:dyDescent="0.2">
      <c r="A98" s="1">
        <f t="shared" si="44"/>
        <v>8102</v>
      </c>
      <c r="B98" t="s">
        <v>198</v>
      </c>
      <c r="C98" t="s">
        <v>199</v>
      </c>
      <c r="D98" s="39">
        <f>IF(TRUE,0,_xll.PSFx2BAL(CN,"*","GLCode",$B98,"DAF_Award",D$2,PF,PT))</f>
        <v>0</v>
      </c>
      <c r="E98" s="39">
        <f>IF(TRUE,0,_xll.PSFx2BAL(CN,"*","GLCode",$B98,"DAF_Award",E$2,PF,PT))</f>
        <v>0</v>
      </c>
      <c r="F98" s="39">
        <f>IF(TRUE,0,_xll.PSFx2BAL(CN,"*","GLCode",$B98,"DAF_Award",F$2,PF,PT))</f>
        <v>0</v>
      </c>
      <c r="G98" s="39">
        <f>IF(TRUE,0,_xll.PSFx2BAL(CN,"*","GLCode",$B98,"DAF_Award",G$2,PF,PT))</f>
        <v>0</v>
      </c>
      <c r="H98" s="39">
        <f>IF(TRUE,0,_xll.PSFx2BAL(CN,"*","GLCode",$B98,"DAF_Award",H$2,PF,PT))</f>
        <v>0</v>
      </c>
      <c r="I98" s="39">
        <f>IF(TRUE,0,_xll.PSFx2BAL(CN,"*","GLCode",$B98,"DAF_Award",I$2,PF,PT))</f>
        <v>0</v>
      </c>
      <c r="J98" s="39">
        <f>IF(TRUE,0,_xll.PSFx2BAL(CN,"*","GLCode",$B98,"DAF_Award",J$2,PF,PT))</f>
        <v>0</v>
      </c>
      <c r="K98" s="39">
        <f>IF(TRUE,0,_xll.PSFx2BAL(CN,"*","GLCode",$B98,"DAF_Award",K$2,PF,PT))</f>
        <v>0</v>
      </c>
      <c r="L98" s="39">
        <f>IF(TRUE,0,_xll.PSFx2BAL(CN,"*","GLCode",$B98,"DAF_Award",L$2,PF,PT))</f>
        <v>0</v>
      </c>
      <c r="M98" s="39">
        <f>IF(TRUE,0,_xll.PSFx2BAL(CN,"*","GLCode",$B98,"DAF_Award",M$2,PF,PT))</f>
        <v>0</v>
      </c>
      <c r="N98" s="39">
        <f>IF(TRUE,0,_xll.PSFx2BAL(CN,"*","GLCode",$B98,"DAF_Award",N$2,PF,PT))</f>
        <v>0</v>
      </c>
      <c r="O98" s="39">
        <f>IF(TRUE,0,_xll.PSFx2BAL(CN,"*","GLCode",$B98,"DAF_Award",O$2,PF,PT))</f>
        <v>0</v>
      </c>
      <c r="P98" s="39">
        <f>IF(TRUE,0,_xll.PSFx2BAL(CN,"*","GLCode",$B98,"DAF_Award",P$2,PF,PT))</f>
        <v>0</v>
      </c>
      <c r="Q98" s="39">
        <f>IF(TRUE,0,_xll.PSFx2BAL(CN,"*","GLCode",$B98,"DAF_Award",Q$2,PF,PT))</f>
        <v>0</v>
      </c>
      <c r="R98" s="39">
        <f>IF(TRUE,0,_xll.PSFx2BAL(CN,"*","GLCode",$B98,"DAF_Award",R$2,PF,PT))</f>
        <v>0</v>
      </c>
      <c r="S98" s="39">
        <f>IF(TRUE,0,_xll.PSFx2BAL(CN,"*","GLCode",$B98,"DAF_Award",S$2,PF,PT))</f>
        <v>0</v>
      </c>
      <c r="T98" s="39">
        <f>IF(TRUE,0,_xll.PSFx2BAL(CN,"*","GLCode",$B98,"DAF_Award",T$2,PF,PT))</f>
        <v>0</v>
      </c>
      <c r="U98" s="39">
        <f>IF(TRUE,0,_xll.PSFx2BAL(CN,"*","GLCode",$B98,"DAF_Award",U$2,PF,PT))</f>
        <v>0</v>
      </c>
      <c r="V98" s="39">
        <f>IF(TRUE,0,_xll.PSFx2BAL(CN,"*","GLCode",$B98,"DAF_Award",V$2,PF,PT))</f>
        <v>0</v>
      </c>
      <c r="W98" s="39">
        <f>IF(TRUE,0,_xll.PSFx2BAL(CN,"*","GLCode",$B98,"DAF_Award",W$2,PF,PT))</f>
        <v>0</v>
      </c>
      <c r="X98" s="39">
        <f>IF(TRUE,0,_xll.PSFx2BAL(CN,"*","GLCode",$B98,"DAF_Award",X$2,PF,PT))</f>
        <v>0</v>
      </c>
      <c r="Y98" s="39">
        <f>IF(TRUE,0,_xll.PSFx2BAL(CN,"*","GLCode",$B98,"DAF_Award",Y$2,PF,PT))</f>
        <v>0</v>
      </c>
      <c r="Z98" s="39">
        <f>IF(TRUE,0,_xll.PSFx2BAL(CN,"*","GLCode",$B98,"DAF_Award",Z$2,PF,PT))</f>
        <v>0</v>
      </c>
      <c r="AA98" s="39">
        <f>IF(TRUE,0,_xll.PSFx2BAL(CN,"*","GLCode",$B98,"DAF_Award",AA$2,PF,PT))</f>
        <v>0</v>
      </c>
      <c r="AB98" s="39">
        <f>IF(TRUE,0,_xll.PSFx2BAL(CN,"*","GLCode",$B98,"DAF_Award",AB$2,PF,PT))</f>
        <v>0</v>
      </c>
      <c r="AC98" s="39">
        <f>IF(TRUE,0,_xll.PSFx2BAL(CN,"*","GLCode",$B98,"DAF_Award",AC$2,PF,PT))</f>
        <v>0</v>
      </c>
      <c r="AD98" s="39">
        <f>IF(TRUE,0,_xll.PSFx2BAL(CN,"*","GLCode",$B98,"DAF_Award",AD$2,PF,PT))</f>
        <v>0</v>
      </c>
      <c r="AE98" s="39">
        <f>IF(TRUE,0,_xll.PSFx2BAL(CN,"*","GLCode",$B98,"DAF_Award",AE$2,PF,PT))</f>
        <v>0</v>
      </c>
      <c r="AF98" s="39">
        <f>IF(TRUE,0,_xll.PSFx2BAL(CN,"*","GLCode",$B98,"DAF_Award",AF$2,PF,PT))</f>
        <v>0</v>
      </c>
      <c r="AG98" s="39">
        <f>IF(TRUE,0,_xll.PSFx2BAL(CN,"*","GLCode",$B98,"DAF_Award",AG$2,PF,PT))</f>
        <v>0</v>
      </c>
      <c r="AH98" s="39">
        <f>IF(TRUE,0,_xll.PSFx2BAL(CN,"*","GLCode",$B98,"DAF_Award",AH$2,PF,PT))</f>
        <v>0</v>
      </c>
      <c r="AI98" s="39">
        <f>AJ98-SUM(D98:AH98)</f>
        <v>0</v>
      </c>
      <c r="AJ98" s="18">
        <f>VLOOKUP(B98,TB!$B$5:$E$140,4,FALSE)</f>
        <v>0</v>
      </c>
    </row>
    <row r="99" spans="1:39" hidden="1" x14ac:dyDescent="0.2">
      <c r="A99" s="1">
        <f t="shared" si="44"/>
        <v>9999</v>
      </c>
      <c r="B99" t="s">
        <v>200</v>
      </c>
      <c r="C99" t="s">
        <v>201</v>
      </c>
      <c r="D99" s="43">
        <f>IF(TRUE,0,_xll.PSFx2BAL(CN,"*","GLCode",$B99,"DAF_Award",D$2,PF,PT))</f>
        <v>0</v>
      </c>
      <c r="E99" s="43">
        <f>IF(TRUE,0,_xll.PSFx2BAL(CN,"*","GLCode",$B99,"DAF_Award",E$2,PF,PT))</f>
        <v>0</v>
      </c>
      <c r="F99" s="43">
        <f>IF(TRUE,0,_xll.PSFx2BAL(CN,"*","GLCode",$B99,"DAF_Award",F$2,PF,PT))</f>
        <v>0</v>
      </c>
      <c r="G99" s="43">
        <f>IF(TRUE,0,_xll.PSFx2BAL(CN,"*","GLCode",$B99,"DAF_Award",G$2,PF,PT))</f>
        <v>0</v>
      </c>
      <c r="H99" s="43">
        <f>IF(TRUE,0,_xll.PSFx2BAL(CN,"*","GLCode",$B99,"DAF_Award",H$2,PF,PT))</f>
        <v>0</v>
      </c>
      <c r="I99" s="43">
        <f>IF(TRUE,0,_xll.PSFx2BAL(CN,"*","GLCode",$B99,"DAF_Award",I$2,PF,PT))</f>
        <v>0</v>
      </c>
      <c r="J99" s="43">
        <f>IF(TRUE,0,_xll.PSFx2BAL(CN,"*","GLCode",$B99,"DAF_Award",J$2,PF,PT))</f>
        <v>0</v>
      </c>
      <c r="K99" s="43">
        <f>IF(TRUE,0,_xll.PSFx2BAL(CN,"*","GLCode",$B99,"DAF_Award",K$2,PF,PT))</f>
        <v>0</v>
      </c>
      <c r="L99" s="43">
        <f>IF(TRUE,0,_xll.PSFx2BAL(CN,"*","GLCode",$B99,"DAF_Award",L$2,PF,PT))</f>
        <v>0</v>
      </c>
      <c r="M99" s="43">
        <f>IF(TRUE,0,_xll.PSFx2BAL(CN,"*","GLCode",$B99,"DAF_Award",M$2,PF,PT))</f>
        <v>0</v>
      </c>
      <c r="N99" s="43">
        <f>IF(TRUE,0,_xll.PSFx2BAL(CN,"*","GLCode",$B99,"DAF_Award",N$2,PF,PT))</f>
        <v>0</v>
      </c>
      <c r="O99" s="43">
        <f>IF(TRUE,0,_xll.PSFx2BAL(CN,"*","GLCode",$B99,"DAF_Award",O$2,PF,PT))</f>
        <v>0</v>
      </c>
      <c r="P99" s="43">
        <f>IF(TRUE,0,_xll.PSFx2BAL(CN,"*","GLCode",$B99,"DAF_Award",P$2,PF,PT))</f>
        <v>0</v>
      </c>
      <c r="Q99" s="43">
        <f>IF(TRUE,0,_xll.PSFx2BAL(CN,"*","GLCode",$B99,"DAF_Award",Q$2,PF,PT))</f>
        <v>0</v>
      </c>
      <c r="R99" s="43">
        <f>IF(TRUE,0,_xll.PSFx2BAL(CN,"*","GLCode",$B99,"DAF_Award",R$2,PF,PT))</f>
        <v>0</v>
      </c>
      <c r="S99" s="43">
        <f>IF(TRUE,0,_xll.PSFx2BAL(CN,"*","GLCode",$B99,"DAF_Award",S$2,PF,PT))</f>
        <v>0</v>
      </c>
      <c r="T99" s="43">
        <f>IF(TRUE,0,_xll.PSFx2BAL(CN,"*","GLCode",$B99,"DAF_Award",T$2,PF,PT))</f>
        <v>0</v>
      </c>
      <c r="U99" s="43">
        <f>IF(TRUE,0,_xll.PSFx2BAL(CN,"*","GLCode",$B99,"DAF_Award",U$2,PF,PT))</f>
        <v>0</v>
      </c>
      <c r="V99" s="43">
        <f>IF(TRUE,0,_xll.PSFx2BAL(CN,"*","GLCode",$B99,"DAF_Award",V$2,PF,PT))</f>
        <v>0</v>
      </c>
      <c r="W99" s="43">
        <f>IF(TRUE,0,_xll.PSFx2BAL(CN,"*","GLCode",$B99,"DAF_Award",W$2,PF,PT))</f>
        <v>0</v>
      </c>
      <c r="X99" s="43">
        <f>IF(TRUE,0,_xll.PSFx2BAL(CN,"*","GLCode",$B99,"DAF_Award",X$2,PF,PT))</f>
        <v>0</v>
      </c>
      <c r="Y99" s="43">
        <f>IF(TRUE,0,_xll.PSFx2BAL(CN,"*","GLCode",$B99,"DAF_Award",Y$2,PF,PT))</f>
        <v>0</v>
      </c>
      <c r="Z99" s="43">
        <f>IF(TRUE,0,_xll.PSFx2BAL(CN,"*","GLCode",$B99,"DAF_Award",Z$2,PF,PT))</f>
        <v>0</v>
      </c>
      <c r="AA99" s="43">
        <f>IF(TRUE,0,_xll.PSFx2BAL(CN,"*","GLCode",$B99,"DAF_Award",AA$2,PF,PT))</f>
        <v>0</v>
      </c>
      <c r="AB99" s="43">
        <f>IF(TRUE,0,_xll.PSFx2BAL(CN,"*","GLCode",$B99,"DAF_Award",AB$2,PF,PT))</f>
        <v>0</v>
      </c>
      <c r="AC99" s="43">
        <f>IF(TRUE,0,_xll.PSFx2BAL(CN,"*","GLCode",$B99,"DAF_Award",AC$2,PF,PT))</f>
        <v>0</v>
      </c>
      <c r="AD99" s="43">
        <f>IF(TRUE,0,_xll.PSFx2BAL(CN,"*","GLCode",$B99,"DAF_Award",AD$2,PF,PT))</f>
        <v>0</v>
      </c>
      <c r="AE99" s="43">
        <f>IF(TRUE,0,_xll.PSFx2BAL(CN,"*","GLCode",$B99,"DAF_Award",AE$2,PF,PT))</f>
        <v>0</v>
      </c>
      <c r="AF99" s="43">
        <f>IF(TRUE,0,_xll.PSFx2BAL(CN,"*","GLCode",$B99,"DAF_Award",AF$2,PF,PT))</f>
        <v>0</v>
      </c>
      <c r="AG99" s="43">
        <f>IF(TRUE,0,_xll.PSFx2BAL(CN,"*","GLCode",$B99,"DAF_Award",AG$2,PF,PT))</f>
        <v>0</v>
      </c>
      <c r="AH99" s="43">
        <f>IF(TRUE,0,_xll.PSFx2BAL(CN,"*","GLCode",$B99,"DAF_Award",AH$2,PF,PT))</f>
        <v>0</v>
      </c>
      <c r="AI99" s="43">
        <f>AJ99-SUM(D99:AH99)</f>
        <v>0</v>
      </c>
      <c r="AJ99" s="42">
        <f>VLOOKUP(B99,TB!$B$5:$E$140,4,FALSE)</f>
        <v>0</v>
      </c>
    </row>
    <row r="101" spans="1:39" x14ac:dyDescent="0.2">
      <c r="C101" s="30" t="s">
        <v>311</v>
      </c>
      <c r="D101" s="16">
        <f t="shared" ref="D101:AJ101" si="55">SUM(D16,D94:D100)</f>
        <v>-281967.04999999935</v>
      </c>
      <c r="E101" s="16">
        <f t="shared" ref="E101:G101" si="56">SUM(E16,E94:E100)</f>
        <v>-4918.09</v>
      </c>
      <c r="F101" s="16">
        <f t="shared" si="56"/>
        <v>-4277.09</v>
      </c>
      <c r="G101" s="16">
        <f t="shared" si="56"/>
        <v>0</v>
      </c>
      <c r="H101" s="16">
        <f t="shared" si="55"/>
        <v>-920</v>
      </c>
      <c r="I101" s="16">
        <f t="shared" si="55"/>
        <v>0</v>
      </c>
      <c r="J101" s="16">
        <f t="shared" si="55"/>
        <v>219.48999999999796</v>
      </c>
      <c r="K101" s="16">
        <f t="shared" si="55"/>
        <v>9326.4799999999886</v>
      </c>
      <c r="L101" s="16">
        <f t="shared" ref="L101:M101" si="57">SUM(L16,L94:L100)</f>
        <v>-7466.8299999999872</v>
      </c>
      <c r="M101" s="16">
        <f t="shared" si="57"/>
        <v>-2203.8099999999995</v>
      </c>
      <c r="N101" s="16">
        <f t="shared" ref="N101" si="58">SUM(N16,N94:N100)</f>
        <v>-60.290000000000873</v>
      </c>
      <c r="O101" s="16">
        <f t="shared" si="55"/>
        <v>-685.38999999999942</v>
      </c>
      <c r="P101" s="16">
        <f t="shared" si="55"/>
        <v>-8791.8099999999977</v>
      </c>
      <c r="Q101" s="16">
        <f t="shared" ref="Q101:R101" si="59">SUM(Q16,Q94:Q100)</f>
        <v>-2885.26</v>
      </c>
      <c r="R101" s="16">
        <f t="shared" si="59"/>
        <v>-559.05999999999995</v>
      </c>
      <c r="S101" s="16">
        <f t="shared" ref="S101" si="60">SUM(S16,S94:S100)</f>
        <v>0</v>
      </c>
      <c r="T101" s="16">
        <f t="shared" si="55"/>
        <v>-9757.3700000000099</v>
      </c>
      <c r="U101" s="16">
        <f t="shared" ref="U101:V101" si="61">SUM(U16,U94:U100)</f>
        <v>0</v>
      </c>
      <c r="V101" s="16">
        <f t="shared" si="61"/>
        <v>-934.15999999999985</v>
      </c>
      <c r="W101" s="16">
        <f t="shared" si="55"/>
        <v>0</v>
      </c>
      <c r="X101" s="16">
        <f t="shared" si="55"/>
        <v>0</v>
      </c>
      <c r="Y101" s="16">
        <f t="shared" si="55"/>
        <v>0</v>
      </c>
      <c r="Z101" s="16">
        <f t="shared" si="55"/>
        <v>36774.42</v>
      </c>
      <c r="AA101" s="16">
        <f t="shared" si="55"/>
        <v>268854.75</v>
      </c>
      <c r="AB101" s="16">
        <f t="shared" si="55"/>
        <v>695186.9800000001</v>
      </c>
      <c r="AC101" s="16">
        <f t="shared" si="55"/>
        <v>81600.12999999999</v>
      </c>
      <c r="AD101" s="16">
        <f t="shared" si="55"/>
        <v>54823.979999999996</v>
      </c>
      <c r="AE101" s="16">
        <f t="shared" si="55"/>
        <v>194090</v>
      </c>
      <c r="AF101" s="16">
        <f t="shared" si="55"/>
        <v>202901.6</v>
      </c>
      <c r="AG101" s="16">
        <f t="shared" si="55"/>
        <v>1027538.42</v>
      </c>
      <c r="AH101" s="16">
        <f t="shared" si="55"/>
        <v>-2288488.7400000002</v>
      </c>
      <c r="AI101" s="16">
        <f t="shared" si="55"/>
        <v>412186.07999999996</v>
      </c>
      <c r="AJ101" s="16">
        <f t="shared" si="55"/>
        <v>369587.38000000274</v>
      </c>
      <c r="AL101" s="16">
        <f>SUM(AL16,AL94:AL100)</f>
        <v>685467.62000000395</v>
      </c>
      <c r="AM101" s="16">
        <f>SUM(AM16,AM94:AM100)</f>
        <v>-315880.24000000069</v>
      </c>
    </row>
    <row r="102" spans="1:39" x14ac:dyDescent="0.2">
      <c r="AI102" s="204"/>
      <c r="AJ102" s="203"/>
    </row>
    <row r="103" spans="1:39" x14ac:dyDescent="0.2">
      <c r="AI103" s="44">
        <f>SUM(AI5,AI7:AI10,AI18:AI27,AI59:AI74,AI79:AI80,AI86,AI89)</f>
        <v>0</v>
      </c>
      <c r="AJ103" s="44">
        <f>TB!L56-AJ101</f>
        <v>-3.7834979593753815E-9</v>
      </c>
      <c r="AL103" s="44">
        <f>SUM(W101:AI101)-AL101</f>
        <v>-3.9581209421157837E-9</v>
      </c>
      <c r="AM103" s="44">
        <f>AJ101-AL101-AM101</f>
        <v>-5.2386894822120667E-10</v>
      </c>
    </row>
    <row r="104" spans="1:39" x14ac:dyDescent="0.2">
      <c r="AJ104" s="9">
        <f>'Cost Centres'!O97</f>
        <v>369587.38000000099</v>
      </c>
    </row>
    <row r="105" spans="1:39" x14ac:dyDescent="0.2">
      <c r="AJ105" s="44">
        <f>AJ101-AJ104</f>
        <v>1.7462298274040222E-9</v>
      </c>
    </row>
    <row r="106" spans="1:39" x14ac:dyDescent="0.2">
      <c r="A106" t="s">
        <v>456</v>
      </c>
      <c r="C106" t="s">
        <v>455</v>
      </c>
      <c r="D106" s="26">
        <f t="shared" ref="D106:AG106" si="62">SUM(D23:D92)</f>
        <v>677263.35</v>
      </c>
      <c r="E106" s="26">
        <f t="shared" ref="E106:G106" si="63">SUM(E23:E92)</f>
        <v>19787.43</v>
      </c>
      <c r="F106" s="26">
        <f t="shared" si="63"/>
        <v>10376.14</v>
      </c>
      <c r="G106" s="26">
        <f t="shared" si="63"/>
        <v>0</v>
      </c>
      <c r="H106" s="26">
        <f t="shared" si="62"/>
        <v>5751</v>
      </c>
      <c r="I106" s="26">
        <f t="shared" si="62"/>
        <v>0</v>
      </c>
      <c r="J106" s="26">
        <f t="shared" si="62"/>
        <v>5383.51</v>
      </c>
      <c r="K106" s="26">
        <f t="shared" si="62"/>
        <v>34171.439999999995</v>
      </c>
      <c r="L106" s="26">
        <f t="shared" ref="L106:M106" si="64">SUM(L23:L92)</f>
        <v>15268.47</v>
      </c>
      <c r="M106" s="26">
        <f t="shared" si="64"/>
        <v>7697.67</v>
      </c>
      <c r="N106" s="26">
        <f t="shared" ref="N106" si="65">SUM(N23:N92)</f>
        <v>8293.7099999999991</v>
      </c>
      <c r="O106" s="26">
        <f t="shared" si="62"/>
        <v>13707.87</v>
      </c>
      <c r="P106" s="26">
        <f t="shared" si="62"/>
        <v>17965.77</v>
      </c>
      <c r="Q106" s="26">
        <f t="shared" ref="Q106:R106" si="66">SUM(Q23:Q92)</f>
        <v>11504.13</v>
      </c>
      <c r="R106" s="26">
        <f t="shared" si="66"/>
        <v>2236.23</v>
      </c>
      <c r="S106" s="26">
        <f t="shared" ref="S106" si="67">SUM(S23:S92)</f>
        <v>0</v>
      </c>
      <c r="T106" s="26">
        <f t="shared" si="62"/>
        <v>19572.22</v>
      </c>
      <c r="U106" s="26">
        <f t="shared" ref="U106:V106" si="68">SUM(U23:U92)</f>
        <v>0</v>
      </c>
      <c r="V106" s="26">
        <f t="shared" si="68"/>
        <v>3550.55</v>
      </c>
      <c r="W106" s="26">
        <f t="shared" si="62"/>
        <v>0</v>
      </c>
      <c r="X106" s="26">
        <f t="shared" si="62"/>
        <v>0</v>
      </c>
      <c r="Y106" s="26">
        <f t="shared" si="62"/>
        <v>0</v>
      </c>
      <c r="Z106" s="26">
        <f t="shared" si="62"/>
        <v>0</v>
      </c>
      <c r="AA106" s="26">
        <f t="shared" si="62"/>
        <v>0</v>
      </c>
      <c r="AB106" s="26">
        <f t="shared" si="62"/>
        <v>0</v>
      </c>
      <c r="AC106" s="26">
        <f t="shared" si="62"/>
        <v>0</v>
      </c>
      <c r="AD106" s="26">
        <f t="shared" si="62"/>
        <v>0</v>
      </c>
      <c r="AE106" s="26">
        <f t="shared" si="62"/>
        <v>0</v>
      </c>
      <c r="AF106" s="26">
        <f t="shared" si="62"/>
        <v>0</v>
      </c>
      <c r="AG106" s="26">
        <f t="shared" si="62"/>
        <v>0</v>
      </c>
      <c r="AH106" s="26">
        <f>SUM(AH23:AH92)</f>
        <v>993517.09999999974</v>
      </c>
      <c r="AI106" s="39">
        <f t="shared" ref="AI106" si="69">AJ106-SUM(D106:AH106)</f>
        <v>481849.7200000002</v>
      </c>
      <c r="AJ106" s="26">
        <f>SUM(AJ23:AJ92)</f>
        <v>2327896.31</v>
      </c>
      <c r="AL106" s="39">
        <f t="shared" ref="AL106" si="70">SUM(W106:AI106)</f>
        <v>1475366.8199999998</v>
      </c>
      <c r="AM106" s="39">
        <f t="shared" ref="AM106" si="71">AJ106-AL106</f>
        <v>852529.49000000022</v>
      </c>
    </row>
    <row r="108" spans="1:39" x14ac:dyDescent="0.2">
      <c r="C108" s="30" t="s">
        <v>357</v>
      </c>
    </row>
    <row r="109" spans="1:39" x14ac:dyDescent="0.2">
      <c r="B109" t="s">
        <v>16</v>
      </c>
      <c r="C109" t="s">
        <v>24</v>
      </c>
      <c r="D109" s="39">
        <f>IF(TRUE,-3813689.94,_xll.PSFx2BAL(CN,"*","COSTCENTRE",$B109,"DAF_Award",D$2,PF,PT))</f>
        <v>-3813689.94</v>
      </c>
      <c r="E109" s="39">
        <f>IF(TRUE,-24705.52,_xll.PSFx2BAL(CN,"*","COSTCENTRE",$B109,"DAF_Award",E$2,PF,PT))</f>
        <v>-24705.52</v>
      </c>
      <c r="F109" s="39">
        <f>IF(TRUE,-21750.23,_xll.PSFx2BAL(CN,"*","COSTCENTRE",$B109,"DAF_Award",F$2,PF,PT))</f>
        <v>-21750.23</v>
      </c>
      <c r="G109" s="39">
        <f>IF(TRUE,-295165.05,_xll.PSFx2BAL(CN,"*","COSTCENTRE",$B109,"DAF_Award",G$2,PF,PT))</f>
        <v>-295165.05</v>
      </c>
      <c r="H109" s="39">
        <f>IF(TRUE,-6671,_xll.PSFx2BAL(CN,"*","COSTCENTRE",$B109,"DAF_Award",H$2,PF,PT))</f>
        <v>-6671</v>
      </c>
      <c r="I109" s="39">
        <f>IF(TRUE,0,_xll.PSFx2BAL(CN,"*","COSTCENTRE",$B109,"DAF_Award",I$2,PF,PT))</f>
        <v>0</v>
      </c>
      <c r="J109" s="39">
        <f>IF(TRUE,-24313.92,_xll.PSFx2BAL(CN,"*","COSTCENTRE",$B109,"DAF_Award",J$2,PF,PT))</f>
        <v>-24313.919999999998</v>
      </c>
      <c r="K109" s="39">
        <f>IF(TRUE,33819.84,_xll.PSFx2BAL(CN,"*","COSTCENTRE",$B109,"DAF_Award",K$2,PF,PT))</f>
        <v>33819.839999999997</v>
      </c>
      <c r="L109" s="39">
        <f>IF(TRUE,-131812.59,_xll.PSFx2BAL(CN,"*","COSTCENTRE",$B109,"DAF_Award",L$2,PF,PT))</f>
        <v>-131812.59</v>
      </c>
      <c r="M109" s="39">
        <f>IF(TRUE,-9901.48,_xll.PSFx2BAL(CN,"*","COSTCENTRE",$B109,"DAF_Award",M$2,PF,PT))</f>
        <v>-9901.48</v>
      </c>
      <c r="N109" s="39">
        <f>IF(TRUE,-8354,_xll.PSFx2BAL(CN,"*","COSTCENTRE",$B109,"DAF_Award",N$2,PF,PT))</f>
        <v>-8354</v>
      </c>
      <c r="O109" s="39">
        <f>IF(TRUE,-14393.26,_xll.PSFx2BAL(CN,"*","COSTCENTRE",$B109,"DAF_Award",O$2,PF,PT))</f>
        <v>-14393.26</v>
      </c>
      <c r="P109" s="39">
        <f>IF(TRUE,-26757.58,_xll.PSFx2BAL(CN,"*","COSTCENTRE",$B109,"DAF_Award",P$2,PF,PT))</f>
        <v>-26757.58</v>
      </c>
      <c r="Q109" s="39">
        <f>IF(TRUE,-14389.39,_xll.PSFx2BAL(CN,"*","COSTCENTRE",$B109,"DAF_Award",Q$2,PF,PT))</f>
        <v>-14389.39</v>
      </c>
      <c r="R109" s="39">
        <f>IF(TRUE,-2795.29,_xll.PSFx2BAL(CN,"*","COSTCENTRE",$B109,"DAF_Award",R$2,PF,PT))</f>
        <v>-2795.29</v>
      </c>
      <c r="S109" s="39">
        <f>IF(TRUE,-388.52,_xll.PSFx2BAL(CN,"*","COSTCENTRE",$B109,"DAF_Award",S$2,PF,PT))</f>
        <v>-388.52</v>
      </c>
      <c r="T109" s="39">
        <f>IF(TRUE,-98989.73,_xll.PSFx2BAL(CN,"*","COSTCENTRE",$B109,"DAF_Award",T$2,PF,PT))</f>
        <v>-98989.73</v>
      </c>
      <c r="U109" s="39">
        <f>IF(TRUE,0,_xll.PSFx2BAL(CN,"*","COSTCENTRE",$B109,"DAF_Award",U$2,PF,PT))</f>
        <v>0</v>
      </c>
      <c r="V109" s="39">
        <f>IF(TRUE,-4484.71,_xll.PSFx2BAL(CN,"*","COSTCENTRE",$B109,"DAF_Award",V$2,PF,PT))</f>
        <v>-4484.71</v>
      </c>
      <c r="W109" s="39">
        <f>IF(TRUE,0,_xll.PSFx2BAL(CN,"*","COSTCENTRE",$B109,"DAF_Award",W$2,PF,PT))</f>
        <v>0</v>
      </c>
      <c r="X109" s="39">
        <f>IF(TRUE,0,_xll.PSFx2BAL(CN,"*","COSTCENTRE",$B109,"DAF_Award",X$2,PF,PT))</f>
        <v>0</v>
      </c>
      <c r="Y109" s="39">
        <f>IF(TRUE,0,_xll.PSFx2BAL(CN,"*","COSTCENTRE",$B109,"DAF_Award",Y$2,PF,PT))</f>
        <v>0</v>
      </c>
      <c r="Z109" s="39">
        <f>IF(TRUE,0,_xll.PSFx2BAL(CN,"*","COSTCENTRE",$B109,"DAF_Award",Z$2,PF,PT))</f>
        <v>0</v>
      </c>
      <c r="AA109" s="39">
        <f>IF(TRUE,0,_xll.PSFx2BAL(CN,"*","COSTCENTRE",$B109,"DAF_Award",AA$2,PF,PT))</f>
        <v>0</v>
      </c>
      <c r="AB109" s="39">
        <f>IF(TRUE,-737255.62,_xll.PSFx2BAL(CN,"*","COSTCENTRE",$B109,"DAF_Award",AB$2,PF,PT))</f>
        <v>-737255.62</v>
      </c>
      <c r="AC109" s="39">
        <f>IF(TRUE,0,_xll.PSFx2BAL(CN,"*","COSTCENTRE",$B109,"DAF_Award",AC$2,PF,PT))</f>
        <v>0</v>
      </c>
      <c r="AD109" s="39">
        <f>IF(TRUE,0,_xll.PSFx2BAL(CN,"*","COSTCENTRE",$B109,"DAF_Award",AD$2,PF,PT))</f>
        <v>0</v>
      </c>
      <c r="AE109" s="39">
        <f>IF(TRUE,0,_xll.PSFx2BAL(CN,"*","COSTCENTRE",$B109,"DAF_Award",AE$2,PF,PT))</f>
        <v>0</v>
      </c>
      <c r="AF109" s="39">
        <f>IF(TRUE,0,_xll.PSFx2BAL(CN,"*","COSTCENTRE",$B109,"DAF_Award",AF$2,PF,PT))</f>
        <v>0</v>
      </c>
      <c r="AG109" s="39">
        <f>IF(TRUE,0,_xll.PSFx2BAL(CN,"*","COSTCENTRE",$B109,"DAF_Award",AG$2,PF,PT))</f>
        <v>0</v>
      </c>
      <c r="AH109" s="39">
        <f>IF(TRUE,-3360549.63,_xll.PSFx2BAL(CN,"*","COSTCENTRE",$B109,"DAF_Award",AH$2,PF,PT))</f>
        <v>-3360549.63</v>
      </c>
      <c r="AI109" s="39">
        <f t="shared" ref="AI109:AI119" si="72">AJ109-SUM(D109:AH109)</f>
        <v>-69663.639999998733</v>
      </c>
      <c r="AJ109" s="9">
        <f>'Cost Centres'!D97</f>
        <v>-8632211.2599999998</v>
      </c>
      <c r="AL109" s="39">
        <f t="shared" ref="AL109:AL119" si="73">SUM(W109:AI109)</f>
        <v>-4167468.8899999987</v>
      </c>
    </row>
    <row r="110" spans="1:39" x14ac:dyDescent="0.2">
      <c r="B110" t="s">
        <v>22</v>
      </c>
      <c r="C110" t="s">
        <v>25</v>
      </c>
      <c r="D110" s="39">
        <f>IF(TRUE,2854459.54,_xll.PSFx2BAL(CN,"*","COSTCENTRE",$B110,"DAF_Award",D$2,PF,PT))</f>
        <v>2854459.54</v>
      </c>
      <c r="E110" s="39">
        <f>IF(TRUE,9940.72,_xll.PSFx2BAL(CN,"*","COSTCENTRE",$B110,"DAF_Award",E$2,PF,PT))</f>
        <v>9940.7199999999993</v>
      </c>
      <c r="F110" s="39">
        <f>IF(TRUE,7097,_xll.PSFx2BAL(CN,"*","COSTCENTRE",$B110,"DAF_Award",F$2,PF,PT))</f>
        <v>7097</v>
      </c>
      <c r="G110" s="39">
        <f>IF(TRUE,295165.05,_xll.PSFx2BAL(CN,"*","COSTCENTRE",$B110,"DAF_Award",G$2,PF,PT))</f>
        <v>295165.05</v>
      </c>
      <c r="H110" s="39">
        <f>IF(TRUE,0,_xll.PSFx2BAL(CN,"*","COSTCENTRE",$B110,"DAF_Award",H$2,PF,PT))</f>
        <v>0</v>
      </c>
      <c r="I110" s="39">
        <f>IF(TRUE,0,_xll.PSFx2BAL(CN,"*","COSTCENTRE",$B110,"DAF_Award",I$2,PF,PT))</f>
        <v>0</v>
      </c>
      <c r="J110" s="39">
        <f>IF(TRUE,19149.9,_xll.PSFx2BAL(CN,"*","COSTCENTRE",$B110,"DAF_Award",J$2,PF,PT))</f>
        <v>19149.900000000001</v>
      </c>
      <c r="K110" s="39">
        <f>IF(TRUE,-58664.8,_xll.PSFx2BAL(CN,"*","COSTCENTRE",$B110,"DAF_Award",K$2,PF,PT))</f>
        <v>-58664.800000000003</v>
      </c>
      <c r="L110" s="39">
        <f>IF(TRUE,109077.29,_xll.PSFx2BAL(CN,"*","COSTCENTRE",$B110,"DAF_Award",L$2,PF,PT))</f>
        <v>109077.29</v>
      </c>
      <c r="M110" s="39">
        <f>IF(TRUE,0,_xll.PSFx2BAL(CN,"*","COSTCENTRE",$B110,"DAF_Award",M$2,PF,PT))</f>
        <v>0</v>
      </c>
      <c r="N110" s="39">
        <f>IF(TRUE,0,_xll.PSFx2BAL(CN,"*","COSTCENTRE",$B110,"DAF_Award",N$2,PF,PT))</f>
        <v>0</v>
      </c>
      <c r="O110" s="39">
        <f>IF(TRUE,13707.87,_xll.PSFx2BAL(CN,"*","COSTCENTRE",$B110,"DAF_Award",O$2,PF,PT))</f>
        <v>13707.87</v>
      </c>
      <c r="P110" s="39">
        <f>IF(TRUE,0,_xll.PSFx2BAL(CN,"*","COSTCENTRE",$B110,"DAF_Award",P$2,PF,PT))</f>
        <v>0</v>
      </c>
      <c r="Q110" s="39">
        <f>IF(TRUE,0,_xll.PSFx2BAL(CN,"*","COSTCENTRE",$B110,"DAF_Award",Q$2,PF,PT))</f>
        <v>0</v>
      </c>
      <c r="R110" s="39">
        <f>IF(TRUE,0,_xll.PSFx2BAL(CN,"*","COSTCENTRE",$B110,"DAF_Award",R$2,PF,PT))</f>
        <v>0</v>
      </c>
      <c r="S110" s="39">
        <f>IF(TRUE,388.52,_xll.PSFx2BAL(CN,"*","COSTCENTRE",$B110,"DAF_Award",S$2,PF,PT))</f>
        <v>388.52</v>
      </c>
      <c r="T110" s="39">
        <f>IF(TRUE,69660.14,_xll.PSFx2BAL(CN,"*","COSTCENTRE",$B110,"DAF_Award",T$2,PF,PT))</f>
        <v>69660.14</v>
      </c>
      <c r="U110" s="39">
        <f>IF(TRUE,0,_xll.PSFx2BAL(CN,"*","COSTCENTRE",$B110,"DAF_Award",U$2,PF,PT))</f>
        <v>0</v>
      </c>
      <c r="V110" s="39">
        <f>IF(TRUE,0,_xll.PSFx2BAL(CN,"*","COSTCENTRE",$B110,"DAF_Award",V$2,PF,PT))</f>
        <v>0</v>
      </c>
      <c r="W110" s="39">
        <f>IF(TRUE,0,_xll.PSFx2BAL(CN,"*","COSTCENTRE",$B110,"DAF_Award",W$2,PF,PT))</f>
        <v>0</v>
      </c>
      <c r="X110" s="39">
        <f>IF(TRUE,0,_xll.PSFx2BAL(CN,"*","COSTCENTRE",$B110,"DAF_Award",X$2,PF,PT))</f>
        <v>0</v>
      </c>
      <c r="Y110" s="39">
        <f>IF(TRUE,0,_xll.PSFx2BAL(CN,"*","COSTCENTRE",$B110,"DAF_Award",Y$2,PF,PT))</f>
        <v>0</v>
      </c>
      <c r="Z110" s="39">
        <f>IF(TRUE,36774.42,_xll.PSFx2BAL(CN,"*","COSTCENTRE",$B110,"DAF_Award",Z$2,PF,PT))</f>
        <v>36774.42</v>
      </c>
      <c r="AA110" s="39">
        <f>IF(TRUE,268854.75,_xll.PSFx2BAL(CN,"*","COSTCENTRE",$B110,"DAF_Award",AA$2,PF,PT))</f>
        <v>268854.75</v>
      </c>
      <c r="AB110" s="39">
        <f>IF(TRUE,1432442.6,_xll.PSFx2BAL(CN,"*","COSTCENTRE",$B110,"DAF_Award",AB$2,PF,PT))</f>
        <v>1432442.6</v>
      </c>
      <c r="AC110" s="39">
        <f>IF(TRUE,81600.13,_xll.PSFx2BAL(CN,"*","COSTCENTRE",$B110,"DAF_Award",AC$2,PF,PT))</f>
        <v>81600.13</v>
      </c>
      <c r="AD110" s="39">
        <f>IF(TRUE,54823.98,_xll.PSFx2BAL(CN,"*","COSTCENTRE",$B110,"DAF_Award",AD$2,PF,PT))</f>
        <v>54823.98</v>
      </c>
      <c r="AE110" s="39">
        <f>IF(TRUE,194090,_xll.PSFx2BAL(CN,"*","COSTCENTRE",$B110,"DAF_Award",AE$2,PF,PT))</f>
        <v>194090</v>
      </c>
      <c r="AF110" s="39">
        <f>IF(TRUE,202901.6,_xll.PSFx2BAL(CN,"*","COSTCENTRE",$B110,"DAF_Award",AF$2,PF,PT))</f>
        <v>202901.6</v>
      </c>
      <c r="AG110" s="39">
        <f>IF(TRUE,1027538.42,_xll.PSFx2BAL(CN,"*","COSTCENTRE",$B110,"DAF_Award",AG$2,PF,PT))</f>
        <v>1027538.42</v>
      </c>
      <c r="AH110" s="39">
        <f>IF(TRUE,75124.58,_xll.PSFx2BAL(CN,"*","COSTCENTRE",$B110,"DAF_Award",AH$2,PF,PT))</f>
        <v>75124.58</v>
      </c>
      <c r="AI110" s="39">
        <f t="shared" si="72"/>
        <v>2000.6700000008568</v>
      </c>
      <c r="AJ110" s="9">
        <f>'Cost Centres'!E97</f>
        <v>6696132.3800000008</v>
      </c>
      <c r="AL110" s="39">
        <f t="shared" si="73"/>
        <v>3376151.1500000008</v>
      </c>
    </row>
    <row r="111" spans="1:39" x14ac:dyDescent="0.2">
      <c r="B111" t="s">
        <v>21</v>
      </c>
      <c r="C111" t="s">
        <v>26</v>
      </c>
      <c r="D111" s="39">
        <f>IF(TRUE,256832.35,_xll.PSFx2BAL(CN,"*","COSTCENTRE",$B111,"DAF_Award",D$2,PF,PT))</f>
        <v>256832.35</v>
      </c>
      <c r="E111" s="39">
        <f>IF(TRUE,0,_xll.PSFx2BAL(CN,"*","COSTCENTRE",$B111,"DAF_Award",E$2,PF,PT))</f>
        <v>0</v>
      </c>
      <c r="F111" s="39">
        <f>IF(TRUE,0,_xll.PSFx2BAL(CN,"*","COSTCENTRE",$B111,"DAF_Award",F$2,PF,PT))</f>
        <v>0</v>
      </c>
      <c r="G111" s="39">
        <f>IF(TRUE,0,_xll.PSFx2BAL(CN,"*","COSTCENTRE",$B111,"DAF_Award",G$2,PF,PT))</f>
        <v>0</v>
      </c>
      <c r="H111" s="39">
        <f>IF(TRUE,0,_xll.PSFx2BAL(CN,"*","COSTCENTRE",$B111,"DAF_Award",H$2,PF,PT))</f>
        <v>0</v>
      </c>
      <c r="I111" s="39">
        <f>IF(TRUE,0,_xll.PSFx2BAL(CN,"*","COSTCENTRE",$B111,"DAF_Award",I$2,PF,PT))</f>
        <v>0</v>
      </c>
      <c r="J111" s="39">
        <f>IF(TRUE,2820.11,_xll.PSFx2BAL(CN,"*","COSTCENTRE",$B111,"DAF_Award",J$2,PF,PT))</f>
        <v>2820.11</v>
      </c>
      <c r="K111" s="39">
        <f>IF(TRUE,29852.47,_xll.PSFx2BAL(CN,"*","COSTCENTRE",$B111,"DAF_Award",K$2,PF,PT))</f>
        <v>29852.47</v>
      </c>
      <c r="L111" s="39">
        <f>IF(TRUE,4610.88,_xll.PSFx2BAL(CN,"*","COSTCENTRE",$B111,"DAF_Award",L$2,PF,PT))</f>
        <v>4610.88</v>
      </c>
      <c r="M111" s="39">
        <f>IF(TRUE,0,_xll.PSFx2BAL(CN,"*","COSTCENTRE",$B111,"DAF_Award",M$2,PF,PT))</f>
        <v>0</v>
      </c>
      <c r="N111" s="39">
        <f>IF(TRUE,0,_xll.PSFx2BAL(CN,"*","COSTCENTRE",$B111,"DAF_Award",N$2,PF,PT))</f>
        <v>0</v>
      </c>
      <c r="O111" s="39">
        <f>IF(TRUE,0,_xll.PSFx2BAL(CN,"*","COSTCENTRE",$B111,"DAF_Award",O$2,PF,PT))</f>
        <v>0</v>
      </c>
      <c r="P111" s="39">
        <f>IF(TRUE,15355.84,_xll.PSFx2BAL(CN,"*","COSTCENTRE",$B111,"DAF_Award",P$2,PF,PT))</f>
        <v>15355.84</v>
      </c>
      <c r="Q111" s="39">
        <f>IF(TRUE,5223.52,_xll.PSFx2BAL(CN,"*","COSTCENTRE",$B111,"DAF_Award",Q$2,PF,PT))</f>
        <v>5223.5200000000004</v>
      </c>
      <c r="R111" s="39">
        <f>IF(TRUE,2236.23,_xll.PSFx2BAL(CN,"*","COSTCENTRE",$B111,"DAF_Award",R$2,PF,PT))</f>
        <v>2236.23</v>
      </c>
      <c r="S111" s="39">
        <f>IF(TRUE,0,_xll.PSFx2BAL(CN,"*","COSTCENTRE",$B111,"DAF_Award",S$2,PF,PT))</f>
        <v>0</v>
      </c>
      <c r="T111" s="39">
        <f>IF(TRUE,11610.69,_xll.PSFx2BAL(CN,"*","COSTCENTRE",$B111,"DAF_Award",T$2,PF,PT))</f>
        <v>11610.69</v>
      </c>
      <c r="U111" s="39">
        <f>IF(TRUE,0,_xll.PSFx2BAL(CN,"*","COSTCENTRE",$B111,"DAF_Award",U$2,PF,PT))</f>
        <v>0</v>
      </c>
      <c r="V111" s="39">
        <f>IF(TRUE,0,_xll.PSFx2BAL(CN,"*","COSTCENTRE",$B111,"DAF_Award",V$2,PF,PT))</f>
        <v>0</v>
      </c>
      <c r="W111" s="39">
        <f>IF(TRUE,0,_xll.PSFx2BAL(CN,"*","COSTCENTRE",$B111,"DAF_Award",W$2,PF,PT))</f>
        <v>0</v>
      </c>
      <c r="X111" s="39">
        <f>IF(TRUE,0,_xll.PSFx2BAL(CN,"*","COSTCENTRE",$B111,"DAF_Award",X$2,PF,PT))</f>
        <v>0</v>
      </c>
      <c r="Y111" s="39">
        <f>IF(TRUE,0,_xll.PSFx2BAL(CN,"*","COSTCENTRE",$B111,"DAF_Award",Y$2,PF,PT))</f>
        <v>0</v>
      </c>
      <c r="Z111" s="39">
        <f>IF(TRUE,0,_xll.PSFx2BAL(CN,"*","COSTCENTRE",$B111,"DAF_Award",Z$2,PF,PT))</f>
        <v>0</v>
      </c>
      <c r="AA111" s="39">
        <f>IF(TRUE,0,_xll.PSFx2BAL(CN,"*","COSTCENTRE",$B111,"DAF_Award",AA$2,PF,PT))</f>
        <v>0</v>
      </c>
      <c r="AB111" s="39">
        <f>IF(TRUE,0,_xll.PSFx2BAL(CN,"*","COSTCENTRE",$B111,"DAF_Award",AB$2,PF,PT))</f>
        <v>0</v>
      </c>
      <c r="AC111" s="39">
        <f>IF(TRUE,0,_xll.PSFx2BAL(CN,"*","COSTCENTRE",$B111,"DAF_Award",AC$2,PF,PT))</f>
        <v>0</v>
      </c>
      <c r="AD111" s="39">
        <f>IF(TRUE,0,_xll.PSFx2BAL(CN,"*","COSTCENTRE",$B111,"DAF_Award",AD$2,PF,PT))</f>
        <v>0</v>
      </c>
      <c r="AE111" s="39">
        <f>IF(TRUE,0,_xll.PSFx2BAL(CN,"*","COSTCENTRE",$B111,"DAF_Award",AE$2,PF,PT))</f>
        <v>0</v>
      </c>
      <c r="AF111" s="39">
        <f>IF(TRUE,0,_xll.PSFx2BAL(CN,"*","COSTCENTRE",$B111,"DAF_Award",AF$2,PF,PT))</f>
        <v>0</v>
      </c>
      <c r="AG111" s="39">
        <f>IF(TRUE,0,_xll.PSFx2BAL(CN,"*","COSTCENTRE",$B111,"DAF_Award",AG$2,PF,PT))</f>
        <v>0</v>
      </c>
      <c r="AH111" s="39">
        <f>IF(TRUE,175073.09,_xll.PSFx2BAL(CN,"*","COSTCENTRE",$B111,"DAF_Award",AH$2,PF,PT))</f>
        <v>175073.09</v>
      </c>
      <c r="AI111" s="39">
        <f t="shared" si="72"/>
        <v>3084.7999999998719</v>
      </c>
      <c r="AJ111" s="9">
        <f>'Cost Centres'!F97</f>
        <v>506699.97999999992</v>
      </c>
      <c r="AL111" s="39">
        <f t="shared" si="73"/>
        <v>178157.88999999987</v>
      </c>
    </row>
    <row r="112" spans="1:39" x14ac:dyDescent="0.2">
      <c r="B112" t="s">
        <v>18</v>
      </c>
      <c r="C112" t="s">
        <v>27</v>
      </c>
      <c r="D112" s="39">
        <f>IF(TRUE,249171.13,_xll.PSFx2BAL(CN,"*","COSTCENTRE",$B112,"DAF_Award",D$2,PF,PT))</f>
        <v>249171.13</v>
      </c>
      <c r="E112" s="39">
        <f>IF(TRUE,9846.71,_xll.PSFx2BAL(CN,"*","COSTCENTRE",$B112,"DAF_Award",E$2,PF,PT))</f>
        <v>9846.7099999999991</v>
      </c>
      <c r="F112" s="39">
        <f>IF(TRUE,9859.14,_xll.PSFx2BAL(CN,"*","COSTCENTRE",$B112,"DAF_Award",F$2,PF,PT))</f>
        <v>9859.14</v>
      </c>
      <c r="G112" s="39">
        <f>IF(TRUE,0,_xll.PSFx2BAL(CN,"*","COSTCENTRE",$B112,"DAF_Award",G$2,PF,PT))</f>
        <v>0</v>
      </c>
      <c r="H112" s="39">
        <f>IF(TRUE,5751,_xll.PSFx2BAL(CN,"*","COSTCENTRE",$B112,"DAF_Award",H$2,PF,PT))</f>
        <v>5751</v>
      </c>
      <c r="I112" s="39">
        <f>IF(TRUE,0,_xll.PSFx2BAL(CN,"*","COSTCENTRE",$B112,"DAF_Award",I$2,PF,PT))</f>
        <v>0</v>
      </c>
      <c r="J112" s="39">
        <f>IF(TRUE,2563.4,_xll.PSFx2BAL(CN,"*","COSTCENTRE",$B112,"DAF_Award",J$2,PF,PT))</f>
        <v>2563.4</v>
      </c>
      <c r="K112" s="39">
        <f>IF(TRUE,0,_xll.PSFx2BAL(CN,"*","COSTCENTRE",$B112,"DAF_Award",K$2,PF,PT))</f>
        <v>0</v>
      </c>
      <c r="L112" s="39">
        <f>IF(TRUE,10657.59,_xll.PSFx2BAL(CN,"*","COSTCENTRE",$B112,"DAF_Award",L$2,PF,PT))</f>
        <v>10657.59</v>
      </c>
      <c r="M112" s="39">
        <f>IF(TRUE,7697.67,_xll.PSFx2BAL(CN,"*","COSTCENTRE",$B112,"DAF_Award",M$2,PF,PT))</f>
        <v>7697.67</v>
      </c>
      <c r="N112" s="39">
        <f>IF(TRUE,3546.01,_xll.PSFx2BAL(CN,"*","COSTCENTRE",$B112,"DAF_Award",N$2,PF,PT))</f>
        <v>3546.01</v>
      </c>
      <c r="O112" s="39">
        <f>IF(TRUE,0,_xll.PSFx2BAL(CN,"*","COSTCENTRE",$B112,"DAF_Award",O$2,PF,PT))</f>
        <v>0</v>
      </c>
      <c r="P112" s="39">
        <f>IF(TRUE,0,_xll.PSFx2BAL(CN,"*","COSTCENTRE",$B112,"DAF_Award",P$2,PF,PT))</f>
        <v>0</v>
      </c>
      <c r="Q112" s="39">
        <f>IF(TRUE,0,_xll.PSFx2BAL(CN,"*","COSTCENTRE",$B112,"DAF_Award",Q$2,PF,PT))</f>
        <v>0</v>
      </c>
      <c r="R112" s="39">
        <f>IF(TRUE,0,_xll.PSFx2BAL(CN,"*","COSTCENTRE",$B112,"DAF_Award",R$2,PF,PT))</f>
        <v>0</v>
      </c>
      <c r="S112" s="39">
        <f>IF(TRUE,0,_xll.PSFx2BAL(CN,"*","COSTCENTRE",$B112,"DAF_Award",S$2,PF,PT))</f>
        <v>0</v>
      </c>
      <c r="T112" s="39">
        <f>IF(TRUE,7961.53,_xll.PSFx2BAL(CN,"*","COSTCENTRE",$B112,"DAF_Award",T$2,PF,PT))</f>
        <v>7961.53</v>
      </c>
      <c r="U112" s="39">
        <f>IF(TRUE,0,_xll.PSFx2BAL(CN,"*","COSTCENTRE",$B112,"DAF_Award",U$2,PF,PT))</f>
        <v>0</v>
      </c>
      <c r="V112" s="39">
        <f>IF(TRUE,3550.55,_xll.PSFx2BAL(CN,"*","COSTCENTRE",$B112,"DAF_Award",V$2,PF,PT))</f>
        <v>3550.55</v>
      </c>
      <c r="W112" s="39">
        <f>IF(TRUE,0,_xll.PSFx2BAL(CN,"*","COSTCENTRE",$B112,"DAF_Award",W$2,PF,PT))</f>
        <v>0</v>
      </c>
      <c r="X112" s="39">
        <f>IF(TRUE,0,_xll.PSFx2BAL(CN,"*","COSTCENTRE",$B112,"DAF_Award",X$2,PF,PT))</f>
        <v>0</v>
      </c>
      <c r="Y112" s="39">
        <f>IF(TRUE,0,_xll.PSFx2BAL(CN,"*","COSTCENTRE",$B112,"DAF_Award",Y$2,PF,PT))</f>
        <v>0</v>
      </c>
      <c r="Z112" s="39">
        <f>IF(TRUE,0,_xll.PSFx2BAL(CN,"*","COSTCENTRE",$B112,"DAF_Award",Z$2,PF,PT))</f>
        <v>0</v>
      </c>
      <c r="AA112" s="39">
        <f>IF(TRUE,0,_xll.PSFx2BAL(CN,"*","COSTCENTRE",$B112,"DAF_Award",AA$2,PF,PT))</f>
        <v>0</v>
      </c>
      <c r="AB112" s="39">
        <f>IF(TRUE,0,_xll.PSFx2BAL(CN,"*","COSTCENTRE",$B112,"DAF_Award",AB$2,PF,PT))</f>
        <v>0</v>
      </c>
      <c r="AC112" s="39">
        <f>IF(TRUE,0,_xll.PSFx2BAL(CN,"*","COSTCENTRE",$B112,"DAF_Award",AC$2,PF,PT))</f>
        <v>0</v>
      </c>
      <c r="AD112" s="39">
        <f>IF(TRUE,0,_xll.PSFx2BAL(CN,"*","COSTCENTRE",$B112,"DAF_Award",AD$2,PF,PT))</f>
        <v>0</v>
      </c>
      <c r="AE112" s="39">
        <f>IF(TRUE,0,_xll.PSFx2BAL(CN,"*","COSTCENTRE",$B112,"DAF_Award",AE$2,PF,PT))</f>
        <v>0</v>
      </c>
      <c r="AF112" s="39">
        <f>IF(TRUE,0,_xll.PSFx2BAL(CN,"*","COSTCENTRE",$B112,"DAF_Award",AF$2,PF,PT))</f>
        <v>0</v>
      </c>
      <c r="AG112" s="39">
        <f>IF(TRUE,0,_xll.PSFx2BAL(CN,"*","COSTCENTRE",$B112,"DAF_Award",AG$2,PF,PT))</f>
        <v>0</v>
      </c>
      <c r="AH112" s="39">
        <f>IF(TRUE,190171.22,_xll.PSFx2BAL(CN,"*","COSTCENTRE",$B112,"DAF_Award",AH$2,PF,PT))</f>
        <v>190171.22</v>
      </c>
      <c r="AI112" s="39">
        <f t="shared" si="72"/>
        <v>6011.8699999999371</v>
      </c>
      <c r="AJ112" s="9">
        <f>'Cost Centres'!G97</f>
        <v>506787.82</v>
      </c>
      <c r="AL112" s="39">
        <f t="shared" si="73"/>
        <v>196183.08999999994</v>
      </c>
    </row>
    <row r="113" spans="1:38" x14ac:dyDescent="0.2">
      <c r="B113" t="s">
        <v>19</v>
      </c>
      <c r="C113" t="s">
        <v>355</v>
      </c>
      <c r="D113" s="39">
        <f>IF(TRUE,25340.05,_xll.PSFx2BAL(CN,"*","COSTCENTRE",$B113,"DAF_Award",D$2,PF,PT))</f>
        <v>25340.05</v>
      </c>
      <c r="E113" s="39">
        <f>IF(TRUE,0,_xll.PSFx2BAL(CN,"*","COSTCENTRE",$B113,"DAF_Award",E$2,PF,PT))</f>
        <v>0</v>
      </c>
      <c r="F113" s="39">
        <f>IF(TRUE,0,_xll.PSFx2BAL(CN,"*","COSTCENTRE",$B113,"DAF_Award",F$2,PF,PT))</f>
        <v>0</v>
      </c>
      <c r="G113" s="39">
        <f>IF(TRUE,0,_xll.PSFx2BAL(CN,"*","COSTCENTRE",$B113,"DAF_Award",G$2,PF,PT))</f>
        <v>0</v>
      </c>
      <c r="H113" s="39">
        <f>IF(TRUE,0,_xll.PSFx2BAL(CN,"*","COSTCENTRE",$B113,"DAF_Award",H$2,PF,PT))</f>
        <v>0</v>
      </c>
      <c r="I113" s="39">
        <f>IF(TRUE,0,_xll.PSFx2BAL(CN,"*","COSTCENTRE",$B113,"DAF_Award",I$2,PF,PT))</f>
        <v>0</v>
      </c>
      <c r="J113" s="39">
        <f>IF(TRUE,0,_xll.PSFx2BAL(CN,"*","COSTCENTRE",$B113,"DAF_Award",J$2,PF,PT))</f>
        <v>0</v>
      </c>
      <c r="K113" s="39">
        <f>IF(TRUE,0,_xll.PSFx2BAL(CN,"*","COSTCENTRE",$B113,"DAF_Award",K$2,PF,PT))</f>
        <v>0</v>
      </c>
      <c r="L113" s="39">
        <f>IF(TRUE,0,_xll.PSFx2BAL(CN,"*","COSTCENTRE",$B113,"DAF_Award",L$2,PF,PT))</f>
        <v>0</v>
      </c>
      <c r="M113" s="39">
        <f>IF(TRUE,0,_xll.PSFx2BAL(CN,"*","COSTCENTRE",$B113,"DAF_Award",M$2,PF,PT))</f>
        <v>0</v>
      </c>
      <c r="N113" s="39">
        <f>IF(TRUE,4747.7,_xll.PSFx2BAL(CN,"*","COSTCENTRE",$B113,"DAF_Award",N$2,PF,PT))</f>
        <v>4747.7</v>
      </c>
      <c r="O113" s="39">
        <f>IF(TRUE,0,_xll.PSFx2BAL(CN,"*","COSTCENTRE",$B113,"DAF_Award",O$2,PF,PT))</f>
        <v>0</v>
      </c>
      <c r="P113" s="39">
        <f>IF(TRUE,0,_xll.PSFx2BAL(CN,"*","COSTCENTRE",$B113,"DAF_Award",P$2,PF,PT))</f>
        <v>0</v>
      </c>
      <c r="Q113" s="39">
        <f>IF(TRUE,0,_xll.PSFx2BAL(CN,"*","COSTCENTRE",$B113,"DAF_Award",Q$2,PF,PT))</f>
        <v>0</v>
      </c>
      <c r="R113" s="39">
        <f>IF(TRUE,0,_xll.PSFx2BAL(CN,"*","COSTCENTRE",$B113,"DAF_Award",R$2,PF,PT))</f>
        <v>0</v>
      </c>
      <c r="S113" s="39">
        <f>IF(TRUE,0,_xll.PSFx2BAL(CN,"*","COSTCENTRE",$B113,"DAF_Award",S$2,PF,PT))</f>
        <v>0</v>
      </c>
      <c r="T113" s="39">
        <f>IF(TRUE,0,_xll.PSFx2BAL(CN,"*","COSTCENTRE",$B113,"DAF_Award",T$2,PF,PT))</f>
        <v>0</v>
      </c>
      <c r="U113" s="39">
        <f>IF(TRUE,0,_xll.PSFx2BAL(CN,"*","COSTCENTRE",$B113,"DAF_Award",U$2,PF,PT))</f>
        <v>0</v>
      </c>
      <c r="V113" s="39">
        <f>IF(TRUE,0,_xll.PSFx2BAL(CN,"*","COSTCENTRE",$B113,"DAF_Award",V$2,PF,PT))</f>
        <v>0</v>
      </c>
      <c r="W113" s="39">
        <f>IF(TRUE,0,_xll.PSFx2BAL(CN,"*","COSTCENTRE",$B113,"DAF_Award",W$2,PF,PT))</f>
        <v>0</v>
      </c>
      <c r="X113" s="39">
        <f>IF(TRUE,0,_xll.PSFx2BAL(CN,"*","COSTCENTRE",$B113,"DAF_Award",X$2,PF,PT))</f>
        <v>0</v>
      </c>
      <c r="Y113" s="39">
        <f>IF(TRUE,0,_xll.PSFx2BAL(CN,"*","COSTCENTRE",$B113,"DAF_Award",Y$2,PF,PT))</f>
        <v>0</v>
      </c>
      <c r="Z113" s="39">
        <f>IF(TRUE,0,_xll.PSFx2BAL(CN,"*","COSTCENTRE",$B113,"DAF_Award",Z$2,PF,PT))</f>
        <v>0</v>
      </c>
      <c r="AA113" s="39">
        <f>IF(TRUE,0,_xll.PSFx2BAL(CN,"*","COSTCENTRE",$B113,"DAF_Award",AA$2,PF,PT))</f>
        <v>0</v>
      </c>
      <c r="AB113" s="39">
        <f>IF(TRUE,0,_xll.PSFx2BAL(CN,"*","COSTCENTRE",$B113,"DAF_Award",AB$2,PF,PT))</f>
        <v>0</v>
      </c>
      <c r="AC113" s="39">
        <f>IF(TRUE,0,_xll.PSFx2BAL(CN,"*","COSTCENTRE",$B113,"DAF_Award",AC$2,PF,PT))</f>
        <v>0</v>
      </c>
      <c r="AD113" s="39">
        <f>IF(TRUE,0,_xll.PSFx2BAL(CN,"*","COSTCENTRE",$B113,"DAF_Award",AD$2,PF,PT))</f>
        <v>0</v>
      </c>
      <c r="AE113" s="39">
        <f>IF(TRUE,0,_xll.PSFx2BAL(CN,"*","COSTCENTRE",$B113,"DAF_Award",AE$2,PF,PT))</f>
        <v>0</v>
      </c>
      <c r="AF113" s="39">
        <f>IF(TRUE,0,_xll.PSFx2BAL(CN,"*","COSTCENTRE",$B113,"DAF_Award",AF$2,PF,PT))</f>
        <v>0</v>
      </c>
      <c r="AG113" s="39">
        <f>IF(TRUE,0,_xll.PSFx2BAL(CN,"*","COSTCENTRE",$B113,"DAF_Award",AG$2,PF,PT))</f>
        <v>0</v>
      </c>
      <c r="AH113" s="39">
        <f>IF(TRUE,200792.7,_xll.PSFx2BAL(CN,"*","COSTCENTRE",$B113,"DAF_Award",AH$2,PF,PT))</f>
        <v>200792.7</v>
      </c>
      <c r="AI113" s="39">
        <f t="shared" si="72"/>
        <v>37648.239999999932</v>
      </c>
      <c r="AJ113" s="9">
        <f>'Cost Centres'!H97</f>
        <v>268528.68999999994</v>
      </c>
      <c r="AL113" s="39">
        <f t="shared" si="73"/>
        <v>238440.93999999994</v>
      </c>
    </row>
    <row r="114" spans="1:38" x14ac:dyDescent="0.2">
      <c r="B114" t="s">
        <v>13</v>
      </c>
      <c r="C114" t="s">
        <v>28</v>
      </c>
      <c r="D114" s="39">
        <f>IF(TRUE,145919.82,_xll.PSFx2BAL(CN,"*","COSTCENTRE",$B114,"DAF_Award",D$2,PF,PT))</f>
        <v>145919.82</v>
      </c>
      <c r="E114" s="39">
        <f>IF(TRUE,0,_xll.PSFx2BAL(CN,"*","COSTCENTRE",$B114,"DAF_Award",E$2,PF,PT))</f>
        <v>0</v>
      </c>
      <c r="F114" s="39">
        <f>IF(TRUE,517,_xll.PSFx2BAL(CN,"*","COSTCENTRE",$B114,"DAF_Award",F$2,PF,PT))</f>
        <v>517</v>
      </c>
      <c r="G114" s="39">
        <f>IF(TRUE,0,_xll.PSFx2BAL(CN,"*","COSTCENTRE",$B114,"DAF_Award",G$2,PF,PT))</f>
        <v>0</v>
      </c>
      <c r="H114" s="39">
        <f>IF(TRUE,0,_xll.PSFx2BAL(CN,"*","COSTCENTRE",$B114,"DAF_Award",H$2,PF,PT))</f>
        <v>0</v>
      </c>
      <c r="I114" s="39">
        <f>IF(TRUE,0,_xll.PSFx2BAL(CN,"*","COSTCENTRE",$B114,"DAF_Award",I$2,PF,PT))</f>
        <v>0</v>
      </c>
      <c r="J114" s="39">
        <f>IF(TRUE,0,_xll.PSFx2BAL(CN,"*","COSTCENTRE",$B114,"DAF_Award",J$2,PF,PT))</f>
        <v>0</v>
      </c>
      <c r="K114" s="39">
        <f>IF(TRUE,4318.97,_xll.PSFx2BAL(CN,"*","COSTCENTRE",$B114,"DAF_Award",K$2,PF,PT))</f>
        <v>4318.97</v>
      </c>
      <c r="L114" s="39">
        <f>IF(TRUE,0,_xll.PSFx2BAL(CN,"*","COSTCENTRE",$B114,"DAF_Award",L$2,PF,PT))</f>
        <v>0</v>
      </c>
      <c r="M114" s="39">
        <f>IF(TRUE,0,_xll.PSFx2BAL(CN,"*","COSTCENTRE",$B114,"DAF_Award",M$2,PF,PT))</f>
        <v>0</v>
      </c>
      <c r="N114" s="39">
        <f>IF(TRUE,0,_xll.PSFx2BAL(CN,"*","COSTCENTRE",$B114,"DAF_Award",N$2,PF,PT))</f>
        <v>0</v>
      </c>
      <c r="O114" s="39">
        <f>IF(TRUE,0,_xll.PSFx2BAL(CN,"*","COSTCENTRE",$B114,"DAF_Award",O$2,PF,PT))</f>
        <v>0</v>
      </c>
      <c r="P114" s="39">
        <f>IF(TRUE,2609.93,_xll.PSFx2BAL(CN,"*","COSTCENTRE",$B114,"DAF_Award",P$2,PF,PT))</f>
        <v>2609.9299999999998</v>
      </c>
      <c r="Q114" s="39">
        <f>IF(TRUE,6280.61,_xll.PSFx2BAL(CN,"*","COSTCENTRE",$B114,"DAF_Award",Q$2,PF,PT))</f>
        <v>6280.61</v>
      </c>
      <c r="R114" s="39">
        <f>IF(TRUE,0,_xll.PSFx2BAL(CN,"*","COSTCENTRE",$B114,"DAF_Award",R$2,PF,PT))</f>
        <v>0</v>
      </c>
      <c r="S114" s="39">
        <f>IF(TRUE,0,_xll.PSFx2BAL(CN,"*","COSTCENTRE",$B114,"DAF_Award",S$2,PF,PT))</f>
        <v>0</v>
      </c>
      <c r="T114" s="39">
        <f>IF(TRUE,0,_xll.PSFx2BAL(CN,"*","COSTCENTRE",$B114,"DAF_Award",T$2,PF,PT))</f>
        <v>0</v>
      </c>
      <c r="U114" s="39">
        <f>IF(TRUE,0,_xll.PSFx2BAL(CN,"*","COSTCENTRE",$B114,"DAF_Award",U$2,PF,PT))</f>
        <v>0</v>
      </c>
      <c r="V114" s="39">
        <f>IF(TRUE,0,_xll.PSFx2BAL(CN,"*","COSTCENTRE",$B114,"DAF_Award",V$2,PF,PT))</f>
        <v>0</v>
      </c>
      <c r="W114" s="39">
        <f>IF(TRUE,0,_xll.PSFx2BAL(CN,"*","COSTCENTRE",$B114,"DAF_Award",W$2,PF,PT))</f>
        <v>0</v>
      </c>
      <c r="X114" s="39">
        <f>IF(TRUE,0,_xll.PSFx2BAL(CN,"*","COSTCENTRE",$B114,"DAF_Award",X$2,PF,PT))</f>
        <v>0</v>
      </c>
      <c r="Y114" s="39">
        <f>IF(TRUE,0,_xll.PSFx2BAL(CN,"*","COSTCENTRE",$B114,"DAF_Award",Y$2,PF,PT))</f>
        <v>0</v>
      </c>
      <c r="Z114" s="39">
        <f>IF(TRUE,0,_xll.PSFx2BAL(CN,"*","COSTCENTRE",$B114,"DAF_Award",Z$2,PF,PT))</f>
        <v>0</v>
      </c>
      <c r="AA114" s="39">
        <f>IF(TRUE,0,_xll.PSFx2BAL(CN,"*","COSTCENTRE",$B114,"DAF_Award",AA$2,PF,PT))</f>
        <v>0</v>
      </c>
      <c r="AB114" s="39">
        <f>IF(TRUE,0,_xll.PSFx2BAL(CN,"*","COSTCENTRE",$B114,"DAF_Award",AB$2,PF,PT))</f>
        <v>0</v>
      </c>
      <c r="AC114" s="39">
        <f>IF(TRUE,0,_xll.PSFx2BAL(CN,"*","COSTCENTRE",$B114,"DAF_Award",AC$2,PF,PT))</f>
        <v>0</v>
      </c>
      <c r="AD114" s="39">
        <f>IF(TRUE,0,_xll.PSFx2BAL(CN,"*","COSTCENTRE",$B114,"DAF_Award",AD$2,PF,PT))</f>
        <v>0</v>
      </c>
      <c r="AE114" s="39">
        <f>IF(TRUE,0,_xll.PSFx2BAL(CN,"*","COSTCENTRE",$B114,"DAF_Award",AE$2,PF,PT))</f>
        <v>0</v>
      </c>
      <c r="AF114" s="39">
        <f>IF(TRUE,0,_xll.PSFx2BAL(CN,"*","COSTCENTRE",$B114,"DAF_Award",AF$2,PF,PT))</f>
        <v>0</v>
      </c>
      <c r="AG114" s="39">
        <f>IF(TRUE,0,_xll.PSFx2BAL(CN,"*","COSTCENTRE",$B114,"DAF_Award",AG$2,PF,PT))</f>
        <v>0</v>
      </c>
      <c r="AH114" s="39">
        <f>IF(TRUE,384761.29,_xll.PSFx2BAL(CN,"*","COSTCENTRE",$B114,"DAF_Award",AH$2,PF,PT))</f>
        <v>384761.29</v>
      </c>
      <c r="AI114" s="39">
        <f t="shared" si="72"/>
        <v>246716.95000000007</v>
      </c>
      <c r="AJ114" s="9">
        <f>'Cost Centres'!I97</f>
        <v>791124.57000000007</v>
      </c>
      <c r="AL114" s="39">
        <f t="shared" si="73"/>
        <v>631478.24</v>
      </c>
    </row>
    <row r="115" spans="1:38" x14ac:dyDescent="0.2">
      <c r="B115" t="s">
        <v>12</v>
      </c>
      <c r="C115" t="s">
        <v>354</v>
      </c>
      <c r="D115" s="39">
        <f>IF(TRUE,0,_xll.PSFx2BAL(CN,"*","COSTCENTRE",$B115,"DAF_Award",D$2,PF,PT))</f>
        <v>0</v>
      </c>
      <c r="E115" s="39">
        <f>IF(TRUE,0,_xll.PSFx2BAL(CN,"*","COSTCENTRE",$B115,"DAF_Award",E$2,PF,PT))</f>
        <v>0</v>
      </c>
      <c r="F115" s="39">
        <f>IF(TRUE,0,_xll.PSFx2BAL(CN,"*","COSTCENTRE",$B115,"DAF_Award",F$2,PF,PT))</f>
        <v>0</v>
      </c>
      <c r="G115" s="39">
        <f>IF(TRUE,0,_xll.PSFx2BAL(CN,"*","COSTCENTRE",$B115,"DAF_Award",G$2,PF,PT))</f>
        <v>0</v>
      </c>
      <c r="H115" s="39">
        <f>IF(TRUE,0,_xll.PSFx2BAL(CN,"*","COSTCENTRE",$B115,"DAF_Award",H$2,PF,PT))</f>
        <v>0</v>
      </c>
      <c r="I115" s="39">
        <f>IF(TRUE,0,_xll.PSFx2BAL(CN,"*","COSTCENTRE",$B115,"DAF_Award",I$2,PF,PT))</f>
        <v>0</v>
      </c>
      <c r="J115" s="39">
        <f>IF(TRUE,0,_xll.PSFx2BAL(CN,"*","COSTCENTRE",$B115,"DAF_Award",J$2,PF,PT))</f>
        <v>0</v>
      </c>
      <c r="K115" s="39">
        <f>IF(TRUE,0,_xll.PSFx2BAL(CN,"*","COSTCENTRE",$B115,"DAF_Award",K$2,PF,PT))</f>
        <v>0</v>
      </c>
      <c r="L115" s="39">
        <f>IF(TRUE,0,_xll.PSFx2BAL(CN,"*","COSTCENTRE",$B115,"DAF_Award",L$2,PF,PT))</f>
        <v>0</v>
      </c>
      <c r="M115" s="39">
        <f>IF(TRUE,0,_xll.PSFx2BAL(CN,"*","COSTCENTRE",$B115,"DAF_Award",M$2,PF,PT))</f>
        <v>0</v>
      </c>
      <c r="N115" s="39">
        <f>IF(TRUE,0,_xll.PSFx2BAL(CN,"*","COSTCENTRE",$B115,"DAF_Award",N$2,PF,PT))</f>
        <v>0</v>
      </c>
      <c r="O115" s="39">
        <f>IF(TRUE,0,_xll.PSFx2BAL(CN,"*","COSTCENTRE",$B115,"DAF_Award",O$2,PF,PT))</f>
        <v>0</v>
      </c>
      <c r="P115" s="39">
        <f>IF(TRUE,0,_xll.PSFx2BAL(CN,"*","COSTCENTRE",$B115,"DAF_Award",P$2,PF,PT))</f>
        <v>0</v>
      </c>
      <c r="Q115" s="39">
        <f>IF(TRUE,0,_xll.PSFx2BAL(CN,"*","COSTCENTRE",$B115,"DAF_Award",Q$2,PF,PT))</f>
        <v>0</v>
      </c>
      <c r="R115" s="39">
        <f>IF(TRUE,0,_xll.PSFx2BAL(CN,"*","COSTCENTRE",$B115,"DAF_Award",R$2,PF,PT))</f>
        <v>0</v>
      </c>
      <c r="S115" s="39">
        <f>IF(TRUE,0,_xll.PSFx2BAL(CN,"*","COSTCENTRE",$B115,"DAF_Award",S$2,PF,PT))</f>
        <v>0</v>
      </c>
      <c r="T115" s="39">
        <f>IF(TRUE,0,_xll.PSFx2BAL(CN,"*","COSTCENTRE",$B115,"DAF_Award",T$2,PF,PT))</f>
        <v>0</v>
      </c>
      <c r="U115" s="39">
        <f>IF(TRUE,0,_xll.PSFx2BAL(CN,"*","COSTCENTRE",$B115,"DAF_Award",U$2,PF,PT))</f>
        <v>0</v>
      </c>
      <c r="V115" s="39">
        <f>IF(TRUE,0,_xll.PSFx2BAL(CN,"*","COSTCENTRE",$B115,"DAF_Award",V$2,PF,PT))</f>
        <v>0</v>
      </c>
      <c r="W115" s="39">
        <f>IF(TRUE,0,_xll.PSFx2BAL(CN,"*","COSTCENTRE",$B115,"DAF_Award",W$2,PF,PT))</f>
        <v>0</v>
      </c>
      <c r="X115" s="39">
        <f>IF(TRUE,0,_xll.PSFx2BAL(CN,"*","COSTCENTRE",$B115,"DAF_Award",X$2,PF,PT))</f>
        <v>0</v>
      </c>
      <c r="Y115" s="39">
        <f>IF(TRUE,0,_xll.PSFx2BAL(CN,"*","COSTCENTRE",$B115,"DAF_Award",Y$2,PF,PT))</f>
        <v>0</v>
      </c>
      <c r="Z115" s="39">
        <f>IF(TRUE,0,_xll.PSFx2BAL(CN,"*","COSTCENTRE",$B115,"DAF_Award",Z$2,PF,PT))</f>
        <v>0</v>
      </c>
      <c r="AA115" s="39">
        <f>IF(TRUE,0,_xll.PSFx2BAL(CN,"*","COSTCENTRE",$B115,"DAF_Award",AA$2,PF,PT))</f>
        <v>0</v>
      </c>
      <c r="AB115" s="39">
        <f>IF(TRUE,0,_xll.PSFx2BAL(CN,"*","COSTCENTRE",$B115,"DAF_Award",AB$2,PF,PT))</f>
        <v>0</v>
      </c>
      <c r="AC115" s="39">
        <f>IF(TRUE,0,_xll.PSFx2BAL(CN,"*","COSTCENTRE",$B115,"DAF_Award",AC$2,PF,PT))</f>
        <v>0</v>
      </c>
      <c r="AD115" s="39">
        <f>IF(TRUE,0,_xll.PSFx2BAL(CN,"*","COSTCENTRE",$B115,"DAF_Award",AD$2,PF,PT))</f>
        <v>0</v>
      </c>
      <c r="AE115" s="39">
        <f>IF(TRUE,0,_xll.PSFx2BAL(CN,"*","COSTCENTRE",$B115,"DAF_Award",AE$2,PF,PT))</f>
        <v>0</v>
      </c>
      <c r="AF115" s="39">
        <f>IF(TRUE,0,_xll.PSFx2BAL(CN,"*","COSTCENTRE",$B115,"DAF_Award",AF$2,PF,PT))</f>
        <v>0</v>
      </c>
      <c r="AG115" s="39">
        <f>IF(TRUE,0,_xll.PSFx2BAL(CN,"*","COSTCENTRE",$B115,"DAF_Award",AG$2,PF,PT))</f>
        <v>0</v>
      </c>
      <c r="AH115" s="39">
        <f>IF(TRUE,45957.42,_xll.PSFx2BAL(CN,"*","COSTCENTRE",$B115,"DAF_Award",AH$2,PF,PT))</f>
        <v>45957.42</v>
      </c>
      <c r="AI115" s="39">
        <f t="shared" si="72"/>
        <v>1322.4000000000015</v>
      </c>
      <c r="AJ115" s="9">
        <f>'Cost Centres'!J97</f>
        <v>47279.82</v>
      </c>
      <c r="AL115" s="39">
        <f t="shared" si="73"/>
        <v>47279.82</v>
      </c>
    </row>
    <row r="116" spans="1:38" x14ac:dyDescent="0.2">
      <c r="B116" t="s">
        <v>14</v>
      </c>
      <c r="C116" t="s">
        <v>15</v>
      </c>
      <c r="D116" s="39">
        <f>IF(TRUE,0,_xll.PSFx2BAL(CN,"*","COSTCENTRE",$B116,"DAF_Award",D$2,PF,PT))</f>
        <v>0</v>
      </c>
      <c r="E116" s="39">
        <f>IF(TRUE,0,_xll.PSFx2BAL(CN,"*","COSTCENTRE",$B116,"DAF_Award",E$2,PF,PT))</f>
        <v>0</v>
      </c>
      <c r="F116" s="39">
        <f>IF(TRUE,0,_xll.PSFx2BAL(CN,"*","COSTCENTRE",$B116,"DAF_Award",F$2,PF,PT))</f>
        <v>0</v>
      </c>
      <c r="G116" s="39">
        <f>IF(TRUE,0,_xll.PSFx2BAL(CN,"*","COSTCENTRE",$B116,"DAF_Award",G$2,PF,PT))</f>
        <v>0</v>
      </c>
      <c r="H116" s="39">
        <f>IF(TRUE,0,_xll.PSFx2BAL(CN,"*","COSTCENTRE",$B116,"DAF_Award",H$2,PF,PT))</f>
        <v>0</v>
      </c>
      <c r="I116" s="39">
        <f>IF(TRUE,0,_xll.PSFx2BAL(CN,"*","COSTCENTRE",$B116,"DAF_Award",I$2,PF,PT))</f>
        <v>0</v>
      </c>
      <c r="J116" s="39">
        <f>IF(TRUE,0,_xll.PSFx2BAL(CN,"*","COSTCENTRE",$B116,"DAF_Award",J$2,PF,PT))</f>
        <v>0</v>
      </c>
      <c r="K116" s="39">
        <f>IF(TRUE,0,_xll.PSFx2BAL(CN,"*","COSTCENTRE",$B116,"DAF_Award",K$2,PF,PT))</f>
        <v>0</v>
      </c>
      <c r="L116" s="39">
        <f>IF(TRUE,0,_xll.PSFx2BAL(CN,"*","COSTCENTRE",$B116,"DAF_Award",L$2,PF,PT))</f>
        <v>0</v>
      </c>
      <c r="M116" s="39">
        <f>IF(TRUE,0,_xll.PSFx2BAL(CN,"*","COSTCENTRE",$B116,"DAF_Award",M$2,PF,PT))</f>
        <v>0</v>
      </c>
      <c r="N116" s="39">
        <f>IF(TRUE,0,_xll.PSFx2BAL(CN,"*","COSTCENTRE",$B116,"DAF_Award",N$2,PF,PT))</f>
        <v>0</v>
      </c>
      <c r="O116" s="39">
        <f>IF(TRUE,0,_xll.PSFx2BAL(CN,"*","COSTCENTRE",$B116,"DAF_Award",O$2,PF,PT))</f>
        <v>0</v>
      </c>
      <c r="P116" s="39">
        <f>IF(TRUE,0,_xll.PSFx2BAL(CN,"*","COSTCENTRE",$B116,"DAF_Award",P$2,PF,PT))</f>
        <v>0</v>
      </c>
      <c r="Q116" s="39">
        <f>IF(TRUE,0,_xll.PSFx2BAL(CN,"*","COSTCENTRE",$B116,"DAF_Award",Q$2,PF,PT))</f>
        <v>0</v>
      </c>
      <c r="R116" s="39">
        <f>IF(TRUE,0,_xll.PSFx2BAL(CN,"*","COSTCENTRE",$B116,"DAF_Award",R$2,PF,PT))</f>
        <v>0</v>
      </c>
      <c r="S116" s="39">
        <f>IF(TRUE,0,_xll.PSFx2BAL(CN,"*","COSTCENTRE",$B116,"DAF_Award",S$2,PF,PT))</f>
        <v>0</v>
      </c>
      <c r="T116" s="39">
        <f>IF(TRUE,0,_xll.PSFx2BAL(CN,"*","COSTCENTRE",$B116,"DAF_Award",T$2,PF,PT))</f>
        <v>0</v>
      </c>
      <c r="U116" s="39">
        <f>IF(TRUE,0,_xll.PSFx2BAL(CN,"*","COSTCENTRE",$B116,"DAF_Award",U$2,PF,PT))</f>
        <v>0</v>
      </c>
      <c r="V116" s="39">
        <f>IF(TRUE,0,_xll.PSFx2BAL(CN,"*","COSTCENTRE",$B116,"DAF_Award",V$2,PF,PT))</f>
        <v>0</v>
      </c>
      <c r="W116" s="39">
        <f>IF(TRUE,0,_xll.PSFx2BAL(CN,"*","COSTCENTRE",$B116,"DAF_Award",W$2,PF,PT))</f>
        <v>0</v>
      </c>
      <c r="X116" s="39">
        <f>IF(TRUE,0,_xll.PSFx2BAL(CN,"*","COSTCENTRE",$B116,"DAF_Award",X$2,PF,PT))</f>
        <v>0</v>
      </c>
      <c r="Y116" s="39">
        <f>IF(TRUE,0,_xll.PSFx2BAL(CN,"*","COSTCENTRE",$B116,"DAF_Award",Y$2,PF,PT))</f>
        <v>0</v>
      </c>
      <c r="Z116" s="39">
        <f>IF(TRUE,0,_xll.PSFx2BAL(CN,"*","COSTCENTRE",$B116,"DAF_Award",Z$2,PF,PT))</f>
        <v>0</v>
      </c>
      <c r="AA116" s="39">
        <f>IF(TRUE,0,_xll.PSFx2BAL(CN,"*","COSTCENTRE",$B116,"DAF_Award",AA$2,PF,PT))</f>
        <v>0</v>
      </c>
      <c r="AB116" s="39">
        <f>IF(TRUE,0,_xll.PSFx2BAL(CN,"*","COSTCENTRE",$B116,"DAF_Award",AB$2,PF,PT))</f>
        <v>0</v>
      </c>
      <c r="AC116" s="39">
        <f>IF(TRUE,0,_xll.PSFx2BAL(CN,"*","COSTCENTRE",$B116,"DAF_Award",AC$2,PF,PT))</f>
        <v>0</v>
      </c>
      <c r="AD116" s="39">
        <f>IF(TRUE,0,_xll.PSFx2BAL(CN,"*","COSTCENTRE",$B116,"DAF_Award",AD$2,PF,PT))</f>
        <v>0</v>
      </c>
      <c r="AE116" s="39">
        <f>IF(TRUE,0,_xll.PSFx2BAL(CN,"*","COSTCENTRE",$B116,"DAF_Award",AE$2,PF,PT))</f>
        <v>0</v>
      </c>
      <c r="AF116" s="39">
        <f>IF(TRUE,0,_xll.PSFx2BAL(CN,"*","COSTCENTRE",$B116,"DAF_Award",AF$2,PF,PT))</f>
        <v>0</v>
      </c>
      <c r="AG116" s="39">
        <f>IF(TRUE,0,_xll.PSFx2BAL(CN,"*","COSTCENTRE",$B116,"DAF_Award",AG$2,PF,PT))</f>
        <v>0</v>
      </c>
      <c r="AH116" s="39">
        <f>IF(TRUE,0,_xll.PSFx2BAL(CN,"*","COSTCENTRE",$B116,"DAF_Award",AH$2,PF,PT))</f>
        <v>0</v>
      </c>
      <c r="AI116" s="39">
        <f t="shared" si="72"/>
        <v>172378.22000000003</v>
      </c>
      <c r="AJ116" s="9">
        <f>'Cost Centres'!K97</f>
        <v>172378.22000000003</v>
      </c>
      <c r="AL116" s="39">
        <f t="shared" si="73"/>
        <v>172378.22000000003</v>
      </c>
    </row>
    <row r="117" spans="1:38" x14ac:dyDescent="0.2">
      <c r="B117" t="s">
        <v>17</v>
      </c>
      <c r="C117" t="s">
        <v>29</v>
      </c>
      <c r="D117" s="39">
        <f>IF(TRUE,0,_xll.PSFx2BAL(CN,"*","COSTCENTRE",$B117,"DAF_Award",D$2,PF,PT))</f>
        <v>0</v>
      </c>
      <c r="E117" s="39">
        <f>IF(TRUE,0,_xll.PSFx2BAL(CN,"*","COSTCENTRE",$B117,"DAF_Award",E$2,PF,PT))</f>
        <v>0</v>
      </c>
      <c r="F117" s="39">
        <f>IF(TRUE,0,_xll.PSFx2BAL(CN,"*","COSTCENTRE",$B117,"DAF_Award",F$2,PF,PT))</f>
        <v>0</v>
      </c>
      <c r="G117" s="39">
        <f>IF(TRUE,0,_xll.PSFx2BAL(CN,"*","COSTCENTRE",$B117,"DAF_Award",G$2,PF,PT))</f>
        <v>0</v>
      </c>
      <c r="H117" s="39">
        <f>IF(TRUE,0,_xll.PSFx2BAL(CN,"*","COSTCENTRE",$B117,"DAF_Award",H$2,PF,PT))</f>
        <v>0</v>
      </c>
      <c r="I117" s="39">
        <f>IF(TRUE,0,_xll.PSFx2BAL(CN,"*","COSTCENTRE",$B117,"DAF_Award",I$2,PF,PT))</f>
        <v>0</v>
      </c>
      <c r="J117" s="39">
        <f>IF(TRUE,0,_xll.PSFx2BAL(CN,"*","COSTCENTRE",$B117,"DAF_Award",J$2,PF,PT))</f>
        <v>0</v>
      </c>
      <c r="K117" s="39">
        <f>IF(TRUE,0,_xll.PSFx2BAL(CN,"*","COSTCENTRE",$B117,"DAF_Award",K$2,PF,PT))</f>
        <v>0</v>
      </c>
      <c r="L117" s="39">
        <f>IF(TRUE,0,_xll.PSFx2BAL(CN,"*","COSTCENTRE",$B117,"DAF_Award",L$2,PF,PT))</f>
        <v>0</v>
      </c>
      <c r="M117" s="39">
        <f>IF(TRUE,0,_xll.PSFx2BAL(CN,"*","COSTCENTRE",$B117,"DAF_Award",M$2,PF,PT))</f>
        <v>0</v>
      </c>
      <c r="N117" s="39">
        <f>IF(TRUE,0,_xll.PSFx2BAL(CN,"*","COSTCENTRE",$B117,"DAF_Award",N$2,PF,PT))</f>
        <v>0</v>
      </c>
      <c r="O117" s="39">
        <f>IF(TRUE,0,_xll.PSFx2BAL(CN,"*","COSTCENTRE",$B117,"DAF_Award",O$2,PF,PT))</f>
        <v>0</v>
      </c>
      <c r="P117" s="39">
        <f>IF(TRUE,0,_xll.PSFx2BAL(CN,"*","COSTCENTRE",$B117,"DAF_Award",P$2,PF,PT))</f>
        <v>0</v>
      </c>
      <c r="Q117" s="39">
        <f>IF(TRUE,0,_xll.PSFx2BAL(CN,"*","COSTCENTRE",$B117,"DAF_Award",Q$2,PF,PT))</f>
        <v>0</v>
      </c>
      <c r="R117" s="39">
        <f>IF(TRUE,0,_xll.PSFx2BAL(CN,"*","COSTCENTRE",$B117,"DAF_Award",R$2,PF,PT))</f>
        <v>0</v>
      </c>
      <c r="S117" s="39">
        <f>IF(TRUE,0,_xll.PSFx2BAL(CN,"*","COSTCENTRE",$B117,"DAF_Award",S$2,PF,PT))</f>
        <v>0</v>
      </c>
      <c r="T117" s="39">
        <f>IF(TRUE,0,_xll.PSFx2BAL(CN,"*","COSTCENTRE",$B117,"DAF_Award",T$2,PF,PT))</f>
        <v>0</v>
      </c>
      <c r="U117" s="39">
        <f>IF(TRUE,0,_xll.PSFx2BAL(CN,"*","COSTCENTRE",$B117,"DAF_Award",U$2,PF,PT))</f>
        <v>0</v>
      </c>
      <c r="V117" s="39">
        <f>IF(TRUE,0,_xll.PSFx2BAL(CN,"*","COSTCENTRE",$B117,"DAF_Award",V$2,PF,PT))</f>
        <v>0</v>
      </c>
      <c r="W117" s="39">
        <f>IF(TRUE,0,_xll.PSFx2BAL(CN,"*","COSTCENTRE",$B117,"DAF_Award",W$2,PF,PT))</f>
        <v>0</v>
      </c>
      <c r="X117" s="39">
        <f>IF(TRUE,0,_xll.PSFx2BAL(CN,"*","COSTCENTRE",$B117,"DAF_Award",X$2,PF,PT))</f>
        <v>0</v>
      </c>
      <c r="Y117" s="39">
        <f>IF(TRUE,0,_xll.PSFx2BAL(CN,"*","COSTCENTRE",$B117,"DAF_Award",Y$2,PF,PT))</f>
        <v>0</v>
      </c>
      <c r="Z117" s="39">
        <f>IF(TRUE,0,_xll.PSFx2BAL(CN,"*","COSTCENTRE",$B117,"DAF_Award",Z$2,PF,PT))</f>
        <v>0</v>
      </c>
      <c r="AA117" s="39">
        <f>IF(TRUE,0,_xll.PSFx2BAL(CN,"*","COSTCENTRE",$B117,"DAF_Award",AA$2,PF,PT))</f>
        <v>0</v>
      </c>
      <c r="AB117" s="39">
        <f>IF(TRUE,0,_xll.PSFx2BAL(CN,"*","COSTCENTRE",$B117,"DAF_Award",AB$2,PF,PT))</f>
        <v>0</v>
      </c>
      <c r="AC117" s="39">
        <f>IF(TRUE,0,_xll.PSFx2BAL(CN,"*","COSTCENTRE",$B117,"DAF_Award",AC$2,PF,PT))</f>
        <v>0</v>
      </c>
      <c r="AD117" s="39">
        <f>IF(TRUE,0,_xll.PSFx2BAL(CN,"*","COSTCENTRE",$B117,"DAF_Award",AD$2,PF,PT))</f>
        <v>0</v>
      </c>
      <c r="AE117" s="39">
        <f>IF(TRUE,0,_xll.PSFx2BAL(CN,"*","COSTCENTRE",$B117,"DAF_Award",AE$2,PF,PT))</f>
        <v>0</v>
      </c>
      <c r="AF117" s="39">
        <f>IF(TRUE,0,_xll.PSFx2BAL(CN,"*","COSTCENTRE",$B117,"DAF_Award",AF$2,PF,PT))</f>
        <v>0</v>
      </c>
      <c r="AG117" s="39">
        <f>IF(TRUE,0,_xll.PSFx2BAL(CN,"*","COSTCENTRE",$B117,"DAF_Award",AG$2,PF,PT))</f>
        <v>0</v>
      </c>
      <c r="AH117" s="39">
        <f>IF(TRUE,180.59,_xll.PSFx2BAL(CN,"*","COSTCENTRE",$B117,"DAF_Award",AH$2,PF,PT))</f>
        <v>180.59</v>
      </c>
      <c r="AI117" s="39">
        <f t="shared" si="72"/>
        <v>0</v>
      </c>
      <c r="AJ117" s="9">
        <f>'Cost Centres'!M97</f>
        <v>180.59</v>
      </c>
      <c r="AL117" s="39">
        <f t="shared" si="73"/>
        <v>180.59</v>
      </c>
    </row>
    <row r="118" spans="1:38" x14ac:dyDescent="0.2">
      <c r="B118" t="s">
        <v>20</v>
      </c>
      <c r="C118" t="s">
        <v>339</v>
      </c>
      <c r="D118" s="39">
        <f>IF(TRUE,0,_xll.PSFx2BAL(CN,"*","COSTCENTRE",$B118,"DAF_Award",D$2,PF,PT))</f>
        <v>0</v>
      </c>
      <c r="E118" s="39">
        <f>IF(TRUE,0,_xll.PSFx2BAL(CN,"*","COSTCENTRE",$B118,"DAF_Award",E$2,PF,PT))</f>
        <v>0</v>
      </c>
      <c r="F118" s="39">
        <f>IF(TRUE,0,_xll.PSFx2BAL(CN,"*","COSTCENTRE",$B118,"DAF_Award",F$2,PF,PT))</f>
        <v>0</v>
      </c>
      <c r="G118" s="39">
        <f>IF(TRUE,0,_xll.PSFx2BAL(CN,"*","COSTCENTRE",$B118,"DAF_Award",G$2,PF,PT))</f>
        <v>0</v>
      </c>
      <c r="H118" s="39">
        <f>IF(TRUE,0,_xll.PSFx2BAL(CN,"*","COSTCENTRE",$B118,"DAF_Award",H$2,PF,PT))</f>
        <v>0</v>
      </c>
      <c r="I118" s="39">
        <f>IF(TRUE,0,_xll.PSFx2BAL(CN,"*","COSTCENTRE",$B118,"DAF_Award",I$2,PF,PT))</f>
        <v>0</v>
      </c>
      <c r="J118" s="39">
        <f>IF(TRUE,0,_xll.PSFx2BAL(CN,"*","COSTCENTRE",$B118,"DAF_Award",J$2,PF,PT))</f>
        <v>0</v>
      </c>
      <c r="K118" s="39">
        <f>IF(TRUE,0,_xll.PSFx2BAL(CN,"*","COSTCENTRE",$B118,"DAF_Award",K$2,PF,PT))</f>
        <v>0</v>
      </c>
      <c r="L118" s="39">
        <f>IF(TRUE,0,_xll.PSFx2BAL(CN,"*","COSTCENTRE",$B118,"DAF_Award",L$2,PF,PT))</f>
        <v>0</v>
      </c>
      <c r="M118" s="39">
        <f>IF(TRUE,0,_xll.PSFx2BAL(CN,"*","COSTCENTRE",$B118,"DAF_Award",M$2,PF,PT))</f>
        <v>0</v>
      </c>
      <c r="N118" s="39">
        <f>IF(TRUE,0,_xll.PSFx2BAL(CN,"*","COSTCENTRE",$B118,"DAF_Award",N$2,PF,PT))</f>
        <v>0</v>
      </c>
      <c r="O118" s="39">
        <f>IF(TRUE,0,_xll.PSFx2BAL(CN,"*","COSTCENTRE",$B118,"DAF_Award",O$2,PF,PT))</f>
        <v>0</v>
      </c>
      <c r="P118" s="39">
        <f>IF(TRUE,0,_xll.PSFx2BAL(CN,"*","COSTCENTRE",$B118,"DAF_Award",P$2,PF,PT))</f>
        <v>0</v>
      </c>
      <c r="Q118" s="39">
        <f>IF(TRUE,0,_xll.PSFx2BAL(CN,"*","COSTCENTRE",$B118,"DAF_Award",Q$2,PF,PT))</f>
        <v>0</v>
      </c>
      <c r="R118" s="39">
        <f>IF(TRUE,0,_xll.PSFx2BAL(CN,"*","COSTCENTRE",$B118,"DAF_Award",R$2,PF,PT))</f>
        <v>0</v>
      </c>
      <c r="S118" s="39">
        <f>IF(TRUE,0,_xll.PSFx2BAL(CN,"*","COSTCENTRE",$B118,"DAF_Award",S$2,PF,PT))</f>
        <v>0</v>
      </c>
      <c r="T118" s="39">
        <f>IF(TRUE,0,_xll.PSFx2BAL(CN,"*","COSTCENTRE",$B118,"DAF_Award",T$2,PF,PT))</f>
        <v>0</v>
      </c>
      <c r="U118" s="39">
        <f>IF(TRUE,0,_xll.PSFx2BAL(CN,"*","COSTCENTRE",$B118,"DAF_Award",U$2,PF,PT))</f>
        <v>0</v>
      </c>
      <c r="V118" s="39">
        <f>IF(TRUE,0,_xll.PSFx2BAL(CN,"*","COSTCENTRE",$B118,"DAF_Award",V$2,PF,PT))</f>
        <v>0</v>
      </c>
      <c r="W118" s="39">
        <f>IF(TRUE,0,_xll.PSFx2BAL(CN,"*","COSTCENTRE",$B118,"DAF_Award",W$2,PF,PT))</f>
        <v>0</v>
      </c>
      <c r="X118" s="39">
        <f>IF(TRUE,0,_xll.PSFx2BAL(CN,"*","COSTCENTRE",$B118,"DAF_Award",X$2,PF,PT))</f>
        <v>0</v>
      </c>
      <c r="Y118" s="39">
        <f>IF(TRUE,0,_xll.PSFx2BAL(CN,"*","COSTCENTRE",$B118,"DAF_Award",Y$2,PF,PT))</f>
        <v>0</v>
      </c>
      <c r="Z118" s="39">
        <f>IF(TRUE,0,_xll.PSFx2BAL(CN,"*","COSTCENTRE",$B118,"DAF_Award",Z$2,PF,PT))</f>
        <v>0</v>
      </c>
      <c r="AA118" s="39">
        <f>IF(TRUE,0,_xll.PSFx2BAL(CN,"*","COSTCENTRE",$B118,"DAF_Award",AA$2,PF,PT))</f>
        <v>0</v>
      </c>
      <c r="AB118" s="39">
        <f>IF(TRUE,0,_xll.PSFx2BAL(CN,"*","COSTCENTRE",$B118,"DAF_Award",AB$2,PF,PT))</f>
        <v>0</v>
      </c>
      <c r="AC118" s="39">
        <f>IF(TRUE,0,_xll.PSFx2BAL(CN,"*","COSTCENTRE",$B118,"DAF_Award",AC$2,PF,PT))</f>
        <v>0</v>
      </c>
      <c r="AD118" s="39">
        <f>IF(TRUE,0,_xll.PSFx2BAL(CN,"*","COSTCENTRE",$B118,"DAF_Award",AD$2,PF,PT))</f>
        <v>0</v>
      </c>
      <c r="AE118" s="39">
        <f>IF(TRUE,0,_xll.PSFx2BAL(CN,"*","COSTCENTRE",$B118,"DAF_Award",AE$2,PF,PT))</f>
        <v>0</v>
      </c>
      <c r="AF118" s="39">
        <f>IF(TRUE,0,_xll.PSFx2BAL(CN,"*","COSTCENTRE",$B118,"DAF_Award",AF$2,PF,PT))</f>
        <v>0</v>
      </c>
      <c r="AG118" s="39">
        <f>IF(TRUE,0,_xll.PSFx2BAL(CN,"*","COSTCENTRE",$B118,"DAF_Award",AG$2,PF,PT))</f>
        <v>0</v>
      </c>
      <c r="AH118" s="39">
        <f>IF(TRUE,0,_xll.PSFx2BAL(CN,"*","COSTCENTRE",$B118,"DAF_Award",AH$2,PF,PT))</f>
        <v>0</v>
      </c>
      <c r="AI118" s="39">
        <f t="shared" si="72"/>
        <v>12140.57</v>
      </c>
      <c r="AJ118" s="9">
        <f>'Cost Centres'!L97</f>
        <v>12140.57</v>
      </c>
      <c r="AL118" s="39">
        <f t="shared" si="73"/>
        <v>12140.57</v>
      </c>
    </row>
    <row r="119" spans="1:38" x14ac:dyDescent="0.2">
      <c r="B119" t="s">
        <v>23</v>
      </c>
      <c r="C119" t="s">
        <v>30</v>
      </c>
      <c r="D119" s="39">
        <f>IF(TRUE,0,_xll.PSFx2BAL(CN,"*","COSTCENTRE",$B119,"DAF_Award",D$2,PF,PT))</f>
        <v>0</v>
      </c>
      <c r="E119" s="39">
        <f>IF(TRUE,0,_xll.PSFx2BAL(CN,"*","COSTCENTRE",$B119,"DAF_Award",E$2,PF,PT))</f>
        <v>0</v>
      </c>
      <c r="F119" s="39">
        <f>IF(TRUE,0,_xll.PSFx2BAL(CN,"*","COSTCENTRE",$B119,"DAF_Award",F$2,PF,PT))</f>
        <v>0</v>
      </c>
      <c r="G119" s="39">
        <f>IF(TRUE,0,_xll.PSFx2BAL(CN,"*","COSTCENTRE",$B119,"DAF_Award",G$2,PF,PT))</f>
        <v>0</v>
      </c>
      <c r="H119" s="39">
        <f>IF(TRUE,0,_xll.PSFx2BAL(CN,"*","COSTCENTRE",$B119,"DAF_Award",H$2,PF,PT))</f>
        <v>0</v>
      </c>
      <c r="I119" s="39">
        <f>IF(TRUE,0,_xll.PSFx2BAL(CN,"*","COSTCENTRE",$B119,"DAF_Award",I$2,PF,PT))</f>
        <v>0</v>
      </c>
      <c r="J119" s="39">
        <f>IF(TRUE,0,_xll.PSFx2BAL(CN,"*","COSTCENTRE",$B119,"DAF_Award",J$2,PF,PT))</f>
        <v>0</v>
      </c>
      <c r="K119" s="39">
        <f>IF(TRUE,0,_xll.PSFx2BAL(CN,"*","COSTCENTRE",$B119,"DAF_Award",K$2,PF,PT))</f>
        <v>0</v>
      </c>
      <c r="L119" s="39">
        <f>IF(TRUE,0,_xll.PSFx2BAL(CN,"*","COSTCENTRE",$B119,"DAF_Award",L$2,PF,PT))</f>
        <v>0</v>
      </c>
      <c r="M119" s="39">
        <f>IF(TRUE,0,_xll.PSFx2BAL(CN,"*","COSTCENTRE",$B119,"DAF_Award",M$2,PF,PT))</f>
        <v>0</v>
      </c>
      <c r="N119" s="39">
        <f>IF(TRUE,0,_xll.PSFx2BAL(CN,"*","COSTCENTRE",$B119,"DAF_Award",N$2,PF,PT))</f>
        <v>0</v>
      </c>
      <c r="O119" s="39">
        <f>IF(TRUE,0,_xll.PSFx2BAL(CN,"*","COSTCENTRE",$B119,"DAF_Award",O$2,PF,PT))</f>
        <v>0</v>
      </c>
      <c r="P119" s="39">
        <f>IF(TRUE,0,_xll.PSFx2BAL(CN,"*","COSTCENTRE",$B119,"DAF_Award",P$2,PF,PT))</f>
        <v>0</v>
      </c>
      <c r="Q119" s="39">
        <f>IF(TRUE,0,_xll.PSFx2BAL(CN,"*","COSTCENTRE",$B119,"DAF_Award",Q$2,PF,PT))</f>
        <v>0</v>
      </c>
      <c r="R119" s="39">
        <f>IF(TRUE,0,_xll.PSFx2BAL(CN,"*","COSTCENTRE",$B119,"DAF_Award",R$2,PF,PT))</f>
        <v>0</v>
      </c>
      <c r="S119" s="39">
        <f>IF(TRUE,0,_xll.PSFx2BAL(CN,"*","COSTCENTRE",$B119,"DAF_Award",S$2,PF,PT))</f>
        <v>0</v>
      </c>
      <c r="T119" s="39">
        <f>IF(TRUE,0,_xll.PSFx2BAL(CN,"*","COSTCENTRE",$B119,"DAF_Award",T$2,PF,PT))</f>
        <v>0</v>
      </c>
      <c r="U119" s="39">
        <f>IF(TRUE,0,_xll.PSFx2BAL(CN,"*","COSTCENTRE",$B119,"DAF_Award",U$2,PF,PT))</f>
        <v>0</v>
      </c>
      <c r="V119" s="39">
        <f>IF(TRUE,0,_xll.PSFx2BAL(CN,"*","COSTCENTRE",$B119,"DAF_Award",V$2,PF,PT))</f>
        <v>0</v>
      </c>
      <c r="W119" s="39">
        <f>IF(TRUE,0,_xll.PSFx2BAL(CN,"*","COSTCENTRE",$B119,"DAF_Award",W$2,PF,PT))</f>
        <v>0</v>
      </c>
      <c r="X119" s="39">
        <f>IF(TRUE,0,_xll.PSFx2BAL(CN,"*","COSTCENTRE",$B119,"DAF_Award",X$2,PF,PT))</f>
        <v>0</v>
      </c>
      <c r="Y119" s="39">
        <f>IF(TRUE,0,_xll.PSFx2BAL(CN,"*","COSTCENTRE",$B119,"DAF_Award",Y$2,PF,PT))</f>
        <v>0</v>
      </c>
      <c r="Z119" s="39">
        <f>IF(TRUE,0,_xll.PSFx2BAL(CN,"*","COSTCENTRE",$B119,"DAF_Award",Z$2,PF,PT))</f>
        <v>0</v>
      </c>
      <c r="AA119" s="39">
        <f>IF(TRUE,0,_xll.PSFx2BAL(CN,"*","COSTCENTRE",$B119,"DAF_Award",AA$2,PF,PT))</f>
        <v>0</v>
      </c>
      <c r="AB119" s="39">
        <f>IF(TRUE,0,_xll.PSFx2BAL(CN,"*","COSTCENTRE",$B119,"DAF_Award",AB$2,PF,PT))</f>
        <v>0</v>
      </c>
      <c r="AC119" s="39">
        <f>IF(TRUE,0,_xll.PSFx2BAL(CN,"*","COSTCENTRE",$B119,"DAF_Award",AC$2,PF,PT))</f>
        <v>0</v>
      </c>
      <c r="AD119" s="39">
        <f>IF(TRUE,0,_xll.PSFx2BAL(CN,"*","COSTCENTRE",$B119,"DAF_Award",AD$2,PF,PT))</f>
        <v>0</v>
      </c>
      <c r="AE119" s="39">
        <f>IF(TRUE,0,_xll.PSFx2BAL(CN,"*","COSTCENTRE",$B119,"DAF_Award",AE$2,PF,PT))</f>
        <v>0</v>
      </c>
      <c r="AF119" s="39">
        <f>IF(TRUE,0,_xll.PSFx2BAL(CN,"*","COSTCENTRE",$B119,"DAF_Award",AF$2,PF,PT))</f>
        <v>0</v>
      </c>
      <c r="AG119" s="39">
        <f>IF(TRUE,0,_xll.PSFx2BAL(CN,"*","COSTCENTRE",$B119,"DAF_Award",AG$2,PF,PT))</f>
        <v>0</v>
      </c>
      <c r="AH119" s="39">
        <f>IF(TRUE,0,_xll.PSFx2BAL(CN,"*","COSTCENTRE",$B119,"DAF_Award",AH$2,PF,PT))</f>
        <v>0</v>
      </c>
      <c r="AI119" s="39">
        <f t="shared" si="72"/>
        <v>546</v>
      </c>
      <c r="AJ119" s="9">
        <f>'Cost Centres'!N97</f>
        <v>546</v>
      </c>
      <c r="AL119" s="39">
        <f t="shared" si="73"/>
        <v>546</v>
      </c>
    </row>
    <row r="120" spans="1:38" x14ac:dyDescent="0.2">
      <c r="C120" s="30" t="s">
        <v>311</v>
      </c>
      <c r="D120" s="16">
        <f t="shared" ref="D120:AJ120" si="74">SUM(D109:D119)</f>
        <v>-281967.04999999993</v>
      </c>
      <c r="E120" s="16">
        <f t="shared" ref="E120:G120" si="75">SUM(E109:E119)</f>
        <v>-4918.090000000002</v>
      </c>
      <c r="F120" s="16">
        <f t="shared" si="75"/>
        <v>-4277.09</v>
      </c>
      <c r="G120" s="16">
        <f t="shared" si="75"/>
        <v>0</v>
      </c>
      <c r="H120" s="16">
        <f t="shared" si="74"/>
        <v>-920</v>
      </c>
      <c r="I120" s="16">
        <f t="shared" si="74"/>
        <v>0</v>
      </c>
      <c r="J120" s="16">
        <f t="shared" si="74"/>
        <v>219.49000000000342</v>
      </c>
      <c r="K120" s="16">
        <f t="shared" si="74"/>
        <v>9326.4799999999959</v>
      </c>
      <c r="L120" s="16">
        <f t="shared" ref="L120:M120" si="76">SUM(L109:L119)</f>
        <v>-7466.8300000000017</v>
      </c>
      <c r="M120" s="16">
        <f t="shared" si="76"/>
        <v>-2203.8099999999995</v>
      </c>
      <c r="N120" s="16">
        <f t="shared" ref="N120" si="77">SUM(N109:N119)</f>
        <v>-60.289999999999964</v>
      </c>
      <c r="O120" s="16">
        <f t="shared" si="74"/>
        <v>-685.38999999999942</v>
      </c>
      <c r="P120" s="16">
        <f t="shared" si="74"/>
        <v>-8791.8100000000013</v>
      </c>
      <c r="Q120" s="16">
        <f t="shared" ref="Q120:R120" si="78">SUM(Q109:Q119)</f>
        <v>-2885.2599999999993</v>
      </c>
      <c r="R120" s="16">
        <f t="shared" si="78"/>
        <v>-559.05999999999995</v>
      </c>
      <c r="S120" s="16">
        <f t="shared" ref="S120" si="79">SUM(S109:S119)</f>
        <v>0</v>
      </c>
      <c r="T120" s="16">
        <f t="shared" si="74"/>
        <v>-9757.3699999999953</v>
      </c>
      <c r="U120" s="16">
        <f t="shared" ref="U120:V120" si="80">SUM(U109:U119)</f>
        <v>0</v>
      </c>
      <c r="V120" s="16">
        <f t="shared" si="80"/>
        <v>-934.15999999999985</v>
      </c>
      <c r="W120" s="16">
        <f t="shared" si="74"/>
        <v>0</v>
      </c>
      <c r="X120" s="16">
        <f t="shared" si="74"/>
        <v>0</v>
      </c>
      <c r="Y120" s="16">
        <f t="shared" si="74"/>
        <v>0</v>
      </c>
      <c r="Z120" s="16">
        <f t="shared" si="74"/>
        <v>36774.42</v>
      </c>
      <c r="AA120" s="16">
        <f t="shared" si="74"/>
        <v>268854.75</v>
      </c>
      <c r="AB120" s="16">
        <f t="shared" si="74"/>
        <v>695186.9800000001</v>
      </c>
      <c r="AC120" s="16">
        <f t="shared" si="74"/>
        <v>81600.13</v>
      </c>
      <c r="AD120" s="16">
        <f t="shared" si="74"/>
        <v>54823.98</v>
      </c>
      <c r="AE120" s="16">
        <f t="shared" si="74"/>
        <v>194090</v>
      </c>
      <c r="AF120" s="16">
        <f t="shared" si="74"/>
        <v>202901.6</v>
      </c>
      <c r="AG120" s="16">
        <f t="shared" si="74"/>
        <v>1027538.42</v>
      </c>
      <c r="AH120" s="16">
        <f t="shared" si="74"/>
        <v>-2288488.7399999998</v>
      </c>
      <c r="AI120" s="16">
        <f t="shared" si="74"/>
        <v>412186.080000002</v>
      </c>
      <c r="AJ120" s="16">
        <f t="shared" si="74"/>
        <v>369587.38000000117</v>
      </c>
      <c r="AL120" s="16">
        <f>SUM(AL109:AL119)</f>
        <v>685467.62000000186</v>
      </c>
    </row>
    <row r="121" spans="1:38" x14ac:dyDescent="0.2">
      <c r="AJ121" s="44">
        <f>'Cost Centres'!O97-AJ120</f>
        <v>0</v>
      </c>
    </row>
    <row r="122" spans="1:38" x14ac:dyDescent="0.2">
      <c r="AJ122" s="44">
        <f>AJ101-AJ120</f>
        <v>1.57160684466362E-9</v>
      </c>
    </row>
    <row r="123" spans="1:38" x14ac:dyDescent="0.2">
      <c r="B123" s="30" t="s">
        <v>20</v>
      </c>
      <c r="C123" s="30" t="s">
        <v>339</v>
      </c>
    </row>
    <row r="124" spans="1:38" x14ac:dyDescent="0.2">
      <c r="A124" s="1">
        <v>7301</v>
      </c>
      <c r="B124" t="s">
        <v>126</v>
      </c>
      <c r="C124" t="s">
        <v>127</v>
      </c>
      <c r="D124" s="39">
        <f>IF(TRUE,0,_xll.PSFx3BAL(CN,"*","COSTCENTRE",$B$123,"GLCode",$B124,"DAF_Award",D$2,PF,PT))</f>
        <v>0</v>
      </c>
      <c r="E124" s="39">
        <f>IF(TRUE,0,_xll.PSFx3BAL(CN,"*","COSTCENTRE",$B$123,"GLCode",$B124,"DAF_Award",E$2,PF,PT))</f>
        <v>0</v>
      </c>
      <c r="F124" s="39">
        <f>IF(TRUE,0,_xll.PSFx3BAL(CN,"*","COSTCENTRE",$B$123,"GLCode",$B124,"DAF_Award",F$2,PF,PT))</f>
        <v>0</v>
      </c>
      <c r="G124" s="39">
        <f>IF(TRUE,0,_xll.PSFx3BAL(CN,"*","COSTCENTRE",$B$123,"GLCode",$B124,"DAF_Award",G$2,PF,PT))</f>
        <v>0</v>
      </c>
      <c r="H124" s="39">
        <f>IF(TRUE,0,_xll.PSFx3BAL(CN,"*","COSTCENTRE",$B$123,"GLCode",$B124,"DAF_Award",H$2,PF,PT))</f>
        <v>0</v>
      </c>
      <c r="I124" s="39">
        <f>IF(TRUE,0,_xll.PSFx3BAL(CN,"*","COSTCENTRE",$B$123,"GLCode",$B124,"DAF_Award",I$2,PF,PT))</f>
        <v>0</v>
      </c>
      <c r="J124" s="39">
        <f>IF(TRUE,0,_xll.PSFx3BAL(CN,"*","COSTCENTRE",$B$123,"GLCode",$B124,"DAF_Award",J$2,PF,PT))</f>
        <v>0</v>
      </c>
      <c r="K124" s="39">
        <f>IF(TRUE,0,_xll.PSFx3BAL(CN,"*","COSTCENTRE",$B$123,"GLCode",$B124,"DAF_Award",K$2,PF,PT))</f>
        <v>0</v>
      </c>
      <c r="L124" s="39">
        <f>IF(TRUE,0,_xll.PSFx3BAL(CN,"*","COSTCENTRE",$B$123,"GLCode",$B124,"DAF_Award",L$2,PF,PT))</f>
        <v>0</v>
      </c>
      <c r="M124" s="39">
        <f>IF(TRUE,0,_xll.PSFx3BAL(CN,"*","COSTCENTRE",$B$123,"GLCode",$B124,"DAF_Award",M$2,PF,PT))</f>
        <v>0</v>
      </c>
      <c r="N124" s="39">
        <f>IF(TRUE,0,_xll.PSFx3BAL(CN,"*","COSTCENTRE",$B$123,"GLCode",$B124,"DAF_Award",N$2,PF,PT))</f>
        <v>0</v>
      </c>
      <c r="O124" s="39">
        <f>IF(TRUE,0,_xll.PSFx3BAL(CN,"*","COSTCENTRE",$B$123,"GLCode",$B124,"DAF_Award",O$2,PF,PT))</f>
        <v>0</v>
      </c>
      <c r="P124" s="39">
        <f>IF(TRUE,0,_xll.PSFx3BAL(CN,"*","COSTCENTRE",$B$123,"GLCode",$B124,"DAF_Award",P$2,PF,PT))</f>
        <v>0</v>
      </c>
      <c r="Q124" s="39">
        <f>IF(TRUE,0,_xll.PSFx3BAL(CN,"*","COSTCENTRE",$B$123,"GLCode",$B124,"DAF_Award",Q$2,PF,PT))</f>
        <v>0</v>
      </c>
      <c r="R124" s="39">
        <f>IF(TRUE,0,_xll.PSFx3BAL(CN,"*","COSTCENTRE",$B$123,"GLCode",$B124,"DAF_Award",R$2,PF,PT))</f>
        <v>0</v>
      </c>
      <c r="S124" s="39">
        <f>IF(TRUE,0,_xll.PSFx3BAL(CN,"*","COSTCENTRE",$B$123,"GLCode",$B124,"DAF_Award",S$2,PF,PT))</f>
        <v>0</v>
      </c>
      <c r="T124" s="39">
        <f>IF(TRUE,0,_xll.PSFx3BAL(CN,"*","COSTCENTRE",$B$123,"GLCode",$B124,"DAF_Award",T$2,PF,PT))</f>
        <v>0</v>
      </c>
      <c r="U124" s="39">
        <f>IF(TRUE,0,_xll.PSFx3BAL(CN,"*","COSTCENTRE",$B$123,"GLCode",$B124,"DAF_Award",U$2,PF,PT))</f>
        <v>0</v>
      </c>
      <c r="V124" s="39">
        <f>IF(TRUE,0,_xll.PSFx3BAL(CN,"*","COSTCENTRE",$B$123,"GLCode",$B124,"DAF_Award",V$2,PF,PT))</f>
        <v>0</v>
      </c>
      <c r="W124" s="39">
        <f>IF(TRUE,0,_xll.PSFx3BAL(CN,"*","COSTCENTRE",$B$123,"GLCode",$B124,"DAF_Award",W$2,PF,PT))</f>
        <v>0</v>
      </c>
      <c r="X124" s="39">
        <f>IF(TRUE,0,_xll.PSFx3BAL(CN,"*","COSTCENTRE",$B$123,"GLCode",$B124,"DAF_Award",X$2,PF,PT))</f>
        <v>0</v>
      </c>
      <c r="Y124" s="39">
        <f>IF(TRUE,0,_xll.PSFx3BAL(CN,"*","COSTCENTRE",$B$123,"GLCode",$B124,"DAF_Award",Y$2,PF,PT))</f>
        <v>0</v>
      </c>
      <c r="Z124" s="39">
        <f>IF(TRUE,0,_xll.PSFx3BAL(CN,"*","COSTCENTRE",$B$123,"GLCode",$B124,"DAF_Award",Z$2,PF,PT))</f>
        <v>0</v>
      </c>
      <c r="AA124" s="39">
        <f>IF(TRUE,0,_xll.PSFx3BAL(CN,"*","COSTCENTRE",$B$123,"GLCode",$B124,"DAF_Award",AA$2,PF,PT))</f>
        <v>0</v>
      </c>
      <c r="AB124" s="39">
        <f>IF(TRUE,0,_xll.PSFx3BAL(CN,"*","COSTCENTRE",$B$123,"GLCode",$B124,"DAF_Award",AB$2,PF,PT))</f>
        <v>0</v>
      </c>
      <c r="AC124" s="39">
        <f>IF(TRUE,0,_xll.PSFx3BAL(CN,"*","COSTCENTRE",$B$123,"GLCode",$B124,"DAF_Award",AC$2,PF,PT))</f>
        <v>0</v>
      </c>
      <c r="AD124" s="39">
        <f>IF(TRUE,0,_xll.PSFx3BAL(CN,"*","COSTCENTRE",$B$123,"GLCode",$B124,"DAF_Award",AD$2,PF,PT))</f>
        <v>0</v>
      </c>
      <c r="AE124" s="39">
        <f>IF(TRUE,0,_xll.PSFx3BAL(CN,"*","COSTCENTRE",$B$123,"GLCode",$B124,"DAF_Award",AE$2,PF,PT))</f>
        <v>0</v>
      </c>
      <c r="AF124" s="39">
        <f>IF(TRUE,0,_xll.PSFx3BAL(CN,"*","COSTCENTRE",$B$123,"GLCode",$B124,"DAF_Award",AF$2,PF,PT))</f>
        <v>0</v>
      </c>
      <c r="AG124" s="39">
        <f>IF(TRUE,0,_xll.PSFx3BAL(CN,"*","COSTCENTRE",$B$123,"GLCode",$B124,"DAF_Award",AG$2,PF,PT))</f>
        <v>0</v>
      </c>
      <c r="AH124" s="39">
        <f>IF(TRUE,0,_xll.PSFx3BAL(CN,"*","COSTCENTRE",$B$123,"GLCode",$B124,"DAF_Award",AH$2,PF,PT))</f>
        <v>0</v>
      </c>
      <c r="AI124" s="39">
        <f t="shared" ref="AI124:AI129" si="81">AJ124-SUM(D124:AH124)</f>
        <v>0</v>
      </c>
      <c r="AJ124" s="9">
        <f>'Cost Centres'!L58</f>
        <v>0</v>
      </c>
      <c r="AL124" s="39">
        <f t="shared" ref="AL124:AL129" si="82">SUM(W124:AI124)</f>
        <v>0</v>
      </c>
    </row>
    <row r="125" spans="1:38" x14ac:dyDescent="0.2">
      <c r="A125" s="1">
        <v>7310</v>
      </c>
      <c r="B125" t="s">
        <v>138</v>
      </c>
      <c r="C125" t="s">
        <v>139</v>
      </c>
      <c r="D125" s="39">
        <f>IF(TRUE,0,_xll.PSFx3BAL(CN,"*","COSTCENTRE",$B$123,"GLCode",$B125,"DAF_Award",D$2,PF,PT))</f>
        <v>0</v>
      </c>
      <c r="E125" s="39">
        <f>IF(TRUE,0,_xll.PSFx3BAL(CN,"*","COSTCENTRE",$B$123,"GLCode",$B125,"DAF_Award",E$2,PF,PT))</f>
        <v>0</v>
      </c>
      <c r="F125" s="39">
        <f>IF(TRUE,0,_xll.PSFx3BAL(CN,"*","COSTCENTRE",$B$123,"GLCode",$B125,"DAF_Award",F$2,PF,PT))</f>
        <v>0</v>
      </c>
      <c r="G125" s="39">
        <f>IF(TRUE,0,_xll.PSFx3BAL(CN,"*","COSTCENTRE",$B$123,"GLCode",$B125,"DAF_Award",G$2,PF,PT))</f>
        <v>0</v>
      </c>
      <c r="H125" s="39">
        <f>IF(TRUE,0,_xll.PSFx3BAL(CN,"*","COSTCENTRE",$B$123,"GLCode",$B125,"DAF_Award",H$2,PF,PT))</f>
        <v>0</v>
      </c>
      <c r="I125" s="39">
        <f>IF(TRUE,0,_xll.PSFx3BAL(CN,"*","COSTCENTRE",$B$123,"GLCode",$B125,"DAF_Award",I$2,PF,PT))</f>
        <v>0</v>
      </c>
      <c r="J125" s="39">
        <f>IF(TRUE,0,_xll.PSFx3BAL(CN,"*","COSTCENTRE",$B$123,"GLCode",$B125,"DAF_Award",J$2,PF,PT))</f>
        <v>0</v>
      </c>
      <c r="K125" s="39">
        <f>IF(TRUE,0,_xll.PSFx3BAL(CN,"*","COSTCENTRE",$B$123,"GLCode",$B125,"DAF_Award",K$2,PF,PT))</f>
        <v>0</v>
      </c>
      <c r="L125" s="39">
        <f>IF(TRUE,0,_xll.PSFx3BAL(CN,"*","COSTCENTRE",$B$123,"GLCode",$B125,"DAF_Award",L$2,PF,PT))</f>
        <v>0</v>
      </c>
      <c r="M125" s="39">
        <f>IF(TRUE,0,_xll.PSFx3BAL(CN,"*","COSTCENTRE",$B$123,"GLCode",$B125,"DAF_Award",M$2,PF,PT))</f>
        <v>0</v>
      </c>
      <c r="N125" s="39">
        <f>IF(TRUE,0,_xll.PSFx3BAL(CN,"*","COSTCENTRE",$B$123,"GLCode",$B125,"DAF_Award",N$2,PF,PT))</f>
        <v>0</v>
      </c>
      <c r="O125" s="39">
        <f>IF(TRUE,0,_xll.PSFx3BAL(CN,"*","COSTCENTRE",$B$123,"GLCode",$B125,"DAF_Award",O$2,PF,PT))</f>
        <v>0</v>
      </c>
      <c r="P125" s="39">
        <f>IF(TRUE,0,_xll.PSFx3BAL(CN,"*","COSTCENTRE",$B$123,"GLCode",$B125,"DAF_Award",P$2,PF,PT))</f>
        <v>0</v>
      </c>
      <c r="Q125" s="39">
        <f>IF(TRUE,0,_xll.PSFx3BAL(CN,"*","COSTCENTRE",$B$123,"GLCode",$B125,"DAF_Award",Q$2,PF,PT))</f>
        <v>0</v>
      </c>
      <c r="R125" s="39">
        <f>IF(TRUE,0,_xll.PSFx3BAL(CN,"*","COSTCENTRE",$B$123,"GLCode",$B125,"DAF_Award",R$2,PF,PT))</f>
        <v>0</v>
      </c>
      <c r="S125" s="39">
        <f>IF(TRUE,0,_xll.PSFx3BAL(CN,"*","COSTCENTRE",$B$123,"GLCode",$B125,"DAF_Award",S$2,PF,PT))</f>
        <v>0</v>
      </c>
      <c r="T125" s="39">
        <f>IF(TRUE,0,_xll.PSFx3BAL(CN,"*","COSTCENTRE",$B$123,"GLCode",$B125,"DAF_Award",T$2,PF,PT))</f>
        <v>0</v>
      </c>
      <c r="U125" s="39">
        <f>IF(TRUE,0,_xll.PSFx3BAL(CN,"*","COSTCENTRE",$B$123,"GLCode",$B125,"DAF_Award",U$2,PF,PT))</f>
        <v>0</v>
      </c>
      <c r="V125" s="39">
        <f>IF(TRUE,0,_xll.PSFx3BAL(CN,"*","COSTCENTRE",$B$123,"GLCode",$B125,"DAF_Award",V$2,PF,PT))</f>
        <v>0</v>
      </c>
      <c r="W125" s="39">
        <f>IF(TRUE,0,_xll.PSFx3BAL(CN,"*","COSTCENTRE",$B$123,"GLCode",$B125,"DAF_Award",W$2,PF,PT))</f>
        <v>0</v>
      </c>
      <c r="X125" s="39">
        <f>IF(TRUE,0,_xll.PSFx3BAL(CN,"*","COSTCENTRE",$B$123,"GLCode",$B125,"DAF_Award",X$2,PF,PT))</f>
        <v>0</v>
      </c>
      <c r="Y125" s="39">
        <f>IF(TRUE,0,_xll.PSFx3BAL(CN,"*","COSTCENTRE",$B$123,"GLCode",$B125,"DAF_Award",Y$2,PF,PT))</f>
        <v>0</v>
      </c>
      <c r="Z125" s="39">
        <f>IF(TRUE,0,_xll.PSFx3BAL(CN,"*","COSTCENTRE",$B$123,"GLCode",$B125,"DAF_Award",Z$2,PF,PT))</f>
        <v>0</v>
      </c>
      <c r="AA125" s="39">
        <f>IF(TRUE,0,_xll.PSFx3BAL(CN,"*","COSTCENTRE",$B$123,"GLCode",$B125,"DAF_Award",AA$2,PF,PT))</f>
        <v>0</v>
      </c>
      <c r="AB125" s="39">
        <f>IF(TRUE,0,_xll.PSFx3BAL(CN,"*","COSTCENTRE",$B$123,"GLCode",$B125,"DAF_Award",AB$2,PF,PT))</f>
        <v>0</v>
      </c>
      <c r="AC125" s="39">
        <f>IF(TRUE,0,_xll.PSFx3BAL(CN,"*","COSTCENTRE",$B$123,"GLCode",$B125,"DAF_Award",AC$2,PF,PT))</f>
        <v>0</v>
      </c>
      <c r="AD125" s="39">
        <f>IF(TRUE,0,_xll.PSFx3BAL(CN,"*","COSTCENTRE",$B$123,"GLCode",$B125,"DAF_Award",AD$2,PF,PT))</f>
        <v>0</v>
      </c>
      <c r="AE125" s="39">
        <f>IF(TRUE,0,_xll.PSFx3BAL(CN,"*","COSTCENTRE",$B$123,"GLCode",$B125,"DAF_Award",AE$2,PF,PT))</f>
        <v>0</v>
      </c>
      <c r="AF125" s="39">
        <f>IF(TRUE,0,_xll.PSFx3BAL(CN,"*","COSTCENTRE",$B$123,"GLCode",$B125,"DAF_Award",AF$2,PF,PT))</f>
        <v>0</v>
      </c>
      <c r="AG125" s="39">
        <f>IF(TRUE,0,_xll.PSFx3BAL(CN,"*","COSTCENTRE",$B$123,"GLCode",$B125,"DAF_Award",AG$2,PF,PT))</f>
        <v>0</v>
      </c>
      <c r="AH125" s="39">
        <f>IF(TRUE,0,_xll.PSFx3BAL(CN,"*","COSTCENTRE",$B$123,"GLCode",$B125,"DAF_Award",AH$2,PF,PT))</f>
        <v>0</v>
      </c>
      <c r="AI125" s="39">
        <f t="shared" si="81"/>
        <v>0</v>
      </c>
      <c r="AJ125" s="9">
        <f>'Cost Centres'!L64</f>
        <v>0</v>
      </c>
      <c r="AL125" s="39">
        <f t="shared" si="82"/>
        <v>0</v>
      </c>
    </row>
    <row r="126" spans="1:38" x14ac:dyDescent="0.2">
      <c r="A126" s="1">
        <v>7311</v>
      </c>
      <c r="B126" t="s">
        <v>140</v>
      </c>
      <c r="C126" t="s">
        <v>141</v>
      </c>
      <c r="D126" s="39">
        <f>IF(TRUE,0,_xll.PSFx3BAL(CN,"*","COSTCENTRE",$B$123,"GLCode",$B126,"DAF_Award",D$2,PF,PT))</f>
        <v>0</v>
      </c>
      <c r="E126" s="39">
        <f>IF(TRUE,0,_xll.PSFx3BAL(CN,"*","COSTCENTRE",$B$123,"GLCode",$B126,"DAF_Award",E$2,PF,PT))</f>
        <v>0</v>
      </c>
      <c r="F126" s="39">
        <f>IF(TRUE,0,_xll.PSFx3BAL(CN,"*","COSTCENTRE",$B$123,"GLCode",$B126,"DAF_Award",F$2,PF,PT))</f>
        <v>0</v>
      </c>
      <c r="G126" s="39">
        <f>IF(TRUE,0,_xll.PSFx3BAL(CN,"*","COSTCENTRE",$B$123,"GLCode",$B126,"DAF_Award",G$2,PF,PT))</f>
        <v>0</v>
      </c>
      <c r="H126" s="39">
        <f>IF(TRUE,0,_xll.PSFx3BAL(CN,"*","COSTCENTRE",$B$123,"GLCode",$B126,"DAF_Award",H$2,PF,PT))</f>
        <v>0</v>
      </c>
      <c r="I126" s="39">
        <f>IF(TRUE,0,_xll.PSFx3BAL(CN,"*","COSTCENTRE",$B$123,"GLCode",$B126,"DAF_Award",I$2,PF,PT))</f>
        <v>0</v>
      </c>
      <c r="J126" s="39">
        <f>IF(TRUE,0,_xll.PSFx3BAL(CN,"*","COSTCENTRE",$B$123,"GLCode",$B126,"DAF_Award",J$2,PF,PT))</f>
        <v>0</v>
      </c>
      <c r="K126" s="39">
        <f>IF(TRUE,0,_xll.PSFx3BAL(CN,"*","COSTCENTRE",$B$123,"GLCode",$B126,"DAF_Award",K$2,PF,PT))</f>
        <v>0</v>
      </c>
      <c r="L126" s="39">
        <f>IF(TRUE,0,_xll.PSFx3BAL(CN,"*","COSTCENTRE",$B$123,"GLCode",$B126,"DAF_Award",L$2,PF,PT))</f>
        <v>0</v>
      </c>
      <c r="M126" s="39">
        <f>IF(TRUE,0,_xll.PSFx3BAL(CN,"*","COSTCENTRE",$B$123,"GLCode",$B126,"DAF_Award",M$2,PF,PT))</f>
        <v>0</v>
      </c>
      <c r="N126" s="39">
        <f>IF(TRUE,0,_xll.PSFx3BAL(CN,"*","COSTCENTRE",$B$123,"GLCode",$B126,"DAF_Award",N$2,PF,PT))</f>
        <v>0</v>
      </c>
      <c r="O126" s="39">
        <f>IF(TRUE,0,_xll.PSFx3BAL(CN,"*","COSTCENTRE",$B$123,"GLCode",$B126,"DAF_Award",O$2,PF,PT))</f>
        <v>0</v>
      </c>
      <c r="P126" s="39">
        <f>IF(TRUE,0,_xll.PSFx3BAL(CN,"*","COSTCENTRE",$B$123,"GLCode",$B126,"DAF_Award",P$2,PF,PT))</f>
        <v>0</v>
      </c>
      <c r="Q126" s="39">
        <f>IF(TRUE,0,_xll.PSFx3BAL(CN,"*","COSTCENTRE",$B$123,"GLCode",$B126,"DAF_Award",Q$2,PF,PT))</f>
        <v>0</v>
      </c>
      <c r="R126" s="39">
        <f>IF(TRUE,0,_xll.PSFx3BAL(CN,"*","COSTCENTRE",$B$123,"GLCode",$B126,"DAF_Award",R$2,PF,PT))</f>
        <v>0</v>
      </c>
      <c r="S126" s="39">
        <f>IF(TRUE,0,_xll.PSFx3BAL(CN,"*","COSTCENTRE",$B$123,"GLCode",$B126,"DAF_Award",S$2,PF,PT))</f>
        <v>0</v>
      </c>
      <c r="T126" s="39">
        <f>IF(TRUE,0,_xll.PSFx3BAL(CN,"*","COSTCENTRE",$B$123,"GLCode",$B126,"DAF_Award",T$2,PF,PT))</f>
        <v>0</v>
      </c>
      <c r="U126" s="39">
        <f>IF(TRUE,0,_xll.PSFx3BAL(CN,"*","COSTCENTRE",$B$123,"GLCode",$B126,"DAF_Award",U$2,PF,PT))</f>
        <v>0</v>
      </c>
      <c r="V126" s="39">
        <f>IF(TRUE,0,_xll.PSFx3BAL(CN,"*","COSTCENTRE",$B$123,"GLCode",$B126,"DAF_Award",V$2,PF,PT))</f>
        <v>0</v>
      </c>
      <c r="W126" s="39">
        <f>IF(TRUE,0,_xll.PSFx3BAL(CN,"*","COSTCENTRE",$B$123,"GLCode",$B126,"DAF_Award",W$2,PF,PT))</f>
        <v>0</v>
      </c>
      <c r="X126" s="39">
        <f>IF(TRUE,0,_xll.PSFx3BAL(CN,"*","COSTCENTRE",$B$123,"GLCode",$B126,"DAF_Award",X$2,PF,PT))</f>
        <v>0</v>
      </c>
      <c r="Y126" s="39">
        <f>IF(TRUE,0,_xll.PSFx3BAL(CN,"*","COSTCENTRE",$B$123,"GLCode",$B126,"DAF_Award",Y$2,PF,PT))</f>
        <v>0</v>
      </c>
      <c r="Z126" s="39">
        <f>IF(TRUE,0,_xll.PSFx3BAL(CN,"*","COSTCENTRE",$B$123,"GLCode",$B126,"DAF_Award",Z$2,PF,PT))</f>
        <v>0</v>
      </c>
      <c r="AA126" s="39">
        <f>IF(TRUE,0,_xll.PSFx3BAL(CN,"*","COSTCENTRE",$B$123,"GLCode",$B126,"DAF_Award",AA$2,PF,PT))</f>
        <v>0</v>
      </c>
      <c r="AB126" s="39">
        <f>IF(TRUE,0,_xll.PSFx3BAL(CN,"*","COSTCENTRE",$B$123,"GLCode",$B126,"DAF_Award",AB$2,PF,PT))</f>
        <v>0</v>
      </c>
      <c r="AC126" s="39">
        <f>IF(TRUE,0,_xll.PSFx3BAL(CN,"*","COSTCENTRE",$B$123,"GLCode",$B126,"DAF_Award",AC$2,PF,PT))</f>
        <v>0</v>
      </c>
      <c r="AD126" s="39">
        <f>IF(TRUE,0,_xll.PSFx3BAL(CN,"*","COSTCENTRE",$B$123,"GLCode",$B126,"DAF_Award",AD$2,PF,PT))</f>
        <v>0</v>
      </c>
      <c r="AE126" s="39">
        <f>IF(TRUE,0,_xll.PSFx3BAL(CN,"*","COSTCENTRE",$B$123,"GLCode",$B126,"DAF_Award",AE$2,PF,PT))</f>
        <v>0</v>
      </c>
      <c r="AF126" s="39">
        <f>IF(TRUE,0,_xll.PSFx3BAL(CN,"*","COSTCENTRE",$B$123,"GLCode",$B126,"DAF_Award",AF$2,PF,PT))</f>
        <v>0</v>
      </c>
      <c r="AG126" s="39">
        <f>IF(TRUE,0,_xll.PSFx3BAL(CN,"*","COSTCENTRE",$B$123,"GLCode",$B126,"DAF_Award",AG$2,PF,PT))</f>
        <v>0</v>
      </c>
      <c r="AH126" s="39">
        <f>IF(TRUE,0,_xll.PSFx3BAL(CN,"*","COSTCENTRE",$B$123,"GLCode",$B126,"DAF_Award",AH$2,PF,PT))</f>
        <v>0</v>
      </c>
      <c r="AI126" s="39">
        <f t="shared" si="81"/>
        <v>0</v>
      </c>
      <c r="AJ126" s="9">
        <f>'Cost Centres'!L65</f>
        <v>0</v>
      </c>
      <c r="AL126" s="39">
        <f t="shared" si="82"/>
        <v>0</v>
      </c>
    </row>
    <row r="127" spans="1:38" x14ac:dyDescent="0.2">
      <c r="A127" s="1">
        <v>7323</v>
      </c>
      <c r="B127" t="s">
        <v>148</v>
      </c>
      <c r="C127" t="s">
        <v>149</v>
      </c>
      <c r="D127" s="39">
        <f>IF(TRUE,0,_xll.PSFx3BAL(CN,"*","COSTCENTRE",$B$123,"GLCode",$B127,"DAF_Award",D$2,PF,PT))</f>
        <v>0</v>
      </c>
      <c r="E127" s="39">
        <f>IF(TRUE,0,_xll.PSFx3BAL(CN,"*","COSTCENTRE",$B$123,"GLCode",$B127,"DAF_Award",E$2,PF,PT))</f>
        <v>0</v>
      </c>
      <c r="F127" s="39">
        <f>IF(TRUE,0,_xll.PSFx3BAL(CN,"*","COSTCENTRE",$B$123,"GLCode",$B127,"DAF_Award",F$2,PF,PT))</f>
        <v>0</v>
      </c>
      <c r="G127" s="39">
        <f>IF(TRUE,0,_xll.PSFx3BAL(CN,"*","COSTCENTRE",$B$123,"GLCode",$B127,"DAF_Award",G$2,PF,PT))</f>
        <v>0</v>
      </c>
      <c r="H127" s="39">
        <f>IF(TRUE,0,_xll.PSFx3BAL(CN,"*","COSTCENTRE",$B$123,"GLCode",$B127,"DAF_Award",H$2,PF,PT))</f>
        <v>0</v>
      </c>
      <c r="I127" s="39">
        <f>IF(TRUE,0,_xll.PSFx3BAL(CN,"*","COSTCENTRE",$B$123,"GLCode",$B127,"DAF_Award",I$2,PF,PT))</f>
        <v>0</v>
      </c>
      <c r="J127" s="39">
        <f>IF(TRUE,0,_xll.PSFx3BAL(CN,"*","COSTCENTRE",$B$123,"GLCode",$B127,"DAF_Award",J$2,PF,PT))</f>
        <v>0</v>
      </c>
      <c r="K127" s="39">
        <f>IF(TRUE,0,_xll.PSFx3BAL(CN,"*","COSTCENTRE",$B$123,"GLCode",$B127,"DAF_Award",K$2,PF,PT))</f>
        <v>0</v>
      </c>
      <c r="L127" s="39">
        <f>IF(TRUE,0,_xll.PSFx3BAL(CN,"*","COSTCENTRE",$B$123,"GLCode",$B127,"DAF_Award",L$2,PF,PT))</f>
        <v>0</v>
      </c>
      <c r="M127" s="39">
        <f>IF(TRUE,0,_xll.PSFx3BAL(CN,"*","COSTCENTRE",$B$123,"GLCode",$B127,"DAF_Award",M$2,PF,PT))</f>
        <v>0</v>
      </c>
      <c r="N127" s="39">
        <f>IF(TRUE,0,_xll.PSFx3BAL(CN,"*","COSTCENTRE",$B$123,"GLCode",$B127,"DAF_Award",N$2,PF,PT))</f>
        <v>0</v>
      </c>
      <c r="O127" s="39">
        <f>IF(TRUE,0,_xll.PSFx3BAL(CN,"*","COSTCENTRE",$B$123,"GLCode",$B127,"DAF_Award",O$2,PF,PT))</f>
        <v>0</v>
      </c>
      <c r="P127" s="39">
        <f>IF(TRUE,0,_xll.PSFx3BAL(CN,"*","COSTCENTRE",$B$123,"GLCode",$B127,"DAF_Award",P$2,PF,PT))</f>
        <v>0</v>
      </c>
      <c r="Q127" s="39">
        <f>IF(TRUE,0,_xll.PSFx3BAL(CN,"*","COSTCENTRE",$B$123,"GLCode",$B127,"DAF_Award",Q$2,PF,PT))</f>
        <v>0</v>
      </c>
      <c r="R127" s="39">
        <f>IF(TRUE,0,_xll.PSFx3BAL(CN,"*","COSTCENTRE",$B$123,"GLCode",$B127,"DAF_Award",R$2,PF,PT))</f>
        <v>0</v>
      </c>
      <c r="S127" s="39">
        <f>IF(TRUE,0,_xll.PSFx3BAL(CN,"*","COSTCENTRE",$B$123,"GLCode",$B127,"DAF_Award",S$2,PF,PT))</f>
        <v>0</v>
      </c>
      <c r="T127" s="39">
        <f>IF(TRUE,0,_xll.PSFx3BAL(CN,"*","COSTCENTRE",$B$123,"GLCode",$B127,"DAF_Award",T$2,PF,PT))</f>
        <v>0</v>
      </c>
      <c r="U127" s="39">
        <f>IF(TRUE,0,_xll.PSFx3BAL(CN,"*","COSTCENTRE",$B$123,"GLCode",$B127,"DAF_Award",U$2,PF,PT))</f>
        <v>0</v>
      </c>
      <c r="V127" s="39">
        <f>IF(TRUE,0,_xll.PSFx3BAL(CN,"*","COSTCENTRE",$B$123,"GLCode",$B127,"DAF_Award",V$2,PF,PT))</f>
        <v>0</v>
      </c>
      <c r="W127" s="39">
        <f>IF(TRUE,0,_xll.PSFx3BAL(CN,"*","COSTCENTRE",$B$123,"GLCode",$B127,"DAF_Award",W$2,PF,PT))</f>
        <v>0</v>
      </c>
      <c r="X127" s="39">
        <f>IF(TRUE,0,_xll.PSFx3BAL(CN,"*","COSTCENTRE",$B$123,"GLCode",$B127,"DAF_Award",X$2,PF,PT))</f>
        <v>0</v>
      </c>
      <c r="Y127" s="39">
        <f>IF(TRUE,0,_xll.PSFx3BAL(CN,"*","COSTCENTRE",$B$123,"GLCode",$B127,"DAF_Award",Y$2,PF,PT))</f>
        <v>0</v>
      </c>
      <c r="Z127" s="39">
        <f>IF(TRUE,0,_xll.PSFx3BAL(CN,"*","COSTCENTRE",$B$123,"GLCode",$B127,"DAF_Award",Z$2,PF,PT))</f>
        <v>0</v>
      </c>
      <c r="AA127" s="39">
        <f>IF(TRUE,0,_xll.PSFx3BAL(CN,"*","COSTCENTRE",$B$123,"GLCode",$B127,"DAF_Award",AA$2,PF,PT))</f>
        <v>0</v>
      </c>
      <c r="AB127" s="39">
        <f>IF(TRUE,0,_xll.PSFx3BAL(CN,"*","COSTCENTRE",$B$123,"GLCode",$B127,"DAF_Award",AB$2,PF,PT))</f>
        <v>0</v>
      </c>
      <c r="AC127" s="39">
        <f>IF(TRUE,0,_xll.PSFx3BAL(CN,"*","COSTCENTRE",$B$123,"GLCode",$B127,"DAF_Award",AC$2,PF,PT))</f>
        <v>0</v>
      </c>
      <c r="AD127" s="39">
        <f>IF(TRUE,0,_xll.PSFx3BAL(CN,"*","COSTCENTRE",$B$123,"GLCode",$B127,"DAF_Award",AD$2,PF,PT))</f>
        <v>0</v>
      </c>
      <c r="AE127" s="39">
        <f>IF(TRUE,0,_xll.PSFx3BAL(CN,"*","COSTCENTRE",$B$123,"GLCode",$B127,"DAF_Award",AE$2,PF,PT))</f>
        <v>0</v>
      </c>
      <c r="AF127" s="39">
        <f>IF(TRUE,0,_xll.PSFx3BAL(CN,"*","COSTCENTRE",$B$123,"GLCode",$B127,"DAF_Award",AF$2,PF,PT))</f>
        <v>0</v>
      </c>
      <c r="AG127" s="39">
        <f>IF(TRUE,0,_xll.PSFx3BAL(CN,"*","COSTCENTRE",$B$123,"GLCode",$B127,"DAF_Award",AG$2,PF,PT))</f>
        <v>0</v>
      </c>
      <c r="AH127" s="39">
        <f>IF(TRUE,0,_xll.PSFx3BAL(CN,"*","COSTCENTRE",$B$123,"GLCode",$B127,"DAF_Award",AH$2,PF,PT))</f>
        <v>0</v>
      </c>
      <c r="AI127" s="39">
        <f t="shared" si="81"/>
        <v>0</v>
      </c>
      <c r="AJ127" s="9">
        <f>'Cost Centres'!L69</f>
        <v>0</v>
      </c>
      <c r="AL127" s="39">
        <f t="shared" si="82"/>
        <v>0</v>
      </c>
    </row>
    <row r="128" spans="1:38" x14ac:dyDescent="0.2">
      <c r="A128" s="1">
        <v>7520</v>
      </c>
      <c r="B128" t="s">
        <v>178</v>
      </c>
      <c r="C128" t="s">
        <v>179</v>
      </c>
      <c r="D128" s="39">
        <f>IF(TRUE,0,_xll.PSFx3BAL(CN,"*","COSTCENTRE",$B$123,"GLCode",$B128,"DAF_Award",D$2,PF,PT))</f>
        <v>0</v>
      </c>
      <c r="E128" s="39">
        <f>IF(TRUE,0,_xll.PSFx3BAL(CN,"*","COSTCENTRE",$B$123,"GLCode",$B128,"DAF_Award",E$2,PF,PT))</f>
        <v>0</v>
      </c>
      <c r="F128" s="39">
        <f>IF(TRUE,0,_xll.PSFx3BAL(CN,"*","COSTCENTRE",$B$123,"GLCode",$B128,"DAF_Award",F$2,PF,PT))</f>
        <v>0</v>
      </c>
      <c r="G128" s="39">
        <f>IF(TRUE,0,_xll.PSFx3BAL(CN,"*","COSTCENTRE",$B$123,"GLCode",$B128,"DAF_Award",G$2,PF,PT))</f>
        <v>0</v>
      </c>
      <c r="H128" s="39">
        <f>IF(TRUE,0,_xll.PSFx3BAL(CN,"*","COSTCENTRE",$B$123,"GLCode",$B128,"DAF_Award",H$2,PF,PT))</f>
        <v>0</v>
      </c>
      <c r="I128" s="39">
        <f>IF(TRUE,0,_xll.PSFx3BAL(CN,"*","COSTCENTRE",$B$123,"GLCode",$B128,"DAF_Award",I$2,PF,PT))</f>
        <v>0</v>
      </c>
      <c r="J128" s="39">
        <f>IF(TRUE,0,_xll.PSFx3BAL(CN,"*","COSTCENTRE",$B$123,"GLCode",$B128,"DAF_Award",J$2,PF,PT))</f>
        <v>0</v>
      </c>
      <c r="K128" s="39">
        <f>IF(TRUE,0,_xll.PSFx3BAL(CN,"*","COSTCENTRE",$B$123,"GLCode",$B128,"DAF_Award",K$2,PF,PT))</f>
        <v>0</v>
      </c>
      <c r="L128" s="39">
        <f>IF(TRUE,0,_xll.PSFx3BAL(CN,"*","COSTCENTRE",$B$123,"GLCode",$B128,"DAF_Award",L$2,PF,PT))</f>
        <v>0</v>
      </c>
      <c r="M128" s="39">
        <f>IF(TRUE,0,_xll.PSFx3BAL(CN,"*","COSTCENTRE",$B$123,"GLCode",$B128,"DAF_Award",M$2,PF,PT))</f>
        <v>0</v>
      </c>
      <c r="N128" s="39">
        <f>IF(TRUE,0,_xll.PSFx3BAL(CN,"*","COSTCENTRE",$B$123,"GLCode",$B128,"DAF_Award",N$2,PF,PT))</f>
        <v>0</v>
      </c>
      <c r="O128" s="39">
        <f>IF(TRUE,0,_xll.PSFx3BAL(CN,"*","COSTCENTRE",$B$123,"GLCode",$B128,"DAF_Award",O$2,PF,PT))</f>
        <v>0</v>
      </c>
      <c r="P128" s="39">
        <f>IF(TRUE,0,_xll.PSFx3BAL(CN,"*","COSTCENTRE",$B$123,"GLCode",$B128,"DAF_Award",P$2,PF,PT))</f>
        <v>0</v>
      </c>
      <c r="Q128" s="39">
        <f>IF(TRUE,0,_xll.PSFx3BAL(CN,"*","COSTCENTRE",$B$123,"GLCode",$B128,"DAF_Award",Q$2,PF,PT))</f>
        <v>0</v>
      </c>
      <c r="R128" s="39">
        <f>IF(TRUE,0,_xll.PSFx3BAL(CN,"*","COSTCENTRE",$B$123,"GLCode",$B128,"DAF_Award",R$2,PF,PT))</f>
        <v>0</v>
      </c>
      <c r="S128" s="39">
        <f>IF(TRUE,0,_xll.PSFx3BAL(CN,"*","COSTCENTRE",$B$123,"GLCode",$B128,"DAF_Award",S$2,PF,PT))</f>
        <v>0</v>
      </c>
      <c r="T128" s="39">
        <f>IF(TRUE,0,_xll.PSFx3BAL(CN,"*","COSTCENTRE",$B$123,"GLCode",$B128,"DAF_Award",T$2,PF,PT))</f>
        <v>0</v>
      </c>
      <c r="U128" s="39">
        <f>IF(TRUE,0,_xll.PSFx3BAL(CN,"*","COSTCENTRE",$B$123,"GLCode",$B128,"DAF_Award",U$2,PF,PT))</f>
        <v>0</v>
      </c>
      <c r="V128" s="39">
        <f>IF(TRUE,0,_xll.PSFx3BAL(CN,"*","COSTCENTRE",$B$123,"GLCode",$B128,"DAF_Award",V$2,PF,PT))</f>
        <v>0</v>
      </c>
      <c r="W128" s="39">
        <f>IF(TRUE,0,_xll.PSFx3BAL(CN,"*","COSTCENTRE",$B$123,"GLCode",$B128,"DAF_Award",W$2,PF,PT))</f>
        <v>0</v>
      </c>
      <c r="X128" s="39">
        <f>IF(TRUE,0,_xll.PSFx3BAL(CN,"*","COSTCENTRE",$B$123,"GLCode",$B128,"DAF_Award",X$2,PF,PT))</f>
        <v>0</v>
      </c>
      <c r="Y128" s="39">
        <f>IF(TRUE,0,_xll.PSFx3BAL(CN,"*","COSTCENTRE",$B$123,"GLCode",$B128,"DAF_Award",Y$2,PF,PT))</f>
        <v>0</v>
      </c>
      <c r="Z128" s="39">
        <f>IF(TRUE,0,_xll.PSFx3BAL(CN,"*","COSTCENTRE",$B$123,"GLCode",$B128,"DAF_Award",Z$2,PF,PT))</f>
        <v>0</v>
      </c>
      <c r="AA128" s="39">
        <f>IF(TRUE,0,_xll.PSFx3BAL(CN,"*","COSTCENTRE",$B$123,"GLCode",$B128,"DAF_Award",AA$2,PF,PT))</f>
        <v>0</v>
      </c>
      <c r="AB128" s="39">
        <f>IF(TRUE,0,_xll.PSFx3BAL(CN,"*","COSTCENTRE",$B$123,"GLCode",$B128,"DAF_Award",AB$2,PF,PT))</f>
        <v>0</v>
      </c>
      <c r="AC128" s="39">
        <f>IF(TRUE,0,_xll.PSFx3BAL(CN,"*","COSTCENTRE",$B$123,"GLCode",$B128,"DAF_Award",AC$2,PF,PT))</f>
        <v>0</v>
      </c>
      <c r="AD128" s="39">
        <f>IF(TRUE,0,_xll.PSFx3BAL(CN,"*","COSTCENTRE",$B$123,"GLCode",$B128,"DAF_Award",AD$2,PF,PT))</f>
        <v>0</v>
      </c>
      <c r="AE128" s="39">
        <f>IF(TRUE,0,_xll.PSFx3BAL(CN,"*","COSTCENTRE",$B$123,"GLCode",$B128,"DAF_Award",AE$2,PF,PT))</f>
        <v>0</v>
      </c>
      <c r="AF128" s="39">
        <f>IF(TRUE,0,_xll.PSFx3BAL(CN,"*","COSTCENTRE",$B$123,"GLCode",$B128,"DAF_Award",AF$2,PF,PT))</f>
        <v>0</v>
      </c>
      <c r="AG128" s="39">
        <f>IF(TRUE,0,_xll.PSFx3BAL(CN,"*","COSTCENTRE",$B$123,"GLCode",$B128,"DAF_Award",AG$2,PF,PT))</f>
        <v>0</v>
      </c>
      <c r="AH128" s="39">
        <f>IF(TRUE,0,_xll.PSFx3BAL(CN,"*","COSTCENTRE",$B$123,"GLCode",$B128,"DAF_Award",AH$2,PF,PT))</f>
        <v>0</v>
      </c>
      <c r="AI128" s="39">
        <f t="shared" si="81"/>
        <v>0</v>
      </c>
      <c r="AJ128" s="9">
        <f>'Cost Centres'!L84</f>
        <v>0</v>
      </c>
      <c r="AL128" s="39">
        <f t="shared" si="82"/>
        <v>0</v>
      </c>
    </row>
    <row r="129" spans="1:38" x14ac:dyDescent="0.2">
      <c r="A129" s="1">
        <v>7520</v>
      </c>
      <c r="B129" t="s">
        <v>184</v>
      </c>
      <c r="C129" t="s">
        <v>185</v>
      </c>
      <c r="D129" s="39">
        <f>IF(TRUE,0,_xll.PSFx3BAL(CN,"*","COSTCENTRE",$B$123,"GLCode",$B129,"DAF_Award",D$2,PF,PT))</f>
        <v>0</v>
      </c>
      <c r="E129" s="39">
        <f>IF(TRUE,0,_xll.PSFx3BAL(CN,"*","COSTCENTRE",$B$123,"GLCode",$B129,"DAF_Award",E$2,PF,PT))</f>
        <v>0</v>
      </c>
      <c r="F129" s="39">
        <f>IF(TRUE,0,_xll.PSFx3BAL(CN,"*","COSTCENTRE",$B$123,"GLCode",$B129,"DAF_Award",F$2,PF,PT))</f>
        <v>0</v>
      </c>
      <c r="G129" s="39">
        <f>IF(TRUE,0,_xll.PSFx3BAL(CN,"*","COSTCENTRE",$B$123,"GLCode",$B129,"DAF_Award",G$2,PF,PT))</f>
        <v>0</v>
      </c>
      <c r="H129" s="39">
        <f>IF(TRUE,0,_xll.PSFx3BAL(CN,"*","COSTCENTRE",$B$123,"GLCode",$B129,"DAF_Award",H$2,PF,PT))</f>
        <v>0</v>
      </c>
      <c r="I129" s="39">
        <f>IF(TRUE,0,_xll.PSFx3BAL(CN,"*","COSTCENTRE",$B$123,"GLCode",$B129,"DAF_Award",I$2,PF,PT))</f>
        <v>0</v>
      </c>
      <c r="J129" s="39">
        <f>IF(TRUE,0,_xll.PSFx3BAL(CN,"*","COSTCENTRE",$B$123,"GLCode",$B129,"DAF_Award",J$2,PF,PT))</f>
        <v>0</v>
      </c>
      <c r="K129" s="39">
        <f>IF(TRUE,0,_xll.PSFx3BAL(CN,"*","COSTCENTRE",$B$123,"GLCode",$B129,"DAF_Award",K$2,PF,PT))</f>
        <v>0</v>
      </c>
      <c r="L129" s="39">
        <f>IF(TRUE,0,_xll.PSFx3BAL(CN,"*","COSTCENTRE",$B$123,"GLCode",$B129,"DAF_Award",L$2,PF,PT))</f>
        <v>0</v>
      </c>
      <c r="M129" s="39">
        <f>IF(TRUE,0,_xll.PSFx3BAL(CN,"*","COSTCENTRE",$B$123,"GLCode",$B129,"DAF_Award",M$2,PF,PT))</f>
        <v>0</v>
      </c>
      <c r="N129" s="39">
        <f>IF(TRUE,0,_xll.PSFx3BAL(CN,"*","COSTCENTRE",$B$123,"GLCode",$B129,"DAF_Award",N$2,PF,PT))</f>
        <v>0</v>
      </c>
      <c r="O129" s="39">
        <f>IF(TRUE,0,_xll.PSFx3BAL(CN,"*","COSTCENTRE",$B$123,"GLCode",$B129,"DAF_Award",O$2,PF,PT))</f>
        <v>0</v>
      </c>
      <c r="P129" s="39">
        <f>IF(TRUE,0,_xll.PSFx3BAL(CN,"*","COSTCENTRE",$B$123,"GLCode",$B129,"DAF_Award",P$2,PF,PT))</f>
        <v>0</v>
      </c>
      <c r="Q129" s="39">
        <f>IF(TRUE,0,_xll.PSFx3BAL(CN,"*","COSTCENTRE",$B$123,"GLCode",$B129,"DAF_Award",Q$2,PF,PT))</f>
        <v>0</v>
      </c>
      <c r="R129" s="39">
        <f>IF(TRUE,0,_xll.PSFx3BAL(CN,"*","COSTCENTRE",$B$123,"GLCode",$B129,"DAF_Award",R$2,PF,PT))</f>
        <v>0</v>
      </c>
      <c r="S129" s="39">
        <f>IF(TRUE,0,_xll.PSFx3BAL(CN,"*","COSTCENTRE",$B$123,"GLCode",$B129,"DAF_Award",S$2,PF,PT))</f>
        <v>0</v>
      </c>
      <c r="T129" s="39">
        <f>IF(TRUE,0,_xll.PSFx3BAL(CN,"*","COSTCENTRE",$B$123,"GLCode",$B129,"DAF_Award",T$2,PF,PT))</f>
        <v>0</v>
      </c>
      <c r="U129" s="39">
        <f>IF(TRUE,0,_xll.PSFx3BAL(CN,"*","COSTCENTRE",$B$123,"GLCode",$B129,"DAF_Award",U$2,PF,PT))</f>
        <v>0</v>
      </c>
      <c r="V129" s="39">
        <f>IF(TRUE,0,_xll.PSFx3BAL(CN,"*","COSTCENTRE",$B$123,"GLCode",$B129,"DAF_Award",V$2,PF,PT))</f>
        <v>0</v>
      </c>
      <c r="W129" s="39">
        <f>IF(TRUE,0,_xll.PSFx3BAL(CN,"*","COSTCENTRE",$B$123,"GLCode",$B129,"DAF_Award",W$2,PF,PT))</f>
        <v>0</v>
      </c>
      <c r="X129" s="39">
        <f>IF(TRUE,0,_xll.PSFx3BAL(CN,"*","COSTCENTRE",$B$123,"GLCode",$B129,"DAF_Award",X$2,PF,PT))</f>
        <v>0</v>
      </c>
      <c r="Y129" s="39">
        <f>IF(TRUE,0,_xll.PSFx3BAL(CN,"*","COSTCENTRE",$B$123,"GLCode",$B129,"DAF_Award",Y$2,PF,PT))</f>
        <v>0</v>
      </c>
      <c r="Z129" s="39">
        <f>IF(TRUE,0,_xll.PSFx3BAL(CN,"*","COSTCENTRE",$B$123,"GLCode",$B129,"DAF_Award",Z$2,PF,PT))</f>
        <v>0</v>
      </c>
      <c r="AA129" s="39">
        <f>IF(TRUE,0,_xll.PSFx3BAL(CN,"*","COSTCENTRE",$B$123,"GLCode",$B129,"DAF_Award",AA$2,PF,PT))</f>
        <v>0</v>
      </c>
      <c r="AB129" s="39">
        <f>IF(TRUE,0,_xll.PSFx3BAL(CN,"*","COSTCENTRE",$B$123,"GLCode",$B129,"DAF_Award",AB$2,PF,PT))</f>
        <v>0</v>
      </c>
      <c r="AC129" s="39">
        <f>IF(TRUE,0,_xll.PSFx3BAL(CN,"*","COSTCENTRE",$B$123,"GLCode",$B129,"DAF_Award",AC$2,PF,PT))</f>
        <v>0</v>
      </c>
      <c r="AD129" s="39">
        <f>IF(TRUE,0,_xll.PSFx3BAL(CN,"*","COSTCENTRE",$B$123,"GLCode",$B129,"DAF_Award",AD$2,PF,PT))</f>
        <v>0</v>
      </c>
      <c r="AE129" s="39">
        <f>IF(TRUE,0,_xll.PSFx3BAL(CN,"*","COSTCENTRE",$B$123,"GLCode",$B129,"DAF_Award",AE$2,PF,PT))</f>
        <v>0</v>
      </c>
      <c r="AF129" s="39">
        <f>IF(TRUE,0,_xll.PSFx3BAL(CN,"*","COSTCENTRE",$B$123,"GLCode",$B129,"DAF_Award",AF$2,PF,PT))</f>
        <v>0</v>
      </c>
      <c r="AG129" s="39">
        <f>IF(TRUE,0,_xll.PSFx3BAL(CN,"*","COSTCENTRE",$B$123,"GLCode",$B129,"DAF_Award",AG$2,PF,PT))</f>
        <v>0</v>
      </c>
      <c r="AH129" s="39">
        <f>IF(TRUE,0,_xll.PSFx3BAL(CN,"*","COSTCENTRE",$B$123,"GLCode",$B129,"DAF_Award",AH$2,PF,PT))</f>
        <v>0</v>
      </c>
      <c r="AI129" s="39">
        <f t="shared" si="81"/>
        <v>0</v>
      </c>
      <c r="AJ129" s="9">
        <f>'Cost Centres'!L85</f>
        <v>0</v>
      </c>
      <c r="AL129" s="39">
        <f t="shared" si="82"/>
        <v>0</v>
      </c>
    </row>
    <row r="130" spans="1:38" x14ac:dyDescent="0.2">
      <c r="C130" t="s">
        <v>211</v>
      </c>
      <c r="D130" s="39">
        <f t="shared" ref="D130:AJ130" si="83">D131-SUM(D124:D129)</f>
        <v>0</v>
      </c>
      <c r="E130" s="39">
        <f t="shared" ref="E130:G130" si="84">E131-SUM(E124:E129)</f>
        <v>0</v>
      </c>
      <c r="F130" s="39">
        <f t="shared" si="84"/>
        <v>0</v>
      </c>
      <c r="G130" s="39">
        <f t="shared" si="84"/>
        <v>0</v>
      </c>
      <c r="H130" s="39">
        <f t="shared" si="83"/>
        <v>0</v>
      </c>
      <c r="I130" s="39">
        <f t="shared" si="83"/>
        <v>0</v>
      </c>
      <c r="J130" s="39">
        <f t="shared" si="83"/>
        <v>0</v>
      </c>
      <c r="K130" s="39">
        <f t="shared" si="83"/>
        <v>0</v>
      </c>
      <c r="L130" s="39">
        <f t="shared" ref="L130:M130" si="85">L131-SUM(L124:L129)</f>
        <v>0</v>
      </c>
      <c r="M130" s="39">
        <f t="shared" si="85"/>
        <v>0</v>
      </c>
      <c r="N130" s="39">
        <f t="shared" ref="N130" si="86">N131-SUM(N124:N129)</f>
        <v>0</v>
      </c>
      <c r="O130" s="39">
        <f t="shared" si="83"/>
        <v>0</v>
      </c>
      <c r="P130" s="39">
        <f t="shared" si="83"/>
        <v>0</v>
      </c>
      <c r="Q130" s="39">
        <f t="shared" ref="Q130:R130" si="87">Q131-SUM(Q124:Q129)</f>
        <v>0</v>
      </c>
      <c r="R130" s="39">
        <f t="shared" si="87"/>
        <v>0</v>
      </c>
      <c r="S130" s="39">
        <f t="shared" ref="S130" si="88">S131-SUM(S124:S129)</f>
        <v>0</v>
      </c>
      <c r="T130" s="39">
        <f t="shared" si="83"/>
        <v>0</v>
      </c>
      <c r="U130" s="39">
        <f t="shared" ref="U130:V130" si="89">U131-SUM(U124:U129)</f>
        <v>0</v>
      </c>
      <c r="V130" s="39">
        <f t="shared" si="89"/>
        <v>0</v>
      </c>
      <c r="W130" s="39">
        <f t="shared" si="83"/>
        <v>0</v>
      </c>
      <c r="X130" s="39">
        <f t="shared" si="83"/>
        <v>0</v>
      </c>
      <c r="Y130" s="39">
        <f t="shared" si="83"/>
        <v>0</v>
      </c>
      <c r="Z130" s="39">
        <f t="shared" si="83"/>
        <v>0</v>
      </c>
      <c r="AA130" s="39">
        <f t="shared" si="83"/>
        <v>0</v>
      </c>
      <c r="AB130" s="39">
        <f t="shared" si="83"/>
        <v>0</v>
      </c>
      <c r="AC130" s="39">
        <f t="shared" si="83"/>
        <v>0</v>
      </c>
      <c r="AD130" s="39">
        <f t="shared" si="83"/>
        <v>0</v>
      </c>
      <c r="AE130" s="39">
        <f t="shared" si="83"/>
        <v>0</v>
      </c>
      <c r="AF130" s="39">
        <f t="shared" si="83"/>
        <v>0</v>
      </c>
      <c r="AG130" s="39">
        <f t="shared" si="83"/>
        <v>0</v>
      </c>
      <c r="AH130" s="39">
        <f t="shared" si="83"/>
        <v>0</v>
      </c>
      <c r="AI130" s="39">
        <f t="shared" si="83"/>
        <v>12140.57</v>
      </c>
      <c r="AJ130" s="39">
        <f t="shared" si="83"/>
        <v>12140.57</v>
      </c>
      <c r="AL130" s="39">
        <f>AL131-SUM(AL124:AL128)</f>
        <v>12140.57</v>
      </c>
    </row>
    <row r="131" spans="1:38" x14ac:dyDescent="0.2">
      <c r="C131" t="s">
        <v>284</v>
      </c>
      <c r="D131" s="75">
        <f t="shared" ref="D131:AJ131" si="90">D118</f>
        <v>0</v>
      </c>
      <c r="E131" s="75">
        <f t="shared" ref="E131:G131" si="91">E118</f>
        <v>0</v>
      </c>
      <c r="F131" s="75">
        <f t="shared" si="91"/>
        <v>0</v>
      </c>
      <c r="G131" s="75">
        <f t="shared" si="91"/>
        <v>0</v>
      </c>
      <c r="H131" s="75">
        <f t="shared" si="90"/>
        <v>0</v>
      </c>
      <c r="I131" s="75">
        <f t="shared" si="90"/>
        <v>0</v>
      </c>
      <c r="J131" s="75">
        <f t="shared" si="90"/>
        <v>0</v>
      </c>
      <c r="K131" s="75">
        <f t="shared" si="90"/>
        <v>0</v>
      </c>
      <c r="L131" s="75">
        <f t="shared" ref="L131:M131" si="92">L118</f>
        <v>0</v>
      </c>
      <c r="M131" s="75">
        <f t="shared" si="92"/>
        <v>0</v>
      </c>
      <c r="N131" s="75">
        <f t="shared" ref="N131" si="93">N118</f>
        <v>0</v>
      </c>
      <c r="O131" s="75">
        <f t="shared" si="90"/>
        <v>0</v>
      </c>
      <c r="P131" s="75">
        <f t="shared" si="90"/>
        <v>0</v>
      </c>
      <c r="Q131" s="75">
        <f t="shared" ref="Q131:R131" si="94">Q118</f>
        <v>0</v>
      </c>
      <c r="R131" s="75">
        <f t="shared" si="94"/>
        <v>0</v>
      </c>
      <c r="S131" s="75">
        <f t="shared" ref="S131" si="95">S118</f>
        <v>0</v>
      </c>
      <c r="T131" s="75">
        <f t="shared" si="90"/>
        <v>0</v>
      </c>
      <c r="U131" s="75">
        <f t="shared" ref="U131:V131" si="96">U118</f>
        <v>0</v>
      </c>
      <c r="V131" s="75">
        <f t="shared" si="96"/>
        <v>0</v>
      </c>
      <c r="W131" s="75">
        <f t="shared" si="90"/>
        <v>0</v>
      </c>
      <c r="X131" s="75">
        <f t="shared" si="90"/>
        <v>0</v>
      </c>
      <c r="Y131" s="75">
        <f t="shared" si="90"/>
        <v>0</v>
      </c>
      <c r="Z131" s="75">
        <f t="shared" si="90"/>
        <v>0</v>
      </c>
      <c r="AA131" s="75">
        <f t="shared" si="90"/>
        <v>0</v>
      </c>
      <c r="AB131" s="75">
        <f t="shared" si="90"/>
        <v>0</v>
      </c>
      <c r="AC131" s="75">
        <f t="shared" si="90"/>
        <v>0</v>
      </c>
      <c r="AD131" s="75">
        <f t="shared" si="90"/>
        <v>0</v>
      </c>
      <c r="AE131" s="75">
        <f t="shared" si="90"/>
        <v>0</v>
      </c>
      <c r="AF131" s="75">
        <f t="shared" si="90"/>
        <v>0</v>
      </c>
      <c r="AG131" s="75">
        <f t="shared" si="90"/>
        <v>0</v>
      </c>
      <c r="AH131" s="75">
        <f t="shared" si="90"/>
        <v>0</v>
      </c>
      <c r="AI131" s="75">
        <f t="shared" si="90"/>
        <v>12140.57</v>
      </c>
      <c r="AJ131" s="75">
        <f t="shared" si="90"/>
        <v>12140.57</v>
      </c>
      <c r="AL131" s="75">
        <f>AL118</f>
        <v>12140.57</v>
      </c>
    </row>
    <row r="133" spans="1:38" x14ac:dyDescent="0.2">
      <c r="B133" s="30" t="s">
        <v>17</v>
      </c>
      <c r="C133" s="30" t="s">
        <v>29</v>
      </c>
    </row>
    <row r="134" spans="1:38" x14ac:dyDescent="0.2">
      <c r="A134" s="1">
        <v>7300</v>
      </c>
      <c r="B134" t="s">
        <v>124</v>
      </c>
      <c r="C134" t="s">
        <v>125</v>
      </c>
      <c r="D134" s="39">
        <f>IF(TRUE,0,_xll.PSFx3BAL(CN,"*","COSTCENTRE",$B$133,"GLCode",$B134,"DAF_Award",D$2,PF,PT))</f>
        <v>0</v>
      </c>
      <c r="E134" s="39">
        <f>IF(TRUE,0,_xll.PSFx3BAL(CN,"*","COSTCENTRE",$B$133,"GLCode",$B134,"DAF_Award",E$2,PF,PT))</f>
        <v>0</v>
      </c>
      <c r="F134" s="39">
        <f>IF(TRUE,0,_xll.PSFx3BAL(CN,"*","COSTCENTRE",$B$133,"GLCode",$B134,"DAF_Award",F$2,PF,PT))</f>
        <v>0</v>
      </c>
      <c r="G134" s="39">
        <f>IF(TRUE,0,_xll.PSFx3BAL(CN,"*","COSTCENTRE",$B$133,"GLCode",$B134,"DAF_Award",G$2,PF,PT))</f>
        <v>0</v>
      </c>
      <c r="H134" s="39">
        <f>IF(TRUE,0,_xll.PSFx3BAL(CN,"*","COSTCENTRE",$B$133,"GLCode",$B134,"DAF_Award",H$2,PF,PT))</f>
        <v>0</v>
      </c>
      <c r="I134" s="39">
        <f>IF(TRUE,0,_xll.PSFx3BAL(CN,"*","COSTCENTRE",$B$133,"GLCode",$B134,"DAF_Award",I$2,PF,PT))</f>
        <v>0</v>
      </c>
      <c r="J134" s="39">
        <f>IF(TRUE,0,_xll.PSFx3BAL(CN,"*","COSTCENTRE",$B$133,"GLCode",$B134,"DAF_Award",J$2,PF,PT))</f>
        <v>0</v>
      </c>
      <c r="K134" s="39">
        <f>IF(TRUE,0,_xll.PSFx3BAL(CN,"*","COSTCENTRE",$B$133,"GLCode",$B134,"DAF_Award",K$2,PF,PT))</f>
        <v>0</v>
      </c>
      <c r="L134" s="39">
        <f>IF(TRUE,0,_xll.PSFx3BAL(CN,"*","COSTCENTRE",$B$133,"GLCode",$B134,"DAF_Award",L$2,PF,PT))</f>
        <v>0</v>
      </c>
      <c r="M134" s="39">
        <f>IF(TRUE,0,_xll.PSFx3BAL(CN,"*","COSTCENTRE",$B$133,"GLCode",$B134,"DAF_Award",M$2,PF,PT))</f>
        <v>0</v>
      </c>
      <c r="N134" s="39">
        <f>IF(TRUE,0,_xll.PSFx3BAL(CN,"*","COSTCENTRE",$B$133,"GLCode",$B134,"DAF_Award",N$2,PF,PT))</f>
        <v>0</v>
      </c>
      <c r="O134" s="39">
        <f>IF(TRUE,0,_xll.PSFx3BAL(CN,"*","COSTCENTRE",$B$133,"GLCode",$B134,"DAF_Award",O$2,PF,PT))</f>
        <v>0</v>
      </c>
      <c r="P134" s="39">
        <f>IF(TRUE,0,_xll.PSFx3BAL(CN,"*","COSTCENTRE",$B$133,"GLCode",$B134,"DAF_Award",P$2,PF,PT))</f>
        <v>0</v>
      </c>
      <c r="Q134" s="39">
        <f>IF(TRUE,0,_xll.PSFx3BAL(CN,"*","COSTCENTRE",$B$133,"GLCode",$B134,"DAF_Award",Q$2,PF,PT))</f>
        <v>0</v>
      </c>
      <c r="R134" s="39">
        <f>IF(TRUE,0,_xll.PSFx3BAL(CN,"*","COSTCENTRE",$B$133,"GLCode",$B134,"DAF_Award",R$2,PF,PT))</f>
        <v>0</v>
      </c>
      <c r="S134" s="39">
        <f>IF(TRUE,0,_xll.PSFx3BAL(CN,"*","COSTCENTRE",$B$133,"GLCode",$B134,"DAF_Award",S$2,PF,PT))</f>
        <v>0</v>
      </c>
      <c r="T134" s="39">
        <f>IF(TRUE,0,_xll.PSFx3BAL(CN,"*","COSTCENTRE",$B$133,"GLCode",$B134,"DAF_Award",T$2,PF,PT))</f>
        <v>0</v>
      </c>
      <c r="U134" s="39">
        <f>IF(TRUE,0,_xll.PSFx3BAL(CN,"*","COSTCENTRE",$B$133,"GLCode",$B134,"DAF_Award",U$2,PF,PT))</f>
        <v>0</v>
      </c>
      <c r="V134" s="39">
        <f>IF(TRUE,0,_xll.PSFx3BAL(CN,"*","COSTCENTRE",$B$133,"GLCode",$B134,"DAF_Award",V$2,PF,PT))</f>
        <v>0</v>
      </c>
      <c r="W134" s="39">
        <f>IF(TRUE,0,_xll.PSFx3BAL(CN,"*","COSTCENTRE",$B$133,"GLCode",$B134,"DAF_Award",W$2,PF,PT))</f>
        <v>0</v>
      </c>
      <c r="X134" s="39">
        <f>IF(TRUE,0,_xll.PSFx3BAL(CN,"*","COSTCENTRE",$B$133,"GLCode",$B134,"DAF_Award",X$2,PF,PT))</f>
        <v>0</v>
      </c>
      <c r="Y134" s="39">
        <f>IF(TRUE,0,_xll.PSFx3BAL(CN,"*","COSTCENTRE",$B$133,"GLCode",$B134,"DAF_Award",Y$2,PF,PT))</f>
        <v>0</v>
      </c>
      <c r="Z134" s="39">
        <f>IF(TRUE,0,_xll.PSFx3BAL(CN,"*","COSTCENTRE",$B$133,"GLCode",$B134,"DAF_Award",Z$2,PF,PT))</f>
        <v>0</v>
      </c>
      <c r="AA134" s="39">
        <f>IF(TRUE,0,_xll.PSFx3BAL(CN,"*","COSTCENTRE",$B$133,"GLCode",$B134,"DAF_Award",AA$2,PF,PT))</f>
        <v>0</v>
      </c>
      <c r="AB134" s="39">
        <f>IF(TRUE,0,_xll.PSFx3BAL(CN,"*","COSTCENTRE",$B$133,"GLCode",$B134,"DAF_Award",AB$2,PF,PT))</f>
        <v>0</v>
      </c>
      <c r="AC134" s="39">
        <f>IF(TRUE,0,_xll.PSFx3BAL(CN,"*","COSTCENTRE",$B$133,"GLCode",$B134,"DAF_Award",AC$2,PF,PT))</f>
        <v>0</v>
      </c>
      <c r="AD134" s="39">
        <f>IF(TRUE,0,_xll.PSFx3BAL(CN,"*","COSTCENTRE",$B$133,"GLCode",$B134,"DAF_Award",AD$2,PF,PT))</f>
        <v>0</v>
      </c>
      <c r="AE134" s="39">
        <f>IF(TRUE,0,_xll.PSFx3BAL(CN,"*","COSTCENTRE",$B$133,"GLCode",$B134,"DAF_Award",AE$2,PF,PT))</f>
        <v>0</v>
      </c>
      <c r="AF134" s="39">
        <f>IF(TRUE,0,_xll.PSFx3BAL(CN,"*","COSTCENTRE",$B$133,"GLCode",$B134,"DAF_Award",AF$2,PF,PT))</f>
        <v>0</v>
      </c>
      <c r="AG134" s="39">
        <f>IF(TRUE,0,_xll.PSFx3BAL(CN,"*","COSTCENTRE",$B$133,"GLCode",$B134,"DAF_Award",AG$2,PF,PT))</f>
        <v>0</v>
      </c>
      <c r="AH134" s="39">
        <f>IF(TRUE,0,_xll.PSFx3BAL(CN,"*","COSTCENTRE",$B$133,"GLCode",$B134,"DAF_Award",AH$2,PF,PT))</f>
        <v>0</v>
      </c>
      <c r="AI134" s="39">
        <f t="shared" ref="AI134:AI142" si="97">AJ134-SUM(D134:AH134)</f>
        <v>0</v>
      </c>
      <c r="AJ134" s="9">
        <f>'Cost Centres'!M57</f>
        <v>0</v>
      </c>
      <c r="AL134" s="39">
        <f t="shared" ref="AL134:AL142" si="98">SUM(W134:AI134)</f>
        <v>0</v>
      </c>
    </row>
    <row r="135" spans="1:38" x14ac:dyDescent="0.2">
      <c r="A135" s="1">
        <v>7301</v>
      </c>
      <c r="B135" t="s">
        <v>126</v>
      </c>
      <c r="C135" t="s">
        <v>127</v>
      </c>
      <c r="D135" s="39">
        <f>IF(TRUE,0,_xll.PSFx3BAL(CN,"*","COSTCENTRE",$B$133,"GLCode",$B135,"DAF_Award",D$2,PF,PT))</f>
        <v>0</v>
      </c>
      <c r="E135" s="39">
        <f>IF(TRUE,0,_xll.PSFx3BAL(CN,"*","COSTCENTRE",$B$133,"GLCode",$B135,"DAF_Award",E$2,PF,PT))</f>
        <v>0</v>
      </c>
      <c r="F135" s="39">
        <f>IF(TRUE,0,_xll.PSFx3BAL(CN,"*","COSTCENTRE",$B$133,"GLCode",$B135,"DAF_Award",F$2,PF,PT))</f>
        <v>0</v>
      </c>
      <c r="G135" s="39">
        <f>IF(TRUE,0,_xll.PSFx3BAL(CN,"*","COSTCENTRE",$B$133,"GLCode",$B135,"DAF_Award",G$2,PF,PT))</f>
        <v>0</v>
      </c>
      <c r="H135" s="39">
        <f>IF(TRUE,0,_xll.PSFx3BAL(CN,"*","COSTCENTRE",$B$133,"GLCode",$B135,"DAF_Award",H$2,PF,PT))</f>
        <v>0</v>
      </c>
      <c r="I135" s="39">
        <f>IF(TRUE,0,_xll.PSFx3BAL(CN,"*","COSTCENTRE",$B$133,"GLCode",$B135,"DAF_Award",I$2,PF,PT))</f>
        <v>0</v>
      </c>
      <c r="J135" s="39">
        <f>IF(TRUE,0,_xll.PSFx3BAL(CN,"*","COSTCENTRE",$B$133,"GLCode",$B135,"DAF_Award",J$2,PF,PT))</f>
        <v>0</v>
      </c>
      <c r="K135" s="39">
        <f>IF(TRUE,0,_xll.PSFx3BAL(CN,"*","COSTCENTRE",$B$133,"GLCode",$B135,"DAF_Award",K$2,PF,PT))</f>
        <v>0</v>
      </c>
      <c r="L135" s="39">
        <f>IF(TRUE,0,_xll.PSFx3BAL(CN,"*","COSTCENTRE",$B$133,"GLCode",$B135,"DAF_Award",L$2,PF,PT))</f>
        <v>0</v>
      </c>
      <c r="M135" s="39">
        <f>IF(TRUE,0,_xll.PSFx3BAL(CN,"*","COSTCENTRE",$B$133,"GLCode",$B135,"DAF_Award",M$2,PF,PT))</f>
        <v>0</v>
      </c>
      <c r="N135" s="39">
        <f>IF(TRUE,0,_xll.PSFx3BAL(CN,"*","COSTCENTRE",$B$133,"GLCode",$B135,"DAF_Award",N$2,PF,PT))</f>
        <v>0</v>
      </c>
      <c r="O135" s="39">
        <f>IF(TRUE,0,_xll.PSFx3BAL(CN,"*","COSTCENTRE",$B$133,"GLCode",$B135,"DAF_Award",O$2,PF,PT))</f>
        <v>0</v>
      </c>
      <c r="P135" s="39">
        <f>IF(TRUE,0,_xll.PSFx3BAL(CN,"*","COSTCENTRE",$B$133,"GLCode",$B135,"DAF_Award",P$2,PF,PT))</f>
        <v>0</v>
      </c>
      <c r="Q135" s="39">
        <f>IF(TRUE,0,_xll.PSFx3BAL(CN,"*","COSTCENTRE",$B$133,"GLCode",$B135,"DAF_Award",Q$2,PF,PT))</f>
        <v>0</v>
      </c>
      <c r="R135" s="39">
        <f>IF(TRUE,0,_xll.PSFx3BAL(CN,"*","COSTCENTRE",$B$133,"GLCode",$B135,"DAF_Award",R$2,PF,PT))</f>
        <v>0</v>
      </c>
      <c r="S135" s="39">
        <f>IF(TRUE,0,_xll.PSFx3BAL(CN,"*","COSTCENTRE",$B$133,"GLCode",$B135,"DAF_Award",S$2,PF,PT))</f>
        <v>0</v>
      </c>
      <c r="T135" s="39">
        <f>IF(TRUE,0,_xll.PSFx3BAL(CN,"*","COSTCENTRE",$B$133,"GLCode",$B135,"DAF_Award",T$2,PF,PT))</f>
        <v>0</v>
      </c>
      <c r="U135" s="39">
        <f>IF(TRUE,0,_xll.PSFx3BAL(CN,"*","COSTCENTRE",$B$133,"GLCode",$B135,"DAF_Award",U$2,PF,PT))</f>
        <v>0</v>
      </c>
      <c r="V135" s="39">
        <f>IF(TRUE,0,_xll.PSFx3BAL(CN,"*","COSTCENTRE",$B$133,"GLCode",$B135,"DAF_Award",V$2,PF,PT))</f>
        <v>0</v>
      </c>
      <c r="W135" s="39">
        <f>IF(TRUE,0,_xll.PSFx3BAL(CN,"*","COSTCENTRE",$B$133,"GLCode",$B135,"DAF_Award",W$2,PF,PT))</f>
        <v>0</v>
      </c>
      <c r="X135" s="39">
        <f>IF(TRUE,0,_xll.PSFx3BAL(CN,"*","COSTCENTRE",$B$133,"GLCode",$B135,"DAF_Award",X$2,PF,PT))</f>
        <v>0</v>
      </c>
      <c r="Y135" s="39">
        <f>IF(TRUE,0,_xll.PSFx3BAL(CN,"*","COSTCENTRE",$B$133,"GLCode",$B135,"DAF_Award",Y$2,PF,PT))</f>
        <v>0</v>
      </c>
      <c r="Z135" s="39">
        <f>IF(TRUE,0,_xll.PSFx3BAL(CN,"*","COSTCENTRE",$B$133,"GLCode",$B135,"DAF_Award",Z$2,PF,PT))</f>
        <v>0</v>
      </c>
      <c r="AA135" s="39">
        <f>IF(TRUE,0,_xll.PSFx3BAL(CN,"*","COSTCENTRE",$B$133,"GLCode",$B135,"DAF_Award",AA$2,PF,PT))</f>
        <v>0</v>
      </c>
      <c r="AB135" s="39">
        <f>IF(TRUE,0,_xll.PSFx3BAL(CN,"*","COSTCENTRE",$B$133,"GLCode",$B135,"DAF_Award",AB$2,PF,PT))</f>
        <v>0</v>
      </c>
      <c r="AC135" s="39">
        <f>IF(TRUE,0,_xll.PSFx3BAL(CN,"*","COSTCENTRE",$B$133,"GLCode",$B135,"DAF_Award",AC$2,PF,PT))</f>
        <v>0</v>
      </c>
      <c r="AD135" s="39">
        <f>IF(TRUE,0,_xll.PSFx3BAL(CN,"*","COSTCENTRE",$B$133,"GLCode",$B135,"DAF_Award",AD$2,PF,PT))</f>
        <v>0</v>
      </c>
      <c r="AE135" s="39">
        <f>IF(TRUE,0,_xll.PSFx3BAL(CN,"*","COSTCENTRE",$B$133,"GLCode",$B135,"DAF_Award",AE$2,PF,PT))</f>
        <v>0</v>
      </c>
      <c r="AF135" s="39">
        <f>IF(TRUE,0,_xll.PSFx3BAL(CN,"*","COSTCENTRE",$B$133,"GLCode",$B135,"DAF_Award",AF$2,PF,PT))</f>
        <v>0</v>
      </c>
      <c r="AG135" s="39">
        <f>IF(TRUE,0,_xll.PSFx3BAL(CN,"*","COSTCENTRE",$B$133,"GLCode",$B135,"DAF_Award",AG$2,PF,PT))</f>
        <v>0</v>
      </c>
      <c r="AH135" s="39">
        <f>IF(TRUE,92.2,_xll.PSFx3BAL(CN,"*","COSTCENTRE",$B$133,"GLCode",$B135,"DAF_Award",AH$2,PF,PT))</f>
        <v>92.2</v>
      </c>
      <c r="AI135" s="39">
        <f t="shared" si="97"/>
        <v>0</v>
      </c>
      <c r="AJ135" s="9">
        <f>'Cost Centres'!M58</f>
        <v>92.2</v>
      </c>
      <c r="AL135" s="39">
        <f t="shared" si="98"/>
        <v>92.2</v>
      </c>
    </row>
    <row r="136" spans="1:38" x14ac:dyDescent="0.2">
      <c r="A136" s="1">
        <v>7302</v>
      </c>
      <c r="B136" t="s">
        <v>128</v>
      </c>
      <c r="C136" t="s">
        <v>129</v>
      </c>
      <c r="D136" s="39">
        <f>IF(TRUE,0,_xll.PSFx3BAL(CN,"*","COSTCENTRE",$B$133,"GLCode",$B136,"DAF_Award",D$2,PF,PT))</f>
        <v>0</v>
      </c>
      <c r="E136" s="39">
        <f>IF(TRUE,0,_xll.PSFx3BAL(CN,"*","COSTCENTRE",$B$133,"GLCode",$B136,"DAF_Award",E$2,PF,PT))</f>
        <v>0</v>
      </c>
      <c r="F136" s="39">
        <f>IF(TRUE,0,_xll.PSFx3BAL(CN,"*","COSTCENTRE",$B$133,"GLCode",$B136,"DAF_Award",F$2,PF,PT))</f>
        <v>0</v>
      </c>
      <c r="G136" s="39">
        <f>IF(TRUE,0,_xll.PSFx3BAL(CN,"*","COSTCENTRE",$B$133,"GLCode",$B136,"DAF_Award",G$2,PF,PT))</f>
        <v>0</v>
      </c>
      <c r="H136" s="39">
        <f>IF(TRUE,0,_xll.PSFx3BAL(CN,"*","COSTCENTRE",$B$133,"GLCode",$B136,"DAF_Award",H$2,PF,PT))</f>
        <v>0</v>
      </c>
      <c r="I136" s="39">
        <f>IF(TRUE,0,_xll.PSFx3BAL(CN,"*","COSTCENTRE",$B$133,"GLCode",$B136,"DAF_Award",I$2,PF,PT))</f>
        <v>0</v>
      </c>
      <c r="J136" s="39">
        <f>IF(TRUE,0,_xll.PSFx3BAL(CN,"*","COSTCENTRE",$B$133,"GLCode",$B136,"DAF_Award",J$2,PF,PT))</f>
        <v>0</v>
      </c>
      <c r="K136" s="39">
        <f>IF(TRUE,0,_xll.PSFx3BAL(CN,"*","COSTCENTRE",$B$133,"GLCode",$B136,"DAF_Award",K$2,PF,PT))</f>
        <v>0</v>
      </c>
      <c r="L136" s="39">
        <f>IF(TRUE,0,_xll.PSFx3BAL(CN,"*","COSTCENTRE",$B$133,"GLCode",$B136,"DAF_Award",L$2,PF,PT))</f>
        <v>0</v>
      </c>
      <c r="M136" s="39">
        <f>IF(TRUE,0,_xll.PSFx3BAL(CN,"*","COSTCENTRE",$B$133,"GLCode",$B136,"DAF_Award",M$2,PF,PT))</f>
        <v>0</v>
      </c>
      <c r="N136" s="39">
        <f>IF(TRUE,0,_xll.PSFx3BAL(CN,"*","COSTCENTRE",$B$133,"GLCode",$B136,"DAF_Award",N$2,PF,PT))</f>
        <v>0</v>
      </c>
      <c r="O136" s="39">
        <f>IF(TRUE,0,_xll.PSFx3BAL(CN,"*","COSTCENTRE",$B$133,"GLCode",$B136,"DAF_Award",O$2,PF,PT))</f>
        <v>0</v>
      </c>
      <c r="P136" s="39">
        <f>IF(TRUE,0,_xll.PSFx3BAL(CN,"*","COSTCENTRE",$B$133,"GLCode",$B136,"DAF_Award",P$2,PF,PT))</f>
        <v>0</v>
      </c>
      <c r="Q136" s="39">
        <f>IF(TRUE,0,_xll.PSFx3BAL(CN,"*","COSTCENTRE",$B$133,"GLCode",$B136,"DAF_Award",Q$2,PF,PT))</f>
        <v>0</v>
      </c>
      <c r="R136" s="39">
        <f>IF(TRUE,0,_xll.PSFx3BAL(CN,"*","COSTCENTRE",$B$133,"GLCode",$B136,"DAF_Award",R$2,PF,PT))</f>
        <v>0</v>
      </c>
      <c r="S136" s="39">
        <f>IF(TRUE,0,_xll.PSFx3BAL(CN,"*","COSTCENTRE",$B$133,"GLCode",$B136,"DAF_Award",S$2,PF,PT))</f>
        <v>0</v>
      </c>
      <c r="T136" s="39">
        <f>IF(TRUE,0,_xll.PSFx3BAL(CN,"*","COSTCENTRE",$B$133,"GLCode",$B136,"DAF_Award",T$2,PF,PT))</f>
        <v>0</v>
      </c>
      <c r="U136" s="39">
        <f>IF(TRUE,0,_xll.PSFx3BAL(CN,"*","COSTCENTRE",$B$133,"GLCode",$B136,"DAF_Award",U$2,PF,PT))</f>
        <v>0</v>
      </c>
      <c r="V136" s="39">
        <f>IF(TRUE,0,_xll.PSFx3BAL(CN,"*","COSTCENTRE",$B$133,"GLCode",$B136,"DAF_Award",V$2,PF,PT))</f>
        <v>0</v>
      </c>
      <c r="W136" s="39">
        <f>IF(TRUE,0,_xll.PSFx3BAL(CN,"*","COSTCENTRE",$B$133,"GLCode",$B136,"DAF_Award",W$2,PF,PT))</f>
        <v>0</v>
      </c>
      <c r="X136" s="39">
        <f>IF(TRUE,0,_xll.PSFx3BAL(CN,"*","COSTCENTRE",$B$133,"GLCode",$B136,"DAF_Award",X$2,PF,PT))</f>
        <v>0</v>
      </c>
      <c r="Y136" s="39">
        <f>IF(TRUE,0,_xll.PSFx3BAL(CN,"*","COSTCENTRE",$B$133,"GLCode",$B136,"DAF_Award",Y$2,PF,PT))</f>
        <v>0</v>
      </c>
      <c r="Z136" s="39">
        <f>IF(TRUE,0,_xll.PSFx3BAL(CN,"*","COSTCENTRE",$B$133,"GLCode",$B136,"DAF_Award",Z$2,PF,PT))</f>
        <v>0</v>
      </c>
      <c r="AA136" s="39">
        <f>IF(TRUE,0,_xll.PSFx3BAL(CN,"*","COSTCENTRE",$B$133,"GLCode",$B136,"DAF_Award",AA$2,PF,PT))</f>
        <v>0</v>
      </c>
      <c r="AB136" s="39">
        <f>IF(TRUE,0,_xll.PSFx3BAL(CN,"*","COSTCENTRE",$B$133,"GLCode",$B136,"DAF_Award",AB$2,PF,PT))</f>
        <v>0</v>
      </c>
      <c r="AC136" s="39">
        <f>IF(TRUE,0,_xll.PSFx3BAL(CN,"*","COSTCENTRE",$B$133,"GLCode",$B136,"DAF_Award",AC$2,PF,PT))</f>
        <v>0</v>
      </c>
      <c r="AD136" s="39">
        <f>IF(TRUE,0,_xll.PSFx3BAL(CN,"*","COSTCENTRE",$B$133,"GLCode",$B136,"DAF_Award",AD$2,PF,PT))</f>
        <v>0</v>
      </c>
      <c r="AE136" s="39">
        <f>IF(TRUE,0,_xll.PSFx3BAL(CN,"*","COSTCENTRE",$B$133,"GLCode",$B136,"DAF_Award",AE$2,PF,PT))</f>
        <v>0</v>
      </c>
      <c r="AF136" s="39">
        <f>IF(TRUE,0,_xll.PSFx3BAL(CN,"*","COSTCENTRE",$B$133,"GLCode",$B136,"DAF_Award",AF$2,PF,PT))</f>
        <v>0</v>
      </c>
      <c r="AG136" s="39">
        <f>IF(TRUE,0,_xll.PSFx3BAL(CN,"*","COSTCENTRE",$B$133,"GLCode",$B136,"DAF_Award",AG$2,PF,PT))</f>
        <v>0</v>
      </c>
      <c r="AH136" s="39">
        <f>IF(TRUE,0,_xll.PSFx3BAL(CN,"*","COSTCENTRE",$B$133,"GLCode",$B136,"DAF_Award",AH$2,PF,PT))</f>
        <v>0</v>
      </c>
      <c r="AI136" s="39">
        <f t="shared" si="97"/>
        <v>0</v>
      </c>
      <c r="AJ136" s="9">
        <f>'Cost Centres'!M59</f>
        <v>0</v>
      </c>
      <c r="AL136" s="39">
        <f t="shared" si="98"/>
        <v>0</v>
      </c>
    </row>
    <row r="137" spans="1:38" x14ac:dyDescent="0.2">
      <c r="A137" s="1">
        <v>7306</v>
      </c>
      <c r="B137" t="s">
        <v>136</v>
      </c>
      <c r="C137" t="s">
        <v>137</v>
      </c>
      <c r="D137" s="39">
        <f>IF(TRUE,0,_xll.PSFx3BAL(CN,"*","COSTCENTRE",$B$133,"GLCode",$B137,"DAF_Award",D$2,PF,PT))</f>
        <v>0</v>
      </c>
      <c r="E137" s="39">
        <f>IF(TRUE,0,_xll.PSFx3BAL(CN,"*","COSTCENTRE",$B$133,"GLCode",$B137,"DAF_Award",E$2,PF,PT))</f>
        <v>0</v>
      </c>
      <c r="F137" s="39">
        <f>IF(TRUE,0,_xll.PSFx3BAL(CN,"*","COSTCENTRE",$B$133,"GLCode",$B137,"DAF_Award",F$2,PF,PT))</f>
        <v>0</v>
      </c>
      <c r="G137" s="39">
        <f>IF(TRUE,0,_xll.PSFx3BAL(CN,"*","COSTCENTRE",$B$133,"GLCode",$B137,"DAF_Award",G$2,PF,PT))</f>
        <v>0</v>
      </c>
      <c r="H137" s="39">
        <f>IF(TRUE,0,_xll.PSFx3BAL(CN,"*","COSTCENTRE",$B$133,"GLCode",$B137,"DAF_Award",H$2,PF,PT))</f>
        <v>0</v>
      </c>
      <c r="I137" s="39">
        <f>IF(TRUE,0,_xll.PSFx3BAL(CN,"*","COSTCENTRE",$B$133,"GLCode",$B137,"DAF_Award",I$2,PF,PT))</f>
        <v>0</v>
      </c>
      <c r="J137" s="39">
        <f>IF(TRUE,0,_xll.PSFx3BAL(CN,"*","COSTCENTRE",$B$133,"GLCode",$B137,"DAF_Award",J$2,PF,PT))</f>
        <v>0</v>
      </c>
      <c r="K137" s="39">
        <f>IF(TRUE,0,_xll.PSFx3BAL(CN,"*","COSTCENTRE",$B$133,"GLCode",$B137,"DAF_Award",K$2,PF,PT))</f>
        <v>0</v>
      </c>
      <c r="L137" s="39">
        <f>IF(TRUE,0,_xll.PSFx3BAL(CN,"*","COSTCENTRE",$B$133,"GLCode",$B137,"DAF_Award",L$2,PF,PT))</f>
        <v>0</v>
      </c>
      <c r="M137" s="39">
        <f>IF(TRUE,0,_xll.PSFx3BAL(CN,"*","COSTCENTRE",$B$133,"GLCode",$B137,"DAF_Award",M$2,PF,PT))</f>
        <v>0</v>
      </c>
      <c r="N137" s="39">
        <f>IF(TRUE,0,_xll.PSFx3BAL(CN,"*","COSTCENTRE",$B$133,"GLCode",$B137,"DAF_Award",N$2,PF,PT))</f>
        <v>0</v>
      </c>
      <c r="O137" s="39">
        <f>IF(TRUE,0,_xll.PSFx3BAL(CN,"*","COSTCENTRE",$B$133,"GLCode",$B137,"DAF_Award",O$2,PF,PT))</f>
        <v>0</v>
      </c>
      <c r="P137" s="39">
        <f>IF(TRUE,0,_xll.PSFx3BAL(CN,"*","COSTCENTRE",$B$133,"GLCode",$B137,"DAF_Award",P$2,PF,PT))</f>
        <v>0</v>
      </c>
      <c r="Q137" s="39">
        <f>IF(TRUE,0,_xll.PSFx3BAL(CN,"*","COSTCENTRE",$B$133,"GLCode",$B137,"DAF_Award",Q$2,PF,PT))</f>
        <v>0</v>
      </c>
      <c r="R137" s="39">
        <f>IF(TRUE,0,_xll.PSFx3BAL(CN,"*","COSTCENTRE",$B$133,"GLCode",$B137,"DAF_Award",R$2,PF,PT))</f>
        <v>0</v>
      </c>
      <c r="S137" s="39">
        <f>IF(TRUE,0,_xll.PSFx3BAL(CN,"*","COSTCENTRE",$B$133,"GLCode",$B137,"DAF_Award",S$2,PF,PT))</f>
        <v>0</v>
      </c>
      <c r="T137" s="39">
        <f>IF(TRUE,0,_xll.PSFx3BAL(CN,"*","COSTCENTRE",$B$133,"GLCode",$B137,"DAF_Award",T$2,PF,PT))</f>
        <v>0</v>
      </c>
      <c r="U137" s="39">
        <f>IF(TRUE,0,_xll.PSFx3BAL(CN,"*","COSTCENTRE",$B$133,"GLCode",$B137,"DAF_Award",U$2,PF,PT))</f>
        <v>0</v>
      </c>
      <c r="V137" s="39">
        <f>IF(TRUE,0,_xll.PSFx3BAL(CN,"*","COSTCENTRE",$B$133,"GLCode",$B137,"DAF_Award",V$2,PF,PT))</f>
        <v>0</v>
      </c>
      <c r="W137" s="39">
        <f>IF(TRUE,0,_xll.PSFx3BAL(CN,"*","COSTCENTRE",$B$133,"GLCode",$B137,"DAF_Award",W$2,PF,PT))</f>
        <v>0</v>
      </c>
      <c r="X137" s="39">
        <f>IF(TRUE,0,_xll.PSFx3BAL(CN,"*","COSTCENTRE",$B$133,"GLCode",$B137,"DAF_Award",X$2,PF,PT))</f>
        <v>0</v>
      </c>
      <c r="Y137" s="39">
        <f>IF(TRUE,0,_xll.PSFx3BAL(CN,"*","COSTCENTRE",$B$133,"GLCode",$B137,"DAF_Award",Y$2,PF,PT))</f>
        <v>0</v>
      </c>
      <c r="Z137" s="39">
        <f>IF(TRUE,0,_xll.PSFx3BAL(CN,"*","COSTCENTRE",$B$133,"GLCode",$B137,"DAF_Award",Z$2,PF,PT))</f>
        <v>0</v>
      </c>
      <c r="AA137" s="39">
        <f>IF(TRUE,0,_xll.PSFx3BAL(CN,"*","COSTCENTRE",$B$133,"GLCode",$B137,"DAF_Award",AA$2,PF,PT))</f>
        <v>0</v>
      </c>
      <c r="AB137" s="39">
        <f>IF(TRUE,0,_xll.PSFx3BAL(CN,"*","COSTCENTRE",$B$133,"GLCode",$B137,"DAF_Award",AB$2,PF,PT))</f>
        <v>0</v>
      </c>
      <c r="AC137" s="39">
        <f>IF(TRUE,0,_xll.PSFx3BAL(CN,"*","COSTCENTRE",$B$133,"GLCode",$B137,"DAF_Award",AC$2,PF,PT))</f>
        <v>0</v>
      </c>
      <c r="AD137" s="39">
        <f>IF(TRUE,0,_xll.PSFx3BAL(CN,"*","COSTCENTRE",$B$133,"GLCode",$B137,"DAF_Award",AD$2,PF,PT))</f>
        <v>0</v>
      </c>
      <c r="AE137" s="39">
        <f>IF(TRUE,0,_xll.PSFx3BAL(CN,"*","COSTCENTRE",$B$133,"GLCode",$B137,"DAF_Award",AE$2,PF,PT))</f>
        <v>0</v>
      </c>
      <c r="AF137" s="39">
        <f>IF(TRUE,0,_xll.PSFx3BAL(CN,"*","COSTCENTRE",$B$133,"GLCode",$B137,"DAF_Award",AF$2,PF,PT))</f>
        <v>0</v>
      </c>
      <c r="AG137" s="39">
        <f>IF(TRUE,0,_xll.PSFx3BAL(CN,"*","COSTCENTRE",$B$133,"GLCode",$B137,"DAF_Award",AG$2,PF,PT))</f>
        <v>0</v>
      </c>
      <c r="AH137" s="39">
        <f>IF(TRUE,0,_xll.PSFx3BAL(CN,"*","COSTCENTRE",$B$133,"GLCode",$B137,"DAF_Award",AH$2,PF,PT))</f>
        <v>0</v>
      </c>
      <c r="AI137" s="39">
        <f t="shared" si="97"/>
        <v>0</v>
      </c>
      <c r="AJ137" s="9">
        <f>'Cost Centres'!M63</f>
        <v>0</v>
      </c>
      <c r="AL137" s="39">
        <f t="shared" si="98"/>
        <v>0</v>
      </c>
    </row>
    <row r="138" spans="1:38" x14ac:dyDescent="0.2">
      <c r="A138" s="1">
        <v>7310</v>
      </c>
      <c r="B138" t="s">
        <v>138</v>
      </c>
      <c r="C138" t="s">
        <v>139</v>
      </c>
      <c r="D138" s="39">
        <f>IF(TRUE,0,_xll.PSFx3BAL(CN,"*","COSTCENTRE",$B$133,"GLCode",$B138,"DAF_Award",D$2,PF,PT))</f>
        <v>0</v>
      </c>
      <c r="E138" s="39">
        <f>IF(TRUE,0,_xll.PSFx3BAL(CN,"*","COSTCENTRE",$B$133,"GLCode",$B138,"DAF_Award",E$2,PF,PT))</f>
        <v>0</v>
      </c>
      <c r="F138" s="39">
        <f>IF(TRUE,0,_xll.PSFx3BAL(CN,"*","COSTCENTRE",$B$133,"GLCode",$B138,"DAF_Award",F$2,PF,PT))</f>
        <v>0</v>
      </c>
      <c r="G138" s="39">
        <f>IF(TRUE,0,_xll.PSFx3BAL(CN,"*","COSTCENTRE",$B$133,"GLCode",$B138,"DAF_Award",G$2,PF,PT))</f>
        <v>0</v>
      </c>
      <c r="H138" s="39">
        <f>IF(TRUE,0,_xll.PSFx3BAL(CN,"*","COSTCENTRE",$B$133,"GLCode",$B138,"DAF_Award",H$2,PF,PT))</f>
        <v>0</v>
      </c>
      <c r="I138" s="39">
        <f>IF(TRUE,0,_xll.PSFx3BAL(CN,"*","COSTCENTRE",$B$133,"GLCode",$B138,"DAF_Award",I$2,PF,PT))</f>
        <v>0</v>
      </c>
      <c r="J138" s="39">
        <f>IF(TRUE,0,_xll.PSFx3BAL(CN,"*","COSTCENTRE",$B$133,"GLCode",$B138,"DAF_Award",J$2,PF,PT))</f>
        <v>0</v>
      </c>
      <c r="K138" s="39">
        <f>IF(TRUE,0,_xll.PSFx3BAL(CN,"*","COSTCENTRE",$B$133,"GLCode",$B138,"DAF_Award",K$2,PF,PT))</f>
        <v>0</v>
      </c>
      <c r="L138" s="39">
        <f>IF(TRUE,0,_xll.PSFx3BAL(CN,"*","COSTCENTRE",$B$133,"GLCode",$B138,"DAF_Award",L$2,PF,PT))</f>
        <v>0</v>
      </c>
      <c r="M138" s="39">
        <f>IF(TRUE,0,_xll.PSFx3BAL(CN,"*","COSTCENTRE",$B$133,"GLCode",$B138,"DAF_Award",M$2,PF,PT))</f>
        <v>0</v>
      </c>
      <c r="N138" s="39">
        <f>IF(TRUE,0,_xll.PSFx3BAL(CN,"*","COSTCENTRE",$B$133,"GLCode",$B138,"DAF_Award",N$2,PF,PT))</f>
        <v>0</v>
      </c>
      <c r="O138" s="39">
        <f>IF(TRUE,0,_xll.PSFx3BAL(CN,"*","COSTCENTRE",$B$133,"GLCode",$B138,"DAF_Award",O$2,PF,PT))</f>
        <v>0</v>
      </c>
      <c r="P138" s="39">
        <f>IF(TRUE,0,_xll.PSFx3BAL(CN,"*","COSTCENTRE",$B$133,"GLCode",$B138,"DAF_Award",P$2,PF,PT))</f>
        <v>0</v>
      </c>
      <c r="Q138" s="39">
        <f>IF(TRUE,0,_xll.PSFx3BAL(CN,"*","COSTCENTRE",$B$133,"GLCode",$B138,"DAF_Award",Q$2,PF,PT))</f>
        <v>0</v>
      </c>
      <c r="R138" s="39">
        <f>IF(TRUE,0,_xll.PSFx3BAL(CN,"*","COSTCENTRE",$B$133,"GLCode",$B138,"DAF_Award",R$2,PF,PT))</f>
        <v>0</v>
      </c>
      <c r="S138" s="39">
        <f>IF(TRUE,0,_xll.PSFx3BAL(CN,"*","COSTCENTRE",$B$133,"GLCode",$B138,"DAF_Award",S$2,PF,PT))</f>
        <v>0</v>
      </c>
      <c r="T138" s="39">
        <f>IF(TRUE,0,_xll.PSFx3BAL(CN,"*","COSTCENTRE",$B$133,"GLCode",$B138,"DAF_Award",T$2,PF,PT))</f>
        <v>0</v>
      </c>
      <c r="U138" s="39">
        <f>IF(TRUE,0,_xll.PSFx3BAL(CN,"*","COSTCENTRE",$B$133,"GLCode",$B138,"DAF_Award",U$2,PF,PT))</f>
        <v>0</v>
      </c>
      <c r="V138" s="39">
        <f>IF(TRUE,0,_xll.PSFx3BAL(CN,"*","COSTCENTRE",$B$133,"GLCode",$B138,"DAF_Award",V$2,PF,PT))</f>
        <v>0</v>
      </c>
      <c r="W138" s="39">
        <f>IF(TRUE,0,_xll.PSFx3BAL(CN,"*","COSTCENTRE",$B$133,"GLCode",$B138,"DAF_Award",W$2,PF,PT))</f>
        <v>0</v>
      </c>
      <c r="X138" s="39">
        <f>IF(TRUE,0,_xll.PSFx3BAL(CN,"*","COSTCENTRE",$B$133,"GLCode",$B138,"DAF_Award",X$2,PF,PT))</f>
        <v>0</v>
      </c>
      <c r="Y138" s="39">
        <f>IF(TRUE,0,_xll.PSFx3BAL(CN,"*","COSTCENTRE",$B$133,"GLCode",$B138,"DAF_Award",Y$2,PF,PT))</f>
        <v>0</v>
      </c>
      <c r="Z138" s="39">
        <f>IF(TRUE,0,_xll.PSFx3BAL(CN,"*","COSTCENTRE",$B$133,"GLCode",$B138,"DAF_Award",Z$2,PF,PT))</f>
        <v>0</v>
      </c>
      <c r="AA138" s="39">
        <f>IF(TRUE,0,_xll.PSFx3BAL(CN,"*","COSTCENTRE",$B$133,"GLCode",$B138,"DAF_Award",AA$2,PF,PT))</f>
        <v>0</v>
      </c>
      <c r="AB138" s="39">
        <f>IF(TRUE,0,_xll.PSFx3BAL(CN,"*","COSTCENTRE",$B$133,"GLCode",$B138,"DAF_Award",AB$2,PF,PT))</f>
        <v>0</v>
      </c>
      <c r="AC138" s="39">
        <f>IF(TRUE,0,_xll.PSFx3BAL(CN,"*","COSTCENTRE",$B$133,"GLCode",$B138,"DAF_Award",AC$2,PF,PT))</f>
        <v>0</v>
      </c>
      <c r="AD138" s="39">
        <f>IF(TRUE,0,_xll.PSFx3BAL(CN,"*","COSTCENTRE",$B$133,"GLCode",$B138,"DAF_Award",AD$2,PF,PT))</f>
        <v>0</v>
      </c>
      <c r="AE138" s="39">
        <f>IF(TRUE,0,_xll.PSFx3BAL(CN,"*","COSTCENTRE",$B$133,"GLCode",$B138,"DAF_Award",AE$2,PF,PT))</f>
        <v>0</v>
      </c>
      <c r="AF138" s="39">
        <f>IF(TRUE,0,_xll.PSFx3BAL(CN,"*","COSTCENTRE",$B$133,"GLCode",$B138,"DAF_Award",AF$2,PF,PT))</f>
        <v>0</v>
      </c>
      <c r="AG138" s="39">
        <f>IF(TRUE,0,_xll.PSFx3BAL(CN,"*","COSTCENTRE",$B$133,"GLCode",$B138,"DAF_Award",AG$2,PF,PT))</f>
        <v>0</v>
      </c>
      <c r="AH138" s="39">
        <f>IF(TRUE,0,_xll.PSFx3BAL(CN,"*","COSTCENTRE",$B$133,"GLCode",$B138,"DAF_Award",AH$2,PF,PT))</f>
        <v>0</v>
      </c>
      <c r="AI138" s="39">
        <f t="shared" si="97"/>
        <v>0</v>
      </c>
      <c r="AJ138" s="9">
        <f>'Cost Centres'!M64</f>
        <v>0</v>
      </c>
      <c r="AL138" s="39">
        <f t="shared" si="98"/>
        <v>0</v>
      </c>
    </row>
    <row r="139" spans="1:38" x14ac:dyDescent="0.2">
      <c r="A139" s="1">
        <v>7311</v>
      </c>
      <c r="B139" t="s">
        <v>140</v>
      </c>
      <c r="C139" t="s">
        <v>141</v>
      </c>
      <c r="D139" s="39">
        <f>IF(TRUE,0,_xll.PSFx3BAL(CN,"*","COSTCENTRE",$B$133,"GLCode",$B139,"DAF_Award",D$2,PF,PT))</f>
        <v>0</v>
      </c>
      <c r="E139" s="39">
        <f>IF(TRUE,0,_xll.PSFx3BAL(CN,"*","COSTCENTRE",$B$133,"GLCode",$B139,"DAF_Award",E$2,PF,PT))</f>
        <v>0</v>
      </c>
      <c r="F139" s="39">
        <f>IF(TRUE,0,_xll.PSFx3BAL(CN,"*","COSTCENTRE",$B$133,"GLCode",$B139,"DAF_Award",F$2,PF,PT))</f>
        <v>0</v>
      </c>
      <c r="G139" s="39">
        <f>IF(TRUE,0,_xll.PSFx3BAL(CN,"*","COSTCENTRE",$B$133,"GLCode",$B139,"DAF_Award",G$2,PF,PT))</f>
        <v>0</v>
      </c>
      <c r="H139" s="39">
        <f>IF(TRUE,0,_xll.PSFx3BAL(CN,"*","COSTCENTRE",$B$133,"GLCode",$B139,"DAF_Award",H$2,PF,PT))</f>
        <v>0</v>
      </c>
      <c r="I139" s="39">
        <f>IF(TRUE,0,_xll.PSFx3BAL(CN,"*","COSTCENTRE",$B$133,"GLCode",$B139,"DAF_Award",I$2,PF,PT))</f>
        <v>0</v>
      </c>
      <c r="J139" s="39">
        <f>IF(TRUE,0,_xll.PSFx3BAL(CN,"*","COSTCENTRE",$B$133,"GLCode",$B139,"DAF_Award",J$2,PF,PT))</f>
        <v>0</v>
      </c>
      <c r="K139" s="39">
        <f>IF(TRUE,0,_xll.PSFx3BAL(CN,"*","COSTCENTRE",$B$133,"GLCode",$B139,"DAF_Award",K$2,PF,PT))</f>
        <v>0</v>
      </c>
      <c r="L139" s="39">
        <f>IF(TRUE,0,_xll.PSFx3BAL(CN,"*","COSTCENTRE",$B$133,"GLCode",$B139,"DAF_Award",L$2,PF,PT))</f>
        <v>0</v>
      </c>
      <c r="M139" s="39">
        <f>IF(TRUE,0,_xll.PSFx3BAL(CN,"*","COSTCENTRE",$B$133,"GLCode",$B139,"DAF_Award",M$2,PF,PT))</f>
        <v>0</v>
      </c>
      <c r="N139" s="39">
        <f>IF(TRUE,0,_xll.PSFx3BAL(CN,"*","COSTCENTRE",$B$133,"GLCode",$B139,"DAF_Award",N$2,PF,PT))</f>
        <v>0</v>
      </c>
      <c r="O139" s="39">
        <f>IF(TRUE,0,_xll.PSFx3BAL(CN,"*","COSTCENTRE",$B$133,"GLCode",$B139,"DAF_Award",O$2,PF,PT))</f>
        <v>0</v>
      </c>
      <c r="P139" s="39">
        <f>IF(TRUE,0,_xll.PSFx3BAL(CN,"*","COSTCENTRE",$B$133,"GLCode",$B139,"DAF_Award",P$2,PF,PT))</f>
        <v>0</v>
      </c>
      <c r="Q139" s="39">
        <f>IF(TRUE,0,_xll.PSFx3BAL(CN,"*","COSTCENTRE",$B$133,"GLCode",$B139,"DAF_Award",Q$2,PF,PT))</f>
        <v>0</v>
      </c>
      <c r="R139" s="39">
        <f>IF(TRUE,0,_xll.PSFx3BAL(CN,"*","COSTCENTRE",$B$133,"GLCode",$B139,"DAF_Award",R$2,PF,PT))</f>
        <v>0</v>
      </c>
      <c r="S139" s="39">
        <f>IF(TRUE,0,_xll.PSFx3BAL(CN,"*","COSTCENTRE",$B$133,"GLCode",$B139,"DAF_Award",S$2,PF,PT))</f>
        <v>0</v>
      </c>
      <c r="T139" s="39">
        <f>IF(TRUE,0,_xll.PSFx3BAL(CN,"*","COSTCENTRE",$B$133,"GLCode",$B139,"DAF_Award",T$2,PF,PT))</f>
        <v>0</v>
      </c>
      <c r="U139" s="39">
        <f>IF(TRUE,0,_xll.PSFx3BAL(CN,"*","COSTCENTRE",$B$133,"GLCode",$B139,"DAF_Award",U$2,PF,PT))</f>
        <v>0</v>
      </c>
      <c r="V139" s="39">
        <f>IF(TRUE,0,_xll.PSFx3BAL(CN,"*","COSTCENTRE",$B$133,"GLCode",$B139,"DAF_Award",V$2,PF,PT))</f>
        <v>0</v>
      </c>
      <c r="W139" s="39">
        <f>IF(TRUE,0,_xll.PSFx3BAL(CN,"*","COSTCENTRE",$B$133,"GLCode",$B139,"DAF_Award",W$2,PF,PT))</f>
        <v>0</v>
      </c>
      <c r="X139" s="39">
        <f>IF(TRUE,0,_xll.PSFx3BAL(CN,"*","COSTCENTRE",$B$133,"GLCode",$B139,"DAF_Award",X$2,PF,PT))</f>
        <v>0</v>
      </c>
      <c r="Y139" s="39">
        <f>IF(TRUE,0,_xll.PSFx3BAL(CN,"*","COSTCENTRE",$B$133,"GLCode",$B139,"DAF_Award",Y$2,PF,PT))</f>
        <v>0</v>
      </c>
      <c r="Z139" s="39">
        <f>IF(TRUE,0,_xll.PSFx3BAL(CN,"*","COSTCENTRE",$B$133,"GLCode",$B139,"DAF_Award",Z$2,PF,PT))</f>
        <v>0</v>
      </c>
      <c r="AA139" s="39">
        <f>IF(TRUE,0,_xll.PSFx3BAL(CN,"*","COSTCENTRE",$B$133,"GLCode",$B139,"DAF_Award",AA$2,PF,PT))</f>
        <v>0</v>
      </c>
      <c r="AB139" s="39">
        <f>IF(TRUE,0,_xll.PSFx3BAL(CN,"*","COSTCENTRE",$B$133,"GLCode",$B139,"DAF_Award",AB$2,PF,PT))</f>
        <v>0</v>
      </c>
      <c r="AC139" s="39">
        <f>IF(TRUE,0,_xll.PSFx3BAL(CN,"*","COSTCENTRE",$B$133,"GLCode",$B139,"DAF_Award",AC$2,PF,PT))</f>
        <v>0</v>
      </c>
      <c r="AD139" s="39">
        <f>IF(TRUE,0,_xll.PSFx3BAL(CN,"*","COSTCENTRE",$B$133,"GLCode",$B139,"DAF_Award",AD$2,PF,PT))</f>
        <v>0</v>
      </c>
      <c r="AE139" s="39">
        <f>IF(TRUE,0,_xll.PSFx3BAL(CN,"*","COSTCENTRE",$B$133,"GLCode",$B139,"DAF_Award",AE$2,PF,PT))</f>
        <v>0</v>
      </c>
      <c r="AF139" s="39">
        <f>IF(TRUE,0,_xll.PSFx3BAL(CN,"*","COSTCENTRE",$B$133,"GLCode",$B139,"DAF_Award",AF$2,PF,PT))</f>
        <v>0</v>
      </c>
      <c r="AG139" s="39">
        <f>IF(TRUE,0,_xll.PSFx3BAL(CN,"*","COSTCENTRE",$B$133,"GLCode",$B139,"DAF_Award",AG$2,PF,PT))</f>
        <v>0</v>
      </c>
      <c r="AH139" s="39">
        <f>IF(TRUE,0,_xll.PSFx3BAL(CN,"*","COSTCENTRE",$B$133,"GLCode",$B139,"DAF_Award",AH$2,PF,PT))</f>
        <v>0</v>
      </c>
      <c r="AI139" s="39">
        <f t="shared" si="97"/>
        <v>0</v>
      </c>
      <c r="AJ139" s="9">
        <f>'Cost Centres'!M65</f>
        <v>0</v>
      </c>
      <c r="AL139" s="39">
        <f t="shared" si="98"/>
        <v>0</v>
      </c>
    </row>
    <row r="140" spans="1:38" x14ac:dyDescent="0.2">
      <c r="A140" s="1">
        <v>7330</v>
      </c>
      <c r="B140" t="s">
        <v>152</v>
      </c>
      <c r="C140" t="s">
        <v>153</v>
      </c>
      <c r="D140" s="39">
        <f>IF(TRUE,0,_xll.PSFx3BAL(CN,"*","COSTCENTRE",$B$133,"GLCode",$B140,"DAF_Award",D$2,PF,PT))</f>
        <v>0</v>
      </c>
      <c r="E140" s="39">
        <f>IF(TRUE,0,_xll.PSFx3BAL(CN,"*","COSTCENTRE",$B$133,"GLCode",$B140,"DAF_Award",E$2,PF,PT))</f>
        <v>0</v>
      </c>
      <c r="F140" s="39">
        <f>IF(TRUE,0,_xll.PSFx3BAL(CN,"*","COSTCENTRE",$B$133,"GLCode",$B140,"DAF_Award",F$2,PF,PT))</f>
        <v>0</v>
      </c>
      <c r="G140" s="39">
        <f>IF(TRUE,0,_xll.PSFx3BAL(CN,"*","COSTCENTRE",$B$133,"GLCode",$B140,"DAF_Award",G$2,PF,PT))</f>
        <v>0</v>
      </c>
      <c r="H140" s="39">
        <f>IF(TRUE,0,_xll.PSFx3BAL(CN,"*","COSTCENTRE",$B$133,"GLCode",$B140,"DAF_Award",H$2,PF,PT))</f>
        <v>0</v>
      </c>
      <c r="I140" s="39">
        <f>IF(TRUE,0,_xll.PSFx3BAL(CN,"*","COSTCENTRE",$B$133,"GLCode",$B140,"DAF_Award",I$2,PF,PT))</f>
        <v>0</v>
      </c>
      <c r="J140" s="39">
        <f>IF(TRUE,0,_xll.PSFx3BAL(CN,"*","COSTCENTRE",$B$133,"GLCode",$B140,"DAF_Award",J$2,PF,PT))</f>
        <v>0</v>
      </c>
      <c r="K140" s="39">
        <f>IF(TRUE,0,_xll.PSFx3BAL(CN,"*","COSTCENTRE",$B$133,"GLCode",$B140,"DAF_Award",K$2,PF,PT))</f>
        <v>0</v>
      </c>
      <c r="L140" s="39">
        <f>IF(TRUE,0,_xll.PSFx3BAL(CN,"*","COSTCENTRE",$B$133,"GLCode",$B140,"DAF_Award",L$2,PF,PT))</f>
        <v>0</v>
      </c>
      <c r="M140" s="39">
        <f>IF(TRUE,0,_xll.PSFx3BAL(CN,"*","COSTCENTRE",$B$133,"GLCode",$B140,"DAF_Award",M$2,PF,PT))</f>
        <v>0</v>
      </c>
      <c r="N140" s="39">
        <f>IF(TRUE,0,_xll.PSFx3BAL(CN,"*","COSTCENTRE",$B$133,"GLCode",$B140,"DAF_Award",N$2,PF,PT))</f>
        <v>0</v>
      </c>
      <c r="O140" s="39">
        <f>IF(TRUE,0,_xll.PSFx3BAL(CN,"*","COSTCENTRE",$B$133,"GLCode",$B140,"DAF_Award",O$2,PF,PT))</f>
        <v>0</v>
      </c>
      <c r="P140" s="39">
        <f>IF(TRUE,0,_xll.PSFx3BAL(CN,"*","COSTCENTRE",$B$133,"GLCode",$B140,"DAF_Award",P$2,PF,PT))</f>
        <v>0</v>
      </c>
      <c r="Q140" s="39">
        <f>IF(TRUE,0,_xll.PSFx3BAL(CN,"*","COSTCENTRE",$B$133,"GLCode",$B140,"DAF_Award",Q$2,PF,PT))</f>
        <v>0</v>
      </c>
      <c r="R140" s="39">
        <f>IF(TRUE,0,_xll.PSFx3BAL(CN,"*","COSTCENTRE",$B$133,"GLCode",$B140,"DAF_Award",R$2,PF,PT))</f>
        <v>0</v>
      </c>
      <c r="S140" s="39">
        <f>IF(TRUE,0,_xll.PSFx3BAL(CN,"*","COSTCENTRE",$B$133,"GLCode",$B140,"DAF_Award",S$2,PF,PT))</f>
        <v>0</v>
      </c>
      <c r="T140" s="39">
        <f>IF(TRUE,0,_xll.PSFx3BAL(CN,"*","COSTCENTRE",$B$133,"GLCode",$B140,"DAF_Award",T$2,PF,PT))</f>
        <v>0</v>
      </c>
      <c r="U140" s="39">
        <f>IF(TRUE,0,_xll.PSFx3BAL(CN,"*","COSTCENTRE",$B$133,"GLCode",$B140,"DAF_Award",U$2,PF,PT))</f>
        <v>0</v>
      </c>
      <c r="V140" s="39">
        <f>IF(TRUE,0,_xll.PSFx3BAL(CN,"*","COSTCENTRE",$B$133,"GLCode",$B140,"DAF_Award",V$2,PF,PT))</f>
        <v>0</v>
      </c>
      <c r="W140" s="39">
        <f>IF(TRUE,0,_xll.PSFx3BAL(CN,"*","COSTCENTRE",$B$133,"GLCode",$B140,"DAF_Award",W$2,PF,PT))</f>
        <v>0</v>
      </c>
      <c r="X140" s="39">
        <f>IF(TRUE,0,_xll.PSFx3BAL(CN,"*","COSTCENTRE",$B$133,"GLCode",$B140,"DAF_Award",X$2,PF,PT))</f>
        <v>0</v>
      </c>
      <c r="Y140" s="39">
        <f>IF(TRUE,0,_xll.PSFx3BAL(CN,"*","COSTCENTRE",$B$133,"GLCode",$B140,"DAF_Award",Y$2,PF,PT))</f>
        <v>0</v>
      </c>
      <c r="Z140" s="39">
        <f>IF(TRUE,0,_xll.PSFx3BAL(CN,"*","COSTCENTRE",$B$133,"GLCode",$B140,"DAF_Award",Z$2,PF,PT))</f>
        <v>0</v>
      </c>
      <c r="AA140" s="39">
        <f>IF(TRUE,0,_xll.PSFx3BAL(CN,"*","COSTCENTRE",$B$133,"GLCode",$B140,"DAF_Award",AA$2,PF,PT))</f>
        <v>0</v>
      </c>
      <c r="AB140" s="39">
        <f>IF(TRUE,0,_xll.PSFx3BAL(CN,"*","COSTCENTRE",$B$133,"GLCode",$B140,"DAF_Award",AB$2,PF,PT))</f>
        <v>0</v>
      </c>
      <c r="AC140" s="39">
        <f>IF(TRUE,0,_xll.PSFx3BAL(CN,"*","COSTCENTRE",$B$133,"GLCode",$B140,"DAF_Award",AC$2,PF,PT))</f>
        <v>0</v>
      </c>
      <c r="AD140" s="39">
        <f>IF(TRUE,0,_xll.PSFx3BAL(CN,"*","COSTCENTRE",$B$133,"GLCode",$B140,"DAF_Award",AD$2,PF,PT))</f>
        <v>0</v>
      </c>
      <c r="AE140" s="39">
        <f>IF(TRUE,0,_xll.PSFx3BAL(CN,"*","COSTCENTRE",$B$133,"GLCode",$B140,"DAF_Award",AE$2,PF,PT))</f>
        <v>0</v>
      </c>
      <c r="AF140" s="39">
        <f>IF(TRUE,0,_xll.PSFx3BAL(CN,"*","COSTCENTRE",$B$133,"GLCode",$B140,"DAF_Award",AF$2,PF,PT))</f>
        <v>0</v>
      </c>
      <c r="AG140" s="39">
        <f>IF(TRUE,0,_xll.PSFx3BAL(CN,"*","COSTCENTRE",$B$133,"GLCode",$B140,"DAF_Award",AG$2,PF,PT))</f>
        <v>0</v>
      </c>
      <c r="AH140" s="39">
        <f>IF(TRUE,0,_xll.PSFx3BAL(CN,"*","COSTCENTRE",$B$133,"GLCode",$B140,"DAF_Award",AH$2,PF,PT))</f>
        <v>0</v>
      </c>
      <c r="AI140" s="39">
        <f t="shared" si="97"/>
        <v>0</v>
      </c>
      <c r="AJ140" s="9">
        <f>'Cost Centres'!M71</f>
        <v>0</v>
      </c>
      <c r="AL140" s="39">
        <f t="shared" si="98"/>
        <v>0</v>
      </c>
    </row>
    <row r="141" spans="1:38" x14ac:dyDescent="0.2">
      <c r="A141" s="1">
        <v>7334</v>
      </c>
      <c r="B141" t="s">
        <v>158</v>
      </c>
      <c r="C141" t="s">
        <v>159</v>
      </c>
      <c r="D141" s="39">
        <f>IF(TRUE,0,_xll.PSFx3BAL(CN,"*","COSTCENTRE",$B$133,"GLCode",$B141,"DAF_Award",D$2,PF,PT))</f>
        <v>0</v>
      </c>
      <c r="E141" s="39">
        <f>IF(TRUE,0,_xll.PSFx3BAL(CN,"*","COSTCENTRE",$B$133,"GLCode",$B141,"DAF_Award",E$2,PF,PT))</f>
        <v>0</v>
      </c>
      <c r="F141" s="39">
        <f>IF(TRUE,0,_xll.PSFx3BAL(CN,"*","COSTCENTRE",$B$133,"GLCode",$B141,"DAF_Award",F$2,PF,PT))</f>
        <v>0</v>
      </c>
      <c r="G141" s="39">
        <f>IF(TRUE,0,_xll.PSFx3BAL(CN,"*","COSTCENTRE",$B$133,"GLCode",$B141,"DAF_Award",G$2,PF,PT))</f>
        <v>0</v>
      </c>
      <c r="H141" s="39">
        <f>IF(TRUE,0,_xll.PSFx3BAL(CN,"*","COSTCENTRE",$B$133,"GLCode",$B141,"DAF_Award",H$2,PF,PT))</f>
        <v>0</v>
      </c>
      <c r="I141" s="39">
        <f>IF(TRUE,0,_xll.PSFx3BAL(CN,"*","COSTCENTRE",$B$133,"GLCode",$B141,"DAF_Award",I$2,PF,PT))</f>
        <v>0</v>
      </c>
      <c r="J141" s="39">
        <f>IF(TRUE,0,_xll.PSFx3BAL(CN,"*","COSTCENTRE",$B$133,"GLCode",$B141,"DAF_Award",J$2,PF,PT))</f>
        <v>0</v>
      </c>
      <c r="K141" s="39">
        <f>IF(TRUE,0,_xll.PSFx3BAL(CN,"*","COSTCENTRE",$B$133,"GLCode",$B141,"DAF_Award",K$2,PF,PT))</f>
        <v>0</v>
      </c>
      <c r="L141" s="39">
        <f>IF(TRUE,0,_xll.PSFx3BAL(CN,"*","COSTCENTRE",$B$133,"GLCode",$B141,"DAF_Award",L$2,PF,PT))</f>
        <v>0</v>
      </c>
      <c r="M141" s="39">
        <f>IF(TRUE,0,_xll.PSFx3BAL(CN,"*","COSTCENTRE",$B$133,"GLCode",$B141,"DAF_Award",M$2,PF,PT))</f>
        <v>0</v>
      </c>
      <c r="N141" s="39">
        <f>IF(TRUE,0,_xll.PSFx3BAL(CN,"*","COSTCENTRE",$B$133,"GLCode",$B141,"DAF_Award",N$2,PF,PT))</f>
        <v>0</v>
      </c>
      <c r="O141" s="39">
        <f>IF(TRUE,0,_xll.PSFx3BAL(CN,"*","COSTCENTRE",$B$133,"GLCode",$B141,"DAF_Award",O$2,PF,PT))</f>
        <v>0</v>
      </c>
      <c r="P141" s="39">
        <f>IF(TRUE,0,_xll.PSFx3BAL(CN,"*","COSTCENTRE",$B$133,"GLCode",$B141,"DAF_Award",P$2,PF,PT))</f>
        <v>0</v>
      </c>
      <c r="Q141" s="39">
        <f>IF(TRUE,0,_xll.PSFx3BAL(CN,"*","COSTCENTRE",$B$133,"GLCode",$B141,"DAF_Award",Q$2,PF,PT))</f>
        <v>0</v>
      </c>
      <c r="R141" s="39">
        <f>IF(TRUE,0,_xll.PSFx3BAL(CN,"*","COSTCENTRE",$B$133,"GLCode",$B141,"DAF_Award",R$2,PF,PT))</f>
        <v>0</v>
      </c>
      <c r="S141" s="39">
        <f>IF(TRUE,0,_xll.PSFx3BAL(CN,"*","COSTCENTRE",$B$133,"GLCode",$B141,"DAF_Award",S$2,PF,PT))</f>
        <v>0</v>
      </c>
      <c r="T141" s="39">
        <f>IF(TRUE,0,_xll.PSFx3BAL(CN,"*","COSTCENTRE",$B$133,"GLCode",$B141,"DAF_Award",T$2,PF,PT))</f>
        <v>0</v>
      </c>
      <c r="U141" s="39">
        <f>IF(TRUE,0,_xll.PSFx3BAL(CN,"*","COSTCENTRE",$B$133,"GLCode",$B141,"DAF_Award",U$2,PF,PT))</f>
        <v>0</v>
      </c>
      <c r="V141" s="39">
        <f>IF(TRUE,0,_xll.PSFx3BAL(CN,"*","COSTCENTRE",$B$133,"GLCode",$B141,"DAF_Award",V$2,PF,PT))</f>
        <v>0</v>
      </c>
      <c r="W141" s="39">
        <f>IF(TRUE,0,_xll.PSFx3BAL(CN,"*","COSTCENTRE",$B$133,"GLCode",$B141,"DAF_Award",W$2,PF,PT))</f>
        <v>0</v>
      </c>
      <c r="X141" s="39">
        <f>IF(TRUE,0,_xll.PSFx3BAL(CN,"*","COSTCENTRE",$B$133,"GLCode",$B141,"DAF_Award",X$2,PF,PT))</f>
        <v>0</v>
      </c>
      <c r="Y141" s="39">
        <f>IF(TRUE,0,_xll.PSFx3BAL(CN,"*","COSTCENTRE",$B$133,"GLCode",$B141,"DAF_Award",Y$2,PF,PT))</f>
        <v>0</v>
      </c>
      <c r="Z141" s="39">
        <f>IF(TRUE,0,_xll.PSFx3BAL(CN,"*","COSTCENTRE",$B$133,"GLCode",$B141,"DAF_Award",Z$2,PF,PT))</f>
        <v>0</v>
      </c>
      <c r="AA141" s="39">
        <f>IF(TRUE,0,_xll.PSFx3BAL(CN,"*","COSTCENTRE",$B$133,"GLCode",$B141,"DAF_Award",AA$2,PF,PT))</f>
        <v>0</v>
      </c>
      <c r="AB141" s="39">
        <f>IF(TRUE,0,_xll.PSFx3BAL(CN,"*","COSTCENTRE",$B$133,"GLCode",$B141,"DAF_Award",AB$2,PF,PT))</f>
        <v>0</v>
      </c>
      <c r="AC141" s="39">
        <f>IF(TRUE,0,_xll.PSFx3BAL(CN,"*","COSTCENTRE",$B$133,"GLCode",$B141,"DAF_Award",AC$2,PF,PT))</f>
        <v>0</v>
      </c>
      <c r="AD141" s="39">
        <f>IF(TRUE,0,_xll.PSFx3BAL(CN,"*","COSTCENTRE",$B$133,"GLCode",$B141,"DAF_Award",AD$2,PF,PT))</f>
        <v>0</v>
      </c>
      <c r="AE141" s="39">
        <f>IF(TRUE,0,_xll.PSFx3BAL(CN,"*","COSTCENTRE",$B$133,"GLCode",$B141,"DAF_Award",AE$2,PF,PT))</f>
        <v>0</v>
      </c>
      <c r="AF141" s="39">
        <f>IF(TRUE,0,_xll.PSFx3BAL(CN,"*","COSTCENTRE",$B$133,"GLCode",$B141,"DAF_Award",AF$2,PF,PT))</f>
        <v>0</v>
      </c>
      <c r="AG141" s="39">
        <f>IF(TRUE,0,_xll.PSFx3BAL(CN,"*","COSTCENTRE",$B$133,"GLCode",$B141,"DAF_Award",AG$2,PF,PT))</f>
        <v>0</v>
      </c>
      <c r="AH141" s="39">
        <f>IF(TRUE,0,_xll.PSFx3BAL(CN,"*","COSTCENTRE",$B$133,"GLCode",$B141,"DAF_Award",AH$2,PF,PT))</f>
        <v>0</v>
      </c>
      <c r="AI141" s="39">
        <f t="shared" si="97"/>
        <v>0</v>
      </c>
      <c r="AJ141" s="9">
        <f>'Cost Centres'!M74</f>
        <v>0</v>
      </c>
      <c r="AL141" s="39">
        <f t="shared" si="98"/>
        <v>0</v>
      </c>
    </row>
    <row r="142" spans="1:38" x14ac:dyDescent="0.2">
      <c r="A142" s="1">
        <v>7520</v>
      </c>
      <c r="B142" t="s">
        <v>184</v>
      </c>
      <c r="C142" t="s">
        <v>185</v>
      </c>
      <c r="D142" s="39">
        <f>IF(TRUE,0,_xll.PSFx3BAL(CN,"*","COSTCENTRE",$B$133,"GLCode",$B142,"DAF_Award",D$2,PF,PT))</f>
        <v>0</v>
      </c>
      <c r="E142" s="39">
        <f>IF(TRUE,0,_xll.PSFx3BAL(CN,"*","COSTCENTRE",$B$133,"GLCode",$B142,"DAF_Award",E$2,PF,PT))</f>
        <v>0</v>
      </c>
      <c r="F142" s="39">
        <f>IF(TRUE,0,_xll.PSFx3BAL(CN,"*","COSTCENTRE",$B$133,"GLCode",$B142,"DAF_Award",F$2,PF,PT))</f>
        <v>0</v>
      </c>
      <c r="G142" s="39">
        <f>IF(TRUE,0,_xll.PSFx3BAL(CN,"*","COSTCENTRE",$B$133,"GLCode",$B142,"DAF_Award",G$2,PF,PT))</f>
        <v>0</v>
      </c>
      <c r="H142" s="39">
        <f>IF(TRUE,0,_xll.PSFx3BAL(CN,"*","COSTCENTRE",$B$133,"GLCode",$B142,"DAF_Award",H$2,PF,PT))</f>
        <v>0</v>
      </c>
      <c r="I142" s="39">
        <f>IF(TRUE,0,_xll.PSFx3BAL(CN,"*","COSTCENTRE",$B$133,"GLCode",$B142,"DAF_Award",I$2,PF,PT))</f>
        <v>0</v>
      </c>
      <c r="J142" s="39">
        <f>IF(TRUE,0,_xll.PSFx3BAL(CN,"*","COSTCENTRE",$B$133,"GLCode",$B142,"DAF_Award",J$2,PF,PT))</f>
        <v>0</v>
      </c>
      <c r="K142" s="39">
        <f>IF(TRUE,0,_xll.PSFx3BAL(CN,"*","COSTCENTRE",$B$133,"GLCode",$B142,"DAF_Award",K$2,PF,PT))</f>
        <v>0</v>
      </c>
      <c r="L142" s="39">
        <f>IF(TRUE,0,_xll.PSFx3BAL(CN,"*","COSTCENTRE",$B$133,"GLCode",$B142,"DAF_Award",L$2,PF,PT))</f>
        <v>0</v>
      </c>
      <c r="M142" s="39">
        <f>IF(TRUE,0,_xll.PSFx3BAL(CN,"*","COSTCENTRE",$B$133,"GLCode",$B142,"DAF_Award",M$2,PF,PT))</f>
        <v>0</v>
      </c>
      <c r="N142" s="39">
        <f>IF(TRUE,0,_xll.PSFx3BAL(CN,"*","COSTCENTRE",$B$133,"GLCode",$B142,"DAF_Award",N$2,PF,PT))</f>
        <v>0</v>
      </c>
      <c r="O142" s="39">
        <f>IF(TRUE,0,_xll.PSFx3BAL(CN,"*","COSTCENTRE",$B$133,"GLCode",$B142,"DAF_Award",O$2,PF,PT))</f>
        <v>0</v>
      </c>
      <c r="P142" s="39">
        <f>IF(TRUE,0,_xll.PSFx3BAL(CN,"*","COSTCENTRE",$B$133,"GLCode",$B142,"DAF_Award",P$2,PF,PT))</f>
        <v>0</v>
      </c>
      <c r="Q142" s="39">
        <f>IF(TRUE,0,_xll.PSFx3BAL(CN,"*","COSTCENTRE",$B$133,"GLCode",$B142,"DAF_Award",Q$2,PF,PT))</f>
        <v>0</v>
      </c>
      <c r="R142" s="39">
        <f>IF(TRUE,0,_xll.PSFx3BAL(CN,"*","COSTCENTRE",$B$133,"GLCode",$B142,"DAF_Award",R$2,PF,PT))</f>
        <v>0</v>
      </c>
      <c r="S142" s="39">
        <f>IF(TRUE,0,_xll.PSFx3BAL(CN,"*","COSTCENTRE",$B$133,"GLCode",$B142,"DAF_Award",S$2,PF,PT))</f>
        <v>0</v>
      </c>
      <c r="T142" s="39">
        <f>IF(TRUE,0,_xll.PSFx3BAL(CN,"*","COSTCENTRE",$B$133,"GLCode",$B142,"DAF_Award",T$2,PF,PT))</f>
        <v>0</v>
      </c>
      <c r="U142" s="39">
        <f>IF(TRUE,0,_xll.PSFx3BAL(CN,"*","COSTCENTRE",$B$133,"GLCode",$B142,"DAF_Award",U$2,PF,PT))</f>
        <v>0</v>
      </c>
      <c r="V142" s="39">
        <f>IF(TRUE,0,_xll.PSFx3BAL(CN,"*","COSTCENTRE",$B$133,"GLCode",$B142,"DAF_Award",V$2,PF,PT))</f>
        <v>0</v>
      </c>
      <c r="W142" s="39">
        <f>IF(TRUE,0,_xll.PSFx3BAL(CN,"*","COSTCENTRE",$B$133,"GLCode",$B142,"DAF_Award",W$2,PF,PT))</f>
        <v>0</v>
      </c>
      <c r="X142" s="39">
        <f>IF(TRUE,0,_xll.PSFx3BAL(CN,"*","COSTCENTRE",$B$133,"GLCode",$B142,"DAF_Award",X$2,PF,PT))</f>
        <v>0</v>
      </c>
      <c r="Y142" s="39">
        <f>IF(TRUE,0,_xll.PSFx3BAL(CN,"*","COSTCENTRE",$B$133,"GLCode",$B142,"DAF_Award",Y$2,PF,PT))</f>
        <v>0</v>
      </c>
      <c r="Z142" s="39">
        <f>IF(TRUE,0,_xll.PSFx3BAL(CN,"*","COSTCENTRE",$B$133,"GLCode",$B142,"DAF_Award",Z$2,PF,PT))</f>
        <v>0</v>
      </c>
      <c r="AA142" s="39">
        <f>IF(TRUE,0,_xll.PSFx3BAL(CN,"*","COSTCENTRE",$B$133,"GLCode",$B142,"DAF_Award",AA$2,PF,PT))</f>
        <v>0</v>
      </c>
      <c r="AB142" s="39">
        <f>IF(TRUE,0,_xll.PSFx3BAL(CN,"*","COSTCENTRE",$B$133,"GLCode",$B142,"DAF_Award",AB$2,PF,PT))</f>
        <v>0</v>
      </c>
      <c r="AC142" s="39">
        <f>IF(TRUE,0,_xll.PSFx3BAL(CN,"*","COSTCENTRE",$B$133,"GLCode",$B142,"DAF_Award",AC$2,PF,PT))</f>
        <v>0</v>
      </c>
      <c r="AD142" s="39">
        <f>IF(TRUE,0,_xll.PSFx3BAL(CN,"*","COSTCENTRE",$B$133,"GLCode",$B142,"DAF_Award",AD$2,PF,PT))</f>
        <v>0</v>
      </c>
      <c r="AE142" s="39">
        <f>IF(TRUE,0,_xll.PSFx3BAL(CN,"*","COSTCENTRE",$B$133,"GLCode",$B142,"DAF_Award",AE$2,PF,PT))</f>
        <v>0</v>
      </c>
      <c r="AF142" s="39">
        <f>IF(TRUE,0,_xll.PSFx3BAL(CN,"*","COSTCENTRE",$B$133,"GLCode",$B142,"DAF_Award",AF$2,PF,PT))</f>
        <v>0</v>
      </c>
      <c r="AG142" s="39">
        <f>IF(TRUE,0,_xll.PSFx3BAL(CN,"*","COSTCENTRE",$B$133,"GLCode",$B142,"DAF_Award",AG$2,PF,PT))</f>
        <v>0</v>
      </c>
      <c r="AH142" s="39">
        <f>IF(TRUE,88.39,_xll.PSFx3BAL(CN,"*","COSTCENTRE",$B$133,"GLCode",$B142,"DAF_Award",AH$2,PF,PT))</f>
        <v>88.39</v>
      </c>
      <c r="AI142" s="39">
        <f t="shared" si="97"/>
        <v>0</v>
      </c>
      <c r="AJ142" s="9">
        <f>'Cost Centres'!M87</f>
        <v>88.39</v>
      </c>
      <c r="AL142" s="39">
        <f t="shared" si="98"/>
        <v>88.39</v>
      </c>
    </row>
    <row r="143" spans="1:38" x14ac:dyDescent="0.2">
      <c r="C143" t="s">
        <v>211</v>
      </c>
      <c r="D143" s="39">
        <f t="shared" ref="D143:AJ143" si="99">D144-SUM(D134:D142)</f>
        <v>0</v>
      </c>
      <c r="E143" s="39">
        <f t="shared" ref="E143:G143" si="100">E144-SUM(E134:E142)</f>
        <v>0</v>
      </c>
      <c r="F143" s="39">
        <f t="shared" si="100"/>
        <v>0</v>
      </c>
      <c r="G143" s="39">
        <f t="shared" si="100"/>
        <v>0</v>
      </c>
      <c r="H143" s="39">
        <f t="shared" si="99"/>
        <v>0</v>
      </c>
      <c r="I143" s="39">
        <f t="shared" si="99"/>
        <v>0</v>
      </c>
      <c r="J143" s="39">
        <f t="shared" si="99"/>
        <v>0</v>
      </c>
      <c r="K143" s="39">
        <f t="shared" si="99"/>
        <v>0</v>
      </c>
      <c r="L143" s="39">
        <f t="shared" ref="L143:M143" si="101">L144-SUM(L134:L142)</f>
        <v>0</v>
      </c>
      <c r="M143" s="39">
        <f t="shared" si="101"/>
        <v>0</v>
      </c>
      <c r="N143" s="39">
        <f t="shared" ref="N143" si="102">N144-SUM(N134:N142)</f>
        <v>0</v>
      </c>
      <c r="O143" s="39">
        <f t="shared" si="99"/>
        <v>0</v>
      </c>
      <c r="P143" s="39">
        <f t="shared" si="99"/>
        <v>0</v>
      </c>
      <c r="Q143" s="39">
        <f t="shared" ref="Q143:R143" si="103">Q144-SUM(Q134:Q142)</f>
        <v>0</v>
      </c>
      <c r="R143" s="39">
        <f t="shared" si="103"/>
        <v>0</v>
      </c>
      <c r="S143" s="39">
        <f t="shared" ref="S143" si="104">S144-SUM(S134:S142)</f>
        <v>0</v>
      </c>
      <c r="T143" s="39">
        <f t="shared" si="99"/>
        <v>0</v>
      </c>
      <c r="U143" s="39">
        <f t="shared" ref="U143:V143" si="105">U144-SUM(U134:U142)</f>
        <v>0</v>
      </c>
      <c r="V143" s="39">
        <f t="shared" si="105"/>
        <v>0</v>
      </c>
      <c r="W143" s="39">
        <f t="shared" si="99"/>
        <v>0</v>
      </c>
      <c r="X143" s="39">
        <f t="shared" si="99"/>
        <v>0</v>
      </c>
      <c r="Y143" s="39">
        <f t="shared" si="99"/>
        <v>0</v>
      </c>
      <c r="Z143" s="39">
        <f t="shared" si="99"/>
        <v>0</v>
      </c>
      <c r="AA143" s="39">
        <f t="shared" si="99"/>
        <v>0</v>
      </c>
      <c r="AB143" s="39">
        <f t="shared" si="99"/>
        <v>0</v>
      </c>
      <c r="AC143" s="39">
        <f t="shared" si="99"/>
        <v>0</v>
      </c>
      <c r="AD143" s="39">
        <f t="shared" si="99"/>
        <v>0</v>
      </c>
      <c r="AE143" s="39">
        <f t="shared" si="99"/>
        <v>0</v>
      </c>
      <c r="AF143" s="39">
        <f t="shared" si="99"/>
        <v>0</v>
      </c>
      <c r="AG143" s="39">
        <f t="shared" si="99"/>
        <v>0</v>
      </c>
      <c r="AH143" s="39">
        <f t="shared" si="99"/>
        <v>0</v>
      </c>
      <c r="AI143" s="39">
        <f t="shared" si="99"/>
        <v>0</v>
      </c>
      <c r="AJ143" s="39">
        <f t="shared" si="99"/>
        <v>0</v>
      </c>
      <c r="AL143" s="39">
        <f>AL144-SUM(AL134:AL138)</f>
        <v>88.39</v>
      </c>
    </row>
    <row r="144" spans="1:38" x14ac:dyDescent="0.2">
      <c r="C144" t="s">
        <v>284</v>
      </c>
      <c r="D144" s="75">
        <f t="shared" ref="D144:AJ144" si="106">D117</f>
        <v>0</v>
      </c>
      <c r="E144" s="75">
        <f t="shared" ref="E144:G144" si="107">E117</f>
        <v>0</v>
      </c>
      <c r="F144" s="75">
        <f t="shared" si="107"/>
        <v>0</v>
      </c>
      <c r="G144" s="75">
        <f t="shared" si="107"/>
        <v>0</v>
      </c>
      <c r="H144" s="75">
        <f t="shared" si="106"/>
        <v>0</v>
      </c>
      <c r="I144" s="75">
        <f t="shared" si="106"/>
        <v>0</v>
      </c>
      <c r="J144" s="75">
        <f t="shared" si="106"/>
        <v>0</v>
      </c>
      <c r="K144" s="75">
        <f t="shared" si="106"/>
        <v>0</v>
      </c>
      <c r="L144" s="75">
        <f t="shared" ref="L144:M144" si="108">L117</f>
        <v>0</v>
      </c>
      <c r="M144" s="75">
        <f t="shared" si="108"/>
        <v>0</v>
      </c>
      <c r="N144" s="75">
        <f t="shared" ref="N144" si="109">N117</f>
        <v>0</v>
      </c>
      <c r="O144" s="75">
        <f t="shared" si="106"/>
        <v>0</v>
      </c>
      <c r="P144" s="75">
        <f t="shared" si="106"/>
        <v>0</v>
      </c>
      <c r="Q144" s="75">
        <f t="shared" ref="Q144:R144" si="110">Q117</f>
        <v>0</v>
      </c>
      <c r="R144" s="75">
        <f t="shared" si="110"/>
        <v>0</v>
      </c>
      <c r="S144" s="75">
        <f t="shared" ref="S144" si="111">S117</f>
        <v>0</v>
      </c>
      <c r="T144" s="75">
        <f t="shared" si="106"/>
        <v>0</v>
      </c>
      <c r="U144" s="75">
        <f t="shared" ref="U144:V144" si="112">U117</f>
        <v>0</v>
      </c>
      <c r="V144" s="75">
        <f t="shared" si="112"/>
        <v>0</v>
      </c>
      <c r="W144" s="75">
        <f t="shared" si="106"/>
        <v>0</v>
      </c>
      <c r="X144" s="75">
        <f t="shared" si="106"/>
        <v>0</v>
      </c>
      <c r="Y144" s="75">
        <f t="shared" si="106"/>
        <v>0</v>
      </c>
      <c r="Z144" s="75">
        <f t="shared" si="106"/>
        <v>0</v>
      </c>
      <c r="AA144" s="75">
        <f t="shared" si="106"/>
        <v>0</v>
      </c>
      <c r="AB144" s="75">
        <f t="shared" si="106"/>
        <v>0</v>
      </c>
      <c r="AC144" s="75">
        <f t="shared" si="106"/>
        <v>0</v>
      </c>
      <c r="AD144" s="75">
        <f t="shared" si="106"/>
        <v>0</v>
      </c>
      <c r="AE144" s="75">
        <f t="shared" si="106"/>
        <v>0</v>
      </c>
      <c r="AF144" s="75">
        <f t="shared" si="106"/>
        <v>0</v>
      </c>
      <c r="AG144" s="75">
        <f t="shared" si="106"/>
        <v>0</v>
      </c>
      <c r="AH144" s="75">
        <f t="shared" si="106"/>
        <v>180.59</v>
      </c>
      <c r="AI144" s="75">
        <f t="shared" si="106"/>
        <v>0</v>
      </c>
      <c r="AJ144" s="75">
        <f t="shared" si="106"/>
        <v>180.59</v>
      </c>
      <c r="AL144" s="75">
        <f>AL117</f>
        <v>180.59</v>
      </c>
    </row>
    <row r="146" spans="1:38" x14ac:dyDescent="0.2">
      <c r="C146" s="30" t="s">
        <v>358</v>
      </c>
    </row>
    <row r="147" spans="1:38" x14ac:dyDescent="0.2">
      <c r="A147" s="1">
        <f t="shared" ref="A147:A157" si="113">VALUE(B147)</f>
        <v>7300</v>
      </c>
      <c r="B147" t="s">
        <v>124</v>
      </c>
      <c r="C147" t="s">
        <v>125</v>
      </c>
      <c r="D147" s="26">
        <f t="shared" ref="D147:AH147" si="114">D59-D134</f>
        <v>1690.34</v>
      </c>
      <c r="E147" s="26">
        <f t="shared" ref="E147:G147" si="115">E59-E134</f>
        <v>0</v>
      </c>
      <c r="F147" s="26">
        <f t="shared" si="115"/>
        <v>0</v>
      </c>
      <c r="G147" s="26">
        <f t="shared" si="115"/>
        <v>0</v>
      </c>
      <c r="H147" s="26">
        <f t="shared" si="114"/>
        <v>0</v>
      </c>
      <c r="I147" s="26">
        <f t="shared" si="114"/>
        <v>0</v>
      </c>
      <c r="J147" s="26">
        <f t="shared" si="114"/>
        <v>0</v>
      </c>
      <c r="K147" s="26">
        <f t="shared" si="114"/>
        <v>-1016.33</v>
      </c>
      <c r="L147" s="26">
        <f t="shared" ref="L147:M147" si="116">L59-L134</f>
        <v>0</v>
      </c>
      <c r="M147" s="26">
        <f t="shared" si="116"/>
        <v>0</v>
      </c>
      <c r="N147" s="26">
        <f t="shared" ref="N147" si="117">N59-N134</f>
        <v>0</v>
      </c>
      <c r="O147" s="26">
        <f t="shared" si="114"/>
        <v>0</v>
      </c>
      <c r="P147" s="26">
        <f t="shared" si="114"/>
        <v>0</v>
      </c>
      <c r="Q147" s="26">
        <f t="shared" ref="Q147:R147" si="118">Q59-Q134</f>
        <v>0</v>
      </c>
      <c r="R147" s="26">
        <f t="shared" si="118"/>
        <v>0</v>
      </c>
      <c r="S147" s="26">
        <f t="shared" ref="S147" si="119">S59-S134</f>
        <v>0</v>
      </c>
      <c r="T147" s="26">
        <f t="shared" si="114"/>
        <v>0</v>
      </c>
      <c r="U147" s="26">
        <f t="shared" ref="U147:V147" si="120">U59-U134</f>
        <v>0</v>
      </c>
      <c r="V147" s="26">
        <f t="shared" si="120"/>
        <v>0</v>
      </c>
      <c r="W147" s="26">
        <f t="shared" si="114"/>
        <v>0</v>
      </c>
      <c r="X147" s="26">
        <f t="shared" si="114"/>
        <v>0</v>
      </c>
      <c r="Y147" s="26">
        <f t="shared" si="114"/>
        <v>0</v>
      </c>
      <c r="Z147" s="26">
        <f t="shared" si="114"/>
        <v>0</v>
      </c>
      <c r="AA147" s="26">
        <f t="shared" si="114"/>
        <v>0</v>
      </c>
      <c r="AB147" s="26">
        <f t="shared" si="114"/>
        <v>0</v>
      </c>
      <c r="AC147" s="26">
        <f t="shared" si="114"/>
        <v>0</v>
      </c>
      <c r="AD147" s="26">
        <f t="shared" si="114"/>
        <v>0</v>
      </c>
      <c r="AE147" s="26">
        <f t="shared" si="114"/>
        <v>0</v>
      </c>
      <c r="AF147" s="26">
        <f t="shared" si="114"/>
        <v>0</v>
      </c>
      <c r="AG147" s="26">
        <f t="shared" si="114"/>
        <v>0</v>
      </c>
      <c r="AH147" s="26">
        <f t="shared" si="114"/>
        <v>1016.33</v>
      </c>
      <c r="AI147" s="39">
        <f t="shared" ref="AI147:AI157" si="121">AJ147-SUM(D147:AH147)</f>
        <v>0</v>
      </c>
      <c r="AJ147" s="26">
        <f>AJ59-AJ134</f>
        <v>1690.34</v>
      </c>
      <c r="AL147" s="39">
        <f t="shared" ref="AL147:AL157" si="122">SUM(W147:AI147)</f>
        <v>1016.33</v>
      </c>
    </row>
    <row r="148" spans="1:38" x14ac:dyDescent="0.2">
      <c r="A148" s="1">
        <f t="shared" si="113"/>
        <v>7301</v>
      </c>
      <c r="B148" t="s">
        <v>126</v>
      </c>
      <c r="C148" t="s">
        <v>127</v>
      </c>
      <c r="D148" s="26">
        <f t="shared" ref="D148:AH148" si="123">D60-D124-D135</f>
        <v>0</v>
      </c>
      <c r="E148" s="26">
        <f t="shared" ref="E148:G148" si="124">E60-E124-E135</f>
        <v>0</v>
      </c>
      <c r="F148" s="26">
        <f t="shared" si="124"/>
        <v>0</v>
      </c>
      <c r="G148" s="26">
        <f t="shared" si="124"/>
        <v>0</v>
      </c>
      <c r="H148" s="26">
        <f t="shared" si="123"/>
        <v>0</v>
      </c>
      <c r="I148" s="26">
        <f t="shared" si="123"/>
        <v>0</v>
      </c>
      <c r="J148" s="26">
        <f t="shared" si="123"/>
        <v>0</v>
      </c>
      <c r="K148" s="26">
        <f t="shared" si="123"/>
        <v>0</v>
      </c>
      <c r="L148" s="26">
        <f t="shared" ref="L148:M148" si="125">L60-L124-L135</f>
        <v>0</v>
      </c>
      <c r="M148" s="26">
        <f t="shared" si="125"/>
        <v>0</v>
      </c>
      <c r="N148" s="26">
        <f t="shared" ref="N148" si="126">N60-N124-N135</f>
        <v>0</v>
      </c>
      <c r="O148" s="26">
        <f t="shared" si="123"/>
        <v>0</v>
      </c>
      <c r="P148" s="26">
        <f t="shared" si="123"/>
        <v>0</v>
      </c>
      <c r="Q148" s="26">
        <f t="shared" ref="Q148:R148" si="127">Q60-Q124-Q135</f>
        <v>0</v>
      </c>
      <c r="R148" s="26">
        <f t="shared" si="127"/>
        <v>0</v>
      </c>
      <c r="S148" s="26">
        <f t="shared" ref="S148" si="128">S60-S124-S135</f>
        <v>0</v>
      </c>
      <c r="T148" s="26">
        <f t="shared" si="123"/>
        <v>0</v>
      </c>
      <c r="U148" s="26">
        <f t="shared" ref="U148:V148" si="129">U60-U124-U135</f>
        <v>0</v>
      </c>
      <c r="V148" s="26">
        <f t="shared" si="129"/>
        <v>0</v>
      </c>
      <c r="W148" s="26">
        <f t="shared" si="123"/>
        <v>0</v>
      </c>
      <c r="X148" s="26">
        <f t="shared" si="123"/>
        <v>0</v>
      </c>
      <c r="Y148" s="26">
        <f t="shared" si="123"/>
        <v>0</v>
      </c>
      <c r="Z148" s="26">
        <f t="shared" si="123"/>
        <v>0</v>
      </c>
      <c r="AA148" s="26">
        <f t="shared" si="123"/>
        <v>0</v>
      </c>
      <c r="AB148" s="26">
        <f t="shared" si="123"/>
        <v>0</v>
      </c>
      <c r="AC148" s="26">
        <f t="shared" si="123"/>
        <v>0</v>
      </c>
      <c r="AD148" s="26">
        <f t="shared" si="123"/>
        <v>0</v>
      </c>
      <c r="AE148" s="26">
        <f t="shared" si="123"/>
        <v>0</v>
      </c>
      <c r="AF148" s="26">
        <f t="shared" si="123"/>
        <v>0</v>
      </c>
      <c r="AG148" s="26">
        <f t="shared" si="123"/>
        <v>0</v>
      </c>
      <c r="AH148" s="26">
        <f t="shared" si="123"/>
        <v>0</v>
      </c>
      <c r="AI148" s="39">
        <f t="shared" si="121"/>
        <v>0</v>
      </c>
      <c r="AJ148" s="26">
        <f>AJ60-AJ124-AJ135</f>
        <v>0</v>
      </c>
      <c r="AL148" s="39">
        <f t="shared" si="122"/>
        <v>0</v>
      </c>
    </row>
    <row r="149" spans="1:38" x14ac:dyDescent="0.2">
      <c r="A149" s="1">
        <f t="shared" si="113"/>
        <v>7302</v>
      </c>
      <c r="B149" t="s">
        <v>128</v>
      </c>
      <c r="C149" t="s">
        <v>129</v>
      </c>
      <c r="D149" s="26">
        <f t="shared" ref="D149:AH149" si="130">D61-D136</f>
        <v>0</v>
      </c>
      <c r="E149" s="26">
        <f t="shared" ref="E149:G149" si="131">E61-E136</f>
        <v>0</v>
      </c>
      <c r="F149" s="26">
        <f t="shared" si="131"/>
        <v>0</v>
      </c>
      <c r="G149" s="26">
        <f t="shared" si="131"/>
        <v>0</v>
      </c>
      <c r="H149" s="26">
        <f t="shared" si="130"/>
        <v>0</v>
      </c>
      <c r="I149" s="26">
        <f t="shared" si="130"/>
        <v>0</v>
      </c>
      <c r="J149" s="26">
        <f t="shared" si="130"/>
        <v>0</v>
      </c>
      <c r="K149" s="26">
        <f t="shared" si="130"/>
        <v>0</v>
      </c>
      <c r="L149" s="26">
        <f t="shared" ref="L149:M149" si="132">L61-L136</f>
        <v>0</v>
      </c>
      <c r="M149" s="26">
        <f t="shared" si="132"/>
        <v>0</v>
      </c>
      <c r="N149" s="26">
        <f t="shared" ref="N149" si="133">N61-N136</f>
        <v>0</v>
      </c>
      <c r="O149" s="26">
        <f t="shared" si="130"/>
        <v>0</v>
      </c>
      <c r="P149" s="26">
        <f t="shared" si="130"/>
        <v>0</v>
      </c>
      <c r="Q149" s="26">
        <f t="shared" ref="Q149:R149" si="134">Q61-Q136</f>
        <v>0</v>
      </c>
      <c r="R149" s="26">
        <f t="shared" si="134"/>
        <v>0</v>
      </c>
      <c r="S149" s="26">
        <f t="shared" ref="S149" si="135">S61-S136</f>
        <v>0</v>
      </c>
      <c r="T149" s="26">
        <f t="shared" si="130"/>
        <v>0</v>
      </c>
      <c r="U149" s="26">
        <f t="shared" ref="U149:V149" si="136">U61-U136</f>
        <v>0</v>
      </c>
      <c r="V149" s="26">
        <f t="shared" si="136"/>
        <v>0</v>
      </c>
      <c r="W149" s="26">
        <f t="shared" si="130"/>
        <v>0</v>
      </c>
      <c r="X149" s="26">
        <f t="shared" si="130"/>
        <v>0</v>
      </c>
      <c r="Y149" s="26">
        <f t="shared" si="130"/>
        <v>0</v>
      </c>
      <c r="Z149" s="26">
        <f t="shared" si="130"/>
        <v>0</v>
      </c>
      <c r="AA149" s="26">
        <f t="shared" si="130"/>
        <v>0</v>
      </c>
      <c r="AB149" s="26">
        <f t="shared" si="130"/>
        <v>0</v>
      </c>
      <c r="AC149" s="26">
        <f t="shared" si="130"/>
        <v>0</v>
      </c>
      <c r="AD149" s="26">
        <f t="shared" si="130"/>
        <v>0</v>
      </c>
      <c r="AE149" s="26">
        <f t="shared" si="130"/>
        <v>0</v>
      </c>
      <c r="AF149" s="26">
        <f t="shared" si="130"/>
        <v>0</v>
      </c>
      <c r="AG149" s="26">
        <f t="shared" si="130"/>
        <v>0</v>
      </c>
      <c r="AH149" s="26">
        <f t="shared" si="130"/>
        <v>91.99</v>
      </c>
      <c r="AI149" s="39">
        <f t="shared" si="121"/>
        <v>0</v>
      </c>
      <c r="AJ149" s="26">
        <f>AJ61-AJ136</f>
        <v>91.99</v>
      </c>
      <c r="AL149" s="39">
        <f t="shared" si="122"/>
        <v>91.99</v>
      </c>
    </row>
    <row r="150" spans="1:38" x14ac:dyDescent="0.2">
      <c r="A150" s="1">
        <f t="shared" si="113"/>
        <v>7306</v>
      </c>
      <c r="B150" t="s">
        <v>136</v>
      </c>
      <c r="C150" t="s">
        <v>137</v>
      </c>
      <c r="D150" s="26">
        <f t="shared" ref="D150:AH150" si="137">D65-D137</f>
        <v>0</v>
      </c>
      <c r="E150" s="26">
        <f t="shared" ref="E150:G150" si="138">E65-E137</f>
        <v>0</v>
      </c>
      <c r="F150" s="26">
        <f t="shared" si="138"/>
        <v>0</v>
      </c>
      <c r="G150" s="26">
        <f t="shared" si="138"/>
        <v>0</v>
      </c>
      <c r="H150" s="26">
        <f t="shared" si="137"/>
        <v>0</v>
      </c>
      <c r="I150" s="26">
        <f t="shared" si="137"/>
        <v>0</v>
      </c>
      <c r="J150" s="26">
        <f t="shared" si="137"/>
        <v>0</v>
      </c>
      <c r="K150" s="26">
        <f t="shared" si="137"/>
        <v>0</v>
      </c>
      <c r="L150" s="26">
        <f t="shared" ref="L150:M150" si="139">L65-L137</f>
        <v>0</v>
      </c>
      <c r="M150" s="26">
        <f t="shared" si="139"/>
        <v>0</v>
      </c>
      <c r="N150" s="26">
        <f t="shared" ref="N150" si="140">N65-N137</f>
        <v>0</v>
      </c>
      <c r="O150" s="26">
        <f t="shared" si="137"/>
        <v>0</v>
      </c>
      <c r="P150" s="26">
        <f t="shared" si="137"/>
        <v>0</v>
      </c>
      <c r="Q150" s="26">
        <f t="shared" ref="Q150:R150" si="141">Q65-Q137</f>
        <v>0</v>
      </c>
      <c r="R150" s="26">
        <f t="shared" si="141"/>
        <v>0</v>
      </c>
      <c r="S150" s="26">
        <f t="shared" ref="S150" si="142">S65-S137</f>
        <v>0</v>
      </c>
      <c r="T150" s="26">
        <f t="shared" si="137"/>
        <v>0</v>
      </c>
      <c r="U150" s="26">
        <f t="shared" ref="U150:V150" si="143">U65-U137</f>
        <v>0</v>
      </c>
      <c r="V150" s="26">
        <f t="shared" si="143"/>
        <v>0</v>
      </c>
      <c r="W150" s="26">
        <f t="shared" si="137"/>
        <v>0</v>
      </c>
      <c r="X150" s="26">
        <f t="shared" si="137"/>
        <v>0</v>
      </c>
      <c r="Y150" s="26">
        <f t="shared" si="137"/>
        <v>0</v>
      </c>
      <c r="Z150" s="26">
        <f t="shared" si="137"/>
        <v>0</v>
      </c>
      <c r="AA150" s="26">
        <f t="shared" si="137"/>
        <v>0</v>
      </c>
      <c r="AB150" s="26">
        <f t="shared" si="137"/>
        <v>0</v>
      </c>
      <c r="AC150" s="26">
        <f t="shared" si="137"/>
        <v>0</v>
      </c>
      <c r="AD150" s="26">
        <f t="shared" si="137"/>
        <v>0</v>
      </c>
      <c r="AE150" s="26">
        <f t="shared" si="137"/>
        <v>0</v>
      </c>
      <c r="AF150" s="26">
        <f t="shared" si="137"/>
        <v>0</v>
      </c>
      <c r="AG150" s="26">
        <f t="shared" si="137"/>
        <v>0</v>
      </c>
      <c r="AH150" s="26">
        <f t="shared" si="137"/>
        <v>160</v>
      </c>
      <c r="AI150" s="39">
        <f t="shared" si="121"/>
        <v>0</v>
      </c>
      <c r="AJ150" s="26">
        <f>AJ65-AJ137</f>
        <v>160</v>
      </c>
      <c r="AL150" s="39">
        <f t="shared" si="122"/>
        <v>160</v>
      </c>
    </row>
    <row r="151" spans="1:38" x14ac:dyDescent="0.2">
      <c r="A151" s="1">
        <f t="shared" si="113"/>
        <v>7310</v>
      </c>
      <c r="B151" t="s">
        <v>138</v>
      </c>
      <c r="C151" t="s">
        <v>139</v>
      </c>
      <c r="D151" s="26">
        <f t="shared" ref="D151:AH151" si="144">D66-D125-D138</f>
        <v>-2759.34</v>
      </c>
      <c r="E151" s="26">
        <f t="shared" ref="E151:G151" si="145">E66-E125-E138</f>
        <v>0</v>
      </c>
      <c r="F151" s="26">
        <f t="shared" si="145"/>
        <v>0</v>
      </c>
      <c r="G151" s="26">
        <f t="shared" si="145"/>
        <v>0</v>
      </c>
      <c r="H151" s="26">
        <f t="shared" si="144"/>
        <v>0</v>
      </c>
      <c r="I151" s="26">
        <f t="shared" si="144"/>
        <v>0</v>
      </c>
      <c r="J151" s="26">
        <f t="shared" si="144"/>
        <v>0</v>
      </c>
      <c r="K151" s="26">
        <f t="shared" si="144"/>
        <v>0</v>
      </c>
      <c r="L151" s="26">
        <f t="shared" ref="L151:M151" si="146">L66-L125-L138</f>
        <v>0</v>
      </c>
      <c r="M151" s="26">
        <f t="shared" si="146"/>
        <v>0</v>
      </c>
      <c r="N151" s="26">
        <f t="shared" ref="N151" si="147">N66-N125-N138</f>
        <v>0</v>
      </c>
      <c r="O151" s="26">
        <f t="shared" si="144"/>
        <v>0</v>
      </c>
      <c r="P151" s="26">
        <f t="shared" si="144"/>
        <v>0</v>
      </c>
      <c r="Q151" s="26">
        <f t="shared" ref="Q151:R151" si="148">Q66-Q125-Q138</f>
        <v>0</v>
      </c>
      <c r="R151" s="26">
        <f t="shared" si="148"/>
        <v>0</v>
      </c>
      <c r="S151" s="26">
        <f t="shared" ref="S151" si="149">S66-S125-S138</f>
        <v>0</v>
      </c>
      <c r="T151" s="26">
        <f t="shared" si="144"/>
        <v>0</v>
      </c>
      <c r="U151" s="26">
        <f t="shared" ref="U151:V151" si="150">U66-U125-U138</f>
        <v>0</v>
      </c>
      <c r="V151" s="26">
        <f t="shared" si="150"/>
        <v>0</v>
      </c>
      <c r="W151" s="26">
        <f t="shared" si="144"/>
        <v>0</v>
      </c>
      <c r="X151" s="26">
        <f t="shared" si="144"/>
        <v>0</v>
      </c>
      <c r="Y151" s="26">
        <f t="shared" si="144"/>
        <v>0</v>
      </c>
      <c r="Z151" s="26">
        <f t="shared" si="144"/>
        <v>0</v>
      </c>
      <c r="AA151" s="26">
        <f t="shared" si="144"/>
        <v>0</v>
      </c>
      <c r="AB151" s="26">
        <f t="shared" si="144"/>
        <v>0</v>
      </c>
      <c r="AC151" s="26">
        <f t="shared" si="144"/>
        <v>0</v>
      </c>
      <c r="AD151" s="26">
        <f t="shared" si="144"/>
        <v>0</v>
      </c>
      <c r="AE151" s="26">
        <f t="shared" si="144"/>
        <v>0</v>
      </c>
      <c r="AF151" s="26">
        <f t="shared" si="144"/>
        <v>0</v>
      </c>
      <c r="AG151" s="26">
        <f t="shared" si="144"/>
        <v>0</v>
      </c>
      <c r="AH151" s="26">
        <f t="shared" si="144"/>
        <v>0</v>
      </c>
      <c r="AI151" s="39">
        <f t="shared" si="121"/>
        <v>0</v>
      </c>
      <c r="AJ151" s="26">
        <f>AJ66-AJ125-AJ138</f>
        <v>-2759.34</v>
      </c>
      <c r="AL151" s="39">
        <f t="shared" si="122"/>
        <v>0</v>
      </c>
    </row>
    <row r="152" spans="1:38" x14ac:dyDescent="0.2">
      <c r="A152" s="1">
        <f t="shared" si="113"/>
        <v>7311</v>
      </c>
      <c r="B152" t="s">
        <v>140</v>
      </c>
      <c r="C152" t="s">
        <v>141</v>
      </c>
      <c r="D152" s="26">
        <f t="shared" ref="D152:AH152" si="151">D67-D126-D139</f>
        <v>0</v>
      </c>
      <c r="E152" s="26">
        <f t="shared" ref="E152:G152" si="152">E67-E126-E139</f>
        <v>0</v>
      </c>
      <c r="F152" s="26">
        <f t="shared" si="152"/>
        <v>0</v>
      </c>
      <c r="G152" s="26">
        <f t="shared" si="152"/>
        <v>0</v>
      </c>
      <c r="H152" s="26">
        <f t="shared" si="151"/>
        <v>0</v>
      </c>
      <c r="I152" s="26">
        <f t="shared" si="151"/>
        <v>0</v>
      </c>
      <c r="J152" s="26">
        <f t="shared" si="151"/>
        <v>0</v>
      </c>
      <c r="K152" s="26">
        <f t="shared" si="151"/>
        <v>0</v>
      </c>
      <c r="L152" s="26">
        <f t="shared" ref="L152:M152" si="153">L67-L126-L139</f>
        <v>0</v>
      </c>
      <c r="M152" s="26">
        <f t="shared" si="153"/>
        <v>0</v>
      </c>
      <c r="N152" s="26">
        <f t="shared" ref="N152" si="154">N67-N126-N139</f>
        <v>0</v>
      </c>
      <c r="O152" s="26">
        <f t="shared" si="151"/>
        <v>0</v>
      </c>
      <c r="P152" s="26">
        <f t="shared" si="151"/>
        <v>0</v>
      </c>
      <c r="Q152" s="26">
        <f t="shared" ref="Q152:R152" si="155">Q67-Q126-Q139</f>
        <v>0</v>
      </c>
      <c r="R152" s="26">
        <f t="shared" si="155"/>
        <v>0</v>
      </c>
      <c r="S152" s="26">
        <f t="shared" ref="S152" si="156">S67-S126-S139</f>
        <v>0</v>
      </c>
      <c r="T152" s="26">
        <f t="shared" si="151"/>
        <v>0</v>
      </c>
      <c r="U152" s="26">
        <f t="shared" ref="U152:V152" si="157">U67-U126-U139</f>
        <v>0</v>
      </c>
      <c r="V152" s="26">
        <f t="shared" si="157"/>
        <v>0</v>
      </c>
      <c r="W152" s="26">
        <f t="shared" si="151"/>
        <v>0</v>
      </c>
      <c r="X152" s="26">
        <f t="shared" si="151"/>
        <v>0</v>
      </c>
      <c r="Y152" s="26">
        <f t="shared" si="151"/>
        <v>0</v>
      </c>
      <c r="Z152" s="26">
        <f t="shared" si="151"/>
        <v>0</v>
      </c>
      <c r="AA152" s="26">
        <f t="shared" si="151"/>
        <v>0</v>
      </c>
      <c r="AB152" s="26">
        <f t="shared" si="151"/>
        <v>0</v>
      </c>
      <c r="AC152" s="26">
        <f t="shared" si="151"/>
        <v>0</v>
      </c>
      <c r="AD152" s="26">
        <f t="shared" si="151"/>
        <v>0</v>
      </c>
      <c r="AE152" s="26">
        <f t="shared" si="151"/>
        <v>0</v>
      </c>
      <c r="AF152" s="26">
        <f t="shared" si="151"/>
        <v>0</v>
      </c>
      <c r="AG152" s="26">
        <f t="shared" si="151"/>
        <v>0</v>
      </c>
      <c r="AH152" s="26">
        <f t="shared" si="151"/>
        <v>0</v>
      </c>
      <c r="AI152" s="39">
        <f t="shared" si="121"/>
        <v>0</v>
      </c>
      <c r="AJ152" s="26">
        <f>AJ67-AJ126-AJ139</f>
        <v>0</v>
      </c>
      <c r="AL152" s="39">
        <f t="shared" si="122"/>
        <v>0</v>
      </c>
    </row>
    <row r="153" spans="1:38" x14ac:dyDescent="0.2">
      <c r="A153" s="1">
        <f t="shared" si="113"/>
        <v>7323</v>
      </c>
      <c r="B153" t="s">
        <v>148</v>
      </c>
      <c r="C153" t="s">
        <v>149</v>
      </c>
      <c r="D153" s="26">
        <f t="shared" ref="D153:AH153" si="158">D71-D127</f>
        <v>222.41</v>
      </c>
      <c r="E153" s="26">
        <f t="shared" ref="E153:G153" si="159">E71-E127</f>
        <v>0</v>
      </c>
      <c r="F153" s="26">
        <f t="shared" si="159"/>
        <v>0</v>
      </c>
      <c r="G153" s="26">
        <f t="shared" si="159"/>
        <v>0</v>
      </c>
      <c r="H153" s="26">
        <f t="shared" si="158"/>
        <v>0</v>
      </c>
      <c r="I153" s="26">
        <f t="shared" si="158"/>
        <v>0</v>
      </c>
      <c r="J153" s="26">
        <f t="shared" si="158"/>
        <v>0</v>
      </c>
      <c r="K153" s="26">
        <f t="shared" si="158"/>
        <v>0</v>
      </c>
      <c r="L153" s="26">
        <f t="shared" ref="L153:M153" si="160">L71-L127</f>
        <v>0</v>
      </c>
      <c r="M153" s="26">
        <f t="shared" si="160"/>
        <v>0</v>
      </c>
      <c r="N153" s="26">
        <f t="shared" ref="N153" si="161">N71-N127</f>
        <v>0</v>
      </c>
      <c r="O153" s="26">
        <f t="shared" si="158"/>
        <v>0</v>
      </c>
      <c r="P153" s="26">
        <f t="shared" si="158"/>
        <v>0</v>
      </c>
      <c r="Q153" s="26">
        <f t="shared" ref="Q153:R153" si="162">Q71-Q127</f>
        <v>0</v>
      </c>
      <c r="R153" s="26">
        <f t="shared" si="162"/>
        <v>0</v>
      </c>
      <c r="S153" s="26">
        <f t="shared" ref="S153" si="163">S71-S127</f>
        <v>0</v>
      </c>
      <c r="T153" s="26">
        <f t="shared" si="158"/>
        <v>0</v>
      </c>
      <c r="U153" s="26">
        <f t="shared" ref="U153:V153" si="164">U71-U127</f>
        <v>0</v>
      </c>
      <c r="V153" s="26">
        <f t="shared" si="164"/>
        <v>0</v>
      </c>
      <c r="W153" s="26">
        <f t="shared" si="158"/>
        <v>0</v>
      </c>
      <c r="X153" s="26">
        <f t="shared" si="158"/>
        <v>0</v>
      </c>
      <c r="Y153" s="26">
        <f t="shared" si="158"/>
        <v>0</v>
      </c>
      <c r="Z153" s="26">
        <f t="shared" si="158"/>
        <v>0</v>
      </c>
      <c r="AA153" s="26">
        <f t="shared" si="158"/>
        <v>0</v>
      </c>
      <c r="AB153" s="26">
        <f t="shared" si="158"/>
        <v>0</v>
      </c>
      <c r="AC153" s="26">
        <f t="shared" si="158"/>
        <v>0</v>
      </c>
      <c r="AD153" s="26">
        <f t="shared" si="158"/>
        <v>0</v>
      </c>
      <c r="AE153" s="26">
        <f t="shared" si="158"/>
        <v>0</v>
      </c>
      <c r="AF153" s="26">
        <f t="shared" si="158"/>
        <v>0</v>
      </c>
      <c r="AG153" s="26">
        <f t="shared" si="158"/>
        <v>0</v>
      </c>
      <c r="AH153" s="26">
        <f t="shared" si="158"/>
        <v>83.32</v>
      </c>
      <c r="AI153" s="39">
        <f t="shared" si="121"/>
        <v>0</v>
      </c>
      <c r="AJ153" s="26">
        <f>AJ71-AJ127</f>
        <v>305.73</v>
      </c>
      <c r="AL153" s="39">
        <f t="shared" si="122"/>
        <v>83.32</v>
      </c>
    </row>
    <row r="154" spans="1:38" x14ac:dyDescent="0.2">
      <c r="A154" s="1">
        <f t="shared" si="113"/>
        <v>7330</v>
      </c>
      <c r="B154" t="s">
        <v>152</v>
      </c>
      <c r="C154" t="s">
        <v>153</v>
      </c>
      <c r="D154" s="26">
        <f t="shared" ref="D154:AH154" si="165">D73-D140</f>
        <v>0</v>
      </c>
      <c r="E154" s="26">
        <f t="shared" ref="E154:G154" si="166">E73-E140</f>
        <v>0</v>
      </c>
      <c r="F154" s="26">
        <f t="shared" si="166"/>
        <v>0</v>
      </c>
      <c r="G154" s="26">
        <f t="shared" si="166"/>
        <v>0</v>
      </c>
      <c r="H154" s="26">
        <f t="shared" si="165"/>
        <v>0</v>
      </c>
      <c r="I154" s="26">
        <f t="shared" si="165"/>
        <v>0</v>
      </c>
      <c r="J154" s="26">
        <f t="shared" si="165"/>
        <v>0</v>
      </c>
      <c r="K154" s="26">
        <f t="shared" si="165"/>
        <v>0</v>
      </c>
      <c r="L154" s="26">
        <f t="shared" ref="L154:M154" si="167">L73-L140</f>
        <v>0</v>
      </c>
      <c r="M154" s="26">
        <f t="shared" si="167"/>
        <v>0</v>
      </c>
      <c r="N154" s="26">
        <f t="shared" ref="N154" si="168">N73-N140</f>
        <v>0</v>
      </c>
      <c r="O154" s="26">
        <f t="shared" si="165"/>
        <v>0</v>
      </c>
      <c r="P154" s="26">
        <f t="shared" si="165"/>
        <v>0</v>
      </c>
      <c r="Q154" s="26">
        <f t="shared" ref="Q154:R154" si="169">Q73-Q140</f>
        <v>0</v>
      </c>
      <c r="R154" s="26">
        <f t="shared" si="169"/>
        <v>0</v>
      </c>
      <c r="S154" s="26">
        <f t="shared" ref="S154" si="170">S73-S140</f>
        <v>0</v>
      </c>
      <c r="T154" s="26">
        <f t="shared" si="165"/>
        <v>0</v>
      </c>
      <c r="U154" s="26">
        <f t="shared" ref="U154:V154" si="171">U73-U140</f>
        <v>0</v>
      </c>
      <c r="V154" s="26">
        <f t="shared" si="171"/>
        <v>0</v>
      </c>
      <c r="W154" s="26">
        <f t="shared" si="165"/>
        <v>0</v>
      </c>
      <c r="X154" s="26">
        <f t="shared" si="165"/>
        <v>0</v>
      </c>
      <c r="Y154" s="26">
        <f t="shared" si="165"/>
        <v>0</v>
      </c>
      <c r="Z154" s="26">
        <f t="shared" si="165"/>
        <v>0</v>
      </c>
      <c r="AA154" s="26">
        <f t="shared" si="165"/>
        <v>0</v>
      </c>
      <c r="AB154" s="26">
        <f t="shared" si="165"/>
        <v>0</v>
      </c>
      <c r="AC154" s="26">
        <f t="shared" si="165"/>
        <v>0</v>
      </c>
      <c r="AD154" s="26">
        <f t="shared" si="165"/>
        <v>0</v>
      </c>
      <c r="AE154" s="26">
        <f t="shared" si="165"/>
        <v>0</v>
      </c>
      <c r="AF154" s="26">
        <f t="shared" si="165"/>
        <v>0</v>
      </c>
      <c r="AG154" s="26">
        <f t="shared" si="165"/>
        <v>0</v>
      </c>
      <c r="AH154" s="26">
        <f t="shared" si="165"/>
        <v>0</v>
      </c>
      <c r="AI154" s="39">
        <f t="shared" si="121"/>
        <v>0</v>
      </c>
      <c r="AJ154" s="26">
        <f>AJ73-AJ140</f>
        <v>0</v>
      </c>
      <c r="AL154" s="39">
        <f t="shared" si="122"/>
        <v>0</v>
      </c>
    </row>
    <row r="155" spans="1:38" x14ac:dyDescent="0.2">
      <c r="A155" s="1">
        <f t="shared" si="113"/>
        <v>7334</v>
      </c>
      <c r="B155" t="s">
        <v>158</v>
      </c>
      <c r="C155" t="s">
        <v>159</v>
      </c>
      <c r="D155" s="26">
        <f t="shared" ref="D155:AH155" si="172">D76-D141</f>
        <v>0</v>
      </c>
      <c r="E155" s="26">
        <f t="shared" ref="E155:G155" si="173">E76-E141</f>
        <v>0</v>
      </c>
      <c r="F155" s="26">
        <f t="shared" si="173"/>
        <v>0</v>
      </c>
      <c r="G155" s="26">
        <f t="shared" si="173"/>
        <v>0</v>
      </c>
      <c r="H155" s="26">
        <f t="shared" si="172"/>
        <v>0</v>
      </c>
      <c r="I155" s="26">
        <f t="shared" si="172"/>
        <v>0</v>
      </c>
      <c r="J155" s="26">
        <f t="shared" si="172"/>
        <v>0</v>
      </c>
      <c r="K155" s="26">
        <f t="shared" si="172"/>
        <v>0</v>
      </c>
      <c r="L155" s="26">
        <f t="shared" ref="L155:M155" si="174">L76-L141</f>
        <v>0</v>
      </c>
      <c r="M155" s="26">
        <f t="shared" si="174"/>
        <v>0</v>
      </c>
      <c r="N155" s="26">
        <f t="shared" ref="N155" si="175">N76-N141</f>
        <v>0</v>
      </c>
      <c r="O155" s="26">
        <f t="shared" si="172"/>
        <v>0</v>
      </c>
      <c r="P155" s="26">
        <f t="shared" si="172"/>
        <v>0</v>
      </c>
      <c r="Q155" s="26">
        <f t="shared" ref="Q155:R155" si="176">Q76-Q141</f>
        <v>0</v>
      </c>
      <c r="R155" s="26">
        <f t="shared" si="176"/>
        <v>0</v>
      </c>
      <c r="S155" s="26">
        <f t="shared" ref="S155" si="177">S76-S141</f>
        <v>0</v>
      </c>
      <c r="T155" s="26">
        <f t="shared" si="172"/>
        <v>0</v>
      </c>
      <c r="U155" s="26">
        <f t="shared" ref="U155:V155" si="178">U76-U141</f>
        <v>0</v>
      </c>
      <c r="V155" s="26">
        <f t="shared" si="178"/>
        <v>0</v>
      </c>
      <c r="W155" s="26">
        <f t="shared" si="172"/>
        <v>0</v>
      </c>
      <c r="X155" s="26">
        <f t="shared" si="172"/>
        <v>0</v>
      </c>
      <c r="Y155" s="26">
        <f t="shared" si="172"/>
        <v>0</v>
      </c>
      <c r="Z155" s="26">
        <f t="shared" si="172"/>
        <v>0</v>
      </c>
      <c r="AA155" s="26">
        <f t="shared" si="172"/>
        <v>0</v>
      </c>
      <c r="AB155" s="26">
        <f t="shared" si="172"/>
        <v>0</v>
      </c>
      <c r="AC155" s="26">
        <f t="shared" si="172"/>
        <v>0</v>
      </c>
      <c r="AD155" s="26">
        <f t="shared" si="172"/>
        <v>0</v>
      </c>
      <c r="AE155" s="26">
        <f t="shared" si="172"/>
        <v>0</v>
      </c>
      <c r="AF155" s="26">
        <f t="shared" si="172"/>
        <v>0</v>
      </c>
      <c r="AG155" s="26">
        <f t="shared" si="172"/>
        <v>0</v>
      </c>
      <c r="AH155" s="26">
        <f t="shared" si="172"/>
        <v>0</v>
      </c>
      <c r="AI155" s="39">
        <f t="shared" si="121"/>
        <v>0</v>
      </c>
      <c r="AJ155" s="26">
        <f>AJ76-AJ141</f>
        <v>0</v>
      </c>
      <c r="AL155" s="39">
        <f t="shared" si="122"/>
        <v>0</v>
      </c>
    </row>
    <row r="156" spans="1:38" x14ac:dyDescent="0.2">
      <c r="A156" s="1">
        <f t="shared" si="113"/>
        <v>7520</v>
      </c>
      <c r="B156" t="s">
        <v>178</v>
      </c>
      <c r="C156" t="s">
        <v>179</v>
      </c>
      <c r="D156" s="26">
        <f t="shared" ref="D156:AH156" si="179">D86-D128</f>
        <v>0</v>
      </c>
      <c r="E156" s="26">
        <f t="shared" ref="E156:G156" si="180">E86-E128</f>
        <v>0</v>
      </c>
      <c r="F156" s="26">
        <f t="shared" si="180"/>
        <v>0</v>
      </c>
      <c r="G156" s="26">
        <f t="shared" si="180"/>
        <v>0</v>
      </c>
      <c r="H156" s="26">
        <f t="shared" si="179"/>
        <v>0</v>
      </c>
      <c r="I156" s="26">
        <f t="shared" si="179"/>
        <v>0</v>
      </c>
      <c r="J156" s="26">
        <f t="shared" si="179"/>
        <v>0</v>
      </c>
      <c r="K156" s="26">
        <f t="shared" si="179"/>
        <v>0</v>
      </c>
      <c r="L156" s="26">
        <f t="shared" ref="L156:M156" si="181">L86-L128</f>
        <v>0</v>
      </c>
      <c r="M156" s="26">
        <f t="shared" si="181"/>
        <v>0</v>
      </c>
      <c r="N156" s="26">
        <f t="shared" ref="N156" si="182">N86-N128</f>
        <v>0</v>
      </c>
      <c r="O156" s="26">
        <f t="shared" si="179"/>
        <v>0</v>
      </c>
      <c r="P156" s="26">
        <f t="shared" si="179"/>
        <v>0</v>
      </c>
      <c r="Q156" s="26">
        <f t="shared" ref="Q156:R156" si="183">Q86-Q128</f>
        <v>0</v>
      </c>
      <c r="R156" s="26">
        <f t="shared" si="183"/>
        <v>0</v>
      </c>
      <c r="S156" s="26">
        <f t="shared" ref="S156" si="184">S86-S128</f>
        <v>0</v>
      </c>
      <c r="T156" s="26">
        <f t="shared" si="179"/>
        <v>0</v>
      </c>
      <c r="U156" s="26">
        <f t="shared" ref="U156:V156" si="185">U86-U128</f>
        <v>0</v>
      </c>
      <c r="V156" s="26">
        <f t="shared" si="185"/>
        <v>0</v>
      </c>
      <c r="W156" s="26">
        <f t="shared" si="179"/>
        <v>0</v>
      </c>
      <c r="X156" s="26">
        <f t="shared" si="179"/>
        <v>0</v>
      </c>
      <c r="Y156" s="26">
        <f t="shared" si="179"/>
        <v>0</v>
      </c>
      <c r="Z156" s="26">
        <f t="shared" si="179"/>
        <v>0</v>
      </c>
      <c r="AA156" s="26">
        <f t="shared" si="179"/>
        <v>0</v>
      </c>
      <c r="AB156" s="26">
        <f t="shared" si="179"/>
        <v>0</v>
      </c>
      <c r="AC156" s="26">
        <f t="shared" si="179"/>
        <v>0</v>
      </c>
      <c r="AD156" s="26">
        <f t="shared" si="179"/>
        <v>0</v>
      </c>
      <c r="AE156" s="26">
        <f t="shared" si="179"/>
        <v>0</v>
      </c>
      <c r="AF156" s="26">
        <f t="shared" si="179"/>
        <v>0</v>
      </c>
      <c r="AG156" s="26">
        <f t="shared" si="179"/>
        <v>0</v>
      </c>
      <c r="AH156" s="26">
        <f t="shared" si="179"/>
        <v>40.200000000000003</v>
      </c>
      <c r="AI156" s="39">
        <f t="shared" si="121"/>
        <v>0</v>
      </c>
      <c r="AJ156" s="26">
        <f>AJ86-AJ128</f>
        <v>40.200000000000003</v>
      </c>
      <c r="AL156" s="39">
        <f t="shared" si="122"/>
        <v>40.200000000000003</v>
      </c>
    </row>
    <row r="157" spans="1:38" x14ac:dyDescent="0.2">
      <c r="A157" s="1">
        <f t="shared" si="113"/>
        <v>7540</v>
      </c>
      <c r="B157" t="s">
        <v>184</v>
      </c>
      <c r="C157" t="s">
        <v>185</v>
      </c>
      <c r="D157" s="27">
        <f t="shared" ref="D157:AH157" si="186">D89-D129-D142</f>
        <v>0</v>
      </c>
      <c r="E157" s="27">
        <f t="shared" ref="E157:G157" si="187">E89-E129-E142</f>
        <v>0</v>
      </c>
      <c r="F157" s="27">
        <f t="shared" si="187"/>
        <v>0</v>
      </c>
      <c r="G157" s="27">
        <f t="shared" si="187"/>
        <v>0</v>
      </c>
      <c r="H157" s="27">
        <f t="shared" si="186"/>
        <v>0</v>
      </c>
      <c r="I157" s="27">
        <f t="shared" si="186"/>
        <v>0</v>
      </c>
      <c r="J157" s="27">
        <f t="shared" si="186"/>
        <v>0</v>
      </c>
      <c r="K157" s="27">
        <f t="shared" si="186"/>
        <v>0</v>
      </c>
      <c r="L157" s="27">
        <f t="shared" ref="L157:M157" si="188">L89-L129-L142</f>
        <v>0</v>
      </c>
      <c r="M157" s="27">
        <f t="shared" si="188"/>
        <v>0</v>
      </c>
      <c r="N157" s="27">
        <f t="shared" ref="N157" si="189">N89-N129-N142</f>
        <v>0</v>
      </c>
      <c r="O157" s="27">
        <f t="shared" si="186"/>
        <v>0</v>
      </c>
      <c r="P157" s="27">
        <f t="shared" si="186"/>
        <v>0</v>
      </c>
      <c r="Q157" s="27">
        <f t="shared" ref="Q157:R157" si="190">Q89-Q129-Q142</f>
        <v>0</v>
      </c>
      <c r="R157" s="27">
        <f t="shared" si="190"/>
        <v>0</v>
      </c>
      <c r="S157" s="27">
        <f t="shared" ref="S157" si="191">S89-S129-S142</f>
        <v>0</v>
      </c>
      <c r="T157" s="27">
        <f t="shared" si="186"/>
        <v>0</v>
      </c>
      <c r="U157" s="27">
        <f t="shared" ref="U157:V157" si="192">U89-U129-U142</f>
        <v>0</v>
      </c>
      <c r="V157" s="27">
        <f t="shared" si="192"/>
        <v>0</v>
      </c>
      <c r="W157" s="27">
        <f t="shared" si="186"/>
        <v>0</v>
      </c>
      <c r="X157" s="27">
        <f t="shared" si="186"/>
        <v>0</v>
      </c>
      <c r="Y157" s="27">
        <f t="shared" si="186"/>
        <v>0</v>
      </c>
      <c r="Z157" s="27">
        <f t="shared" si="186"/>
        <v>0</v>
      </c>
      <c r="AA157" s="27">
        <f t="shared" si="186"/>
        <v>0</v>
      </c>
      <c r="AB157" s="27">
        <f t="shared" si="186"/>
        <v>0</v>
      </c>
      <c r="AC157" s="27">
        <f t="shared" si="186"/>
        <v>0</v>
      </c>
      <c r="AD157" s="27">
        <f t="shared" si="186"/>
        <v>0</v>
      </c>
      <c r="AE157" s="27">
        <f t="shared" si="186"/>
        <v>0</v>
      </c>
      <c r="AF157" s="27">
        <f t="shared" si="186"/>
        <v>0</v>
      </c>
      <c r="AG157" s="27">
        <f t="shared" si="186"/>
        <v>0</v>
      </c>
      <c r="AH157" s="27">
        <f t="shared" si="186"/>
        <v>-6521.09</v>
      </c>
      <c r="AI157" s="76">
        <f t="shared" si="121"/>
        <v>0</v>
      </c>
      <c r="AJ157" s="27">
        <f>AJ89-AJ129-AJ142</f>
        <v>-6521.09</v>
      </c>
      <c r="AL157" s="27">
        <f t="shared" si="122"/>
        <v>-6521.09</v>
      </c>
    </row>
  </sheetData>
  <sortState xmlns:xlrd2="http://schemas.microsoft.com/office/spreadsheetml/2017/richdata2" ref="B174:C184">
    <sortCondition ref="B174:B184"/>
  </sortState>
  <pageMargins left="0.70866141732283472" right="0.70866141732283472" top="0.74803149606299213" bottom="0.74803149606299213" header="0.31496062992125984" footer="0.31496062992125984"/>
  <pageSetup paperSize="9" scale="25" orientation="landscape" r:id="rId1"/>
  <ignoredErrors>
    <ignoredError sqref="AK94 AN94:AQ94" formula="1"/>
    <ignoredError sqref="B23:B92 B16:B21 B5:B13" numberStoredAsText="1"/>
  </ignoredError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D90"/>
  <sheetViews>
    <sheetView workbookViewId="0">
      <pane xSplit="2" ySplit="5" topLeftCell="C6" activePane="bottomRight" state="frozen"/>
      <selection activeCell="B3" sqref="B3"/>
      <selection pane="topRight" activeCell="B3" sqref="B3"/>
      <selection pane="bottomLeft" activeCell="B3" sqref="B3"/>
      <selection pane="bottomRight" activeCell="B3" sqref="B3"/>
    </sheetView>
  </sheetViews>
  <sheetFormatPr baseColWidth="10" defaultColWidth="8.83203125" defaultRowHeight="15" outlineLevelRow="1" outlineLevelCol="1" x14ac:dyDescent="0.2"/>
  <cols>
    <col min="1" max="1" width="9.1640625" customWidth="1"/>
    <col min="2" max="2" width="32" customWidth="1"/>
    <col min="3" max="14" width="12.6640625" customWidth="1"/>
    <col min="15" max="26" width="12.6640625" customWidth="1" outlineLevel="1"/>
    <col min="27" max="28" width="12.6640625" customWidth="1"/>
    <col min="29" max="29" width="5.33203125" customWidth="1"/>
    <col min="30" max="30" width="12.6640625" customWidth="1"/>
  </cols>
  <sheetData>
    <row r="1" spans="1:28" ht="19" x14ac:dyDescent="0.25">
      <c r="A1" s="12" t="s">
        <v>281</v>
      </c>
      <c r="C1" t="s">
        <v>210</v>
      </c>
      <c r="G1" s="13" t="s">
        <v>282</v>
      </c>
      <c r="H1" s="14" t="str">
        <f>PF</f>
        <v>2021.00</v>
      </c>
      <c r="I1" s="13"/>
      <c r="J1" s="13" t="s">
        <v>283</v>
      </c>
      <c r="K1" s="14" t="str">
        <f>PT</f>
        <v>2021.12</v>
      </c>
    </row>
    <row r="2" spans="1:28" x14ac:dyDescent="0.2">
      <c r="A2" s="21" t="s">
        <v>48</v>
      </c>
      <c r="B2" s="21" t="s">
        <v>49</v>
      </c>
    </row>
    <row r="3" spans="1:28" x14ac:dyDescent="0.2">
      <c r="C3" s="33" t="s">
        <v>261</v>
      </c>
      <c r="D3" s="33" t="s">
        <v>484</v>
      </c>
      <c r="E3" s="33" t="s">
        <v>485</v>
      </c>
      <c r="F3" s="33" t="s">
        <v>465</v>
      </c>
      <c r="G3" s="33" t="s">
        <v>262</v>
      </c>
      <c r="H3" s="33" t="s">
        <v>263</v>
      </c>
      <c r="I3" s="33" t="s">
        <v>264</v>
      </c>
      <c r="J3" s="33" t="s">
        <v>466</v>
      </c>
      <c r="K3" s="33" t="s">
        <v>265</v>
      </c>
      <c r="L3" s="33" t="s">
        <v>266</v>
      </c>
      <c r="M3" s="33" t="s">
        <v>695</v>
      </c>
      <c r="N3" s="33" t="s">
        <v>267</v>
      </c>
      <c r="O3" s="33" t="s">
        <v>268</v>
      </c>
      <c r="P3" s="33" t="s">
        <v>269</v>
      </c>
      <c r="Q3" s="33" t="s">
        <v>270</v>
      </c>
      <c r="R3" s="33" t="s">
        <v>271</v>
      </c>
      <c r="S3" s="33" t="s">
        <v>272</v>
      </c>
      <c r="T3" s="33" t="s">
        <v>273</v>
      </c>
      <c r="U3" s="33" t="s">
        <v>274</v>
      </c>
      <c r="V3" s="33" t="s">
        <v>275</v>
      </c>
      <c r="W3" s="33" t="s">
        <v>276</v>
      </c>
      <c r="X3" s="33" t="s">
        <v>277</v>
      </c>
      <c r="Y3" s="33" t="s">
        <v>278</v>
      </c>
      <c r="Z3" s="33" t="s">
        <v>279</v>
      </c>
      <c r="AA3" s="33" t="s">
        <v>351</v>
      </c>
      <c r="AB3" s="33" t="s">
        <v>284</v>
      </c>
    </row>
    <row r="4" spans="1:28" x14ac:dyDescent="0.2">
      <c r="A4" s="28">
        <v>1</v>
      </c>
      <c r="B4" s="28">
        <f>A4+1</f>
        <v>2</v>
      </c>
      <c r="C4" s="28">
        <f t="shared" ref="C4:AB4" si="0">B4+1</f>
        <v>3</v>
      </c>
      <c r="D4" s="28">
        <f t="shared" ref="D4" si="1">C4+1</f>
        <v>4</v>
      </c>
      <c r="E4" s="28">
        <f t="shared" ref="E4" si="2">D4+1</f>
        <v>5</v>
      </c>
      <c r="F4" s="28">
        <f t="shared" ref="F4:G4" si="3">E4+1</f>
        <v>6</v>
      </c>
      <c r="G4" s="28">
        <f t="shared" si="3"/>
        <v>7</v>
      </c>
      <c r="H4" s="28">
        <f t="shared" si="0"/>
        <v>8</v>
      </c>
      <c r="I4" s="28">
        <f t="shared" si="0"/>
        <v>9</v>
      </c>
      <c r="J4" s="28">
        <f t="shared" si="0"/>
        <v>10</v>
      </c>
      <c r="K4" s="28">
        <f t="shared" si="0"/>
        <v>11</v>
      </c>
      <c r="L4" s="28">
        <f t="shared" si="0"/>
        <v>12</v>
      </c>
      <c r="M4" s="28">
        <f t="shared" si="0"/>
        <v>13</v>
      </c>
      <c r="N4" s="28">
        <f t="shared" si="0"/>
        <v>14</v>
      </c>
      <c r="O4" s="28">
        <f t="shared" si="0"/>
        <v>15</v>
      </c>
      <c r="P4" s="28">
        <f t="shared" si="0"/>
        <v>16</v>
      </c>
      <c r="Q4" s="28">
        <f t="shared" si="0"/>
        <v>17</v>
      </c>
      <c r="R4" s="28">
        <f t="shared" si="0"/>
        <v>18</v>
      </c>
      <c r="S4" s="28">
        <f t="shared" si="0"/>
        <v>19</v>
      </c>
      <c r="T4" s="28">
        <f t="shared" si="0"/>
        <v>20</v>
      </c>
      <c r="U4" s="28">
        <f t="shared" si="0"/>
        <v>21</v>
      </c>
      <c r="V4" s="28">
        <f t="shared" si="0"/>
        <v>22</v>
      </c>
      <c r="W4" s="28">
        <f t="shared" si="0"/>
        <v>23</v>
      </c>
      <c r="X4" s="28">
        <f t="shared" si="0"/>
        <v>24</v>
      </c>
      <c r="Y4" s="28">
        <f t="shared" si="0"/>
        <v>25</v>
      </c>
      <c r="Z4" s="28">
        <f t="shared" si="0"/>
        <v>26</v>
      </c>
      <c r="AA4" s="28">
        <f t="shared" si="0"/>
        <v>27</v>
      </c>
      <c r="AB4" s="28">
        <f t="shared" si="0"/>
        <v>28</v>
      </c>
    </row>
    <row r="5" spans="1:28" ht="60" customHeight="1" x14ac:dyDescent="0.2">
      <c r="A5" s="17" t="s">
        <v>296</v>
      </c>
      <c r="B5" s="17" t="s">
        <v>297</v>
      </c>
      <c r="C5" s="17" t="str">
        <f>VLOOKUP(C3,Parameters!$N:$O,2,FALSE)</f>
        <v>ASCEND</v>
      </c>
      <c r="D5" s="17" t="str">
        <f>VLOOKUP(D3,Parameters!$N:$O,2,FALSE)</f>
        <v>ASCEND Innovation Fund - SAPIENs</v>
      </c>
      <c r="E5" s="17" t="str">
        <f>VLOOKUP(E3,Parameters!$N:$O,2,FALSE)</f>
        <v>ASCEND Innovation Fund - Refugees</v>
      </c>
      <c r="F5" s="17" t="str">
        <f>VLOOKUP(F3,Parameters!$N:$O,2,FALSE)</f>
        <v>Ascend COVID-19 Support CIV</v>
      </c>
      <c r="G5" s="17" t="str">
        <f>VLOOKUP(G3,Parameters!$N:$O,2,FALSE)</f>
        <v>CAF Canada MDG Poster Distribution Proj.</v>
      </c>
      <c r="H5" s="17" t="str">
        <f>VLOOKUP(H3,Parameters!$N:$O,2,FALSE)</f>
        <v>CIFF ETH Technical Assistance</v>
      </c>
      <c r="I5" s="17" t="str">
        <f>VLOOKUP(I3,Parameters!$N:$O,2,FALSE)</f>
        <v>End Fund Deworming in Madagascar</v>
      </c>
      <c r="J5" s="17" t="str">
        <f>VLOOKUP(J3,Parameters!$N:$O,2,FALSE)</f>
        <v>End Fund ETH Parameter Validation Survey</v>
      </c>
      <c r="K5" s="17" t="str">
        <f>VLOOKUP(K3,Parameters!$N:$O,2,FALSE)</f>
        <v>Merck funding Katharina Khole Consulting</v>
      </c>
      <c r="L5" s="17" t="str">
        <f>VLOOKUP(L3,Parameters!$N:$O,2,FALSE)</f>
        <v>Pediatric PZQ Consortium GHIT IV Grant</v>
      </c>
      <c r="M5" s="17" t="str">
        <f>VLOOKUP(M3,Parameters!$N:$O,2,FALSE)</f>
        <v>Impact of SCH control prog on T.solium</v>
      </c>
      <c r="N5" s="17" t="str">
        <f>VLOOKUP(N3,Parameters!$N:$O,2,FALSE)</f>
        <v>FGS Preventive Treatment Pilot Study CIV</v>
      </c>
      <c r="O5" s="17" t="str">
        <f>VLOOKUP(O3,Parameters!$N:$O,2,FALSE)</f>
        <v>Unrestricted</v>
      </c>
      <c r="P5" s="17" t="str">
        <f>VLOOKUP(P3,Parameters!$N:$O,2,FALSE)</f>
        <v>UGA VCD Transitional Funding</v>
      </c>
      <c r="Q5" s="17" t="str">
        <f>VLOOKUP(Q3,Parameters!$N:$O,2,FALSE)</f>
        <v>CIV 2019-20 Bocanda &amp; Mankono STH</v>
      </c>
      <c r="R5" s="17" t="str">
        <f>VLOOKUP(R3,Parameters!$N:$O,2,FALSE)</f>
        <v>MRT Programme from 2019</v>
      </c>
      <c r="S5" s="17" t="str">
        <f>VLOOKUP(S3,Parameters!$N:$O,2,FALSE)</f>
        <v>ETH Programme from 2019</v>
      </c>
      <c r="T5" s="17" t="str">
        <f>VLOOKUP(T3,Parameters!$N:$O,2,FALSE)</f>
        <v>BDI Programme from 2020</v>
      </c>
      <c r="U5" s="17" t="str">
        <f>VLOOKUP(U3,Parameters!$N:$O,2,FALSE)</f>
        <v>MWI Programme from 2020</v>
      </c>
      <c r="V5" s="17" t="str">
        <f>VLOOKUP(V3,Parameters!$N:$O,2,FALSE)</f>
        <v>ZNZ Pemba Programme from 2019</v>
      </c>
      <c r="W5" s="17" t="str">
        <f>VLOOKUP(W3,Parameters!$N:$O,2,FALSE)</f>
        <v>ZNZ Unguja Programme from 2019</v>
      </c>
      <c r="X5" s="17" t="str">
        <f>VLOOKUP(X3,Parameters!$N:$O,2,FALSE)</f>
        <v>UGA Programme from 2019</v>
      </c>
      <c r="Y5" s="17" t="str">
        <f>VLOOKUP(Y3,Parameters!$N:$O,2,FALSE)</f>
        <v>MDG Programme from 2020</v>
      </c>
      <c r="Z5" s="17" t="str">
        <f>VLOOKUP(Z3,Parameters!$N:$O,2,FALSE)</f>
        <v>TZA Programme from 2020</v>
      </c>
      <c r="AA5" s="17" t="s">
        <v>285</v>
      </c>
      <c r="AB5" s="17" t="s">
        <v>284</v>
      </c>
    </row>
    <row r="6" spans="1:28" x14ac:dyDescent="0.2">
      <c r="A6" t="s">
        <v>217</v>
      </c>
      <c r="B6" t="str">
        <f>VLOOKUP(A6,Parameters!R:S,2,FALSE)</f>
        <v>Cote d'Ivoire</v>
      </c>
      <c r="C6" s="26">
        <f>IF(TRUE,1136039.66,_xll.PSFx3BAL(CN,"*","DAF_Country",$A6,"DAF_Award",C$3,"NOMINAL",$A$2,PF,PT))</f>
        <v>1136039.6599999999</v>
      </c>
      <c r="D6" s="26">
        <f>IF(TRUE,0,_xll.PSFx3BAL(CN,"*","DAF_Country",$A6,"DAF_Award",D$3,"NOMINAL",$A$2,PF,PT))</f>
        <v>0</v>
      </c>
      <c r="E6" s="26">
        <f>IF(TRUE,0,_xll.PSFx3BAL(CN,"*","DAF_Country",$A6,"DAF_Award",E$3,"NOMINAL",$A$2,PF,PT))</f>
        <v>0</v>
      </c>
      <c r="F6" s="26">
        <f>IF(TRUE,295165.05,_xll.PSFx3BAL(CN,"*","DAF_Country",$A6,"DAF_Award",F$3,"NOMINAL",$A$2,PF,PT))</f>
        <v>295165.05</v>
      </c>
      <c r="G6" s="26">
        <f>IF(TRUE,0,_xll.PSFx3BAL(CN,"*","DAF_Country",$A6,"DAF_Award",G$3,"NOMINAL",$A$2,PF,PT))</f>
        <v>0</v>
      </c>
      <c r="H6" s="26">
        <f>IF(TRUE,0,_xll.PSFx3BAL(CN,"*","DAF_Country",$A6,"DAF_Award",H$3,"NOMINAL",$A$2,PF,PT))</f>
        <v>0</v>
      </c>
      <c r="I6" s="26">
        <f>IF(TRUE,0,_xll.PSFx3BAL(CN,"*","DAF_Country",$A6,"DAF_Award",I$3,"NOMINAL",$A$2,PF,PT))</f>
        <v>0</v>
      </c>
      <c r="J6" s="26">
        <f>IF(TRUE,0,_xll.PSFx3BAL(CN,"*","DAF_Country",$A6,"DAF_Award",J$3,"NOMINAL",$A$2,PF,PT))</f>
        <v>0</v>
      </c>
      <c r="K6" s="26">
        <f>IF(TRUE,0,_xll.PSFx3BAL(CN,"*","DAF_Country",$A6,"DAF_Award",K$3,"NOMINAL",$A$2,PF,PT))</f>
        <v>0</v>
      </c>
      <c r="L6" s="26">
        <f>IF(TRUE,0,_xll.PSFx3BAL(CN,"*","DAF_Country",$A6,"DAF_Award",L$3,"NOMINAL",$A$2,PF,PT))</f>
        <v>0</v>
      </c>
      <c r="M6" s="26">
        <f>IF(TRUE,0,_xll.PSFx3BAL(CN,"*","DAF_Country",$A6,"DAF_Award",M$3,"NOMINAL",$A$2,PF,PT))</f>
        <v>0</v>
      </c>
      <c r="N6" s="26">
        <f>IF(TRUE,69660.14,_xll.PSFx3BAL(CN,"*","DAF_Country",$A6,"DAF_Award",N$3,"NOMINAL",$A$2,PF,PT))</f>
        <v>69660.14</v>
      </c>
      <c r="O6" s="26">
        <f>IF(TRUE,0,_xll.PSFx3BAL(CN,"*","DAF_Country",$A6,"DAF_Award",O$3,"NOMINAL",$A$2,PF,PT))</f>
        <v>0</v>
      </c>
      <c r="P6" s="26">
        <f>IF(TRUE,0,_xll.PSFx3BAL(CN,"*","DAF_Country",$A6,"DAF_Award",P$3,"NOMINAL",$A$2,PF,PT))</f>
        <v>0</v>
      </c>
      <c r="Q6" s="26">
        <f>IF(TRUE,0,_xll.PSFx3BAL(CN,"*","DAF_Country",$A6,"DAF_Award",Q$3,"NOMINAL",$A$2,PF,PT))</f>
        <v>0</v>
      </c>
      <c r="R6" s="26">
        <f>IF(TRUE,0,_xll.PSFx3BAL(CN,"*","DAF_Country",$A6,"DAF_Award",R$3,"NOMINAL",$A$2,PF,PT))</f>
        <v>0</v>
      </c>
      <c r="S6" s="26">
        <f>IF(TRUE,0,_xll.PSFx3BAL(CN,"*","DAF_Country",$A6,"DAF_Award",S$3,"NOMINAL",$A$2,PF,PT))</f>
        <v>0</v>
      </c>
      <c r="T6" s="26">
        <f>IF(TRUE,0,_xll.PSFx3BAL(CN,"*","DAF_Country",$A6,"DAF_Award",T$3,"NOMINAL",$A$2,PF,PT))</f>
        <v>0</v>
      </c>
      <c r="U6" s="26">
        <f>IF(TRUE,0,_xll.PSFx3BAL(CN,"*","DAF_Country",$A6,"DAF_Award",U$3,"NOMINAL",$A$2,PF,PT))</f>
        <v>0</v>
      </c>
      <c r="V6" s="26">
        <f>IF(TRUE,0,_xll.PSFx3BAL(CN,"*","DAF_Country",$A6,"DAF_Award",V$3,"NOMINAL",$A$2,PF,PT))</f>
        <v>0</v>
      </c>
      <c r="W6" s="26">
        <f>IF(TRUE,0,_xll.PSFx3BAL(CN,"*","DAF_Country",$A6,"DAF_Award",W$3,"NOMINAL",$A$2,PF,PT))</f>
        <v>0</v>
      </c>
      <c r="X6" s="26">
        <f>IF(TRUE,0,_xll.PSFx3BAL(CN,"*","DAF_Country",$A6,"DAF_Award",X$3,"NOMINAL",$A$2,PF,PT))</f>
        <v>0</v>
      </c>
      <c r="Y6" s="26">
        <f>IF(TRUE,0,_xll.PSFx3BAL(CN,"*","DAF_Country",$A6,"DAF_Award",Y$3,"NOMINAL",$A$2,PF,PT))</f>
        <v>0</v>
      </c>
      <c r="Z6" s="26">
        <f>IF(TRUE,0,_xll.PSFx3BAL(CN,"*","DAF_Country",$A6,"DAF_Award",Z$3,"NOMINAL",$A$2,PF,PT))</f>
        <v>0</v>
      </c>
      <c r="AA6" s="9">
        <f t="shared" ref="AA6:AA19" si="4">SUM(O6:Z6)</f>
        <v>0</v>
      </c>
      <c r="AB6" s="18">
        <f t="shared" ref="AB6:AB19" si="5">SUM(C6:N6,AA6)</f>
        <v>1500864.8499999999</v>
      </c>
    </row>
    <row r="7" spans="1:28" x14ac:dyDescent="0.2">
      <c r="A7" t="s">
        <v>219</v>
      </c>
      <c r="B7" t="str">
        <f>VLOOKUP(A7,Parameters!R:S,2,FALSE)</f>
        <v>DRC</v>
      </c>
      <c r="C7" s="26">
        <f>IF(TRUE,1638356.86,_xll.PSFx3BAL(CN,"*","DAF_Country",$A7,"DAF_Award",C$3,"NOMINAL",$A$2,PF,PT))</f>
        <v>1638356.86</v>
      </c>
      <c r="D7" s="26">
        <f>IF(TRUE,0,_xll.PSFx3BAL(CN,"*","DAF_Country",$A7,"DAF_Award",D$3,"NOMINAL",$A$2,PF,PT))</f>
        <v>0</v>
      </c>
      <c r="E7" s="26">
        <f>IF(TRUE,0,_xll.PSFx3BAL(CN,"*","DAF_Country",$A7,"DAF_Award",E$3,"NOMINAL",$A$2,PF,PT))</f>
        <v>0</v>
      </c>
      <c r="F7" s="26">
        <f>IF(TRUE,0,_xll.PSFx3BAL(CN,"*","DAF_Country",$A7,"DAF_Award",F$3,"NOMINAL",$A$2,PF,PT))</f>
        <v>0</v>
      </c>
      <c r="G7" s="26">
        <f>IF(TRUE,0,_xll.PSFx3BAL(CN,"*","DAF_Country",$A7,"DAF_Award",G$3,"NOMINAL",$A$2,PF,PT))</f>
        <v>0</v>
      </c>
      <c r="H7" s="26">
        <f>IF(TRUE,0,_xll.PSFx3BAL(CN,"*","DAF_Country",$A7,"DAF_Award",H$3,"NOMINAL",$A$2,PF,PT))</f>
        <v>0</v>
      </c>
      <c r="I7" s="26">
        <f>IF(TRUE,0,_xll.PSFx3BAL(CN,"*","DAF_Country",$A7,"DAF_Award",I$3,"NOMINAL",$A$2,PF,PT))</f>
        <v>0</v>
      </c>
      <c r="J7" s="26">
        <f>IF(TRUE,0,_xll.PSFx3BAL(CN,"*","DAF_Country",$A7,"DAF_Award",J$3,"NOMINAL",$A$2,PF,PT))</f>
        <v>0</v>
      </c>
      <c r="K7" s="26">
        <f>IF(TRUE,0,_xll.PSFx3BAL(CN,"*","DAF_Country",$A7,"DAF_Award",K$3,"NOMINAL",$A$2,PF,PT))</f>
        <v>0</v>
      </c>
      <c r="L7" s="26">
        <f>IF(TRUE,0,_xll.PSFx3BAL(CN,"*","DAF_Country",$A7,"DAF_Award",L$3,"NOMINAL",$A$2,PF,PT))</f>
        <v>0</v>
      </c>
      <c r="M7" s="26">
        <f>IF(TRUE,0,_xll.PSFx3BAL(CN,"*","DAF_Country",$A7,"DAF_Award",M$3,"NOMINAL",$A$2,PF,PT))</f>
        <v>0</v>
      </c>
      <c r="N7" s="26">
        <f>IF(TRUE,0,_xll.PSFx3BAL(CN,"*","DAF_Country",$A7,"DAF_Award",N$3,"NOMINAL",$A$2,PF,PT))</f>
        <v>0</v>
      </c>
      <c r="O7" s="26">
        <f>IF(TRUE,0,_xll.PSFx3BAL(CN,"*","DAF_Country",$A7,"DAF_Award",O$3,"NOMINAL",$A$2,PF,PT))</f>
        <v>0</v>
      </c>
      <c r="P7" s="26">
        <f>IF(TRUE,0,_xll.PSFx3BAL(CN,"*","DAF_Country",$A7,"DAF_Award",P$3,"NOMINAL",$A$2,PF,PT))</f>
        <v>0</v>
      </c>
      <c r="Q7" s="26">
        <f>IF(TRUE,0,_xll.PSFx3BAL(CN,"*","DAF_Country",$A7,"DAF_Award",Q$3,"NOMINAL",$A$2,PF,PT))</f>
        <v>0</v>
      </c>
      <c r="R7" s="26">
        <f>IF(TRUE,0,_xll.PSFx3BAL(CN,"*","DAF_Country",$A7,"DAF_Award",R$3,"NOMINAL",$A$2,PF,PT))</f>
        <v>0</v>
      </c>
      <c r="S7" s="26">
        <f>IF(TRUE,0,_xll.PSFx3BAL(CN,"*","DAF_Country",$A7,"DAF_Award",S$3,"NOMINAL",$A$2,PF,PT))</f>
        <v>0</v>
      </c>
      <c r="T7" s="26">
        <f>IF(TRUE,0,_xll.PSFx3BAL(CN,"*","DAF_Country",$A7,"DAF_Award",T$3,"NOMINAL",$A$2,PF,PT))</f>
        <v>0</v>
      </c>
      <c r="U7" s="26">
        <f>IF(TRUE,0,_xll.PSFx3BAL(CN,"*","DAF_Country",$A7,"DAF_Award",U$3,"NOMINAL",$A$2,PF,PT))</f>
        <v>0</v>
      </c>
      <c r="V7" s="26">
        <f>IF(TRUE,0,_xll.PSFx3BAL(CN,"*","DAF_Country",$A7,"DAF_Award",V$3,"NOMINAL",$A$2,PF,PT))</f>
        <v>0</v>
      </c>
      <c r="W7" s="26">
        <f>IF(TRUE,0,_xll.PSFx3BAL(CN,"*","DAF_Country",$A7,"DAF_Award",W$3,"NOMINAL",$A$2,PF,PT))</f>
        <v>0</v>
      </c>
      <c r="X7" s="26">
        <f>IF(TRUE,0,_xll.PSFx3BAL(CN,"*","DAF_Country",$A7,"DAF_Award",X$3,"NOMINAL",$A$2,PF,PT))</f>
        <v>0</v>
      </c>
      <c r="Y7" s="26">
        <f>IF(TRUE,0,_xll.PSFx3BAL(CN,"*","DAF_Country",$A7,"DAF_Award",Y$3,"NOMINAL",$A$2,PF,PT))</f>
        <v>0</v>
      </c>
      <c r="Z7" s="26">
        <f>IF(TRUE,0,_xll.PSFx3BAL(CN,"*","DAF_Country",$A7,"DAF_Award",Z$3,"NOMINAL",$A$2,PF,PT))</f>
        <v>0</v>
      </c>
      <c r="AA7" s="9">
        <f t="shared" si="4"/>
        <v>0</v>
      </c>
      <c r="AB7" s="18">
        <f t="shared" si="5"/>
        <v>1638356.86</v>
      </c>
    </row>
    <row r="8" spans="1:28" x14ac:dyDescent="0.2">
      <c r="A8" t="s">
        <v>230</v>
      </c>
      <c r="B8" t="str">
        <f>VLOOKUP(A8,Parameters!R:S,2,FALSE)</f>
        <v>Liberia</v>
      </c>
      <c r="C8" s="26">
        <f>IF(TRUE,0,_xll.PSFx3BAL(CN,"*","DAF_Country",$A8,"DAF_Award",C$3,"NOMINAL",$A$2,PF,PT))</f>
        <v>0</v>
      </c>
      <c r="D8" s="26">
        <f>IF(TRUE,0,_xll.PSFx3BAL(CN,"*","DAF_Country",$A8,"DAF_Award",D$3,"NOMINAL",$A$2,PF,PT))</f>
        <v>0</v>
      </c>
      <c r="E8" s="26">
        <f>IF(TRUE,0,_xll.PSFx3BAL(CN,"*","DAF_Country",$A8,"DAF_Award",E$3,"NOMINAL",$A$2,PF,PT))</f>
        <v>0</v>
      </c>
      <c r="F8" s="26">
        <f>IF(TRUE,0,_xll.PSFx3BAL(CN,"*","DAF_Country",$A8,"DAF_Award",F$3,"NOMINAL",$A$2,PF,PT))</f>
        <v>0</v>
      </c>
      <c r="G8" s="26">
        <f>IF(TRUE,0,_xll.PSFx3BAL(CN,"*","DAF_Country",$A8,"DAF_Award",G$3,"NOMINAL",$A$2,PF,PT))</f>
        <v>0</v>
      </c>
      <c r="H8" s="26">
        <f>IF(TRUE,0,_xll.PSFx3BAL(CN,"*","DAF_Country",$A8,"DAF_Award",H$3,"NOMINAL",$A$2,PF,PT))</f>
        <v>0</v>
      </c>
      <c r="I8" s="26">
        <f>IF(TRUE,0,_xll.PSFx3BAL(CN,"*","DAF_Country",$A8,"DAF_Award",I$3,"NOMINAL",$A$2,PF,PT))</f>
        <v>0</v>
      </c>
      <c r="J8" s="26">
        <f>IF(TRUE,0,_xll.PSFx3BAL(CN,"*","DAF_Country",$A8,"DAF_Award",J$3,"NOMINAL",$A$2,PF,PT))</f>
        <v>0</v>
      </c>
      <c r="K8" s="26">
        <f>IF(TRUE,0,_xll.PSFx3BAL(CN,"*","DAF_Country",$A8,"DAF_Award",K$3,"NOMINAL",$A$2,PF,PT))</f>
        <v>0</v>
      </c>
      <c r="L8" s="26">
        <f>IF(TRUE,0,_xll.PSFx3BAL(CN,"*","DAF_Country",$A8,"DAF_Award",L$3,"NOMINAL",$A$2,PF,PT))</f>
        <v>0</v>
      </c>
      <c r="M8" s="26">
        <f>IF(TRUE,0,_xll.PSFx3BAL(CN,"*","DAF_Country",$A8,"DAF_Award",M$3,"NOMINAL",$A$2,PF,PT))</f>
        <v>0</v>
      </c>
      <c r="N8" s="26">
        <f>IF(TRUE,0,_xll.PSFx3BAL(CN,"*","DAF_Country",$A8,"DAF_Award",N$3,"NOMINAL",$A$2,PF,PT))</f>
        <v>0</v>
      </c>
      <c r="O8" s="26">
        <f>IF(TRUE,0,_xll.PSFx3BAL(CN,"*","DAF_Country",$A8,"DAF_Award",O$3,"NOMINAL",$A$2,PF,PT))</f>
        <v>0</v>
      </c>
      <c r="P8" s="26">
        <f>IF(TRUE,0,_xll.PSFx3BAL(CN,"*","DAF_Country",$A8,"DAF_Award",P$3,"NOMINAL",$A$2,PF,PT))</f>
        <v>0</v>
      </c>
      <c r="Q8" s="26">
        <f>IF(TRUE,0,_xll.PSFx3BAL(CN,"*","DAF_Country",$A8,"DAF_Award",Q$3,"NOMINAL",$A$2,PF,PT))</f>
        <v>0</v>
      </c>
      <c r="R8" s="26">
        <f>IF(TRUE,0,_xll.PSFx3BAL(CN,"*","DAF_Country",$A8,"DAF_Award",R$3,"NOMINAL",$A$2,PF,PT))</f>
        <v>0</v>
      </c>
      <c r="S8" s="26">
        <f>IF(TRUE,0,_xll.PSFx3BAL(CN,"*","DAF_Country",$A8,"DAF_Award",S$3,"NOMINAL",$A$2,PF,PT))</f>
        <v>0</v>
      </c>
      <c r="T8" s="26">
        <f>IF(TRUE,0,_xll.PSFx3BAL(CN,"*","DAF_Country",$A8,"DAF_Award",T$3,"NOMINAL",$A$2,PF,PT))</f>
        <v>0</v>
      </c>
      <c r="U8" s="26">
        <f>IF(TRUE,0,_xll.PSFx3BAL(CN,"*","DAF_Country",$A8,"DAF_Award",U$3,"NOMINAL",$A$2,PF,PT))</f>
        <v>0</v>
      </c>
      <c r="V8" s="26">
        <f>IF(TRUE,0,_xll.PSFx3BAL(CN,"*","DAF_Country",$A8,"DAF_Award",V$3,"NOMINAL",$A$2,PF,PT))</f>
        <v>0</v>
      </c>
      <c r="W8" s="26">
        <f>IF(TRUE,0,_xll.PSFx3BAL(CN,"*","DAF_Country",$A8,"DAF_Award",W$3,"NOMINAL",$A$2,PF,PT))</f>
        <v>0</v>
      </c>
      <c r="X8" s="26">
        <f>IF(TRUE,0,_xll.PSFx3BAL(CN,"*","DAF_Country",$A8,"DAF_Award",X$3,"NOMINAL",$A$2,PF,PT))</f>
        <v>0</v>
      </c>
      <c r="Y8" s="26">
        <f>IF(TRUE,0,_xll.PSFx3BAL(CN,"*","DAF_Country",$A8,"DAF_Award",Y$3,"NOMINAL",$A$2,PF,PT))</f>
        <v>0</v>
      </c>
      <c r="Z8" s="26">
        <f>IF(TRUE,0,_xll.PSFx3BAL(CN,"*","DAF_Country",$A8,"DAF_Award",Z$3,"NOMINAL",$A$2,PF,PT))</f>
        <v>0</v>
      </c>
      <c r="AA8" s="9">
        <f t="shared" si="4"/>
        <v>0</v>
      </c>
      <c r="AB8" s="18">
        <f t="shared" si="5"/>
        <v>0</v>
      </c>
    </row>
    <row r="9" spans="1:28" x14ac:dyDescent="0.2">
      <c r="A9" t="s">
        <v>239</v>
      </c>
      <c r="B9" t="str">
        <f>VLOOKUP(A9,Parameters!R:S,2,FALSE)</f>
        <v>Niger</v>
      </c>
      <c r="C9" s="26">
        <f>IF(TRUE,80063.02,_xll.PSFx3BAL(CN,"*","DAF_Country",$A9,"DAF_Award",C$3,"NOMINAL",$A$2,PF,PT))</f>
        <v>80063.02</v>
      </c>
      <c r="D9" s="26">
        <f>IF(TRUE,0,_xll.PSFx3BAL(CN,"*","DAF_Country",$A9,"DAF_Award",D$3,"NOMINAL",$A$2,PF,PT))</f>
        <v>0</v>
      </c>
      <c r="E9" s="26">
        <f>IF(TRUE,7097,_xll.PSFx3BAL(CN,"*","DAF_Country",$A9,"DAF_Award",E$3,"NOMINAL",$A$2,PF,PT))</f>
        <v>7097</v>
      </c>
      <c r="F9" s="26">
        <f>IF(TRUE,0,_xll.PSFx3BAL(CN,"*","DAF_Country",$A9,"DAF_Award",F$3,"NOMINAL",$A$2,PF,PT))</f>
        <v>0</v>
      </c>
      <c r="G9" s="26">
        <f>IF(TRUE,0,_xll.PSFx3BAL(CN,"*","DAF_Country",$A9,"DAF_Award",G$3,"NOMINAL",$A$2,PF,PT))</f>
        <v>0</v>
      </c>
      <c r="H9" s="26">
        <f>IF(TRUE,0,_xll.PSFx3BAL(CN,"*","DAF_Country",$A9,"DAF_Award",H$3,"NOMINAL",$A$2,PF,PT))</f>
        <v>0</v>
      </c>
      <c r="I9" s="26">
        <f>IF(TRUE,0,_xll.PSFx3BAL(CN,"*","DAF_Country",$A9,"DAF_Award",I$3,"NOMINAL",$A$2,PF,PT))</f>
        <v>0</v>
      </c>
      <c r="J9" s="26">
        <f>IF(TRUE,0,_xll.PSFx3BAL(CN,"*","DAF_Country",$A9,"DAF_Award",J$3,"NOMINAL",$A$2,PF,PT))</f>
        <v>0</v>
      </c>
      <c r="K9" s="26">
        <f>IF(TRUE,0,_xll.PSFx3BAL(CN,"*","DAF_Country",$A9,"DAF_Award",K$3,"NOMINAL",$A$2,PF,PT))</f>
        <v>0</v>
      </c>
      <c r="L9" s="26">
        <f>IF(TRUE,0,_xll.PSFx3BAL(CN,"*","DAF_Country",$A9,"DAF_Award",L$3,"NOMINAL",$A$2,PF,PT))</f>
        <v>0</v>
      </c>
      <c r="M9" s="26">
        <f>IF(TRUE,0,_xll.PSFx3BAL(CN,"*","DAF_Country",$A9,"DAF_Award",M$3,"NOMINAL",$A$2,PF,PT))</f>
        <v>0</v>
      </c>
      <c r="N9" s="26">
        <f>IF(TRUE,0,_xll.PSFx3BAL(CN,"*","DAF_Country",$A9,"DAF_Award",N$3,"NOMINAL",$A$2,PF,PT))</f>
        <v>0</v>
      </c>
      <c r="O9" s="26">
        <f>IF(TRUE,0,_xll.PSFx3BAL(CN,"*","DAF_Country",$A9,"DAF_Award",O$3,"NOMINAL",$A$2,PF,PT))</f>
        <v>0</v>
      </c>
      <c r="P9" s="26">
        <f>IF(TRUE,0,_xll.PSFx3BAL(CN,"*","DAF_Country",$A9,"DAF_Award",P$3,"NOMINAL",$A$2,PF,PT))</f>
        <v>0</v>
      </c>
      <c r="Q9" s="26">
        <f>IF(TRUE,0,_xll.PSFx3BAL(CN,"*","DAF_Country",$A9,"DAF_Award",Q$3,"NOMINAL",$A$2,PF,PT))</f>
        <v>0</v>
      </c>
      <c r="R9" s="26">
        <f>IF(TRUE,0,_xll.PSFx3BAL(CN,"*","DAF_Country",$A9,"DAF_Award",R$3,"NOMINAL",$A$2,PF,PT))</f>
        <v>0</v>
      </c>
      <c r="S9" s="26">
        <f>IF(TRUE,0,_xll.PSFx3BAL(CN,"*","DAF_Country",$A9,"DAF_Award",S$3,"NOMINAL",$A$2,PF,PT))</f>
        <v>0</v>
      </c>
      <c r="T9" s="26">
        <f>IF(TRUE,0,_xll.PSFx3BAL(CN,"*","DAF_Country",$A9,"DAF_Award",T$3,"NOMINAL",$A$2,PF,PT))</f>
        <v>0</v>
      </c>
      <c r="U9" s="26">
        <f>IF(TRUE,0,_xll.PSFx3BAL(CN,"*","DAF_Country",$A9,"DAF_Award",U$3,"NOMINAL",$A$2,PF,PT))</f>
        <v>0</v>
      </c>
      <c r="V9" s="26">
        <f>IF(TRUE,0,_xll.PSFx3BAL(CN,"*","DAF_Country",$A9,"DAF_Award",V$3,"NOMINAL",$A$2,PF,PT))</f>
        <v>0</v>
      </c>
      <c r="W9" s="26">
        <f>IF(TRUE,0,_xll.PSFx3BAL(CN,"*","DAF_Country",$A9,"DAF_Award",W$3,"NOMINAL",$A$2,PF,PT))</f>
        <v>0</v>
      </c>
      <c r="X9" s="26">
        <f>IF(TRUE,0,_xll.PSFx3BAL(CN,"*","DAF_Country",$A9,"DAF_Award",X$3,"NOMINAL",$A$2,PF,PT))</f>
        <v>0</v>
      </c>
      <c r="Y9" s="26">
        <f>IF(TRUE,0,_xll.PSFx3BAL(CN,"*","DAF_Country",$A9,"DAF_Award",Y$3,"NOMINAL",$A$2,PF,PT))</f>
        <v>0</v>
      </c>
      <c r="Z9" s="26">
        <f>IF(TRUE,0,_xll.PSFx3BAL(CN,"*","DAF_Country",$A9,"DAF_Award",Z$3,"NOMINAL",$A$2,PF,PT))</f>
        <v>0</v>
      </c>
      <c r="AA9" s="9">
        <f t="shared" si="4"/>
        <v>0</v>
      </c>
      <c r="AB9" s="18">
        <f t="shared" si="5"/>
        <v>87160.02</v>
      </c>
    </row>
    <row r="10" spans="1:28" x14ac:dyDescent="0.2">
      <c r="A10" t="s">
        <v>226</v>
      </c>
      <c r="B10" t="str">
        <f>VLOOKUP(A10,Parameters!R:S,2,FALSE)</f>
        <v>Ethiopia</v>
      </c>
      <c r="C10" s="26">
        <f>IF(TRUE,0,_xll.PSFx3BAL(CN,"*","DAF_Country",$A10,"DAF_Award",C$3,"NOMINAL",$A$2,PF,PT))</f>
        <v>0</v>
      </c>
      <c r="D10" s="26">
        <f>IF(TRUE,0,_xll.PSFx3BAL(CN,"*","DAF_Country",$A10,"DAF_Award",D$3,"NOMINAL",$A$2,PF,PT))</f>
        <v>0</v>
      </c>
      <c r="E10" s="26">
        <f>IF(TRUE,0,_xll.PSFx3BAL(CN,"*","DAF_Country",$A10,"DAF_Award",E$3,"NOMINAL",$A$2,PF,PT))</f>
        <v>0</v>
      </c>
      <c r="F10" s="26">
        <f>IF(TRUE,0,_xll.PSFx3BAL(CN,"*","DAF_Country",$A10,"DAF_Award",F$3,"NOMINAL",$A$2,PF,PT))</f>
        <v>0</v>
      </c>
      <c r="G10" s="26">
        <f>IF(TRUE,0,_xll.PSFx3BAL(CN,"*","DAF_Country",$A10,"DAF_Award",G$3,"NOMINAL",$A$2,PF,PT))</f>
        <v>0</v>
      </c>
      <c r="H10" s="26">
        <f>IF(TRUE,0,_xll.PSFx3BAL(CN,"*","DAF_Country",$A10,"DAF_Award",H$3,"NOMINAL",$A$2,PF,PT))</f>
        <v>0</v>
      </c>
      <c r="I10" s="26">
        <f>IF(TRUE,0,_xll.PSFx3BAL(CN,"*","DAF_Country",$A10,"DAF_Award",I$3,"NOMINAL",$A$2,PF,PT))</f>
        <v>0</v>
      </c>
      <c r="J10" s="26">
        <f>IF(TRUE,73075.31,_xll.PSFx3BAL(CN,"*","DAF_Country",$A10,"DAF_Award",J$3,"NOMINAL",$A$2,PF,PT))</f>
        <v>73075.31</v>
      </c>
      <c r="K10" s="26">
        <f>IF(TRUE,0,_xll.PSFx3BAL(CN,"*","DAF_Country",$A10,"DAF_Award",K$3,"NOMINAL",$A$2,PF,PT))</f>
        <v>0</v>
      </c>
      <c r="L10" s="26">
        <f>IF(TRUE,0,_xll.PSFx3BAL(CN,"*","DAF_Country",$A10,"DAF_Award",L$3,"NOMINAL",$A$2,PF,PT))</f>
        <v>0</v>
      </c>
      <c r="M10" s="26">
        <f>IF(TRUE,0,_xll.PSFx3BAL(CN,"*","DAF_Country",$A10,"DAF_Award",M$3,"NOMINAL",$A$2,PF,PT))</f>
        <v>0</v>
      </c>
      <c r="N10" s="26">
        <f>IF(TRUE,0,_xll.PSFx3BAL(CN,"*","DAF_Country",$A10,"DAF_Award",N$3,"NOMINAL",$A$2,PF,PT))</f>
        <v>0</v>
      </c>
      <c r="O10" s="26">
        <f>IF(TRUE,53538,_xll.PSFx3BAL(CN,"*","DAF_Country",$A10,"DAF_Award",O$3,"NOMINAL",$A$2,PF,PT))</f>
        <v>53538</v>
      </c>
      <c r="P10" s="26">
        <f>IF(TRUE,0,_xll.PSFx3BAL(CN,"*","DAF_Country",$A10,"DAF_Award",P$3,"NOMINAL",$A$2,PF,PT))</f>
        <v>0</v>
      </c>
      <c r="Q10" s="26">
        <f>IF(TRUE,0,_xll.PSFx3BAL(CN,"*","DAF_Country",$A10,"DAF_Award",Q$3,"NOMINAL",$A$2,PF,PT))</f>
        <v>0</v>
      </c>
      <c r="R10" s="26">
        <f>IF(TRUE,0,_xll.PSFx3BAL(CN,"*","DAF_Country",$A10,"DAF_Award",R$3,"NOMINAL",$A$2,PF,PT))</f>
        <v>0</v>
      </c>
      <c r="S10" s="26">
        <f>IF(TRUE,36718,_xll.PSFx3BAL(CN,"*","DAF_Country",$A10,"DAF_Award",S$3,"NOMINAL",$A$2,PF,PT))</f>
        <v>36718</v>
      </c>
      <c r="T10" s="26">
        <f>IF(TRUE,0,_xll.PSFx3BAL(CN,"*","DAF_Country",$A10,"DAF_Award",T$3,"NOMINAL",$A$2,PF,PT))</f>
        <v>0</v>
      </c>
      <c r="U10" s="26">
        <f>IF(TRUE,0,_xll.PSFx3BAL(CN,"*","DAF_Country",$A10,"DAF_Award",U$3,"NOMINAL",$A$2,PF,PT))</f>
        <v>0</v>
      </c>
      <c r="V10" s="26">
        <f>IF(TRUE,0,_xll.PSFx3BAL(CN,"*","DAF_Country",$A10,"DAF_Award",V$3,"NOMINAL",$A$2,PF,PT))</f>
        <v>0</v>
      </c>
      <c r="W10" s="26">
        <f>IF(TRUE,0,_xll.PSFx3BAL(CN,"*","DAF_Country",$A10,"DAF_Award",W$3,"NOMINAL",$A$2,PF,PT))</f>
        <v>0</v>
      </c>
      <c r="X10" s="26">
        <f>IF(TRUE,0,_xll.PSFx3BAL(CN,"*","DAF_Country",$A10,"DAF_Award",X$3,"NOMINAL",$A$2,PF,PT))</f>
        <v>0</v>
      </c>
      <c r="Y10" s="26">
        <f>IF(TRUE,0,_xll.PSFx3BAL(CN,"*","DAF_Country",$A10,"DAF_Award",Y$3,"NOMINAL",$A$2,PF,PT))</f>
        <v>0</v>
      </c>
      <c r="Z10" s="26">
        <f>IF(TRUE,0,_xll.PSFx3BAL(CN,"*","DAF_Country",$A10,"DAF_Award",Z$3,"NOMINAL",$A$2,PF,PT))</f>
        <v>0</v>
      </c>
      <c r="AA10" s="9">
        <f t="shared" si="4"/>
        <v>90256</v>
      </c>
      <c r="AB10" s="18">
        <f t="shared" si="5"/>
        <v>163331.31</v>
      </c>
    </row>
    <row r="11" spans="1:28" x14ac:dyDescent="0.2">
      <c r="A11" t="s">
        <v>237</v>
      </c>
      <c r="B11" t="str">
        <f>VLOOKUP(A11,Parameters!R:S,2,FALSE)</f>
        <v>Malawi</v>
      </c>
      <c r="C11" s="26">
        <f>IF(TRUE,0,_xll.PSFx3BAL(CN,"*","DAF_Country",$A11,"DAF_Award",C$3,"NOMINAL",$A$2,PF,PT))</f>
        <v>0</v>
      </c>
      <c r="D11" s="26">
        <f>IF(TRUE,0,_xll.PSFx3BAL(CN,"*","DAF_Country",$A11,"DAF_Award",D$3,"NOMINAL",$A$2,PF,PT))</f>
        <v>0</v>
      </c>
      <c r="E11" s="26">
        <f>IF(TRUE,0,_xll.PSFx3BAL(CN,"*","DAF_Country",$A11,"DAF_Award",E$3,"NOMINAL",$A$2,PF,PT))</f>
        <v>0</v>
      </c>
      <c r="F11" s="26">
        <f>IF(TRUE,0,_xll.PSFx3BAL(CN,"*","DAF_Country",$A11,"DAF_Award",F$3,"NOMINAL",$A$2,PF,PT))</f>
        <v>0</v>
      </c>
      <c r="G11" s="26">
        <f>IF(TRUE,0,_xll.PSFx3BAL(CN,"*","DAF_Country",$A11,"DAF_Award",G$3,"NOMINAL",$A$2,PF,PT))</f>
        <v>0</v>
      </c>
      <c r="H11" s="26">
        <f>IF(TRUE,0,_xll.PSFx3BAL(CN,"*","DAF_Country",$A11,"DAF_Award",H$3,"NOMINAL",$A$2,PF,PT))</f>
        <v>0</v>
      </c>
      <c r="I11" s="26">
        <f>IF(TRUE,0,_xll.PSFx3BAL(CN,"*","DAF_Country",$A11,"DAF_Award",I$3,"NOMINAL",$A$2,PF,PT))</f>
        <v>0</v>
      </c>
      <c r="J11" s="26">
        <f>IF(TRUE,0,_xll.PSFx3BAL(CN,"*","DAF_Country",$A11,"DAF_Award",J$3,"NOMINAL",$A$2,PF,PT))</f>
        <v>0</v>
      </c>
      <c r="K11" s="26">
        <f>IF(TRUE,0,_xll.PSFx3BAL(CN,"*","DAF_Country",$A11,"DAF_Award",K$3,"NOMINAL",$A$2,PF,PT))</f>
        <v>0</v>
      </c>
      <c r="L11" s="26">
        <f>IF(TRUE,0,_xll.PSFx3BAL(CN,"*","DAF_Country",$A11,"DAF_Award",L$3,"NOMINAL",$A$2,PF,PT))</f>
        <v>0</v>
      </c>
      <c r="M11" s="26">
        <f>IF(TRUE,0,_xll.PSFx3BAL(CN,"*","DAF_Country",$A11,"DAF_Award",M$3,"NOMINAL",$A$2,PF,PT))</f>
        <v>0</v>
      </c>
      <c r="N11" s="26">
        <f>IF(TRUE,0,_xll.PSFx3BAL(CN,"*","DAF_Country",$A11,"DAF_Award",N$3,"NOMINAL",$A$2,PF,PT))</f>
        <v>0</v>
      </c>
      <c r="O11" s="26">
        <f>IF(TRUE,0,_xll.PSFx3BAL(CN,"*","DAF_Country",$A11,"DAF_Award",O$3,"NOMINAL",$A$2,PF,PT))</f>
        <v>0</v>
      </c>
      <c r="P11" s="26">
        <f>IF(TRUE,0,_xll.PSFx3BAL(CN,"*","DAF_Country",$A11,"DAF_Award",P$3,"NOMINAL",$A$2,PF,PT))</f>
        <v>0</v>
      </c>
      <c r="Q11" s="26">
        <f>IF(TRUE,0,_xll.PSFx3BAL(CN,"*","DAF_Country",$A11,"DAF_Award",Q$3,"NOMINAL",$A$2,PF,PT))</f>
        <v>0</v>
      </c>
      <c r="R11" s="26">
        <f>IF(TRUE,0,_xll.PSFx3BAL(CN,"*","DAF_Country",$A11,"DAF_Award",R$3,"NOMINAL",$A$2,PF,PT))</f>
        <v>0</v>
      </c>
      <c r="S11" s="26">
        <f>IF(TRUE,0,_xll.PSFx3BAL(CN,"*","DAF_Country",$A11,"DAF_Award",S$3,"NOMINAL",$A$2,PF,PT))</f>
        <v>0</v>
      </c>
      <c r="T11" s="26">
        <f>IF(TRUE,0,_xll.PSFx3BAL(CN,"*","DAF_Country",$A11,"DAF_Award",T$3,"NOMINAL",$A$2,PF,PT))</f>
        <v>0</v>
      </c>
      <c r="U11" s="26">
        <f>IF(TRUE,1432442.6,_xll.PSFx3BAL(CN,"*","DAF_Country",$A11,"DAF_Award",U$3,"NOMINAL",$A$2,PF,PT))</f>
        <v>1432442.6</v>
      </c>
      <c r="V11" s="26">
        <f>IF(TRUE,0,_xll.PSFx3BAL(CN,"*","DAF_Country",$A11,"DAF_Award",V$3,"NOMINAL",$A$2,PF,PT))</f>
        <v>0</v>
      </c>
      <c r="W11" s="26">
        <f>IF(TRUE,0,_xll.PSFx3BAL(CN,"*","DAF_Country",$A11,"DAF_Award",W$3,"NOMINAL",$A$2,PF,PT))</f>
        <v>0</v>
      </c>
      <c r="X11" s="26">
        <f>IF(TRUE,0,_xll.PSFx3BAL(CN,"*","DAF_Country",$A11,"DAF_Award",X$3,"NOMINAL",$A$2,PF,PT))</f>
        <v>0</v>
      </c>
      <c r="Y11" s="26">
        <f>IF(TRUE,0,_xll.PSFx3BAL(CN,"*","DAF_Country",$A11,"DAF_Award",Y$3,"NOMINAL",$A$2,PF,PT))</f>
        <v>0</v>
      </c>
      <c r="Z11" s="26">
        <f>IF(TRUE,0,_xll.PSFx3BAL(CN,"*","DAF_Country",$A11,"DAF_Award",Z$3,"NOMINAL",$A$2,PF,PT))</f>
        <v>0</v>
      </c>
      <c r="AA11" s="9">
        <f t="shared" si="4"/>
        <v>1432442.6</v>
      </c>
      <c r="AB11" s="18">
        <f t="shared" si="5"/>
        <v>1432442.6</v>
      </c>
    </row>
    <row r="12" spans="1:28" x14ac:dyDescent="0.2">
      <c r="A12" t="s">
        <v>247</v>
      </c>
      <c r="B12" t="str">
        <f>VLOOKUP(A12,Parameters!R:S,2,FALSE)</f>
        <v>Sudan</v>
      </c>
      <c r="C12" s="26">
        <f>IF(TRUE,0,_xll.PSFx3BAL(CN,"*","DAF_Country",$A12,"DAF_Award",C$3,"NOMINAL",$A$2,PF,PT))</f>
        <v>0</v>
      </c>
      <c r="D12" s="26">
        <f>IF(TRUE,0,_xll.PSFx3BAL(CN,"*","DAF_Country",$A12,"DAF_Award",D$3,"NOMINAL",$A$2,PF,PT))</f>
        <v>0</v>
      </c>
      <c r="E12" s="26">
        <f>IF(TRUE,0,_xll.PSFx3BAL(CN,"*","DAF_Country",$A12,"DAF_Award",E$3,"NOMINAL",$A$2,PF,PT))</f>
        <v>0</v>
      </c>
      <c r="F12" s="26">
        <f>IF(TRUE,0,_xll.PSFx3BAL(CN,"*","DAF_Country",$A12,"DAF_Award",F$3,"NOMINAL",$A$2,PF,PT))</f>
        <v>0</v>
      </c>
      <c r="G12" s="26">
        <f>IF(TRUE,0,_xll.PSFx3BAL(CN,"*","DAF_Country",$A12,"DAF_Award",G$3,"NOMINAL",$A$2,PF,PT))</f>
        <v>0</v>
      </c>
      <c r="H12" s="26">
        <f>IF(TRUE,0,_xll.PSFx3BAL(CN,"*","DAF_Country",$A12,"DAF_Award",H$3,"NOMINAL",$A$2,PF,PT))</f>
        <v>0</v>
      </c>
      <c r="I12" s="26">
        <f>IF(TRUE,0,_xll.PSFx3BAL(CN,"*","DAF_Country",$A12,"DAF_Award",I$3,"NOMINAL",$A$2,PF,PT))</f>
        <v>0</v>
      </c>
      <c r="J12" s="26">
        <f>IF(TRUE,0,_xll.PSFx3BAL(CN,"*","DAF_Country",$A12,"DAF_Award",J$3,"NOMINAL",$A$2,PF,PT))</f>
        <v>0</v>
      </c>
      <c r="K12" s="26">
        <f>IF(TRUE,0,_xll.PSFx3BAL(CN,"*","DAF_Country",$A12,"DAF_Award",K$3,"NOMINAL",$A$2,PF,PT))</f>
        <v>0</v>
      </c>
      <c r="L12" s="26">
        <f>IF(TRUE,0,_xll.PSFx3BAL(CN,"*","DAF_Country",$A12,"DAF_Award",L$3,"NOMINAL",$A$2,PF,PT))</f>
        <v>0</v>
      </c>
      <c r="M12" s="26">
        <f>IF(TRUE,0,_xll.PSFx3BAL(CN,"*","DAF_Country",$A12,"DAF_Award",M$3,"NOMINAL",$A$2,PF,PT))</f>
        <v>0</v>
      </c>
      <c r="N12" s="26">
        <f>IF(TRUE,0,_xll.PSFx3BAL(CN,"*","DAF_Country",$A12,"DAF_Award",N$3,"NOMINAL",$A$2,PF,PT))</f>
        <v>0</v>
      </c>
      <c r="O12" s="26">
        <f>IF(TRUE,0,_xll.PSFx3BAL(CN,"*","DAF_Country",$A12,"DAF_Award",O$3,"NOMINAL",$A$2,PF,PT))</f>
        <v>0</v>
      </c>
      <c r="P12" s="26">
        <f>IF(TRUE,0,_xll.PSFx3BAL(CN,"*","DAF_Country",$A12,"DAF_Award",P$3,"NOMINAL",$A$2,PF,PT))</f>
        <v>0</v>
      </c>
      <c r="Q12" s="26">
        <f>IF(TRUE,0,_xll.PSFx3BAL(CN,"*","DAF_Country",$A12,"DAF_Award",Q$3,"NOMINAL",$A$2,PF,PT))</f>
        <v>0</v>
      </c>
      <c r="R12" s="26">
        <f>IF(TRUE,0,_xll.PSFx3BAL(CN,"*","DAF_Country",$A12,"DAF_Award",R$3,"NOMINAL",$A$2,PF,PT))</f>
        <v>0</v>
      </c>
      <c r="S12" s="26">
        <f>IF(TRUE,0,_xll.PSFx3BAL(CN,"*","DAF_Country",$A12,"DAF_Award",S$3,"NOMINAL",$A$2,PF,PT))</f>
        <v>0</v>
      </c>
      <c r="T12" s="26">
        <f>IF(TRUE,0,_xll.PSFx3BAL(CN,"*","DAF_Country",$A12,"DAF_Award",T$3,"NOMINAL",$A$2,PF,PT))</f>
        <v>0</v>
      </c>
      <c r="U12" s="26">
        <f>IF(TRUE,0,_xll.PSFx3BAL(CN,"*","DAF_Country",$A12,"DAF_Award",U$3,"NOMINAL",$A$2,PF,PT))</f>
        <v>0</v>
      </c>
      <c r="V12" s="26">
        <f>IF(TRUE,0,_xll.PSFx3BAL(CN,"*","DAF_Country",$A12,"DAF_Award",V$3,"NOMINAL",$A$2,PF,PT))</f>
        <v>0</v>
      </c>
      <c r="W12" s="26">
        <f>IF(TRUE,0,_xll.PSFx3BAL(CN,"*","DAF_Country",$A12,"DAF_Award",W$3,"NOMINAL",$A$2,PF,PT))</f>
        <v>0</v>
      </c>
      <c r="X12" s="26">
        <f>IF(TRUE,0,_xll.PSFx3BAL(CN,"*","DAF_Country",$A12,"DAF_Award",X$3,"NOMINAL",$A$2,PF,PT))</f>
        <v>0</v>
      </c>
      <c r="Y12" s="26">
        <f>IF(TRUE,0,_xll.PSFx3BAL(CN,"*","DAF_Country",$A12,"DAF_Award",Y$3,"NOMINAL",$A$2,PF,PT))</f>
        <v>0</v>
      </c>
      <c r="Z12" s="26">
        <f>IF(TRUE,0,_xll.PSFx3BAL(CN,"*","DAF_Country",$A12,"DAF_Award",Z$3,"NOMINAL",$A$2,PF,PT))</f>
        <v>0</v>
      </c>
      <c r="AA12" s="9">
        <f t="shared" si="4"/>
        <v>0</v>
      </c>
      <c r="AB12" s="18">
        <f t="shared" si="5"/>
        <v>0</v>
      </c>
    </row>
    <row r="13" spans="1:28" x14ac:dyDescent="0.2">
      <c r="A13" t="s">
        <v>249</v>
      </c>
      <c r="B13" t="str">
        <f>VLOOKUP(A13,Parameters!R:S,2,FALSE)</f>
        <v>Tanzania</v>
      </c>
      <c r="C13" s="26">
        <f>IF(TRUE,0,_xll.PSFx3BAL(CN,"*","DAF_Country",$A13,"DAF_Award",C$3,"NOMINAL",$A$2,PF,PT))</f>
        <v>0</v>
      </c>
      <c r="D13" s="26">
        <f>IF(TRUE,0,_xll.PSFx3BAL(CN,"*","DAF_Country",$A13,"DAF_Award",D$3,"NOMINAL",$A$2,PF,PT))</f>
        <v>0</v>
      </c>
      <c r="E13" s="26">
        <f>IF(TRUE,0,_xll.PSFx3BAL(CN,"*","DAF_Country",$A13,"DAF_Award",E$3,"NOMINAL",$A$2,PF,PT))</f>
        <v>0</v>
      </c>
      <c r="F13" s="26">
        <f>IF(TRUE,0,_xll.PSFx3BAL(CN,"*","DAF_Country",$A13,"DAF_Award",F$3,"NOMINAL",$A$2,PF,PT))</f>
        <v>0</v>
      </c>
      <c r="G13" s="26">
        <f>IF(TRUE,0,_xll.PSFx3BAL(CN,"*","DAF_Country",$A13,"DAF_Award",G$3,"NOMINAL",$A$2,PF,PT))</f>
        <v>0</v>
      </c>
      <c r="H13" s="26">
        <f>IF(TRUE,0,_xll.PSFx3BAL(CN,"*","DAF_Country",$A13,"DAF_Award",H$3,"NOMINAL",$A$2,PF,PT))</f>
        <v>0</v>
      </c>
      <c r="I13" s="26">
        <f>IF(TRUE,0,_xll.PSFx3BAL(CN,"*","DAF_Country",$A13,"DAF_Award",I$3,"NOMINAL",$A$2,PF,PT))</f>
        <v>0</v>
      </c>
      <c r="J13" s="26">
        <f>IF(TRUE,0,_xll.PSFx3BAL(CN,"*","DAF_Country",$A13,"DAF_Award",J$3,"NOMINAL",$A$2,PF,PT))</f>
        <v>0</v>
      </c>
      <c r="K13" s="26">
        <f>IF(TRUE,0,_xll.PSFx3BAL(CN,"*","DAF_Country",$A13,"DAF_Award",K$3,"NOMINAL",$A$2,PF,PT))</f>
        <v>0</v>
      </c>
      <c r="L13" s="26">
        <f>IF(TRUE,0,_xll.PSFx3BAL(CN,"*","DAF_Country",$A13,"DAF_Award",L$3,"NOMINAL",$A$2,PF,PT))</f>
        <v>0</v>
      </c>
      <c r="M13" s="26">
        <f>IF(TRUE,0,_xll.PSFx3BAL(CN,"*","DAF_Country",$A13,"DAF_Award",M$3,"NOMINAL",$A$2,PF,PT))</f>
        <v>0</v>
      </c>
      <c r="N13" s="26">
        <f>IF(TRUE,0,_xll.PSFx3BAL(CN,"*","DAF_Country",$A13,"DAF_Award",N$3,"NOMINAL",$A$2,PF,PT))</f>
        <v>0</v>
      </c>
      <c r="O13" s="26">
        <f>IF(TRUE,5612.16,_xll.PSFx3BAL(CN,"*","DAF_Country",$A13,"DAF_Award",O$3,"NOMINAL",$A$2,PF,PT))</f>
        <v>5612.16</v>
      </c>
      <c r="P13" s="26">
        <f>IF(TRUE,0,_xll.PSFx3BAL(CN,"*","DAF_Country",$A13,"DAF_Award",P$3,"NOMINAL",$A$2,PF,PT))</f>
        <v>0</v>
      </c>
      <c r="Q13" s="26">
        <f>IF(TRUE,0,_xll.PSFx3BAL(CN,"*","DAF_Country",$A13,"DAF_Award",Q$3,"NOMINAL",$A$2,PF,PT))</f>
        <v>0</v>
      </c>
      <c r="R13" s="26">
        <f>IF(TRUE,0,_xll.PSFx3BAL(CN,"*","DAF_Country",$A13,"DAF_Award",R$3,"NOMINAL",$A$2,PF,PT))</f>
        <v>0</v>
      </c>
      <c r="S13" s="26">
        <f>IF(TRUE,0,_xll.PSFx3BAL(CN,"*","DAF_Country",$A13,"DAF_Award",S$3,"NOMINAL",$A$2,PF,PT))</f>
        <v>0</v>
      </c>
      <c r="T13" s="26">
        <f>IF(TRUE,0,_xll.PSFx3BAL(CN,"*","DAF_Country",$A13,"DAF_Award",T$3,"NOMINAL",$A$2,PF,PT))</f>
        <v>0</v>
      </c>
      <c r="U13" s="26">
        <f>IF(TRUE,0,_xll.PSFx3BAL(CN,"*","DAF_Country",$A13,"DAF_Award",U$3,"NOMINAL",$A$2,PF,PT))</f>
        <v>0</v>
      </c>
      <c r="V13" s="26">
        <f>IF(TRUE,0,_xll.PSFx3BAL(CN,"*","DAF_Country",$A13,"DAF_Award",V$3,"NOMINAL",$A$2,PF,PT))</f>
        <v>0</v>
      </c>
      <c r="W13" s="26">
        <f>IF(TRUE,0,_xll.PSFx3BAL(CN,"*","DAF_Country",$A13,"DAF_Award",W$3,"NOMINAL",$A$2,PF,PT))</f>
        <v>0</v>
      </c>
      <c r="X13" s="26">
        <f>IF(TRUE,0,_xll.PSFx3BAL(CN,"*","DAF_Country",$A13,"DAF_Award",X$3,"NOMINAL",$A$2,PF,PT))</f>
        <v>0</v>
      </c>
      <c r="Y13" s="26">
        <f>IF(TRUE,0,_xll.PSFx3BAL(CN,"*","DAF_Country",$A13,"DAF_Award",Y$3,"NOMINAL",$A$2,PF,PT))</f>
        <v>0</v>
      </c>
      <c r="Z13" s="26">
        <f>IF(TRUE,1027538.42,_xll.PSFx3BAL(CN,"*","DAF_Country",$A13,"DAF_Award",Z$3,"NOMINAL",$A$2,PF,PT))</f>
        <v>1027538.42</v>
      </c>
      <c r="AA13" s="9">
        <f t="shared" si="4"/>
        <v>1033150.5800000001</v>
      </c>
      <c r="AB13" s="18">
        <f t="shared" si="5"/>
        <v>1033150.5800000001</v>
      </c>
    </row>
    <row r="14" spans="1:28" x14ac:dyDescent="0.2">
      <c r="A14" t="s">
        <v>251</v>
      </c>
      <c r="B14" t="str">
        <f>VLOOKUP(A14,Parameters!R:S,2,FALSE)</f>
        <v>Uganda</v>
      </c>
      <c r="C14" s="26">
        <f>IF(TRUE,0,_xll.PSFx3BAL(CN,"*","DAF_Country",$A14,"DAF_Award",C$3,"NOMINAL",$A$2,PF,PT))</f>
        <v>0</v>
      </c>
      <c r="D14" s="26">
        <f>IF(TRUE,0,_xll.PSFx3BAL(CN,"*","DAF_Country",$A14,"DAF_Award",D$3,"NOMINAL",$A$2,PF,PT))</f>
        <v>0</v>
      </c>
      <c r="E14" s="26">
        <f>IF(TRUE,0,_xll.PSFx3BAL(CN,"*","DAF_Country",$A14,"DAF_Award",E$3,"NOMINAL",$A$2,PF,PT))</f>
        <v>0</v>
      </c>
      <c r="F14" s="26">
        <f>IF(TRUE,0,_xll.PSFx3BAL(CN,"*","DAF_Country",$A14,"DAF_Award",F$3,"NOMINAL",$A$2,PF,PT))</f>
        <v>0</v>
      </c>
      <c r="G14" s="26">
        <f>IF(TRUE,0,_xll.PSFx3BAL(CN,"*","DAF_Country",$A14,"DAF_Award",G$3,"NOMINAL",$A$2,PF,PT))</f>
        <v>0</v>
      </c>
      <c r="H14" s="26">
        <f>IF(TRUE,0,_xll.PSFx3BAL(CN,"*","DAF_Country",$A14,"DAF_Award",H$3,"NOMINAL",$A$2,PF,PT))</f>
        <v>0</v>
      </c>
      <c r="I14" s="26">
        <f>IF(TRUE,0,_xll.PSFx3BAL(CN,"*","DAF_Country",$A14,"DAF_Award",I$3,"NOMINAL",$A$2,PF,PT))</f>
        <v>0</v>
      </c>
      <c r="J14" s="26">
        <f>IF(TRUE,0,_xll.PSFx3BAL(CN,"*","DAF_Country",$A14,"DAF_Award",J$3,"NOMINAL",$A$2,PF,PT))</f>
        <v>0</v>
      </c>
      <c r="K14" s="26">
        <f>IF(TRUE,0,_xll.PSFx3BAL(CN,"*","DAF_Country",$A14,"DAF_Award",K$3,"NOMINAL",$A$2,PF,PT))</f>
        <v>0</v>
      </c>
      <c r="L14" s="26">
        <f>IF(TRUE,0,_xll.PSFx3BAL(CN,"*","DAF_Country",$A14,"DAF_Award",L$3,"NOMINAL",$A$2,PF,PT))</f>
        <v>0</v>
      </c>
      <c r="M14" s="26">
        <f>IF(TRUE,0,_xll.PSFx3BAL(CN,"*","DAF_Country",$A14,"DAF_Award",M$3,"NOMINAL",$A$2,PF,PT))</f>
        <v>0</v>
      </c>
      <c r="N14" s="26">
        <f>IF(TRUE,0,_xll.PSFx3BAL(CN,"*","DAF_Country",$A14,"DAF_Award",N$3,"NOMINAL",$A$2,PF,PT))</f>
        <v>0</v>
      </c>
      <c r="O14" s="26">
        <f>IF(TRUE,0,_xll.PSFx3BAL(CN,"*","DAF_Country",$A14,"DAF_Award",O$3,"NOMINAL",$A$2,PF,PT))</f>
        <v>0</v>
      </c>
      <c r="P14" s="26">
        <f>IF(TRUE,0,_xll.PSFx3BAL(CN,"*","DAF_Country",$A14,"DAF_Award",P$3,"NOMINAL",$A$2,PF,PT))</f>
        <v>0</v>
      </c>
      <c r="Q14" s="26">
        <f>IF(TRUE,0,_xll.PSFx3BAL(CN,"*","DAF_Country",$A14,"DAF_Award",Q$3,"NOMINAL",$A$2,PF,PT))</f>
        <v>0</v>
      </c>
      <c r="R14" s="26">
        <f>IF(TRUE,0,_xll.PSFx3BAL(CN,"*","DAF_Country",$A14,"DAF_Award",R$3,"NOMINAL",$A$2,PF,PT))</f>
        <v>0</v>
      </c>
      <c r="S14" s="26">
        <f>IF(TRUE,0,_xll.PSFx3BAL(CN,"*","DAF_Country",$A14,"DAF_Award",S$3,"NOMINAL",$A$2,PF,PT))</f>
        <v>0</v>
      </c>
      <c r="T14" s="26">
        <f>IF(TRUE,0,_xll.PSFx3BAL(CN,"*","DAF_Country",$A14,"DAF_Award",T$3,"NOMINAL",$A$2,PF,PT))</f>
        <v>0</v>
      </c>
      <c r="U14" s="26">
        <f>IF(TRUE,0,_xll.PSFx3BAL(CN,"*","DAF_Country",$A14,"DAF_Award",U$3,"NOMINAL",$A$2,PF,PT))</f>
        <v>0</v>
      </c>
      <c r="V14" s="26">
        <f>IF(TRUE,0,_xll.PSFx3BAL(CN,"*","DAF_Country",$A14,"DAF_Award",V$3,"NOMINAL",$A$2,PF,PT))</f>
        <v>0</v>
      </c>
      <c r="W14" s="26">
        <f>IF(TRUE,0,_xll.PSFx3BAL(CN,"*","DAF_Country",$A14,"DAF_Award",W$3,"NOMINAL",$A$2,PF,PT))</f>
        <v>0</v>
      </c>
      <c r="X14" s="26">
        <f>IF(TRUE,194090,_xll.PSFx3BAL(CN,"*","DAF_Country",$A14,"DAF_Award",X$3,"NOMINAL",$A$2,PF,PT))</f>
        <v>194090</v>
      </c>
      <c r="Y14" s="26">
        <f>IF(TRUE,0,_xll.PSFx3BAL(CN,"*","DAF_Country",$A14,"DAF_Award",Y$3,"NOMINAL",$A$2,PF,PT))</f>
        <v>0</v>
      </c>
      <c r="Z14" s="26">
        <f>IF(TRUE,0,_xll.PSFx3BAL(CN,"*","DAF_Country",$A14,"DAF_Award",Z$3,"NOMINAL",$A$2,PF,PT))</f>
        <v>0</v>
      </c>
      <c r="AA14" s="9">
        <f t="shared" si="4"/>
        <v>194090</v>
      </c>
      <c r="AB14" s="18">
        <f t="shared" si="5"/>
        <v>194090</v>
      </c>
    </row>
    <row r="15" spans="1:28" x14ac:dyDescent="0.2">
      <c r="A15" t="s">
        <v>259</v>
      </c>
      <c r="B15" t="str">
        <f>VLOOKUP(A15,Parameters!R:S,2,FALSE)</f>
        <v>Zanzibar Pemba</v>
      </c>
      <c r="C15" s="26">
        <f>IF(TRUE,0,_xll.PSFx3BAL(CN,"*","DAF_Country",$A15,"DAF_Award",C$3,"NOMINAL",$A$2,PF,PT))</f>
        <v>0</v>
      </c>
      <c r="D15" s="26">
        <f>IF(TRUE,0,_xll.PSFx3BAL(CN,"*","DAF_Country",$A15,"DAF_Award",D$3,"NOMINAL",$A$2,PF,PT))</f>
        <v>0</v>
      </c>
      <c r="E15" s="26">
        <f>IF(TRUE,0,_xll.PSFx3BAL(CN,"*","DAF_Country",$A15,"DAF_Award",E$3,"NOMINAL",$A$2,PF,PT))</f>
        <v>0</v>
      </c>
      <c r="F15" s="26">
        <f>IF(TRUE,0,_xll.PSFx3BAL(CN,"*","DAF_Country",$A15,"DAF_Award",F$3,"NOMINAL",$A$2,PF,PT))</f>
        <v>0</v>
      </c>
      <c r="G15" s="26">
        <f>IF(TRUE,0,_xll.PSFx3BAL(CN,"*","DAF_Country",$A15,"DAF_Award",G$3,"NOMINAL",$A$2,PF,PT))</f>
        <v>0</v>
      </c>
      <c r="H15" s="26">
        <f>IF(TRUE,0,_xll.PSFx3BAL(CN,"*","DAF_Country",$A15,"DAF_Award",H$3,"NOMINAL",$A$2,PF,PT))</f>
        <v>0</v>
      </c>
      <c r="I15" s="26">
        <f>IF(TRUE,0,_xll.PSFx3BAL(CN,"*","DAF_Country",$A15,"DAF_Award",I$3,"NOMINAL",$A$2,PF,PT))</f>
        <v>0</v>
      </c>
      <c r="J15" s="26">
        <f>IF(TRUE,0,_xll.PSFx3BAL(CN,"*","DAF_Country",$A15,"DAF_Award",J$3,"NOMINAL",$A$2,PF,PT))</f>
        <v>0</v>
      </c>
      <c r="K15" s="26">
        <f>IF(TRUE,0,_xll.PSFx3BAL(CN,"*","DAF_Country",$A15,"DAF_Award",K$3,"NOMINAL",$A$2,PF,PT))</f>
        <v>0</v>
      </c>
      <c r="L15" s="26">
        <f>IF(TRUE,0,_xll.PSFx3BAL(CN,"*","DAF_Country",$A15,"DAF_Award",L$3,"NOMINAL",$A$2,PF,PT))</f>
        <v>0</v>
      </c>
      <c r="M15" s="26">
        <f>IF(TRUE,0,_xll.PSFx3BAL(CN,"*","DAF_Country",$A15,"DAF_Award",M$3,"NOMINAL",$A$2,PF,PT))</f>
        <v>0</v>
      </c>
      <c r="N15" s="26">
        <f>IF(TRUE,0,_xll.PSFx3BAL(CN,"*","DAF_Country",$A15,"DAF_Award",N$3,"NOMINAL",$A$2,PF,PT))</f>
        <v>0</v>
      </c>
      <c r="O15" s="26">
        <f>IF(TRUE,0,_xll.PSFx3BAL(CN,"*","DAF_Country",$A15,"DAF_Award",O$3,"NOMINAL",$A$2,PF,PT))</f>
        <v>0</v>
      </c>
      <c r="P15" s="26">
        <f>IF(TRUE,0,_xll.PSFx3BAL(CN,"*","DAF_Country",$A15,"DAF_Award",P$3,"NOMINAL",$A$2,PF,PT))</f>
        <v>0</v>
      </c>
      <c r="Q15" s="26">
        <f>IF(TRUE,0,_xll.PSFx3BAL(CN,"*","DAF_Country",$A15,"DAF_Award",Q$3,"NOMINAL",$A$2,PF,PT))</f>
        <v>0</v>
      </c>
      <c r="R15" s="26">
        <f>IF(TRUE,0,_xll.PSFx3BAL(CN,"*","DAF_Country",$A15,"DAF_Award",R$3,"NOMINAL",$A$2,PF,PT))</f>
        <v>0</v>
      </c>
      <c r="S15" s="26">
        <f>IF(TRUE,0,_xll.PSFx3BAL(CN,"*","DAF_Country",$A15,"DAF_Award",S$3,"NOMINAL",$A$2,PF,PT))</f>
        <v>0</v>
      </c>
      <c r="T15" s="26">
        <f>IF(TRUE,0,_xll.PSFx3BAL(CN,"*","DAF_Country",$A15,"DAF_Award",T$3,"NOMINAL",$A$2,PF,PT))</f>
        <v>0</v>
      </c>
      <c r="U15" s="26">
        <f>IF(TRUE,0,_xll.PSFx3BAL(CN,"*","DAF_Country",$A15,"DAF_Award",U$3,"NOMINAL",$A$2,PF,PT))</f>
        <v>0</v>
      </c>
      <c r="V15" s="26">
        <f>IF(TRUE,65365.42,_xll.PSFx3BAL(CN,"*","DAF_Country",$A15,"DAF_Award",V$3,"NOMINAL",$A$2,PF,PT))</f>
        <v>65365.42</v>
      </c>
      <c r="W15" s="26">
        <f>IF(TRUE,0,_xll.PSFx3BAL(CN,"*","DAF_Country",$A15,"DAF_Award",W$3,"NOMINAL",$A$2,PF,PT))</f>
        <v>0</v>
      </c>
      <c r="X15" s="26">
        <f>IF(TRUE,0,_xll.PSFx3BAL(CN,"*","DAF_Country",$A15,"DAF_Award",X$3,"NOMINAL",$A$2,PF,PT))</f>
        <v>0</v>
      </c>
      <c r="Y15" s="26">
        <f>IF(TRUE,0,_xll.PSFx3BAL(CN,"*","DAF_Country",$A15,"DAF_Award",Y$3,"NOMINAL",$A$2,PF,PT))</f>
        <v>0</v>
      </c>
      <c r="Z15" s="26">
        <f>IF(TRUE,0,_xll.PSFx3BAL(CN,"*","DAF_Country",$A15,"DAF_Award",Z$3,"NOMINAL",$A$2,PF,PT))</f>
        <v>0</v>
      </c>
      <c r="AA15" s="9">
        <f t="shared" si="4"/>
        <v>65365.42</v>
      </c>
      <c r="AB15" s="18">
        <f t="shared" si="5"/>
        <v>65365.42</v>
      </c>
    </row>
    <row r="16" spans="1:28" x14ac:dyDescent="0.2">
      <c r="A16" t="s">
        <v>260</v>
      </c>
      <c r="B16" t="str">
        <f>VLOOKUP(A16,Parameters!R:S,2,FALSE)</f>
        <v>Zanzibar Unguja</v>
      </c>
      <c r="C16" s="26">
        <f>IF(TRUE,0,_xll.PSFx3BAL(CN,"*","DAF_Country",$A16,"DAF_Award",C$3,"NOMINAL",$A$2,PF,PT))</f>
        <v>0</v>
      </c>
      <c r="D16" s="26">
        <f>IF(TRUE,0,_xll.PSFx3BAL(CN,"*","DAF_Country",$A16,"DAF_Award",D$3,"NOMINAL",$A$2,PF,PT))</f>
        <v>0</v>
      </c>
      <c r="E16" s="26">
        <f>IF(TRUE,0,_xll.PSFx3BAL(CN,"*","DAF_Country",$A16,"DAF_Award",E$3,"NOMINAL",$A$2,PF,PT))</f>
        <v>0</v>
      </c>
      <c r="F16" s="26">
        <f>IF(TRUE,0,_xll.PSFx3BAL(CN,"*","DAF_Country",$A16,"DAF_Award",F$3,"NOMINAL",$A$2,PF,PT))</f>
        <v>0</v>
      </c>
      <c r="G16" s="26">
        <f>IF(TRUE,0,_xll.PSFx3BAL(CN,"*","DAF_Country",$A16,"DAF_Award",G$3,"NOMINAL",$A$2,PF,PT))</f>
        <v>0</v>
      </c>
      <c r="H16" s="26">
        <f>IF(TRUE,0,_xll.PSFx3BAL(CN,"*","DAF_Country",$A16,"DAF_Award",H$3,"NOMINAL",$A$2,PF,PT))</f>
        <v>0</v>
      </c>
      <c r="I16" s="26">
        <f>IF(TRUE,0,_xll.PSFx3BAL(CN,"*","DAF_Country",$A16,"DAF_Award",I$3,"NOMINAL",$A$2,PF,PT))</f>
        <v>0</v>
      </c>
      <c r="J16" s="26">
        <f>IF(TRUE,0,_xll.PSFx3BAL(CN,"*","DAF_Country",$A16,"DAF_Award",J$3,"NOMINAL",$A$2,PF,PT))</f>
        <v>0</v>
      </c>
      <c r="K16" s="26">
        <f>IF(TRUE,0,_xll.PSFx3BAL(CN,"*","DAF_Country",$A16,"DAF_Award",K$3,"NOMINAL",$A$2,PF,PT))</f>
        <v>0</v>
      </c>
      <c r="L16" s="26">
        <f>IF(TRUE,0,_xll.PSFx3BAL(CN,"*","DAF_Country",$A16,"DAF_Award",L$3,"NOMINAL",$A$2,PF,PT))</f>
        <v>0</v>
      </c>
      <c r="M16" s="26">
        <f>IF(TRUE,0,_xll.PSFx3BAL(CN,"*","DAF_Country",$A16,"DAF_Award",M$3,"NOMINAL",$A$2,PF,PT))</f>
        <v>0</v>
      </c>
      <c r="N16" s="26">
        <f>IF(TRUE,0,_xll.PSFx3BAL(CN,"*","DAF_Country",$A16,"DAF_Award",N$3,"NOMINAL",$A$2,PF,PT))</f>
        <v>0</v>
      </c>
      <c r="O16" s="26">
        <f>IF(TRUE,0,_xll.PSFx3BAL(CN,"*","DAF_Country",$A16,"DAF_Award",O$3,"NOMINAL",$A$2,PF,PT))</f>
        <v>0</v>
      </c>
      <c r="P16" s="26">
        <f>IF(TRUE,0,_xll.PSFx3BAL(CN,"*","DAF_Country",$A16,"DAF_Award",P$3,"NOMINAL",$A$2,PF,PT))</f>
        <v>0</v>
      </c>
      <c r="Q16" s="26">
        <f>IF(TRUE,0,_xll.PSFx3BAL(CN,"*","DAF_Country",$A16,"DAF_Award",Q$3,"NOMINAL",$A$2,PF,PT))</f>
        <v>0</v>
      </c>
      <c r="R16" s="26">
        <f>IF(TRUE,0,_xll.PSFx3BAL(CN,"*","DAF_Country",$A16,"DAF_Award",R$3,"NOMINAL",$A$2,PF,PT))</f>
        <v>0</v>
      </c>
      <c r="S16" s="26">
        <f>IF(TRUE,0,_xll.PSFx3BAL(CN,"*","DAF_Country",$A16,"DAF_Award",S$3,"NOMINAL",$A$2,PF,PT))</f>
        <v>0</v>
      </c>
      <c r="T16" s="26">
        <f>IF(TRUE,0,_xll.PSFx3BAL(CN,"*","DAF_Country",$A16,"DAF_Award",T$3,"NOMINAL",$A$2,PF,PT))</f>
        <v>0</v>
      </c>
      <c r="U16" s="26">
        <f>IF(TRUE,0,_xll.PSFx3BAL(CN,"*","DAF_Country",$A16,"DAF_Award",U$3,"NOMINAL",$A$2,PF,PT))</f>
        <v>0</v>
      </c>
      <c r="V16" s="26">
        <f>IF(TRUE,0,_xll.PSFx3BAL(CN,"*","DAF_Country",$A16,"DAF_Award",V$3,"NOMINAL",$A$2,PF,PT))</f>
        <v>0</v>
      </c>
      <c r="W16" s="26">
        <f>IF(TRUE,51996,_xll.PSFx3BAL(CN,"*","DAF_Country",$A16,"DAF_Award",W$3,"NOMINAL",$A$2,PF,PT))</f>
        <v>51996</v>
      </c>
      <c r="X16" s="26">
        <f>IF(TRUE,0,_xll.PSFx3BAL(CN,"*","DAF_Country",$A16,"DAF_Award",X$3,"NOMINAL",$A$2,PF,PT))</f>
        <v>0</v>
      </c>
      <c r="Y16" s="26">
        <f>IF(TRUE,0,_xll.PSFx3BAL(CN,"*","DAF_Country",$A16,"DAF_Award",Y$3,"NOMINAL",$A$2,PF,PT))</f>
        <v>0</v>
      </c>
      <c r="Z16" s="26">
        <f>IF(TRUE,0,_xll.PSFx3BAL(CN,"*","DAF_Country",$A16,"DAF_Award",Z$3,"NOMINAL",$A$2,PF,PT))</f>
        <v>0</v>
      </c>
      <c r="AA16" s="9">
        <f t="shared" si="4"/>
        <v>51996</v>
      </c>
      <c r="AB16" s="18">
        <f t="shared" si="5"/>
        <v>51996</v>
      </c>
    </row>
    <row r="17" spans="1:28" x14ac:dyDescent="0.2">
      <c r="A17" t="s">
        <v>213</v>
      </c>
      <c r="B17" t="str">
        <f>VLOOKUP(A17,Parameters!R:S,2,FALSE)</f>
        <v>Burundi</v>
      </c>
      <c r="C17" s="26">
        <f>IF(TRUE,0,_xll.PSFx3BAL(CN,"*","DAF_Country",$A17,"DAF_Award",C$3,"NOMINAL",$A$2,PF,PT))</f>
        <v>0</v>
      </c>
      <c r="D17" s="26">
        <f>IF(TRUE,0,_xll.PSFx3BAL(CN,"*","DAF_Country",$A17,"DAF_Award",D$3,"NOMINAL",$A$2,PF,PT))</f>
        <v>0</v>
      </c>
      <c r="E17" s="26">
        <f>IF(TRUE,0,_xll.PSFx3BAL(CN,"*","DAF_Country",$A17,"DAF_Award",E$3,"NOMINAL",$A$2,PF,PT))</f>
        <v>0</v>
      </c>
      <c r="F17" s="26">
        <f>IF(TRUE,0,_xll.PSFx3BAL(CN,"*","DAF_Country",$A17,"DAF_Award",F$3,"NOMINAL",$A$2,PF,PT))</f>
        <v>0</v>
      </c>
      <c r="G17" s="26">
        <f>IF(TRUE,0,_xll.PSFx3BAL(CN,"*","DAF_Country",$A17,"DAF_Award",G$3,"NOMINAL",$A$2,PF,PT))</f>
        <v>0</v>
      </c>
      <c r="H17" s="26">
        <f>IF(TRUE,0,_xll.PSFx3BAL(CN,"*","DAF_Country",$A17,"DAF_Award",H$3,"NOMINAL",$A$2,PF,PT))</f>
        <v>0</v>
      </c>
      <c r="I17" s="26">
        <f>IF(TRUE,0,_xll.PSFx3BAL(CN,"*","DAF_Country",$A17,"DAF_Award",I$3,"NOMINAL",$A$2,PF,PT))</f>
        <v>0</v>
      </c>
      <c r="J17" s="26">
        <f>IF(TRUE,0,_xll.PSFx3BAL(CN,"*","DAF_Country",$A17,"DAF_Award",J$3,"NOMINAL",$A$2,PF,PT))</f>
        <v>0</v>
      </c>
      <c r="K17" s="26">
        <f>IF(TRUE,0,_xll.PSFx3BAL(CN,"*","DAF_Country",$A17,"DAF_Award",K$3,"NOMINAL",$A$2,PF,PT))</f>
        <v>0</v>
      </c>
      <c r="L17" s="26">
        <f>IF(TRUE,0,_xll.PSFx3BAL(CN,"*","DAF_Country",$A17,"DAF_Award",L$3,"NOMINAL",$A$2,PF,PT))</f>
        <v>0</v>
      </c>
      <c r="M17" s="26">
        <f>IF(TRUE,0,_xll.PSFx3BAL(CN,"*","DAF_Country",$A17,"DAF_Award",M$3,"NOMINAL",$A$2,PF,PT))</f>
        <v>0</v>
      </c>
      <c r="N17" s="26">
        <f>IF(TRUE,0,_xll.PSFx3BAL(CN,"*","DAF_Country",$A17,"DAF_Award",N$3,"NOMINAL",$A$2,PF,PT))</f>
        <v>0</v>
      </c>
      <c r="O17" s="26">
        <f>IF(TRUE,0,_xll.PSFx3BAL(CN,"*","DAF_Country",$A17,"DAF_Award",O$3,"NOMINAL",$A$2,PF,PT))</f>
        <v>0</v>
      </c>
      <c r="P17" s="26">
        <f>IF(TRUE,0,_xll.PSFx3BAL(CN,"*","DAF_Country",$A17,"DAF_Award",P$3,"NOMINAL",$A$2,PF,PT))</f>
        <v>0</v>
      </c>
      <c r="Q17" s="26">
        <f>IF(TRUE,0,_xll.PSFx3BAL(CN,"*","DAF_Country",$A17,"DAF_Award",Q$3,"NOMINAL",$A$2,PF,PT))</f>
        <v>0</v>
      </c>
      <c r="R17" s="26">
        <f>IF(TRUE,0,_xll.PSFx3BAL(CN,"*","DAF_Country",$A17,"DAF_Award",R$3,"NOMINAL",$A$2,PF,PT))</f>
        <v>0</v>
      </c>
      <c r="S17" s="26">
        <f>IF(TRUE,0,_xll.PSFx3BAL(CN,"*","DAF_Country",$A17,"DAF_Award",S$3,"NOMINAL",$A$2,PF,PT))</f>
        <v>0</v>
      </c>
      <c r="T17" s="26">
        <f>IF(TRUE,267645,_xll.PSFx3BAL(CN,"*","DAF_Country",$A17,"DAF_Award",T$3,"NOMINAL",$A$2,PF,PT))</f>
        <v>267645</v>
      </c>
      <c r="U17" s="26">
        <f>IF(TRUE,0,_xll.PSFx3BAL(CN,"*","DAF_Country",$A17,"DAF_Award",U$3,"NOMINAL",$A$2,PF,PT))</f>
        <v>0</v>
      </c>
      <c r="V17" s="26">
        <f>IF(TRUE,0,_xll.PSFx3BAL(CN,"*","DAF_Country",$A17,"DAF_Award",V$3,"NOMINAL",$A$2,PF,PT))</f>
        <v>0</v>
      </c>
      <c r="W17" s="26">
        <f>IF(TRUE,0,_xll.PSFx3BAL(CN,"*","DAF_Country",$A17,"DAF_Award",W$3,"NOMINAL",$A$2,PF,PT))</f>
        <v>0</v>
      </c>
      <c r="X17" s="26">
        <f>IF(TRUE,0,_xll.PSFx3BAL(CN,"*","DAF_Country",$A17,"DAF_Award",X$3,"NOMINAL",$A$2,PF,PT))</f>
        <v>0</v>
      </c>
      <c r="Y17" s="26">
        <f>IF(TRUE,0,_xll.PSFx3BAL(CN,"*","DAF_Country",$A17,"DAF_Award",Y$3,"NOMINAL",$A$2,PF,PT))</f>
        <v>0</v>
      </c>
      <c r="Z17" s="26">
        <f>IF(TRUE,0,_xll.PSFx3BAL(CN,"*","DAF_Country",$A17,"DAF_Award",Z$3,"NOMINAL",$A$2,PF,PT))</f>
        <v>0</v>
      </c>
      <c r="AA17" s="9">
        <f t="shared" si="4"/>
        <v>267645</v>
      </c>
      <c r="AB17" s="18">
        <f t="shared" si="5"/>
        <v>267645</v>
      </c>
    </row>
    <row r="18" spans="1:28" x14ac:dyDescent="0.2">
      <c r="A18" t="s">
        <v>234</v>
      </c>
      <c r="B18" t="str">
        <f>VLOOKUP(A18,Parameters!R:S,2,FALSE)</f>
        <v>Madagascar</v>
      </c>
      <c r="C18" s="26">
        <f>IF(TRUE,0,_xll.PSFx3BAL(CN,"*","DAF_Country",$A18,"DAF_Award",C$3,"NOMINAL",$A$2,PF,PT))</f>
        <v>0</v>
      </c>
      <c r="D18" s="26">
        <f>IF(TRUE,0,_xll.PSFx3BAL(CN,"*","DAF_Country",$A18,"DAF_Award",D$3,"NOMINAL",$A$2,PF,PT))</f>
        <v>0</v>
      </c>
      <c r="E18" s="26">
        <f>IF(TRUE,0,_xll.PSFx3BAL(CN,"*","DAF_Country",$A18,"DAF_Award",E$3,"NOMINAL",$A$2,PF,PT))</f>
        <v>0</v>
      </c>
      <c r="F18" s="26">
        <f>IF(TRUE,0,_xll.PSFx3BAL(CN,"*","DAF_Country",$A18,"DAF_Award",F$3,"NOMINAL",$A$2,PF,PT))</f>
        <v>0</v>
      </c>
      <c r="G18" s="26">
        <f>IF(TRUE,0,_xll.PSFx3BAL(CN,"*","DAF_Country",$A18,"DAF_Award",G$3,"NOMINAL",$A$2,PF,PT))</f>
        <v>0</v>
      </c>
      <c r="H18" s="26">
        <f>IF(TRUE,0,_xll.PSFx3BAL(CN,"*","DAF_Country",$A18,"DAF_Award",H$3,"NOMINAL",$A$2,PF,PT))</f>
        <v>0</v>
      </c>
      <c r="I18" s="26">
        <f>IF(TRUE,-62867.8,_xll.PSFx3BAL(CN,"*","DAF_Country",$A18,"DAF_Award",I$3,"NOMINAL",$A$2,PF,PT))</f>
        <v>-62867.8</v>
      </c>
      <c r="J18" s="26">
        <f>IF(TRUE,0,_xll.PSFx3BAL(CN,"*","DAF_Country",$A18,"DAF_Award",J$3,"NOMINAL",$A$2,PF,PT))</f>
        <v>0</v>
      </c>
      <c r="K18" s="26">
        <f>IF(TRUE,0,_xll.PSFx3BAL(CN,"*","DAF_Country",$A18,"DAF_Award",K$3,"NOMINAL",$A$2,PF,PT))</f>
        <v>0</v>
      </c>
      <c r="L18" s="26">
        <f>IF(TRUE,0,_xll.PSFx3BAL(CN,"*","DAF_Country",$A18,"DAF_Award",L$3,"NOMINAL",$A$2,PF,PT))</f>
        <v>0</v>
      </c>
      <c r="M18" s="26">
        <f>IF(TRUE,0,_xll.PSFx3BAL(CN,"*","DAF_Country",$A18,"DAF_Award",M$3,"NOMINAL",$A$2,PF,PT))</f>
        <v>0</v>
      </c>
      <c r="N18" s="26">
        <f>IF(TRUE,0,_xll.PSFx3BAL(CN,"*","DAF_Country",$A18,"DAF_Award",N$3,"NOMINAL",$A$2,PF,PT))</f>
        <v>0</v>
      </c>
      <c r="O18" s="26">
        <f>IF(TRUE,0,_xll.PSFx3BAL(CN,"*","DAF_Country",$A18,"DAF_Award",O$3,"NOMINAL",$A$2,PF,PT))</f>
        <v>0</v>
      </c>
      <c r="P18" s="26">
        <f>IF(TRUE,0,_xll.PSFx3BAL(CN,"*","DAF_Country",$A18,"DAF_Award",P$3,"NOMINAL",$A$2,PF,PT))</f>
        <v>0</v>
      </c>
      <c r="Q18" s="26">
        <f>IF(TRUE,0,_xll.PSFx3BAL(CN,"*","DAF_Country",$A18,"DAF_Award",Q$3,"NOMINAL",$A$2,PF,PT))</f>
        <v>0</v>
      </c>
      <c r="R18" s="26">
        <f>IF(TRUE,0,_xll.PSFx3BAL(CN,"*","DAF_Country",$A18,"DAF_Award",R$3,"NOMINAL",$A$2,PF,PT))</f>
        <v>0</v>
      </c>
      <c r="S18" s="26">
        <f>IF(TRUE,0,_xll.PSFx3BAL(CN,"*","DAF_Country",$A18,"DAF_Award",S$3,"NOMINAL",$A$2,PF,PT))</f>
        <v>0</v>
      </c>
      <c r="T18" s="26">
        <f>IF(TRUE,0,_xll.PSFx3BAL(CN,"*","DAF_Country",$A18,"DAF_Award",T$3,"NOMINAL",$A$2,PF,PT))</f>
        <v>0</v>
      </c>
      <c r="U18" s="26">
        <f>IF(TRUE,0,_xll.PSFx3BAL(CN,"*","DAF_Country",$A18,"DAF_Award",U$3,"NOMINAL",$A$2,PF,PT))</f>
        <v>0</v>
      </c>
      <c r="V18" s="26">
        <f>IF(TRUE,0,_xll.PSFx3BAL(CN,"*","DAF_Country",$A18,"DAF_Award",V$3,"NOMINAL",$A$2,PF,PT))</f>
        <v>0</v>
      </c>
      <c r="W18" s="26">
        <f>IF(TRUE,0,_xll.PSFx3BAL(CN,"*","DAF_Country",$A18,"DAF_Award",W$3,"NOMINAL",$A$2,PF,PT))</f>
        <v>0</v>
      </c>
      <c r="X18" s="26">
        <f>IF(TRUE,0,_xll.PSFx3BAL(CN,"*","DAF_Country",$A18,"DAF_Award",X$3,"NOMINAL",$A$2,PF,PT))</f>
        <v>0</v>
      </c>
      <c r="Y18" s="26">
        <f>IF(TRUE,207104.6,_xll.PSFx3BAL(CN,"*","DAF_Country",$A18,"DAF_Award",Y$3,"NOMINAL",$A$2,PF,PT))</f>
        <v>207104.6</v>
      </c>
      <c r="Z18" s="26">
        <f>IF(TRUE,0,_xll.PSFx3BAL(CN,"*","DAF_Country",$A18,"DAF_Award",Z$3,"NOMINAL",$A$2,PF,PT))</f>
        <v>0</v>
      </c>
      <c r="AA18" s="9">
        <f t="shared" si="4"/>
        <v>207104.6</v>
      </c>
      <c r="AB18" s="18">
        <f t="shared" si="5"/>
        <v>144236.79999999999</v>
      </c>
    </row>
    <row r="19" spans="1:28" x14ac:dyDescent="0.2">
      <c r="A19" t="s">
        <v>232</v>
      </c>
      <c r="B19" t="str">
        <f>VLOOKUP(A19,Parameters!R:S,2,FALSE)</f>
        <v>Mauritania</v>
      </c>
      <c r="C19" s="26">
        <f>IF(TRUE,0,_xll.PSFx3BAL(CN,"*","DAF_Country",$A19,"DAF_Award",C$3,"NOMINAL",$A$2,PF,PT))</f>
        <v>0</v>
      </c>
      <c r="D19" s="26">
        <f>IF(TRUE,0,_xll.PSFx3BAL(CN,"*","DAF_Country",$A19,"DAF_Award",D$3,"NOMINAL",$A$2,PF,PT))</f>
        <v>0</v>
      </c>
      <c r="E19" s="26">
        <f>IF(TRUE,0,_xll.PSFx3BAL(CN,"*","DAF_Country",$A19,"DAF_Award",E$3,"NOMINAL",$A$2,PF,PT))</f>
        <v>0</v>
      </c>
      <c r="F19" s="26">
        <f>IF(TRUE,0,_xll.PSFx3BAL(CN,"*","DAF_Country",$A19,"DAF_Award",F$3,"NOMINAL",$A$2,PF,PT))</f>
        <v>0</v>
      </c>
      <c r="G19" s="26">
        <f>IF(TRUE,0,_xll.PSFx3BAL(CN,"*","DAF_Country",$A19,"DAF_Award",G$3,"NOMINAL",$A$2,PF,PT))</f>
        <v>0</v>
      </c>
      <c r="H19" s="26">
        <f>IF(TRUE,0,_xll.PSFx3BAL(CN,"*","DAF_Country",$A19,"DAF_Award",H$3,"NOMINAL",$A$2,PF,PT))</f>
        <v>0</v>
      </c>
      <c r="I19" s="26">
        <f>IF(TRUE,0,_xll.PSFx3BAL(CN,"*","DAF_Country",$A19,"DAF_Award",I$3,"NOMINAL",$A$2,PF,PT))</f>
        <v>0</v>
      </c>
      <c r="J19" s="26">
        <f>IF(TRUE,0,_xll.PSFx3BAL(CN,"*","DAF_Country",$A19,"DAF_Award",J$3,"NOMINAL",$A$2,PF,PT))</f>
        <v>0</v>
      </c>
      <c r="K19" s="26">
        <f>IF(TRUE,0,_xll.PSFx3BAL(CN,"*","DAF_Country",$A19,"DAF_Award",K$3,"NOMINAL",$A$2,PF,PT))</f>
        <v>0</v>
      </c>
      <c r="L19" s="26">
        <f>IF(TRUE,0,_xll.PSFx3BAL(CN,"*","DAF_Country",$A19,"DAF_Award",L$3,"NOMINAL",$A$2,PF,PT))</f>
        <v>0</v>
      </c>
      <c r="M19" s="26">
        <f>IF(TRUE,0,_xll.PSFx3BAL(CN,"*","DAF_Country",$A19,"DAF_Award",M$3,"NOMINAL",$A$2,PF,PT))</f>
        <v>0</v>
      </c>
      <c r="N19" s="26">
        <f>IF(TRUE,0,_xll.PSFx3BAL(CN,"*","DAF_Country",$A19,"DAF_Award",N$3,"NOMINAL",$A$2,PF,PT))</f>
        <v>0</v>
      </c>
      <c r="O19" s="26">
        <f>IF(TRUE,0,_xll.PSFx3BAL(CN,"*","DAF_Country",$A19,"DAF_Award",O$3,"NOMINAL",$A$2,PF,PT))</f>
        <v>0</v>
      </c>
      <c r="P19" s="26">
        <f>IF(TRUE,0,_xll.PSFx3BAL(CN,"*","DAF_Country",$A19,"DAF_Award",P$3,"NOMINAL",$A$2,PF,PT))</f>
        <v>0</v>
      </c>
      <c r="Q19" s="26">
        <f>IF(TRUE,0,_xll.PSFx3BAL(CN,"*","DAF_Country",$A19,"DAF_Award",Q$3,"NOMINAL",$A$2,PF,PT))</f>
        <v>0</v>
      </c>
      <c r="R19" s="26">
        <f>IF(TRUE,0,_xll.PSFx3BAL(CN,"*","DAF_Country",$A19,"DAF_Award",R$3,"NOMINAL",$A$2,PF,PT))</f>
        <v>0</v>
      </c>
      <c r="S19" s="26">
        <f>IF(TRUE,0,_xll.PSFx3BAL(CN,"*","DAF_Country",$A19,"DAF_Award",S$3,"NOMINAL",$A$2,PF,PT))</f>
        <v>0</v>
      </c>
      <c r="T19" s="26">
        <f>IF(TRUE,0,_xll.PSFx3BAL(CN,"*","DAF_Country",$A19,"DAF_Award",T$3,"NOMINAL",$A$2,PF,PT))</f>
        <v>0</v>
      </c>
      <c r="U19" s="26">
        <f>IF(TRUE,0,_xll.PSFx3BAL(CN,"*","DAF_Country",$A19,"DAF_Award",U$3,"NOMINAL",$A$2,PF,PT))</f>
        <v>0</v>
      </c>
      <c r="V19" s="26">
        <f>IF(TRUE,0,_xll.PSFx3BAL(CN,"*","DAF_Country",$A19,"DAF_Award",V$3,"NOMINAL",$A$2,PF,PT))</f>
        <v>0</v>
      </c>
      <c r="W19" s="26">
        <f>IF(TRUE,0,_xll.PSFx3BAL(CN,"*","DAF_Country",$A19,"DAF_Award",W$3,"NOMINAL",$A$2,PF,PT))</f>
        <v>0</v>
      </c>
      <c r="X19" s="26">
        <f>IF(TRUE,0,_xll.PSFx3BAL(CN,"*","DAF_Country",$A19,"DAF_Award",X$3,"NOMINAL",$A$2,PF,PT))</f>
        <v>0</v>
      </c>
      <c r="Y19" s="26">
        <f>IF(TRUE,0,_xll.PSFx3BAL(CN,"*","DAF_Country",$A19,"DAF_Award",Y$3,"NOMINAL",$A$2,PF,PT))</f>
        <v>0</v>
      </c>
      <c r="Z19" s="26">
        <f>IF(TRUE,0,_xll.PSFx3BAL(CN,"*","DAF_Country",$A19,"DAF_Award",Z$3,"NOMINAL",$A$2,PF,PT))</f>
        <v>0</v>
      </c>
      <c r="AA19" s="9">
        <f t="shared" si="4"/>
        <v>0</v>
      </c>
      <c r="AB19" s="18">
        <f t="shared" si="5"/>
        <v>0</v>
      </c>
    </row>
    <row r="20" spans="1:28" hidden="1" outlineLevel="1" x14ac:dyDescent="0.2">
      <c r="A20" t="s">
        <v>212</v>
      </c>
      <c r="B20" t="str">
        <f>VLOOKUP(A20,Parameters!R:S,2,FALSE)</f>
        <v>Australia</v>
      </c>
      <c r="C20" s="26">
        <f>IF(TRUE,0,_xll.PSFx3BAL(CN,"*","DAF_Country",$A20,"DAF_Award",C$3,"NOMINAL",$A$2,PF,PT))</f>
        <v>0</v>
      </c>
      <c r="D20" s="26">
        <f>IF(TRUE,0,_xll.PSFx3BAL(CN,"*","DAF_Country",$A20,"DAF_Award",D$3,"NOMINAL",$A$2,PF,PT))</f>
        <v>0</v>
      </c>
      <c r="E20" s="26">
        <f>IF(TRUE,0,_xll.PSFx3BAL(CN,"*","DAF_Country",$A20,"DAF_Award",E$3,"NOMINAL",$A$2,PF,PT))</f>
        <v>0</v>
      </c>
      <c r="F20" s="26">
        <f>IF(TRUE,0,_xll.PSFx3BAL(CN,"*","DAF_Country",$A20,"DAF_Award",F$3,"NOMINAL",$A$2,PF,PT))</f>
        <v>0</v>
      </c>
      <c r="G20" s="26">
        <f>IF(TRUE,0,_xll.PSFx3BAL(CN,"*","DAF_Country",$A20,"DAF_Award",G$3,"NOMINAL",$A$2,PF,PT))</f>
        <v>0</v>
      </c>
      <c r="H20" s="26">
        <f>IF(TRUE,0,_xll.PSFx3BAL(CN,"*","DAF_Country",$A20,"DAF_Award",H$3,"NOMINAL",$A$2,PF,PT))</f>
        <v>0</v>
      </c>
      <c r="I20" s="26">
        <f>IF(TRUE,0,_xll.PSFx3BAL(CN,"*","DAF_Country",$A20,"DAF_Award",I$3,"NOMINAL",$A$2,PF,PT))</f>
        <v>0</v>
      </c>
      <c r="J20" s="26">
        <f>IF(TRUE,0,_xll.PSFx3BAL(CN,"*","DAF_Country",$A20,"DAF_Award",J$3,"NOMINAL",$A$2,PF,PT))</f>
        <v>0</v>
      </c>
      <c r="K20" s="26">
        <f>IF(TRUE,0,_xll.PSFx3BAL(CN,"*","DAF_Country",$A20,"DAF_Award",K$3,"NOMINAL",$A$2,PF,PT))</f>
        <v>0</v>
      </c>
      <c r="L20" s="26">
        <f>IF(TRUE,0,_xll.PSFx3BAL(CN,"*","DAF_Country",$A20,"DAF_Award",L$3,"NOMINAL",$A$2,PF,PT))</f>
        <v>0</v>
      </c>
      <c r="M20" s="26">
        <f>IF(TRUE,0,_xll.PSFx3BAL(CN,"*","DAF_Country",$A20,"DAF_Award",M$3,"NOMINAL",$A$2,PF,PT))</f>
        <v>0</v>
      </c>
      <c r="N20" s="26">
        <f>IF(TRUE,0,_xll.PSFx3BAL(CN,"*","DAF_Country",$A20,"DAF_Award",N$3,"NOMINAL",$A$2,PF,PT))</f>
        <v>0</v>
      </c>
      <c r="O20" s="26">
        <f>IF(TRUE,0,_xll.PSFx3BAL(CN,"*","DAF_Country",$A20,"DAF_Award",O$3,"NOMINAL",$A$2,PF,PT))</f>
        <v>0</v>
      </c>
      <c r="P20" s="26">
        <f>IF(TRUE,0,_xll.PSFx3BAL(CN,"*","DAF_Country",$A20,"DAF_Award",P$3,"NOMINAL",$A$2,PF,PT))</f>
        <v>0</v>
      </c>
      <c r="Q20" s="26">
        <f>IF(TRUE,0,_xll.PSFx3BAL(CN,"*","DAF_Country",$A20,"DAF_Award",Q$3,"NOMINAL",$A$2,PF,PT))</f>
        <v>0</v>
      </c>
      <c r="R20" s="26">
        <f>IF(TRUE,0,_xll.PSFx3BAL(CN,"*","DAF_Country",$A20,"DAF_Award",R$3,"NOMINAL",$A$2,PF,PT))</f>
        <v>0</v>
      </c>
      <c r="S20" s="26">
        <f>IF(TRUE,0,_xll.PSFx3BAL(CN,"*","DAF_Country",$A20,"DAF_Award",S$3,"NOMINAL",$A$2,PF,PT))</f>
        <v>0</v>
      </c>
      <c r="T20" s="26">
        <f>IF(TRUE,0,_xll.PSFx3BAL(CN,"*","DAF_Country",$A20,"DAF_Award",T$3,"NOMINAL",$A$2,PF,PT))</f>
        <v>0</v>
      </c>
      <c r="U20" s="26">
        <f>IF(TRUE,0,_xll.PSFx3BAL(CN,"*","DAF_Country",$A20,"DAF_Award",U$3,"NOMINAL",$A$2,PF,PT))</f>
        <v>0</v>
      </c>
      <c r="V20" s="26">
        <f>IF(TRUE,0,_xll.PSFx3BAL(CN,"*","DAF_Country",$A20,"DAF_Award",V$3,"NOMINAL",$A$2,PF,PT))</f>
        <v>0</v>
      </c>
      <c r="W20" s="26">
        <f>IF(TRUE,0,_xll.PSFx3BAL(CN,"*","DAF_Country",$A20,"DAF_Award",W$3,"NOMINAL",$A$2,PF,PT))</f>
        <v>0</v>
      </c>
      <c r="X20" s="26">
        <f>IF(TRUE,0,_xll.PSFx3BAL(CN,"*","DAF_Country",$A20,"DAF_Award",X$3,"NOMINAL",$A$2,PF,PT))</f>
        <v>0</v>
      </c>
      <c r="Y20" s="26">
        <f>IF(TRUE,0,_xll.PSFx3BAL(CN,"*","DAF_Country",$A20,"DAF_Award",Y$3,"NOMINAL",$A$2,PF,PT))</f>
        <v>0</v>
      </c>
      <c r="Z20" s="26">
        <f>IF(TRUE,0,_xll.PSFx3BAL(CN,"*","DAF_Country",$A20,"DAF_Award",Z$3,"NOMINAL",$A$2,PF,PT))</f>
        <v>0</v>
      </c>
      <c r="AA20" s="9">
        <f t="shared" ref="AA20:AA44" si="6">SUM(O20:Z20)</f>
        <v>0</v>
      </c>
      <c r="AB20" s="19">
        <f t="shared" ref="AB20:AB44" si="7">SUM(C20:N20,AA20)</f>
        <v>0</v>
      </c>
    </row>
    <row r="21" spans="1:28" hidden="1" outlineLevel="1" x14ac:dyDescent="0.2">
      <c r="A21" t="s">
        <v>214</v>
      </c>
      <c r="B21" t="str">
        <f>VLOOKUP(A21,Parameters!R:S,2,FALSE)</f>
        <v>Canada</v>
      </c>
      <c r="C21" s="26">
        <f>IF(TRUE,0,_xll.PSFx3BAL(CN,"*","DAF_Country",$A21,"DAF_Award",C$3,"NOMINAL",$A$2,PF,PT))</f>
        <v>0</v>
      </c>
      <c r="D21" s="26">
        <f>IF(TRUE,0,_xll.PSFx3BAL(CN,"*","DAF_Country",$A21,"DAF_Award",D$3,"NOMINAL",$A$2,PF,PT))</f>
        <v>0</v>
      </c>
      <c r="E21" s="26">
        <f>IF(TRUE,0,_xll.PSFx3BAL(CN,"*","DAF_Country",$A21,"DAF_Award",E$3,"NOMINAL",$A$2,PF,PT))</f>
        <v>0</v>
      </c>
      <c r="F21" s="26">
        <f>IF(TRUE,0,_xll.PSFx3BAL(CN,"*","DAF_Country",$A21,"DAF_Award",F$3,"NOMINAL",$A$2,PF,PT))</f>
        <v>0</v>
      </c>
      <c r="G21" s="26">
        <f>IF(TRUE,0,_xll.PSFx3BAL(CN,"*","DAF_Country",$A21,"DAF_Award",G$3,"NOMINAL",$A$2,PF,PT))</f>
        <v>0</v>
      </c>
      <c r="H21" s="26">
        <f>IF(TRUE,0,_xll.PSFx3BAL(CN,"*","DAF_Country",$A21,"DAF_Award",H$3,"NOMINAL",$A$2,PF,PT))</f>
        <v>0</v>
      </c>
      <c r="I21" s="26">
        <f>IF(TRUE,0,_xll.PSFx3BAL(CN,"*","DAF_Country",$A21,"DAF_Award",I$3,"NOMINAL",$A$2,PF,PT))</f>
        <v>0</v>
      </c>
      <c r="J21" s="26">
        <f>IF(TRUE,0,_xll.PSFx3BAL(CN,"*","DAF_Country",$A21,"DAF_Award",J$3,"NOMINAL",$A$2,PF,PT))</f>
        <v>0</v>
      </c>
      <c r="K21" s="26">
        <f>IF(TRUE,0,_xll.PSFx3BAL(CN,"*","DAF_Country",$A21,"DAF_Award",K$3,"NOMINAL",$A$2,PF,PT))</f>
        <v>0</v>
      </c>
      <c r="L21" s="26">
        <f>IF(TRUE,0,_xll.PSFx3BAL(CN,"*","DAF_Country",$A21,"DAF_Award",L$3,"NOMINAL",$A$2,PF,PT))</f>
        <v>0</v>
      </c>
      <c r="M21" s="26">
        <f>IF(TRUE,0,_xll.PSFx3BAL(CN,"*","DAF_Country",$A21,"DAF_Award",M$3,"NOMINAL",$A$2,PF,PT))</f>
        <v>0</v>
      </c>
      <c r="N21" s="26">
        <f>IF(TRUE,0,_xll.PSFx3BAL(CN,"*","DAF_Country",$A21,"DAF_Award",N$3,"NOMINAL",$A$2,PF,PT))</f>
        <v>0</v>
      </c>
      <c r="O21" s="26">
        <f>IF(TRUE,0,_xll.PSFx3BAL(CN,"*","DAF_Country",$A21,"DAF_Award",O$3,"NOMINAL",$A$2,PF,PT))</f>
        <v>0</v>
      </c>
      <c r="P21" s="26">
        <f>IF(TRUE,0,_xll.PSFx3BAL(CN,"*","DAF_Country",$A21,"DAF_Award",P$3,"NOMINAL",$A$2,PF,PT))</f>
        <v>0</v>
      </c>
      <c r="Q21" s="26">
        <f>IF(TRUE,0,_xll.PSFx3BAL(CN,"*","DAF_Country",$A21,"DAF_Award",Q$3,"NOMINAL",$A$2,PF,PT))</f>
        <v>0</v>
      </c>
      <c r="R21" s="26">
        <f>IF(TRUE,0,_xll.PSFx3BAL(CN,"*","DAF_Country",$A21,"DAF_Award",R$3,"NOMINAL",$A$2,PF,PT))</f>
        <v>0</v>
      </c>
      <c r="S21" s="26">
        <f>IF(TRUE,0,_xll.PSFx3BAL(CN,"*","DAF_Country",$A21,"DAF_Award",S$3,"NOMINAL",$A$2,PF,PT))</f>
        <v>0</v>
      </c>
      <c r="T21" s="26">
        <f>IF(TRUE,0,_xll.PSFx3BAL(CN,"*","DAF_Country",$A21,"DAF_Award",T$3,"NOMINAL",$A$2,PF,PT))</f>
        <v>0</v>
      </c>
      <c r="U21" s="26">
        <f>IF(TRUE,0,_xll.PSFx3BAL(CN,"*","DAF_Country",$A21,"DAF_Award",U$3,"NOMINAL",$A$2,PF,PT))</f>
        <v>0</v>
      </c>
      <c r="V21" s="26">
        <f>IF(TRUE,0,_xll.PSFx3BAL(CN,"*","DAF_Country",$A21,"DAF_Award",V$3,"NOMINAL",$A$2,PF,PT))</f>
        <v>0</v>
      </c>
      <c r="W21" s="26">
        <f>IF(TRUE,0,_xll.PSFx3BAL(CN,"*","DAF_Country",$A21,"DAF_Award",W$3,"NOMINAL",$A$2,PF,PT))</f>
        <v>0</v>
      </c>
      <c r="X21" s="26">
        <f>IF(TRUE,0,_xll.PSFx3BAL(CN,"*","DAF_Country",$A21,"DAF_Award",X$3,"NOMINAL",$A$2,PF,PT))</f>
        <v>0</v>
      </c>
      <c r="Y21" s="26">
        <f>IF(TRUE,0,_xll.PSFx3BAL(CN,"*","DAF_Country",$A21,"DAF_Award",Y$3,"NOMINAL",$A$2,PF,PT))</f>
        <v>0</v>
      </c>
      <c r="Z21" s="26">
        <f>IF(TRUE,0,_xll.PSFx3BAL(CN,"*","DAF_Country",$A21,"DAF_Award",Z$3,"NOMINAL",$A$2,PF,PT))</f>
        <v>0</v>
      </c>
      <c r="AA21" s="9">
        <f t="shared" si="6"/>
        <v>0</v>
      </c>
      <c r="AB21" s="19">
        <f t="shared" si="7"/>
        <v>0</v>
      </c>
    </row>
    <row r="22" spans="1:28" hidden="1" outlineLevel="1" x14ac:dyDescent="0.2">
      <c r="A22" t="s">
        <v>215</v>
      </c>
      <c r="B22" t="str">
        <f>VLOOKUP(A22,Parameters!R:S,2,FALSE)</f>
        <v>Central costs</v>
      </c>
      <c r="C22" s="26">
        <f>IF(TRUE,0,_xll.PSFx3BAL(CN,"*","DAF_Country",$A22,"DAF_Award",C$3,"NOMINAL",$A$2,PF,PT))</f>
        <v>0</v>
      </c>
      <c r="D22" s="26">
        <f>IF(TRUE,0,_xll.PSFx3BAL(CN,"*","DAF_Country",$A22,"DAF_Award",D$3,"NOMINAL",$A$2,PF,PT))</f>
        <v>0</v>
      </c>
      <c r="E22" s="26">
        <f>IF(TRUE,0,_xll.PSFx3BAL(CN,"*","DAF_Country",$A22,"DAF_Award",E$3,"NOMINAL",$A$2,PF,PT))</f>
        <v>0</v>
      </c>
      <c r="F22" s="26">
        <f>IF(TRUE,0,_xll.PSFx3BAL(CN,"*","DAF_Country",$A22,"DAF_Award",F$3,"NOMINAL",$A$2,PF,PT))</f>
        <v>0</v>
      </c>
      <c r="G22" s="26">
        <f>IF(TRUE,0,_xll.PSFx3BAL(CN,"*","DAF_Country",$A22,"DAF_Award",G$3,"NOMINAL",$A$2,PF,PT))</f>
        <v>0</v>
      </c>
      <c r="H22" s="26">
        <f>IF(TRUE,0,_xll.PSFx3BAL(CN,"*","DAF_Country",$A22,"DAF_Award",H$3,"NOMINAL",$A$2,PF,PT))</f>
        <v>0</v>
      </c>
      <c r="I22" s="26">
        <f>IF(TRUE,0,_xll.PSFx3BAL(CN,"*","DAF_Country",$A22,"DAF_Award",I$3,"NOMINAL",$A$2,PF,PT))</f>
        <v>0</v>
      </c>
      <c r="J22" s="26">
        <f>IF(TRUE,0,_xll.PSFx3BAL(CN,"*","DAF_Country",$A22,"DAF_Award",J$3,"NOMINAL",$A$2,PF,PT))</f>
        <v>0</v>
      </c>
      <c r="K22" s="26">
        <f>IF(TRUE,0,_xll.PSFx3BAL(CN,"*","DAF_Country",$A22,"DAF_Award",K$3,"NOMINAL",$A$2,PF,PT))</f>
        <v>0</v>
      </c>
      <c r="L22" s="26">
        <f>IF(TRUE,0,_xll.PSFx3BAL(CN,"*","DAF_Country",$A22,"DAF_Award",L$3,"NOMINAL",$A$2,PF,PT))</f>
        <v>0</v>
      </c>
      <c r="M22" s="26">
        <f>IF(TRUE,0,_xll.PSFx3BAL(CN,"*","DAF_Country",$A22,"DAF_Award",M$3,"NOMINAL",$A$2,PF,PT))</f>
        <v>0</v>
      </c>
      <c r="N22" s="26">
        <f>IF(TRUE,0,_xll.PSFx3BAL(CN,"*","DAF_Country",$A22,"DAF_Award",N$3,"NOMINAL",$A$2,PF,PT))</f>
        <v>0</v>
      </c>
      <c r="O22" s="32">
        <f>IF(TRUE,0,_xll.PSFx3BAL(CN,"*","DAF_Country",$A22,"DAF_Award",O$3,"NOMINAL",$A$2,PF,PT))</f>
        <v>0</v>
      </c>
      <c r="P22" s="26">
        <f>IF(TRUE,0,_xll.PSFx3BAL(CN,"*","DAF_Country",$A22,"DAF_Award",P$3,"NOMINAL",$A$2,PF,PT))</f>
        <v>0</v>
      </c>
      <c r="Q22" s="26">
        <f>IF(TRUE,0,_xll.PSFx3BAL(CN,"*","DAF_Country",$A22,"DAF_Award",Q$3,"NOMINAL",$A$2,PF,PT))</f>
        <v>0</v>
      </c>
      <c r="R22" s="26">
        <f>IF(TRUE,0,_xll.PSFx3BAL(CN,"*","DAF_Country",$A22,"DAF_Award",R$3,"NOMINAL",$A$2,PF,PT))</f>
        <v>0</v>
      </c>
      <c r="S22" s="26">
        <f>IF(TRUE,0,_xll.PSFx3BAL(CN,"*","DAF_Country",$A22,"DAF_Award",S$3,"NOMINAL",$A$2,PF,PT))</f>
        <v>0</v>
      </c>
      <c r="T22" s="26">
        <f>IF(TRUE,0,_xll.PSFx3BAL(CN,"*","DAF_Country",$A22,"DAF_Award",T$3,"NOMINAL",$A$2,PF,PT))</f>
        <v>0</v>
      </c>
      <c r="U22" s="26">
        <f>IF(TRUE,0,_xll.PSFx3BAL(CN,"*","DAF_Country",$A22,"DAF_Award",U$3,"NOMINAL",$A$2,PF,PT))</f>
        <v>0</v>
      </c>
      <c r="V22" s="26">
        <f>IF(TRUE,0,_xll.PSFx3BAL(CN,"*","DAF_Country",$A22,"DAF_Award",V$3,"NOMINAL",$A$2,PF,PT))</f>
        <v>0</v>
      </c>
      <c r="W22" s="26">
        <f>IF(TRUE,0,_xll.PSFx3BAL(CN,"*","DAF_Country",$A22,"DAF_Award",W$3,"NOMINAL",$A$2,PF,PT))</f>
        <v>0</v>
      </c>
      <c r="X22" s="26">
        <f>IF(TRUE,0,_xll.PSFx3BAL(CN,"*","DAF_Country",$A22,"DAF_Award",X$3,"NOMINAL",$A$2,PF,PT))</f>
        <v>0</v>
      </c>
      <c r="Y22" s="26">
        <f>IF(TRUE,0,_xll.PSFx3BAL(CN,"*","DAF_Country",$A22,"DAF_Award",Y$3,"NOMINAL",$A$2,PF,PT))</f>
        <v>0</v>
      </c>
      <c r="Z22" s="26">
        <f>IF(TRUE,0,_xll.PSFx3BAL(CN,"*","DAF_Country",$A22,"DAF_Award",Z$3,"NOMINAL",$A$2,PF,PT))</f>
        <v>0</v>
      </c>
      <c r="AA22" s="9">
        <f t="shared" si="6"/>
        <v>0</v>
      </c>
      <c r="AB22" s="19">
        <f t="shared" si="7"/>
        <v>0</v>
      </c>
    </row>
    <row r="23" spans="1:28" hidden="1" outlineLevel="1" x14ac:dyDescent="0.2">
      <c r="A23" t="s">
        <v>216</v>
      </c>
      <c r="B23" t="str">
        <f>VLOOKUP(A23,Parameters!R:S,2,FALSE)</f>
        <v>Switzerland</v>
      </c>
      <c r="C23" s="26">
        <f>IF(TRUE,0,_xll.PSFx3BAL(CN,"*","DAF_Country",$A23,"DAF_Award",C$3,"NOMINAL",$A$2,PF,PT))</f>
        <v>0</v>
      </c>
      <c r="D23" s="26">
        <f>IF(TRUE,0,_xll.PSFx3BAL(CN,"*","DAF_Country",$A23,"DAF_Award",D$3,"NOMINAL",$A$2,PF,PT))</f>
        <v>0</v>
      </c>
      <c r="E23" s="26">
        <f>IF(TRUE,0,_xll.PSFx3BAL(CN,"*","DAF_Country",$A23,"DAF_Award",E$3,"NOMINAL",$A$2,PF,PT))</f>
        <v>0</v>
      </c>
      <c r="F23" s="26">
        <f>IF(TRUE,0,_xll.PSFx3BAL(CN,"*","DAF_Country",$A23,"DAF_Award",F$3,"NOMINAL",$A$2,PF,PT))</f>
        <v>0</v>
      </c>
      <c r="G23" s="26">
        <f>IF(TRUE,0,_xll.PSFx3BAL(CN,"*","DAF_Country",$A23,"DAF_Award",G$3,"NOMINAL",$A$2,PF,PT))</f>
        <v>0</v>
      </c>
      <c r="H23" s="26">
        <f>IF(TRUE,0,_xll.PSFx3BAL(CN,"*","DAF_Country",$A23,"DAF_Award",H$3,"NOMINAL",$A$2,PF,PT))</f>
        <v>0</v>
      </c>
      <c r="I23" s="26">
        <f>IF(TRUE,0,_xll.PSFx3BAL(CN,"*","DAF_Country",$A23,"DAF_Award",I$3,"NOMINAL",$A$2,PF,PT))</f>
        <v>0</v>
      </c>
      <c r="J23" s="26">
        <f>IF(TRUE,0,_xll.PSFx3BAL(CN,"*","DAF_Country",$A23,"DAF_Award",J$3,"NOMINAL",$A$2,PF,PT))</f>
        <v>0</v>
      </c>
      <c r="K23" s="26">
        <f>IF(TRUE,0,_xll.PSFx3BAL(CN,"*","DAF_Country",$A23,"DAF_Award",K$3,"NOMINAL",$A$2,PF,PT))</f>
        <v>0</v>
      </c>
      <c r="L23" s="26">
        <f>IF(TRUE,0,_xll.PSFx3BAL(CN,"*","DAF_Country",$A23,"DAF_Award",L$3,"NOMINAL",$A$2,PF,PT))</f>
        <v>0</v>
      </c>
      <c r="M23" s="26">
        <f>IF(TRUE,0,_xll.PSFx3BAL(CN,"*","DAF_Country",$A23,"DAF_Award",M$3,"NOMINAL",$A$2,PF,PT))</f>
        <v>0</v>
      </c>
      <c r="N23" s="26">
        <f>IF(TRUE,0,_xll.PSFx3BAL(CN,"*","DAF_Country",$A23,"DAF_Award",N$3,"NOMINAL",$A$2,PF,PT))</f>
        <v>0</v>
      </c>
      <c r="O23" s="26">
        <f>IF(TRUE,0,_xll.PSFx3BAL(CN,"*","DAF_Country",$A23,"DAF_Award",O$3,"NOMINAL",$A$2,PF,PT))</f>
        <v>0</v>
      </c>
      <c r="P23" s="26">
        <f>IF(TRUE,0,_xll.PSFx3BAL(CN,"*","DAF_Country",$A23,"DAF_Award",P$3,"NOMINAL",$A$2,PF,PT))</f>
        <v>0</v>
      </c>
      <c r="Q23" s="26">
        <f>IF(TRUE,0,_xll.PSFx3BAL(CN,"*","DAF_Country",$A23,"DAF_Award",Q$3,"NOMINAL",$A$2,PF,PT))</f>
        <v>0</v>
      </c>
      <c r="R23" s="26">
        <f>IF(TRUE,0,_xll.PSFx3BAL(CN,"*","DAF_Country",$A23,"DAF_Award",R$3,"NOMINAL",$A$2,PF,PT))</f>
        <v>0</v>
      </c>
      <c r="S23" s="26">
        <f>IF(TRUE,0,_xll.PSFx3BAL(CN,"*","DAF_Country",$A23,"DAF_Award",S$3,"NOMINAL",$A$2,PF,PT))</f>
        <v>0</v>
      </c>
      <c r="T23" s="26">
        <f>IF(TRUE,0,_xll.PSFx3BAL(CN,"*","DAF_Country",$A23,"DAF_Award",T$3,"NOMINAL",$A$2,PF,PT))</f>
        <v>0</v>
      </c>
      <c r="U23" s="26">
        <f>IF(TRUE,0,_xll.PSFx3BAL(CN,"*","DAF_Country",$A23,"DAF_Award",U$3,"NOMINAL",$A$2,PF,PT))</f>
        <v>0</v>
      </c>
      <c r="V23" s="26">
        <f>IF(TRUE,0,_xll.PSFx3BAL(CN,"*","DAF_Country",$A23,"DAF_Award",V$3,"NOMINAL",$A$2,PF,PT))</f>
        <v>0</v>
      </c>
      <c r="W23" s="26">
        <f>IF(TRUE,0,_xll.PSFx3BAL(CN,"*","DAF_Country",$A23,"DAF_Award",W$3,"NOMINAL",$A$2,PF,PT))</f>
        <v>0</v>
      </c>
      <c r="X23" s="26">
        <f>IF(TRUE,0,_xll.PSFx3BAL(CN,"*","DAF_Country",$A23,"DAF_Award",X$3,"NOMINAL",$A$2,PF,PT))</f>
        <v>0</v>
      </c>
      <c r="Y23" s="26">
        <f>IF(TRUE,0,_xll.PSFx3BAL(CN,"*","DAF_Country",$A23,"DAF_Award",Y$3,"NOMINAL",$A$2,PF,PT))</f>
        <v>0</v>
      </c>
      <c r="Z23" s="26">
        <f>IF(TRUE,0,_xll.PSFx3BAL(CN,"*","DAF_Country",$A23,"DAF_Award",Z$3,"NOMINAL",$A$2,PF,PT))</f>
        <v>0</v>
      </c>
      <c r="AA23" s="9">
        <f t="shared" si="6"/>
        <v>0</v>
      </c>
      <c r="AB23" s="19">
        <f t="shared" si="7"/>
        <v>0</v>
      </c>
    </row>
    <row r="24" spans="1:28" hidden="1" outlineLevel="1" x14ac:dyDescent="0.2">
      <c r="A24" t="s">
        <v>221</v>
      </c>
      <c r="B24" t="str">
        <f>VLOOKUP(A24,Parameters!R:S,2,FALSE)</f>
        <v>Consortium Operational Research COR-NTDs</v>
      </c>
      <c r="C24" s="26">
        <f>IF(TRUE,0,_xll.PSFx3BAL(CN,"*","DAF_Country",$A24,"DAF_Award",C$3,"NOMINAL",$A$2,PF,PT))</f>
        <v>0</v>
      </c>
      <c r="D24" s="26">
        <f>IF(TRUE,0,_xll.PSFx3BAL(CN,"*","DAF_Country",$A24,"DAF_Award",D$3,"NOMINAL",$A$2,PF,PT))</f>
        <v>0</v>
      </c>
      <c r="E24" s="26">
        <f>IF(TRUE,0,_xll.PSFx3BAL(CN,"*","DAF_Country",$A24,"DAF_Award",E$3,"NOMINAL",$A$2,PF,PT))</f>
        <v>0</v>
      </c>
      <c r="F24" s="26">
        <f>IF(TRUE,0,_xll.PSFx3BAL(CN,"*","DAF_Country",$A24,"DAF_Award",F$3,"NOMINAL",$A$2,PF,PT))</f>
        <v>0</v>
      </c>
      <c r="G24" s="26">
        <f>IF(TRUE,0,_xll.PSFx3BAL(CN,"*","DAF_Country",$A24,"DAF_Award",G$3,"NOMINAL",$A$2,PF,PT))</f>
        <v>0</v>
      </c>
      <c r="H24" s="26">
        <f>IF(TRUE,0,_xll.PSFx3BAL(CN,"*","DAF_Country",$A24,"DAF_Award",H$3,"NOMINAL",$A$2,PF,PT))</f>
        <v>0</v>
      </c>
      <c r="I24" s="26">
        <f>IF(TRUE,0,_xll.PSFx3BAL(CN,"*","DAF_Country",$A24,"DAF_Award",I$3,"NOMINAL",$A$2,PF,PT))</f>
        <v>0</v>
      </c>
      <c r="J24" s="26">
        <f>IF(TRUE,0,_xll.PSFx3BAL(CN,"*","DAF_Country",$A24,"DAF_Award",J$3,"NOMINAL",$A$2,PF,PT))</f>
        <v>0</v>
      </c>
      <c r="K24" s="26">
        <f>IF(TRUE,0,_xll.PSFx3BAL(CN,"*","DAF_Country",$A24,"DAF_Award",K$3,"NOMINAL",$A$2,PF,PT))</f>
        <v>0</v>
      </c>
      <c r="L24" s="26">
        <f>IF(TRUE,0,_xll.PSFx3BAL(CN,"*","DAF_Country",$A24,"DAF_Award",L$3,"NOMINAL",$A$2,PF,PT))</f>
        <v>0</v>
      </c>
      <c r="M24" s="26">
        <f>IF(TRUE,0,_xll.PSFx3BAL(CN,"*","DAF_Country",$A24,"DAF_Award",M$3,"NOMINAL",$A$2,PF,PT))</f>
        <v>0</v>
      </c>
      <c r="N24" s="26">
        <f>IF(TRUE,0,_xll.PSFx3BAL(CN,"*","DAF_Country",$A24,"DAF_Award",N$3,"NOMINAL",$A$2,PF,PT))</f>
        <v>0</v>
      </c>
      <c r="O24" s="26">
        <f>IF(TRUE,0,_xll.PSFx3BAL(CN,"*","DAF_Country",$A24,"DAF_Award",O$3,"NOMINAL",$A$2,PF,PT))</f>
        <v>0</v>
      </c>
      <c r="P24" s="26">
        <f>IF(TRUE,0,_xll.PSFx3BAL(CN,"*","DAF_Country",$A24,"DAF_Award",P$3,"NOMINAL",$A$2,PF,PT))</f>
        <v>0</v>
      </c>
      <c r="Q24" s="26">
        <f>IF(TRUE,0,_xll.PSFx3BAL(CN,"*","DAF_Country",$A24,"DAF_Award",Q$3,"NOMINAL",$A$2,PF,PT))</f>
        <v>0</v>
      </c>
      <c r="R24" s="26">
        <f>IF(TRUE,0,_xll.PSFx3BAL(CN,"*","DAF_Country",$A24,"DAF_Award",R$3,"NOMINAL",$A$2,PF,PT))</f>
        <v>0</v>
      </c>
      <c r="S24" s="26">
        <f>IF(TRUE,0,_xll.PSFx3BAL(CN,"*","DAF_Country",$A24,"DAF_Award",S$3,"NOMINAL",$A$2,PF,PT))</f>
        <v>0</v>
      </c>
      <c r="T24" s="26">
        <f>IF(TRUE,0,_xll.PSFx3BAL(CN,"*","DAF_Country",$A24,"DAF_Award",T$3,"NOMINAL",$A$2,PF,PT))</f>
        <v>0</v>
      </c>
      <c r="U24" s="26">
        <f>IF(TRUE,0,_xll.PSFx3BAL(CN,"*","DAF_Country",$A24,"DAF_Award",U$3,"NOMINAL",$A$2,PF,PT))</f>
        <v>0</v>
      </c>
      <c r="V24" s="26">
        <f>IF(TRUE,0,_xll.PSFx3BAL(CN,"*","DAF_Country",$A24,"DAF_Award",V$3,"NOMINAL",$A$2,PF,PT))</f>
        <v>0</v>
      </c>
      <c r="W24" s="26">
        <f>IF(TRUE,0,_xll.PSFx3BAL(CN,"*","DAF_Country",$A24,"DAF_Award",W$3,"NOMINAL",$A$2,PF,PT))</f>
        <v>0</v>
      </c>
      <c r="X24" s="26">
        <f>IF(TRUE,0,_xll.PSFx3BAL(CN,"*","DAF_Country",$A24,"DAF_Award",X$3,"NOMINAL",$A$2,PF,PT))</f>
        <v>0</v>
      </c>
      <c r="Y24" s="26">
        <f>IF(TRUE,0,_xll.PSFx3BAL(CN,"*","DAF_Country",$A24,"DAF_Award",Y$3,"NOMINAL",$A$2,PF,PT))</f>
        <v>0</v>
      </c>
      <c r="Z24" s="26">
        <f>IF(TRUE,0,_xll.PSFx3BAL(CN,"*","DAF_Country",$A24,"DAF_Award",Z$3,"NOMINAL",$A$2,PF,PT))</f>
        <v>0</v>
      </c>
      <c r="AA24" s="9">
        <f t="shared" si="6"/>
        <v>0</v>
      </c>
      <c r="AB24" s="19">
        <f t="shared" si="7"/>
        <v>0</v>
      </c>
    </row>
    <row r="25" spans="1:28" hidden="1" outlineLevel="1" x14ac:dyDescent="0.2">
      <c r="A25" t="s">
        <v>222</v>
      </c>
      <c r="B25" t="str">
        <f>VLOOKUP(A25,Parameters!R:S,2,FALSE)</f>
        <v>Germany</v>
      </c>
      <c r="C25" s="26">
        <f>IF(TRUE,0,_xll.PSFx3BAL(CN,"*","DAF_Country",$A25,"DAF_Award",C$3,"NOMINAL",$A$2,PF,PT))</f>
        <v>0</v>
      </c>
      <c r="D25" s="26">
        <f>IF(TRUE,0,_xll.PSFx3BAL(CN,"*","DAF_Country",$A25,"DAF_Award",D$3,"NOMINAL",$A$2,PF,PT))</f>
        <v>0</v>
      </c>
      <c r="E25" s="26">
        <f>IF(TRUE,0,_xll.PSFx3BAL(CN,"*","DAF_Country",$A25,"DAF_Award",E$3,"NOMINAL",$A$2,PF,PT))</f>
        <v>0</v>
      </c>
      <c r="F25" s="26">
        <f>IF(TRUE,0,_xll.PSFx3BAL(CN,"*","DAF_Country",$A25,"DAF_Award",F$3,"NOMINAL",$A$2,PF,PT))</f>
        <v>0</v>
      </c>
      <c r="G25" s="26">
        <f>IF(TRUE,0,_xll.PSFx3BAL(CN,"*","DAF_Country",$A25,"DAF_Award",G$3,"NOMINAL",$A$2,PF,PT))</f>
        <v>0</v>
      </c>
      <c r="H25" s="26">
        <f>IF(TRUE,0,_xll.PSFx3BAL(CN,"*","DAF_Country",$A25,"DAF_Award",H$3,"NOMINAL",$A$2,PF,PT))</f>
        <v>0</v>
      </c>
      <c r="I25" s="26">
        <f>IF(TRUE,0,_xll.PSFx3BAL(CN,"*","DAF_Country",$A25,"DAF_Award",I$3,"NOMINAL",$A$2,PF,PT))</f>
        <v>0</v>
      </c>
      <c r="J25" s="26">
        <f>IF(TRUE,0,_xll.PSFx3BAL(CN,"*","DAF_Country",$A25,"DAF_Award",J$3,"NOMINAL",$A$2,PF,PT))</f>
        <v>0</v>
      </c>
      <c r="K25" s="26">
        <f>IF(TRUE,0,_xll.PSFx3BAL(CN,"*","DAF_Country",$A25,"DAF_Award",K$3,"NOMINAL",$A$2,PF,PT))</f>
        <v>0</v>
      </c>
      <c r="L25" s="26">
        <f>IF(TRUE,0,_xll.PSFx3BAL(CN,"*","DAF_Country",$A25,"DAF_Award",L$3,"NOMINAL",$A$2,PF,PT))</f>
        <v>0</v>
      </c>
      <c r="M25" s="26">
        <f>IF(TRUE,0,_xll.PSFx3BAL(CN,"*","DAF_Country",$A25,"DAF_Award",M$3,"NOMINAL",$A$2,PF,PT))</f>
        <v>0</v>
      </c>
      <c r="N25" s="26">
        <f>IF(TRUE,0,_xll.PSFx3BAL(CN,"*","DAF_Country",$A25,"DAF_Award",N$3,"NOMINAL",$A$2,PF,PT))</f>
        <v>0</v>
      </c>
      <c r="O25" s="26">
        <f>IF(TRUE,0,_xll.PSFx3BAL(CN,"*","DAF_Country",$A25,"DAF_Award",O$3,"NOMINAL",$A$2,PF,PT))</f>
        <v>0</v>
      </c>
      <c r="P25" s="26">
        <f>IF(TRUE,0,_xll.PSFx3BAL(CN,"*","DAF_Country",$A25,"DAF_Award",P$3,"NOMINAL",$A$2,PF,PT))</f>
        <v>0</v>
      </c>
      <c r="Q25" s="26">
        <f>IF(TRUE,0,_xll.PSFx3BAL(CN,"*","DAF_Country",$A25,"DAF_Award",Q$3,"NOMINAL",$A$2,PF,PT))</f>
        <v>0</v>
      </c>
      <c r="R25" s="26">
        <f>IF(TRUE,0,_xll.PSFx3BAL(CN,"*","DAF_Country",$A25,"DAF_Award",R$3,"NOMINAL",$A$2,PF,PT))</f>
        <v>0</v>
      </c>
      <c r="S25" s="26">
        <f>IF(TRUE,0,_xll.PSFx3BAL(CN,"*","DAF_Country",$A25,"DAF_Award",S$3,"NOMINAL",$A$2,PF,PT))</f>
        <v>0</v>
      </c>
      <c r="T25" s="26">
        <f>IF(TRUE,0,_xll.PSFx3BAL(CN,"*","DAF_Country",$A25,"DAF_Award",T$3,"NOMINAL",$A$2,PF,PT))</f>
        <v>0</v>
      </c>
      <c r="U25" s="26">
        <f>IF(TRUE,0,_xll.PSFx3BAL(CN,"*","DAF_Country",$A25,"DAF_Award",U$3,"NOMINAL",$A$2,PF,PT))</f>
        <v>0</v>
      </c>
      <c r="V25" s="26">
        <f>IF(TRUE,0,_xll.PSFx3BAL(CN,"*","DAF_Country",$A25,"DAF_Award",V$3,"NOMINAL",$A$2,PF,PT))</f>
        <v>0</v>
      </c>
      <c r="W25" s="26">
        <f>IF(TRUE,0,_xll.PSFx3BAL(CN,"*","DAF_Country",$A25,"DAF_Award",W$3,"NOMINAL",$A$2,PF,PT))</f>
        <v>0</v>
      </c>
      <c r="X25" s="26">
        <f>IF(TRUE,0,_xll.PSFx3BAL(CN,"*","DAF_Country",$A25,"DAF_Award",X$3,"NOMINAL",$A$2,PF,PT))</f>
        <v>0</v>
      </c>
      <c r="Y25" s="26">
        <f>IF(TRUE,0,_xll.PSFx3BAL(CN,"*","DAF_Country",$A25,"DAF_Award",Y$3,"NOMINAL",$A$2,PF,PT))</f>
        <v>0</v>
      </c>
      <c r="Z25" s="26">
        <f>IF(TRUE,0,_xll.PSFx3BAL(CN,"*","DAF_Country",$A25,"DAF_Award",Z$3,"NOMINAL",$A$2,PF,PT))</f>
        <v>0</v>
      </c>
      <c r="AA25" s="9">
        <f t="shared" si="6"/>
        <v>0</v>
      </c>
      <c r="AB25" s="19">
        <f t="shared" si="7"/>
        <v>0</v>
      </c>
    </row>
    <row r="26" spans="1:28" hidden="1" outlineLevel="1" x14ac:dyDescent="0.2">
      <c r="A26" t="s">
        <v>223</v>
      </c>
      <c r="B26" t="str">
        <f>VLOOKUP(A26,Parameters!R:S,2,FALSE)</f>
        <v>Effective Altruism Conferences</v>
      </c>
      <c r="C26" s="26">
        <f>IF(TRUE,0,_xll.PSFx3BAL(CN,"*","DAF_Country",$A26,"DAF_Award",C$3,"NOMINAL",$A$2,PF,PT))</f>
        <v>0</v>
      </c>
      <c r="D26" s="26">
        <f>IF(TRUE,0,_xll.PSFx3BAL(CN,"*","DAF_Country",$A26,"DAF_Award",D$3,"NOMINAL",$A$2,PF,PT))</f>
        <v>0</v>
      </c>
      <c r="E26" s="26">
        <f>IF(TRUE,0,_xll.PSFx3BAL(CN,"*","DAF_Country",$A26,"DAF_Award",E$3,"NOMINAL",$A$2,PF,PT))</f>
        <v>0</v>
      </c>
      <c r="F26" s="26">
        <f>IF(TRUE,0,_xll.PSFx3BAL(CN,"*","DAF_Country",$A26,"DAF_Award",F$3,"NOMINAL",$A$2,PF,PT))</f>
        <v>0</v>
      </c>
      <c r="G26" s="26">
        <f>IF(TRUE,0,_xll.PSFx3BAL(CN,"*","DAF_Country",$A26,"DAF_Award",G$3,"NOMINAL",$A$2,PF,PT))</f>
        <v>0</v>
      </c>
      <c r="H26" s="26">
        <f>IF(TRUE,0,_xll.PSFx3BAL(CN,"*","DAF_Country",$A26,"DAF_Award",H$3,"NOMINAL",$A$2,PF,PT))</f>
        <v>0</v>
      </c>
      <c r="I26" s="26">
        <f>IF(TRUE,0,_xll.PSFx3BAL(CN,"*","DAF_Country",$A26,"DAF_Award",I$3,"NOMINAL",$A$2,PF,PT))</f>
        <v>0</v>
      </c>
      <c r="J26" s="26">
        <f>IF(TRUE,0,_xll.PSFx3BAL(CN,"*","DAF_Country",$A26,"DAF_Award",J$3,"NOMINAL",$A$2,PF,PT))</f>
        <v>0</v>
      </c>
      <c r="K26" s="26">
        <f>IF(TRUE,0,_xll.PSFx3BAL(CN,"*","DAF_Country",$A26,"DAF_Award",K$3,"NOMINAL",$A$2,PF,PT))</f>
        <v>0</v>
      </c>
      <c r="L26" s="26">
        <f>IF(TRUE,0,_xll.PSFx3BAL(CN,"*","DAF_Country",$A26,"DAF_Award",L$3,"NOMINAL",$A$2,PF,PT))</f>
        <v>0</v>
      </c>
      <c r="M26" s="26">
        <f>IF(TRUE,0,_xll.PSFx3BAL(CN,"*","DAF_Country",$A26,"DAF_Award",M$3,"NOMINAL",$A$2,PF,PT))</f>
        <v>0</v>
      </c>
      <c r="N26" s="26">
        <f>IF(TRUE,0,_xll.PSFx3BAL(CN,"*","DAF_Country",$A26,"DAF_Award",N$3,"NOMINAL",$A$2,PF,PT))</f>
        <v>0</v>
      </c>
      <c r="O26" s="26">
        <f>IF(TRUE,0,_xll.PSFx3BAL(CN,"*","DAF_Country",$A26,"DAF_Award",O$3,"NOMINAL",$A$2,PF,PT))</f>
        <v>0</v>
      </c>
      <c r="P26" s="26">
        <f>IF(TRUE,0,_xll.PSFx3BAL(CN,"*","DAF_Country",$A26,"DAF_Award",P$3,"NOMINAL",$A$2,PF,PT))</f>
        <v>0</v>
      </c>
      <c r="Q26" s="26">
        <f>IF(TRUE,0,_xll.PSFx3BAL(CN,"*","DAF_Country",$A26,"DAF_Award",Q$3,"NOMINAL",$A$2,PF,PT))</f>
        <v>0</v>
      </c>
      <c r="R26" s="26">
        <f>IF(TRUE,0,_xll.PSFx3BAL(CN,"*","DAF_Country",$A26,"DAF_Award",R$3,"NOMINAL",$A$2,PF,PT))</f>
        <v>0</v>
      </c>
      <c r="S26" s="26">
        <f>IF(TRUE,0,_xll.PSFx3BAL(CN,"*","DAF_Country",$A26,"DAF_Award",S$3,"NOMINAL",$A$2,PF,PT))</f>
        <v>0</v>
      </c>
      <c r="T26" s="26">
        <f>IF(TRUE,0,_xll.PSFx3BAL(CN,"*","DAF_Country",$A26,"DAF_Award",T$3,"NOMINAL",$A$2,PF,PT))</f>
        <v>0</v>
      </c>
      <c r="U26" s="26">
        <f>IF(TRUE,0,_xll.PSFx3BAL(CN,"*","DAF_Country",$A26,"DAF_Award",U$3,"NOMINAL",$A$2,PF,PT))</f>
        <v>0</v>
      </c>
      <c r="V26" s="26">
        <f>IF(TRUE,0,_xll.PSFx3BAL(CN,"*","DAF_Country",$A26,"DAF_Award",V$3,"NOMINAL",$A$2,PF,PT))</f>
        <v>0</v>
      </c>
      <c r="W26" s="26">
        <f>IF(TRUE,0,_xll.PSFx3BAL(CN,"*","DAF_Country",$A26,"DAF_Award",W$3,"NOMINAL",$A$2,PF,PT))</f>
        <v>0</v>
      </c>
      <c r="X26" s="26">
        <f>IF(TRUE,0,_xll.PSFx3BAL(CN,"*","DAF_Country",$A26,"DAF_Award",X$3,"NOMINAL",$A$2,PF,PT))</f>
        <v>0</v>
      </c>
      <c r="Y26" s="26">
        <f>IF(TRUE,0,_xll.PSFx3BAL(CN,"*","DAF_Country",$A26,"DAF_Award",Y$3,"NOMINAL",$A$2,PF,PT))</f>
        <v>0</v>
      </c>
      <c r="Z26" s="26">
        <f>IF(TRUE,0,_xll.PSFx3BAL(CN,"*","DAF_Country",$A26,"DAF_Award",Z$3,"NOMINAL",$A$2,PF,PT))</f>
        <v>0</v>
      </c>
      <c r="AA26" s="9">
        <f t="shared" si="6"/>
        <v>0</v>
      </c>
      <c r="AB26" s="19">
        <f t="shared" si="7"/>
        <v>0</v>
      </c>
    </row>
    <row r="27" spans="1:28" hidden="1" outlineLevel="1" x14ac:dyDescent="0.2">
      <c r="A27" t="s">
        <v>224</v>
      </c>
      <c r="B27" t="str">
        <f>VLOOKUP(A27,Parameters!R:S,2,FALSE)</f>
        <v>ECTMIH</v>
      </c>
      <c r="C27" s="26">
        <f>IF(TRUE,0,_xll.PSFx3BAL(CN,"*","DAF_Country",$A27,"DAF_Award",C$3,"NOMINAL",$A$2,PF,PT))</f>
        <v>0</v>
      </c>
      <c r="D27" s="26">
        <f>IF(TRUE,0,_xll.PSFx3BAL(CN,"*","DAF_Country",$A27,"DAF_Award",D$3,"NOMINAL",$A$2,PF,PT))</f>
        <v>0</v>
      </c>
      <c r="E27" s="26">
        <f>IF(TRUE,0,_xll.PSFx3BAL(CN,"*","DAF_Country",$A27,"DAF_Award",E$3,"NOMINAL",$A$2,PF,PT))</f>
        <v>0</v>
      </c>
      <c r="F27" s="26">
        <f>IF(TRUE,0,_xll.PSFx3BAL(CN,"*","DAF_Country",$A27,"DAF_Award",F$3,"NOMINAL",$A$2,PF,PT))</f>
        <v>0</v>
      </c>
      <c r="G27" s="26">
        <f>IF(TRUE,0,_xll.PSFx3BAL(CN,"*","DAF_Country",$A27,"DAF_Award",G$3,"NOMINAL",$A$2,PF,PT))</f>
        <v>0</v>
      </c>
      <c r="H27" s="26">
        <f>IF(TRUE,0,_xll.PSFx3BAL(CN,"*","DAF_Country",$A27,"DAF_Award",H$3,"NOMINAL",$A$2,PF,PT))</f>
        <v>0</v>
      </c>
      <c r="I27" s="26">
        <f>IF(TRUE,0,_xll.PSFx3BAL(CN,"*","DAF_Country",$A27,"DAF_Award",I$3,"NOMINAL",$A$2,PF,PT))</f>
        <v>0</v>
      </c>
      <c r="J27" s="26">
        <f>IF(TRUE,0,_xll.PSFx3BAL(CN,"*","DAF_Country",$A27,"DAF_Award",J$3,"NOMINAL",$A$2,PF,PT))</f>
        <v>0</v>
      </c>
      <c r="K27" s="26">
        <f>IF(TRUE,0,_xll.PSFx3BAL(CN,"*","DAF_Country",$A27,"DAF_Award",K$3,"NOMINAL",$A$2,PF,PT))</f>
        <v>0</v>
      </c>
      <c r="L27" s="26">
        <f>IF(TRUE,0,_xll.PSFx3BAL(CN,"*","DAF_Country",$A27,"DAF_Award",L$3,"NOMINAL",$A$2,PF,PT))</f>
        <v>0</v>
      </c>
      <c r="M27" s="26">
        <f>IF(TRUE,0,_xll.PSFx3BAL(CN,"*","DAF_Country",$A27,"DAF_Award",M$3,"NOMINAL",$A$2,PF,PT))</f>
        <v>0</v>
      </c>
      <c r="N27" s="26">
        <f>IF(TRUE,0,_xll.PSFx3BAL(CN,"*","DAF_Country",$A27,"DAF_Award",N$3,"NOMINAL",$A$2,PF,PT))</f>
        <v>0</v>
      </c>
      <c r="O27" s="26">
        <f>IF(TRUE,0,_xll.PSFx3BAL(CN,"*","DAF_Country",$A27,"DAF_Award",O$3,"NOMINAL",$A$2,PF,PT))</f>
        <v>0</v>
      </c>
      <c r="P27" s="26">
        <f>IF(TRUE,0,_xll.PSFx3BAL(CN,"*","DAF_Country",$A27,"DAF_Award",P$3,"NOMINAL",$A$2,PF,PT))</f>
        <v>0</v>
      </c>
      <c r="Q27" s="26">
        <f>IF(TRUE,0,_xll.PSFx3BAL(CN,"*","DAF_Country",$A27,"DAF_Award",Q$3,"NOMINAL",$A$2,PF,PT))</f>
        <v>0</v>
      </c>
      <c r="R27" s="26">
        <f>IF(TRUE,0,_xll.PSFx3BAL(CN,"*","DAF_Country",$A27,"DAF_Award",R$3,"NOMINAL",$A$2,PF,PT))</f>
        <v>0</v>
      </c>
      <c r="S27" s="26">
        <f>IF(TRUE,0,_xll.PSFx3BAL(CN,"*","DAF_Country",$A27,"DAF_Award",S$3,"NOMINAL",$A$2,PF,PT))</f>
        <v>0</v>
      </c>
      <c r="T27" s="26">
        <f>IF(TRUE,0,_xll.PSFx3BAL(CN,"*","DAF_Country",$A27,"DAF_Award",T$3,"NOMINAL",$A$2,PF,PT))</f>
        <v>0</v>
      </c>
      <c r="U27" s="26">
        <f>IF(TRUE,0,_xll.PSFx3BAL(CN,"*","DAF_Country",$A27,"DAF_Award",U$3,"NOMINAL",$A$2,PF,PT))</f>
        <v>0</v>
      </c>
      <c r="V27" s="26">
        <f>IF(TRUE,0,_xll.PSFx3BAL(CN,"*","DAF_Country",$A27,"DAF_Award",V$3,"NOMINAL",$A$2,PF,PT))</f>
        <v>0</v>
      </c>
      <c r="W27" s="26">
        <f>IF(TRUE,0,_xll.PSFx3BAL(CN,"*","DAF_Country",$A27,"DAF_Award",W$3,"NOMINAL",$A$2,PF,PT))</f>
        <v>0</v>
      </c>
      <c r="X27" s="26">
        <f>IF(TRUE,0,_xll.PSFx3BAL(CN,"*","DAF_Country",$A27,"DAF_Award",X$3,"NOMINAL",$A$2,PF,PT))</f>
        <v>0</v>
      </c>
      <c r="Y27" s="26">
        <f>IF(TRUE,0,_xll.PSFx3BAL(CN,"*","DAF_Country",$A27,"DAF_Award",Y$3,"NOMINAL",$A$2,PF,PT))</f>
        <v>0</v>
      </c>
      <c r="Z27" s="26">
        <f>IF(TRUE,0,_xll.PSFx3BAL(CN,"*","DAF_Country",$A27,"DAF_Award",Z$3,"NOMINAL",$A$2,PF,PT))</f>
        <v>0</v>
      </c>
      <c r="AA27" s="9">
        <f t="shared" si="6"/>
        <v>0</v>
      </c>
      <c r="AB27" s="19">
        <f t="shared" si="7"/>
        <v>0</v>
      </c>
    </row>
    <row r="28" spans="1:28" hidden="1" outlineLevel="1" x14ac:dyDescent="0.2">
      <c r="A28" t="s">
        <v>225</v>
      </c>
      <c r="B28" t="str">
        <f>VLOOKUP(A28,Parameters!R:S,2,FALSE)</f>
        <v>ESPEN</v>
      </c>
      <c r="C28" s="26">
        <f>IF(TRUE,0,_xll.PSFx3BAL(CN,"*","DAF_Country",$A28,"DAF_Award",C$3,"NOMINAL",$A$2,PF,PT))</f>
        <v>0</v>
      </c>
      <c r="D28" s="26">
        <f>IF(TRUE,0,_xll.PSFx3BAL(CN,"*","DAF_Country",$A28,"DAF_Award",D$3,"NOMINAL",$A$2,PF,PT))</f>
        <v>0</v>
      </c>
      <c r="E28" s="26">
        <f>IF(TRUE,0,_xll.PSFx3BAL(CN,"*","DAF_Country",$A28,"DAF_Award",E$3,"NOMINAL",$A$2,PF,PT))</f>
        <v>0</v>
      </c>
      <c r="F28" s="26">
        <f>IF(TRUE,0,_xll.PSFx3BAL(CN,"*","DAF_Country",$A28,"DAF_Award",F$3,"NOMINAL",$A$2,PF,PT))</f>
        <v>0</v>
      </c>
      <c r="G28" s="26">
        <f>IF(TRUE,0,_xll.PSFx3BAL(CN,"*","DAF_Country",$A28,"DAF_Award",G$3,"NOMINAL",$A$2,PF,PT))</f>
        <v>0</v>
      </c>
      <c r="H28" s="26">
        <f>IF(TRUE,0,_xll.PSFx3BAL(CN,"*","DAF_Country",$A28,"DAF_Award",H$3,"NOMINAL",$A$2,PF,PT))</f>
        <v>0</v>
      </c>
      <c r="I28" s="26">
        <f>IF(TRUE,0,_xll.PSFx3BAL(CN,"*","DAF_Country",$A28,"DAF_Award",I$3,"NOMINAL",$A$2,PF,PT))</f>
        <v>0</v>
      </c>
      <c r="J28" s="26">
        <f>IF(TRUE,0,_xll.PSFx3BAL(CN,"*","DAF_Country",$A28,"DAF_Award",J$3,"NOMINAL",$A$2,PF,PT))</f>
        <v>0</v>
      </c>
      <c r="K28" s="26">
        <f>IF(TRUE,0,_xll.PSFx3BAL(CN,"*","DAF_Country",$A28,"DAF_Award",K$3,"NOMINAL",$A$2,PF,PT))</f>
        <v>0</v>
      </c>
      <c r="L28" s="26">
        <f>IF(TRUE,0,_xll.PSFx3BAL(CN,"*","DAF_Country",$A28,"DAF_Award",L$3,"NOMINAL",$A$2,PF,PT))</f>
        <v>0</v>
      </c>
      <c r="M28" s="26">
        <f>IF(TRUE,0,_xll.PSFx3BAL(CN,"*","DAF_Country",$A28,"DAF_Award",M$3,"NOMINAL",$A$2,PF,PT))</f>
        <v>0</v>
      </c>
      <c r="N28" s="26">
        <f>IF(TRUE,0,_xll.PSFx3BAL(CN,"*","DAF_Country",$A28,"DAF_Award",N$3,"NOMINAL",$A$2,PF,PT))</f>
        <v>0</v>
      </c>
      <c r="O28" s="26">
        <f>IF(TRUE,0,_xll.PSFx3BAL(CN,"*","DAF_Country",$A28,"DAF_Award",O$3,"NOMINAL",$A$2,PF,PT))</f>
        <v>0</v>
      </c>
      <c r="P28" s="26">
        <f>IF(TRUE,0,_xll.PSFx3BAL(CN,"*","DAF_Country",$A28,"DAF_Award",P$3,"NOMINAL",$A$2,PF,PT))</f>
        <v>0</v>
      </c>
      <c r="Q28" s="26">
        <f>IF(TRUE,0,_xll.PSFx3BAL(CN,"*","DAF_Country",$A28,"DAF_Award",Q$3,"NOMINAL",$A$2,PF,PT))</f>
        <v>0</v>
      </c>
      <c r="R28" s="26">
        <f>IF(TRUE,0,_xll.PSFx3BAL(CN,"*","DAF_Country",$A28,"DAF_Award",R$3,"NOMINAL",$A$2,PF,PT))</f>
        <v>0</v>
      </c>
      <c r="S28" s="26">
        <f>IF(TRUE,0,_xll.PSFx3BAL(CN,"*","DAF_Country",$A28,"DAF_Award",S$3,"NOMINAL",$A$2,PF,PT))</f>
        <v>0</v>
      </c>
      <c r="T28" s="26">
        <f>IF(TRUE,0,_xll.PSFx3BAL(CN,"*","DAF_Country",$A28,"DAF_Award",T$3,"NOMINAL",$A$2,PF,PT))</f>
        <v>0</v>
      </c>
      <c r="U28" s="26">
        <f>IF(TRUE,0,_xll.PSFx3BAL(CN,"*","DAF_Country",$A28,"DAF_Award",U$3,"NOMINAL",$A$2,PF,PT))</f>
        <v>0</v>
      </c>
      <c r="V28" s="26">
        <f>IF(TRUE,0,_xll.PSFx3BAL(CN,"*","DAF_Country",$A28,"DAF_Award",V$3,"NOMINAL",$A$2,PF,PT))</f>
        <v>0</v>
      </c>
      <c r="W28" s="26">
        <f>IF(TRUE,0,_xll.PSFx3BAL(CN,"*","DAF_Country",$A28,"DAF_Award",W$3,"NOMINAL",$A$2,PF,PT))</f>
        <v>0</v>
      </c>
      <c r="X28" s="26">
        <f>IF(TRUE,0,_xll.PSFx3BAL(CN,"*","DAF_Country",$A28,"DAF_Award",X$3,"NOMINAL",$A$2,PF,PT))</f>
        <v>0</v>
      </c>
      <c r="Y28" s="26">
        <f>IF(TRUE,0,_xll.PSFx3BAL(CN,"*","DAF_Country",$A28,"DAF_Award",Y$3,"NOMINAL",$A$2,PF,PT))</f>
        <v>0</v>
      </c>
      <c r="Z28" s="26">
        <f>IF(TRUE,0,_xll.PSFx3BAL(CN,"*","DAF_Country",$A28,"DAF_Award",Z$3,"NOMINAL",$A$2,PF,PT))</f>
        <v>0</v>
      </c>
      <c r="AA28" s="9">
        <f t="shared" si="6"/>
        <v>0</v>
      </c>
      <c r="AB28" s="19">
        <f t="shared" si="7"/>
        <v>0</v>
      </c>
    </row>
    <row r="29" spans="1:28" hidden="1" outlineLevel="1" x14ac:dyDescent="0.2">
      <c r="A29" t="s">
        <v>228</v>
      </c>
      <c r="B29" t="str">
        <f>VLOOKUP(A29,Parameters!R:S,2,FALSE)</f>
        <v>Europe - Other</v>
      </c>
      <c r="C29" s="26">
        <f>IF(TRUE,0,_xll.PSFx3BAL(CN,"*","DAF_Country",$A29,"DAF_Award",C$3,"NOMINAL",$A$2,PF,PT))</f>
        <v>0</v>
      </c>
      <c r="D29" s="26">
        <f>IF(TRUE,0,_xll.PSFx3BAL(CN,"*","DAF_Country",$A29,"DAF_Award",D$3,"NOMINAL",$A$2,PF,PT))</f>
        <v>0</v>
      </c>
      <c r="E29" s="26">
        <f>IF(TRUE,0,_xll.PSFx3BAL(CN,"*","DAF_Country",$A29,"DAF_Award",E$3,"NOMINAL",$A$2,PF,PT))</f>
        <v>0</v>
      </c>
      <c r="F29" s="26">
        <f>IF(TRUE,0,_xll.PSFx3BAL(CN,"*","DAF_Country",$A29,"DAF_Award",F$3,"NOMINAL",$A$2,PF,PT))</f>
        <v>0</v>
      </c>
      <c r="G29" s="26">
        <f>IF(TRUE,0,_xll.PSFx3BAL(CN,"*","DAF_Country",$A29,"DAF_Award",G$3,"NOMINAL",$A$2,PF,PT))</f>
        <v>0</v>
      </c>
      <c r="H29" s="26">
        <f>IF(TRUE,0,_xll.PSFx3BAL(CN,"*","DAF_Country",$A29,"DAF_Award",H$3,"NOMINAL",$A$2,PF,PT))</f>
        <v>0</v>
      </c>
      <c r="I29" s="26">
        <f>IF(TRUE,0,_xll.PSFx3BAL(CN,"*","DAF_Country",$A29,"DAF_Award",I$3,"NOMINAL",$A$2,PF,PT))</f>
        <v>0</v>
      </c>
      <c r="J29" s="26">
        <f>IF(TRUE,0,_xll.PSFx3BAL(CN,"*","DAF_Country",$A29,"DAF_Award",J$3,"NOMINAL",$A$2,PF,PT))</f>
        <v>0</v>
      </c>
      <c r="K29" s="26">
        <f>IF(TRUE,0,_xll.PSFx3BAL(CN,"*","DAF_Country",$A29,"DAF_Award",K$3,"NOMINAL",$A$2,PF,PT))</f>
        <v>0</v>
      </c>
      <c r="L29" s="26">
        <f>IF(TRUE,0,_xll.PSFx3BAL(CN,"*","DAF_Country",$A29,"DAF_Award",L$3,"NOMINAL",$A$2,PF,PT))</f>
        <v>0</v>
      </c>
      <c r="M29" s="26">
        <f>IF(TRUE,0,_xll.PSFx3BAL(CN,"*","DAF_Country",$A29,"DAF_Award",M$3,"NOMINAL",$A$2,PF,PT))</f>
        <v>0</v>
      </c>
      <c r="N29" s="26">
        <f>IF(TRUE,0,_xll.PSFx3BAL(CN,"*","DAF_Country",$A29,"DAF_Award",N$3,"NOMINAL",$A$2,PF,PT))</f>
        <v>0</v>
      </c>
      <c r="O29" s="26">
        <f>IF(TRUE,0,_xll.PSFx3BAL(CN,"*","DAF_Country",$A29,"DAF_Award",O$3,"NOMINAL",$A$2,PF,PT))</f>
        <v>0</v>
      </c>
      <c r="P29" s="26">
        <f>IF(TRUE,0,_xll.PSFx3BAL(CN,"*","DAF_Country",$A29,"DAF_Award",P$3,"NOMINAL",$A$2,PF,PT))</f>
        <v>0</v>
      </c>
      <c r="Q29" s="26">
        <f>IF(TRUE,0,_xll.PSFx3BAL(CN,"*","DAF_Country",$A29,"DAF_Award",Q$3,"NOMINAL",$A$2,PF,PT))</f>
        <v>0</v>
      </c>
      <c r="R29" s="26">
        <f>IF(TRUE,0,_xll.PSFx3BAL(CN,"*","DAF_Country",$A29,"DAF_Award",R$3,"NOMINAL",$A$2,PF,PT))</f>
        <v>0</v>
      </c>
      <c r="S29" s="26">
        <f>IF(TRUE,0,_xll.PSFx3BAL(CN,"*","DAF_Country",$A29,"DAF_Award",S$3,"NOMINAL",$A$2,PF,PT))</f>
        <v>0</v>
      </c>
      <c r="T29" s="26">
        <f>IF(TRUE,0,_xll.PSFx3BAL(CN,"*","DAF_Country",$A29,"DAF_Award",T$3,"NOMINAL",$A$2,PF,PT))</f>
        <v>0</v>
      </c>
      <c r="U29" s="26">
        <f>IF(TRUE,0,_xll.PSFx3BAL(CN,"*","DAF_Country",$A29,"DAF_Award",U$3,"NOMINAL",$A$2,PF,PT))</f>
        <v>0</v>
      </c>
      <c r="V29" s="26">
        <f>IF(TRUE,0,_xll.PSFx3BAL(CN,"*","DAF_Country",$A29,"DAF_Award",V$3,"NOMINAL",$A$2,PF,PT))</f>
        <v>0</v>
      </c>
      <c r="W29" s="26">
        <f>IF(TRUE,0,_xll.PSFx3BAL(CN,"*","DAF_Country",$A29,"DAF_Award",W$3,"NOMINAL",$A$2,PF,PT))</f>
        <v>0</v>
      </c>
      <c r="X29" s="26">
        <f>IF(TRUE,0,_xll.PSFx3BAL(CN,"*","DAF_Country",$A29,"DAF_Award",X$3,"NOMINAL",$A$2,PF,PT))</f>
        <v>0</v>
      </c>
      <c r="Y29" s="26">
        <f>IF(TRUE,0,_xll.PSFx3BAL(CN,"*","DAF_Country",$A29,"DAF_Award",Y$3,"NOMINAL",$A$2,PF,PT))</f>
        <v>0</v>
      </c>
      <c r="Z29" s="26">
        <f>IF(TRUE,0,_xll.PSFx3BAL(CN,"*","DAF_Country",$A29,"DAF_Award",Z$3,"NOMINAL",$A$2,PF,PT))</f>
        <v>0</v>
      </c>
      <c r="AA29" s="9">
        <f t="shared" si="6"/>
        <v>0</v>
      </c>
      <c r="AB29" s="19">
        <f t="shared" si="7"/>
        <v>0</v>
      </c>
    </row>
    <row r="30" spans="1:28" hidden="1" outlineLevel="1" x14ac:dyDescent="0.2">
      <c r="A30" t="s">
        <v>229</v>
      </c>
      <c r="B30" t="str">
        <f>VLOOKUP(A30,Parameters!R:S,2,FALSE)</f>
        <v>United Kingdom</v>
      </c>
      <c r="C30" s="26">
        <f>IF(TRUE,0,_xll.PSFx3BAL(CN,"*","DAF_Country",$A30,"DAF_Award",C$3,"NOMINAL",$A$2,PF,PT))</f>
        <v>0</v>
      </c>
      <c r="D30" s="26">
        <f>IF(TRUE,0,_xll.PSFx3BAL(CN,"*","DAF_Country",$A30,"DAF_Award",D$3,"NOMINAL",$A$2,PF,PT))</f>
        <v>0</v>
      </c>
      <c r="E30" s="26">
        <f>IF(TRUE,0,_xll.PSFx3BAL(CN,"*","DAF_Country",$A30,"DAF_Award",E$3,"NOMINAL",$A$2,PF,PT))</f>
        <v>0</v>
      </c>
      <c r="F30" s="26">
        <f>IF(TRUE,0,_xll.PSFx3BAL(CN,"*","DAF_Country",$A30,"DAF_Award",F$3,"NOMINAL",$A$2,PF,PT))</f>
        <v>0</v>
      </c>
      <c r="G30" s="26">
        <f>IF(TRUE,0,_xll.PSFx3BAL(CN,"*","DAF_Country",$A30,"DAF_Award",G$3,"NOMINAL",$A$2,PF,PT))</f>
        <v>0</v>
      </c>
      <c r="H30" s="26">
        <f>IF(TRUE,0,_xll.PSFx3BAL(CN,"*","DAF_Country",$A30,"DAF_Award",H$3,"NOMINAL",$A$2,PF,PT))</f>
        <v>0</v>
      </c>
      <c r="I30" s="26">
        <f>IF(TRUE,0,_xll.PSFx3BAL(CN,"*","DAF_Country",$A30,"DAF_Award",I$3,"NOMINAL",$A$2,PF,PT))</f>
        <v>0</v>
      </c>
      <c r="J30" s="26">
        <f>IF(TRUE,0,_xll.PSFx3BAL(CN,"*","DAF_Country",$A30,"DAF_Award",J$3,"NOMINAL",$A$2,PF,PT))</f>
        <v>0</v>
      </c>
      <c r="K30" s="26">
        <f>IF(TRUE,0,_xll.PSFx3BAL(CN,"*","DAF_Country",$A30,"DAF_Award",K$3,"NOMINAL",$A$2,PF,PT))</f>
        <v>0</v>
      </c>
      <c r="L30" s="26">
        <f>IF(TRUE,0,_xll.PSFx3BAL(CN,"*","DAF_Country",$A30,"DAF_Award",L$3,"NOMINAL",$A$2,PF,PT))</f>
        <v>0</v>
      </c>
      <c r="M30" s="26">
        <f>IF(TRUE,0,_xll.PSFx3BAL(CN,"*","DAF_Country",$A30,"DAF_Award",M$3,"NOMINAL",$A$2,PF,PT))</f>
        <v>0</v>
      </c>
      <c r="N30" s="26">
        <f>IF(TRUE,0,_xll.PSFx3BAL(CN,"*","DAF_Country",$A30,"DAF_Award",N$3,"NOMINAL",$A$2,PF,PT))</f>
        <v>0</v>
      </c>
      <c r="O30" s="26">
        <f>IF(TRUE,0,_xll.PSFx3BAL(CN,"*","DAF_Country",$A30,"DAF_Award",O$3,"NOMINAL",$A$2,PF,PT))</f>
        <v>0</v>
      </c>
      <c r="P30" s="26">
        <f>IF(TRUE,0,_xll.PSFx3BAL(CN,"*","DAF_Country",$A30,"DAF_Award",P$3,"NOMINAL",$A$2,PF,PT))</f>
        <v>0</v>
      </c>
      <c r="Q30" s="26">
        <f>IF(TRUE,0,_xll.PSFx3BAL(CN,"*","DAF_Country",$A30,"DAF_Award",Q$3,"NOMINAL",$A$2,PF,PT))</f>
        <v>0</v>
      </c>
      <c r="R30" s="26">
        <f>IF(TRUE,0,_xll.PSFx3BAL(CN,"*","DAF_Country",$A30,"DAF_Award",R$3,"NOMINAL",$A$2,PF,PT))</f>
        <v>0</v>
      </c>
      <c r="S30" s="26">
        <f>IF(TRUE,0,_xll.PSFx3BAL(CN,"*","DAF_Country",$A30,"DAF_Award",S$3,"NOMINAL",$A$2,PF,PT))</f>
        <v>0</v>
      </c>
      <c r="T30" s="26">
        <f>IF(TRUE,0,_xll.PSFx3BAL(CN,"*","DAF_Country",$A30,"DAF_Award",T$3,"NOMINAL",$A$2,PF,PT))</f>
        <v>0</v>
      </c>
      <c r="U30" s="26">
        <f>IF(TRUE,0,_xll.PSFx3BAL(CN,"*","DAF_Country",$A30,"DAF_Award",U$3,"NOMINAL",$A$2,PF,PT))</f>
        <v>0</v>
      </c>
      <c r="V30" s="26">
        <f>IF(TRUE,0,_xll.PSFx3BAL(CN,"*","DAF_Country",$A30,"DAF_Award",V$3,"NOMINAL",$A$2,PF,PT))</f>
        <v>0</v>
      </c>
      <c r="W30" s="26">
        <f>IF(TRUE,0,_xll.PSFx3BAL(CN,"*","DAF_Country",$A30,"DAF_Award",W$3,"NOMINAL",$A$2,PF,PT))</f>
        <v>0</v>
      </c>
      <c r="X30" s="26">
        <f>IF(TRUE,0,_xll.PSFx3BAL(CN,"*","DAF_Country",$A30,"DAF_Award",X$3,"NOMINAL",$A$2,PF,PT))</f>
        <v>0</v>
      </c>
      <c r="Y30" s="26">
        <f>IF(TRUE,0,_xll.PSFx3BAL(CN,"*","DAF_Country",$A30,"DAF_Award",Y$3,"NOMINAL",$A$2,PF,PT))</f>
        <v>0</v>
      </c>
      <c r="Z30" s="26">
        <f>IF(TRUE,0,_xll.PSFx3BAL(CN,"*","DAF_Country",$A30,"DAF_Award",Z$3,"NOMINAL",$A$2,PF,PT))</f>
        <v>0</v>
      </c>
      <c r="AA30" s="9">
        <f t="shared" si="6"/>
        <v>0</v>
      </c>
      <c r="AB30" s="19">
        <f t="shared" si="7"/>
        <v>0</v>
      </c>
    </row>
    <row r="31" spans="1:28" hidden="1" outlineLevel="1" x14ac:dyDescent="0.2">
      <c r="A31" t="s">
        <v>236</v>
      </c>
      <c r="B31" t="str">
        <f>VLOOKUP(A31,Parameters!R:S,2,FALSE)</f>
        <v>Mozambique</v>
      </c>
      <c r="C31" s="26">
        <f>IF(TRUE,0,_xll.PSFx3BAL(CN,"*","DAF_Country",$A31,"DAF_Award",C$3,"NOMINAL",$A$2,PF,PT))</f>
        <v>0</v>
      </c>
      <c r="D31" s="26">
        <f>IF(TRUE,0,_xll.PSFx3BAL(CN,"*","DAF_Country",$A31,"DAF_Award",D$3,"NOMINAL",$A$2,PF,PT))</f>
        <v>0</v>
      </c>
      <c r="E31" s="26">
        <f>IF(TRUE,0,_xll.PSFx3BAL(CN,"*","DAF_Country",$A31,"DAF_Award",E$3,"NOMINAL",$A$2,PF,PT))</f>
        <v>0</v>
      </c>
      <c r="F31" s="26">
        <f>IF(TRUE,0,_xll.PSFx3BAL(CN,"*","DAF_Country",$A31,"DAF_Award",F$3,"NOMINAL",$A$2,PF,PT))</f>
        <v>0</v>
      </c>
      <c r="G31" s="26">
        <f>IF(TRUE,0,_xll.PSFx3BAL(CN,"*","DAF_Country",$A31,"DAF_Award",G$3,"NOMINAL",$A$2,PF,PT))</f>
        <v>0</v>
      </c>
      <c r="H31" s="26">
        <f>IF(TRUE,0,_xll.PSFx3BAL(CN,"*","DAF_Country",$A31,"DAF_Award",H$3,"NOMINAL",$A$2,PF,PT))</f>
        <v>0</v>
      </c>
      <c r="I31" s="26">
        <f>IF(TRUE,0,_xll.PSFx3BAL(CN,"*","DAF_Country",$A31,"DAF_Award",I$3,"NOMINAL",$A$2,PF,PT))</f>
        <v>0</v>
      </c>
      <c r="J31" s="26">
        <f>IF(TRUE,0,_xll.PSFx3BAL(CN,"*","DAF_Country",$A31,"DAF_Award",J$3,"NOMINAL",$A$2,PF,PT))</f>
        <v>0</v>
      </c>
      <c r="K31" s="26">
        <f>IF(TRUE,0,_xll.PSFx3BAL(CN,"*","DAF_Country",$A31,"DAF_Award",K$3,"NOMINAL",$A$2,PF,PT))</f>
        <v>0</v>
      </c>
      <c r="L31" s="26">
        <f>IF(TRUE,0,_xll.PSFx3BAL(CN,"*","DAF_Country",$A31,"DAF_Award",L$3,"NOMINAL",$A$2,PF,PT))</f>
        <v>0</v>
      </c>
      <c r="M31" s="26">
        <f>IF(TRUE,0,_xll.PSFx3BAL(CN,"*","DAF_Country",$A31,"DAF_Award",M$3,"NOMINAL",$A$2,PF,PT))</f>
        <v>0</v>
      </c>
      <c r="N31" s="26">
        <f>IF(TRUE,0,_xll.PSFx3BAL(CN,"*","DAF_Country",$A31,"DAF_Award",N$3,"NOMINAL",$A$2,PF,PT))</f>
        <v>0</v>
      </c>
      <c r="O31" s="26">
        <f>IF(TRUE,0,_xll.PSFx3BAL(CN,"*","DAF_Country",$A31,"DAF_Award",O$3,"NOMINAL",$A$2,PF,PT))</f>
        <v>0</v>
      </c>
      <c r="P31" s="26">
        <f>IF(TRUE,0,_xll.PSFx3BAL(CN,"*","DAF_Country",$A31,"DAF_Award",P$3,"NOMINAL",$A$2,PF,PT))</f>
        <v>0</v>
      </c>
      <c r="Q31" s="26">
        <f>IF(TRUE,0,_xll.PSFx3BAL(CN,"*","DAF_Country",$A31,"DAF_Award",Q$3,"NOMINAL",$A$2,PF,PT))</f>
        <v>0</v>
      </c>
      <c r="R31" s="26">
        <f>IF(TRUE,0,_xll.PSFx3BAL(CN,"*","DAF_Country",$A31,"DAF_Award",R$3,"NOMINAL",$A$2,PF,PT))</f>
        <v>0</v>
      </c>
      <c r="S31" s="26">
        <f>IF(TRUE,0,_xll.PSFx3BAL(CN,"*","DAF_Country",$A31,"DAF_Award",S$3,"NOMINAL",$A$2,PF,PT))</f>
        <v>0</v>
      </c>
      <c r="T31" s="26">
        <f>IF(TRUE,0,_xll.PSFx3BAL(CN,"*","DAF_Country",$A31,"DAF_Award",T$3,"NOMINAL",$A$2,PF,PT))</f>
        <v>0</v>
      </c>
      <c r="U31" s="26">
        <f>IF(TRUE,0,_xll.PSFx3BAL(CN,"*","DAF_Country",$A31,"DAF_Award",U$3,"NOMINAL",$A$2,PF,PT))</f>
        <v>0</v>
      </c>
      <c r="V31" s="26">
        <f>IF(TRUE,0,_xll.PSFx3BAL(CN,"*","DAF_Country",$A31,"DAF_Award",V$3,"NOMINAL",$A$2,PF,PT))</f>
        <v>0</v>
      </c>
      <c r="W31" s="26">
        <f>IF(TRUE,0,_xll.PSFx3BAL(CN,"*","DAF_Country",$A31,"DAF_Award",W$3,"NOMINAL",$A$2,PF,PT))</f>
        <v>0</v>
      </c>
      <c r="X31" s="26">
        <f>IF(TRUE,0,_xll.PSFx3BAL(CN,"*","DAF_Country",$A31,"DAF_Award",X$3,"NOMINAL",$A$2,PF,PT))</f>
        <v>0</v>
      </c>
      <c r="Y31" s="26">
        <f>IF(TRUE,0,_xll.PSFx3BAL(CN,"*","DAF_Country",$A31,"DAF_Award",Y$3,"NOMINAL",$A$2,PF,PT))</f>
        <v>0</v>
      </c>
      <c r="Z31" s="26">
        <f>IF(TRUE,0,_xll.PSFx3BAL(CN,"*","DAF_Country",$A31,"DAF_Award",Z$3,"NOMINAL",$A$2,PF,PT))</f>
        <v>0</v>
      </c>
      <c r="AA31" s="9">
        <f t="shared" si="6"/>
        <v>0</v>
      </c>
      <c r="AB31" s="19">
        <f t="shared" si="7"/>
        <v>0</v>
      </c>
    </row>
    <row r="32" spans="1:28" hidden="1" outlineLevel="1" x14ac:dyDescent="0.2">
      <c r="A32" t="s">
        <v>240</v>
      </c>
      <c r="B32" t="str">
        <f>VLOOKUP(A32,Parameters!R:S,2,FALSE)</f>
        <v>Nigeria</v>
      </c>
      <c r="C32" s="26">
        <f>IF(TRUE,0,_xll.PSFx3BAL(CN,"*","DAF_Country",$A32,"DAF_Award",C$3,"NOMINAL",$A$2,PF,PT))</f>
        <v>0</v>
      </c>
      <c r="D32" s="26">
        <f>IF(TRUE,0,_xll.PSFx3BAL(CN,"*","DAF_Country",$A32,"DAF_Award",D$3,"NOMINAL",$A$2,PF,PT))</f>
        <v>0</v>
      </c>
      <c r="E32" s="26">
        <f>IF(TRUE,0,_xll.PSFx3BAL(CN,"*","DAF_Country",$A32,"DAF_Award",E$3,"NOMINAL",$A$2,PF,PT))</f>
        <v>0</v>
      </c>
      <c r="F32" s="26">
        <f>IF(TRUE,0,_xll.PSFx3BAL(CN,"*","DAF_Country",$A32,"DAF_Award",F$3,"NOMINAL",$A$2,PF,PT))</f>
        <v>0</v>
      </c>
      <c r="G32" s="26">
        <f>IF(TRUE,0,_xll.PSFx3BAL(CN,"*","DAF_Country",$A32,"DAF_Award",G$3,"NOMINAL",$A$2,PF,PT))</f>
        <v>0</v>
      </c>
      <c r="H32" s="26">
        <f>IF(TRUE,0,_xll.PSFx3BAL(CN,"*","DAF_Country",$A32,"DAF_Award",H$3,"NOMINAL",$A$2,PF,PT))</f>
        <v>0</v>
      </c>
      <c r="I32" s="26">
        <f>IF(TRUE,0,_xll.PSFx3BAL(CN,"*","DAF_Country",$A32,"DAF_Award",I$3,"NOMINAL",$A$2,PF,PT))</f>
        <v>0</v>
      </c>
      <c r="J32" s="26">
        <f>IF(TRUE,0,_xll.PSFx3BAL(CN,"*","DAF_Country",$A32,"DAF_Award",J$3,"NOMINAL",$A$2,PF,PT))</f>
        <v>0</v>
      </c>
      <c r="K32" s="26">
        <f>IF(TRUE,0,_xll.PSFx3BAL(CN,"*","DAF_Country",$A32,"DAF_Award",K$3,"NOMINAL",$A$2,PF,PT))</f>
        <v>0</v>
      </c>
      <c r="L32" s="26">
        <f>IF(TRUE,0,_xll.PSFx3BAL(CN,"*","DAF_Country",$A32,"DAF_Award",L$3,"NOMINAL",$A$2,PF,PT))</f>
        <v>0</v>
      </c>
      <c r="M32" s="26">
        <f>IF(TRUE,0,_xll.PSFx3BAL(CN,"*","DAF_Country",$A32,"DAF_Award",M$3,"NOMINAL",$A$2,PF,PT))</f>
        <v>0</v>
      </c>
      <c r="N32" s="26">
        <f>IF(TRUE,0,_xll.PSFx3BAL(CN,"*","DAF_Country",$A32,"DAF_Award",N$3,"NOMINAL",$A$2,PF,PT))</f>
        <v>0</v>
      </c>
      <c r="O32" s="26">
        <f>IF(TRUE,0,_xll.PSFx3BAL(CN,"*","DAF_Country",$A32,"DAF_Award",O$3,"NOMINAL",$A$2,PF,PT))</f>
        <v>0</v>
      </c>
      <c r="P32" s="26">
        <f>IF(TRUE,0,_xll.PSFx3BAL(CN,"*","DAF_Country",$A32,"DAF_Award",P$3,"NOMINAL",$A$2,PF,PT))</f>
        <v>0</v>
      </c>
      <c r="Q32" s="26">
        <f>IF(TRUE,0,_xll.PSFx3BAL(CN,"*","DAF_Country",$A32,"DAF_Award",Q$3,"NOMINAL",$A$2,PF,PT))</f>
        <v>0</v>
      </c>
      <c r="R32" s="26">
        <f>IF(TRUE,0,_xll.PSFx3BAL(CN,"*","DAF_Country",$A32,"DAF_Award",R$3,"NOMINAL",$A$2,PF,PT))</f>
        <v>0</v>
      </c>
      <c r="S32" s="26">
        <f>IF(TRUE,0,_xll.PSFx3BAL(CN,"*","DAF_Country",$A32,"DAF_Award",S$3,"NOMINAL",$A$2,PF,PT))</f>
        <v>0</v>
      </c>
      <c r="T32" s="26">
        <f>IF(TRUE,0,_xll.PSFx3BAL(CN,"*","DAF_Country",$A32,"DAF_Award",T$3,"NOMINAL",$A$2,PF,PT))</f>
        <v>0</v>
      </c>
      <c r="U32" s="26">
        <f>IF(TRUE,0,_xll.PSFx3BAL(CN,"*","DAF_Country",$A32,"DAF_Award",U$3,"NOMINAL",$A$2,PF,PT))</f>
        <v>0</v>
      </c>
      <c r="V32" s="26">
        <f>IF(TRUE,0,_xll.PSFx3BAL(CN,"*","DAF_Country",$A32,"DAF_Award",V$3,"NOMINAL",$A$2,PF,PT))</f>
        <v>0</v>
      </c>
      <c r="W32" s="26">
        <f>IF(TRUE,0,_xll.PSFx3BAL(CN,"*","DAF_Country",$A32,"DAF_Award",W$3,"NOMINAL",$A$2,PF,PT))</f>
        <v>0</v>
      </c>
      <c r="X32" s="26">
        <f>IF(TRUE,0,_xll.PSFx3BAL(CN,"*","DAF_Country",$A32,"DAF_Award",X$3,"NOMINAL",$A$2,PF,PT))</f>
        <v>0</v>
      </c>
      <c r="Y32" s="26">
        <f>IF(TRUE,0,_xll.PSFx3BAL(CN,"*","DAF_Country",$A32,"DAF_Award",Y$3,"NOMINAL",$A$2,PF,PT))</f>
        <v>0</v>
      </c>
      <c r="Z32" s="26">
        <f>IF(TRUE,0,_xll.PSFx3BAL(CN,"*","DAF_Country",$A32,"DAF_Award",Z$3,"NOMINAL",$A$2,PF,PT))</f>
        <v>0</v>
      </c>
      <c r="AA32" s="9">
        <f t="shared" si="6"/>
        <v>0</v>
      </c>
      <c r="AB32" s="19">
        <f t="shared" si="7"/>
        <v>0</v>
      </c>
    </row>
    <row r="33" spans="1:30" hidden="1" outlineLevel="1" x14ac:dyDescent="0.2">
      <c r="A33" t="s">
        <v>241</v>
      </c>
      <c r="B33" t="str">
        <f>VLOOKUP(A33,Parameters!R:S,2,FALSE)</f>
        <v>NTD NGO Network Conference</v>
      </c>
      <c r="C33" s="26">
        <f>IF(TRUE,0,_xll.PSFx3BAL(CN,"*","DAF_Country",$A33,"DAF_Award",C$3,"NOMINAL",$A$2,PF,PT))</f>
        <v>0</v>
      </c>
      <c r="D33" s="26">
        <f>IF(TRUE,0,_xll.PSFx3BAL(CN,"*","DAF_Country",$A33,"DAF_Award",D$3,"NOMINAL",$A$2,PF,PT))</f>
        <v>0</v>
      </c>
      <c r="E33" s="26">
        <f>IF(TRUE,0,_xll.PSFx3BAL(CN,"*","DAF_Country",$A33,"DAF_Award",E$3,"NOMINAL",$A$2,PF,PT))</f>
        <v>0</v>
      </c>
      <c r="F33" s="26">
        <f>IF(TRUE,0,_xll.PSFx3BAL(CN,"*","DAF_Country",$A33,"DAF_Award",F$3,"NOMINAL",$A$2,PF,PT))</f>
        <v>0</v>
      </c>
      <c r="G33" s="26">
        <f>IF(TRUE,0,_xll.PSFx3BAL(CN,"*","DAF_Country",$A33,"DAF_Award",G$3,"NOMINAL",$A$2,PF,PT))</f>
        <v>0</v>
      </c>
      <c r="H33" s="26">
        <f>IF(TRUE,0,_xll.PSFx3BAL(CN,"*","DAF_Country",$A33,"DAF_Award",H$3,"NOMINAL",$A$2,PF,PT))</f>
        <v>0</v>
      </c>
      <c r="I33" s="26">
        <f>IF(TRUE,0,_xll.PSFx3BAL(CN,"*","DAF_Country",$A33,"DAF_Award",I$3,"NOMINAL",$A$2,PF,PT))</f>
        <v>0</v>
      </c>
      <c r="J33" s="26">
        <f>IF(TRUE,0,_xll.PSFx3BAL(CN,"*","DAF_Country",$A33,"DAF_Award",J$3,"NOMINAL",$A$2,PF,PT))</f>
        <v>0</v>
      </c>
      <c r="K33" s="26">
        <f>IF(TRUE,0,_xll.PSFx3BAL(CN,"*","DAF_Country",$A33,"DAF_Award",K$3,"NOMINAL",$A$2,PF,PT))</f>
        <v>0</v>
      </c>
      <c r="L33" s="26">
        <f>IF(TRUE,0,_xll.PSFx3BAL(CN,"*","DAF_Country",$A33,"DAF_Award",L$3,"NOMINAL",$A$2,PF,PT))</f>
        <v>0</v>
      </c>
      <c r="M33" s="26">
        <f>IF(TRUE,0,_xll.PSFx3BAL(CN,"*","DAF_Country",$A33,"DAF_Award",M$3,"NOMINAL",$A$2,PF,PT))</f>
        <v>0</v>
      </c>
      <c r="N33" s="26">
        <f>IF(TRUE,0,_xll.PSFx3BAL(CN,"*","DAF_Country",$A33,"DAF_Award",N$3,"NOMINAL",$A$2,PF,PT))</f>
        <v>0</v>
      </c>
      <c r="O33" s="26">
        <f>IF(TRUE,0,_xll.PSFx3BAL(CN,"*","DAF_Country",$A33,"DAF_Award",O$3,"NOMINAL",$A$2,PF,PT))</f>
        <v>0</v>
      </c>
      <c r="P33" s="26">
        <f>IF(TRUE,0,_xll.PSFx3BAL(CN,"*","DAF_Country",$A33,"DAF_Award",P$3,"NOMINAL",$A$2,PF,PT))</f>
        <v>0</v>
      </c>
      <c r="Q33" s="26">
        <f>IF(TRUE,0,_xll.PSFx3BAL(CN,"*","DAF_Country",$A33,"DAF_Award",Q$3,"NOMINAL",$A$2,PF,PT))</f>
        <v>0</v>
      </c>
      <c r="R33" s="26">
        <f>IF(TRUE,0,_xll.PSFx3BAL(CN,"*","DAF_Country",$A33,"DAF_Award",R$3,"NOMINAL",$A$2,PF,PT))</f>
        <v>0</v>
      </c>
      <c r="S33" s="26">
        <f>IF(TRUE,0,_xll.PSFx3BAL(CN,"*","DAF_Country",$A33,"DAF_Award",S$3,"NOMINAL",$A$2,PF,PT))</f>
        <v>0</v>
      </c>
      <c r="T33" s="26">
        <f>IF(TRUE,0,_xll.PSFx3BAL(CN,"*","DAF_Country",$A33,"DAF_Award",T$3,"NOMINAL",$A$2,PF,PT))</f>
        <v>0</v>
      </c>
      <c r="U33" s="26">
        <f>IF(TRUE,0,_xll.PSFx3BAL(CN,"*","DAF_Country",$A33,"DAF_Award",U$3,"NOMINAL",$A$2,PF,PT))</f>
        <v>0</v>
      </c>
      <c r="V33" s="26">
        <f>IF(TRUE,0,_xll.PSFx3BAL(CN,"*","DAF_Country",$A33,"DAF_Award",V$3,"NOMINAL",$A$2,PF,PT))</f>
        <v>0</v>
      </c>
      <c r="W33" s="26">
        <f>IF(TRUE,0,_xll.PSFx3BAL(CN,"*","DAF_Country",$A33,"DAF_Award",W$3,"NOMINAL",$A$2,PF,PT))</f>
        <v>0</v>
      </c>
      <c r="X33" s="26">
        <f>IF(TRUE,0,_xll.PSFx3BAL(CN,"*","DAF_Country",$A33,"DAF_Award",X$3,"NOMINAL",$A$2,PF,PT))</f>
        <v>0</v>
      </c>
      <c r="Y33" s="26">
        <f>IF(TRUE,0,_xll.PSFx3BAL(CN,"*","DAF_Country",$A33,"DAF_Award",Y$3,"NOMINAL",$A$2,PF,PT))</f>
        <v>0</v>
      </c>
      <c r="Z33" s="26">
        <f>IF(TRUE,0,_xll.PSFx3BAL(CN,"*","DAF_Country",$A33,"DAF_Award",Z$3,"NOMINAL",$A$2,PF,PT))</f>
        <v>0</v>
      </c>
      <c r="AA33" s="9">
        <f t="shared" si="6"/>
        <v>0</v>
      </c>
      <c r="AB33" s="19">
        <f t="shared" si="7"/>
        <v>0</v>
      </c>
    </row>
    <row r="34" spans="1:30" hidden="1" outlineLevel="1" x14ac:dyDescent="0.2">
      <c r="A34" t="s">
        <v>242</v>
      </c>
      <c r="B34" t="str">
        <f>VLOOKUP(A34,Parameters!R:S,2,FALSE)</f>
        <v>Norway</v>
      </c>
      <c r="C34" s="26">
        <f>IF(TRUE,0,_xll.PSFx3BAL(CN,"*","DAF_Country",$A34,"DAF_Award",C$3,"NOMINAL",$A$2,PF,PT))</f>
        <v>0</v>
      </c>
      <c r="D34" s="26">
        <f>IF(TRUE,0,_xll.PSFx3BAL(CN,"*","DAF_Country",$A34,"DAF_Award",D$3,"NOMINAL",$A$2,PF,PT))</f>
        <v>0</v>
      </c>
      <c r="E34" s="26">
        <f>IF(TRUE,0,_xll.PSFx3BAL(CN,"*","DAF_Country",$A34,"DAF_Award",E$3,"NOMINAL",$A$2,PF,PT))</f>
        <v>0</v>
      </c>
      <c r="F34" s="26">
        <f>IF(TRUE,0,_xll.PSFx3BAL(CN,"*","DAF_Country",$A34,"DAF_Award",F$3,"NOMINAL",$A$2,PF,PT))</f>
        <v>0</v>
      </c>
      <c r="G34" s="26">
        <f>IF(TRUE,0,_xll.PSFx3BAL(CN,"*","DAF_Country",$A34,"DAF_Award",G$3,"NOMINAL",$A$2,PF,PT))</f>
        <v>0</v>
      </c>
      <c r="H34" s="26">
        <f>IF(TRUE,0,_xll.PSFx3BAL(CN,"*","DAF_Country",$A34,"DAF_Award",H$3,"NOMINAL",$A$2,PF,PT))</f>
        <v>0</v>
      </c>
      <c r="I34" s="26">
        <f>IF(TRUE,0,_xll.PSFx3BAL(CN,"*","DAF_Country",$A34,"DAF_Award",I$3,"NOMINAL",$A$2,PF,PT))</f>
        <v>0</v>
      </c>
      <c r="J34" s="26">
        <f>IF(TRUE,0,_xll.PSFx3BAL(CN,"*","DAF_Country",$A34,"DAF_Award",J$3,"NOMINAL",$A$2,PF,PT))</f>
        <v>0</v>
      </c>
      <c r="K34" s="26">
        <f>IF(TRUE,0,_xll.PSFx3BAL(CN,"*","DAF_Country",$A34,"DAF_Award",K$3,"NOMINAL",$A$2,PF,PT))</f>
        <v>0</v>
      </c>
      <c r="L34" s="26">
        <f>IF(TRUE,0,_xll.PSFx3BAL(CN,"*","DAF_Country",$A34,"DAF_Award",L$3,"NOMINAL",$A$2,PF,PT))</f>
        <v>0</v>
      </c>
      <c r="M34" s="26">
        <f>IF(TRUE,0,_xll.PSFx3BAL(CN,"*","DAF_Country",$A34,"DAF_Award",M$3,"NOMINAL",$A$2,PF,PT))</f>
        <v>0</v>
      </c>
      <c r="N34" s="26">
        <f>IF(TRUE,0,_xll.PSFx3BAL(CN,"*","DAF_Country",$A34,"DAF_Award",N$3,"NOMINAL",$A$2,PF,PT))</f>
        <v>0</v>
      </c>
      <c r="O34" s="26">
        <f>IF(TRUE,0,_xll.PSFx3BAL(CN,"*","DAF_Country",$A34,"DAF_Award",O$3,"NOMINAL",$A$2,PF,PT))</f>
        <v>0</v>
      </c>
      <c r="P34" s="26">
        <f>IF(TRUE,0,_xll.PSFx3BAL(CN,"*","DAF_Country",$A34,"DAF_Award",P$3,"NOMINAL",$A$2,PF,PT))</f>
        <v>0</v>
      </c>
      <c r="Q34" s="26">
        <f>IF(TRUE,0,_xll.PSFx3BAL(CN,"*","DAF_Country",$A34,"DAF_Award",Q$3,"NOMINAL",$A$2,PF,PT))</f>
        <v>0</v>
      </c>
      <c r="R34" s="26">
        <f>IF(TRUE,0,_xll.PSFx3BAL(CN,"*","DAF_Country",$A34,"DAF_Award",R$3,"NOMINAL",$A$2,PF,PT))</f>
        <v>0</v>
      </c>
      <c r="S34" s="26">
        <f>IF(TRUE,0,_xll.PSFx3BAL(CN,"*","DAF_Country",$A34,"DAF_Award",S$3,"NOMINAL",$A$2,PF,PT))</f>
        <v>0</v>
      </c>
      <c r="T34" s="26">
        <f>IF(TRUE,0,_xll.PSFx3BAL(CN,"*","DAF_Country",$A34,"DAF_Award",T$3,"NOMINAL",$A$2,PF,PT))</f>
        <v>0</v>
      </c>
      <c r="U34" s="26">
        <f>IF(TRUE,0,_xll.PSFx3BAL(CN,"*","DAF_Country",$A34,"DAF_Award",U$3,"NOMINAL",$A$2,PF,PT))</f>
        <v>0</v>
      </c>
      <c r="V34" s="26">
        <f>IF(TRUE,0,_xll.PSFx3BAL(CN,"*","DAF_Country",$A34,"DAF_Award",V$3,"NOMINAL",$A$2,PF,PT))</f>
        <v>0</v>
      </c>
      <c r="W34" s="26">
        <f>IF(TRUE,0,_xll.PSFx3BAL(CN,"*","DAF_Country",$A34,"DAF_Award",W$3,"NOMINAL",$A$2,PF,PT))</f>
        <v>0</v>
      </c>
      <c r="X34" s="26">
        <f>IF(TRUE,0,_xll.PSFx3BAL(CN,"*","DAF_Country",$A34,"DAF_Award",X$3,"NOMINAL",$A$2,PF,PT))</f>
        <v>0</v>
      </c>
      <c r="Y34" s="26">
        <f>IF(TRUE,0,_xll.PSFx3BAL(CN,"*","DAF_Country",$A34,"DAF_Award",Y$3,"NOMINAL",$A$2,PF,PT))</f>
        <v>0</v>
      </c>
      <c r="Z34" s="26">
        <f>IF(TRUE,0,_xll.PSFx3BAL(CN,"*","DAF_Country",$A34,"DAF_Award",Z$3,"NOMINAL",$A$2,PF,PT))</f>
        <v>0</v>
      </c>
      <c r="AA34" s="9">
        <f t="shared" si="6"/>
        <v>0</v>
      </c>
      <c r="AB34" s="19">
        <f t="shared" si="7"/>
        <v>0</v>
      </c>
    </row>
    <row r="35" spans="1:30" hidden="1" outlineLevel="1" x14ac:dyDescent="0.2">
      <c r="A35" t="s">
        <v>243</v>
      </c>
      <c r="B35" t="str">
        <f>VLOOKUP(A35,Parameters!R:S,2,FALSE)</f>
        <v>New Zealand</v>
      </c>
      <c r="C35" s="26">
        <f>IF(TRUE,0,_xll.PSFx3BAL(CN,"*","DAF_Country",$A35,"DAF_Award",C$3,"NOMINAL",$A$2,PF,PT))</f>
        <v>0</v>
      </c>
      <c r="D35" s="26">
        <f>IF(TRUE,0,_xll.PSFx3BAL(CN,"*","DAF_Country",$A35,"DAF_Award",D$3,"NOMINAL",$A$2,PF,PT))</f>
        <v>0</v>
      </c>
      <c r="E35" s="26">
        <f>IF(TRUE,0,_xll.PSFx3BAL(CN,"*","DAF_Country",$A35,"DAF_Award",E$3,"NOMINAL",$A$2,PF,PT))</f>
        <v>0</v>
      </c>
      <c r="F35" s="26">
        <f>IF(TRUE,0,_xll.PSFx3BAL(CN,"*","DAF_Country",$A35,"DAF_Award",F$3,"NOMINAL",$A$2,PF,PT))</f>
        <v>0</v>
      </c>
      <c r="G35" s="26">
        <f>IF(TRUE,0,_xll.PSFx3BAL(CN,"*","DAF_Country",$A35,"DAF_Award",G$3,"NOMINAL",$A$2,PF,PT))</f>
        <v>0</v>
      </c>
      <c r="H35" s="26">
        <f>IF(TRUE,0,_xll.PSFx3BAL(CN,"*","DAF_Country",$A35,"DAF_Award",H$3,"NOMINAL",$A$2,PF,PT))</f>
        <v>0</v>
      </c>
      <c r="I35" s="26">
        <f>IF(TRUE,0,_xll.PSFx3BAL(CN,"*","DAF_Country",$A35,"DAF_Award",I$3,"NOMINAL",$A$2,PF,PT))</f>
        <v>0</v>
      </c>
      <c r="J35" s="26">
        <f>IF(TRUE,0,_xll.PSFx3BAL(CN,"*","DAF_Country",$A35,"DAF_Award",J$3,"NOMINAL",$A$2,PF,PT))</f>
        <v>0</v>
      </c>
      <c r="K35" s="26">
        <f>IF(TRUE,0,_xll.PSFx3BAL(CN,"*","DAF_Country",$A35,"DAF_Award",K$3,"NOMINAL",$A$2,PF,PT))</f>
        <v>0</v>
      </c>
      <c r="L35" s="26">
        <f>IF(TRUE,0,_xll.PSFx3BAL(CN,"*","DAF_Country",$A35,"DAF_Award",L$3,"NOMINAL",$A$2,PF,PT))</f>
        <v>0</v>
      </c>
      <c r="M35" s="26">
        <f>IF(TRUE,0,_xll.PSFx3BAL(CN,"*","DAF_Country",$A35,"DAF_Award",M$3,"NOMINAL",$A$2,PF,PT))</f>
        <v>0</v>
      </c>
      <c r="N35" s="26">
        <f>IF(TRUE,0,_xll.PSFx3BAL(CN,"*","DAF_Country",$A35,"DAF_Award",N$3,"NOMINAL",$A$2,PF,PT))</f>
        <v>0</v>
      </c>
      <c r="O35" s="26">
        <f>IF(TRUE,0,_xll.PSFx3BAL(CN,"*","DAF_Country",$A35,"DAF_Award",O$3,"NOMINAL",$A$2,PF,PT))</f>
        <v>0</v>
      </c>
      <c r="P35" s="26">
        <f>IF(TRUE,0,_xll.PSFx3BAL(CN,"*","DAF_Country",$A35,"DAF_Award",P$3,"NOMINAL",$A$2,PF,PT))</f>
        <v>0</v>
      </c>
      <c r="Q35" s="26">
        <f>IF(TRUE,0,_xll.PSFx3BAL(CN,"*","DAF_Country",$A35,"DAF_Award",Q$3,"NOMINAL",$A$2,PF,PT))</f>
        <v>0</v>
      </c>
      <c r="R35" s="26">
        <f>IF(TRUE,0,_xll.PSFx3BAL(CN,"*","DAF_Country",$A35,"DAF_Award",R$3,"NOMINAL",$A$2,PF,PT))</f>
        <v>0</v>
      </c>
      <c r="S35" s="26">
        <f>IF(TRUE,0,_xll.PSFx3BAL(CN,"*","DAF_Country",$A35,"DAF_Award",S$3,"NOMINAL",$A$2,PF,PT))</f>
        <v>0</v>
      </c>
      <c r="T35" s="26">
        <f>IF(TRUE,0,_xll.PSFx3BAL(CN,"*","DAF_Country",$A35,"DAF_Award",T$3,"NOMINAL",$A$2,PF,PT))</f>
        <v>0</v>
      </c>
      <c r="U35" s="26">
        <f>IF(TRUE,0,_xll.PSFx3BAL(CN,"*","DAF_Country",$A35,"DAF_Award",U$3,"NOMINAL",$A$2,PF,PT))</f>
        <v>0</v>
      </c>
      <c r="V35" s="26">
        <f>IF(TRUE,0,_xll.PSFx3BAL(CN,"*","DAF_Country",$A35,"DAF_Award",V$3,"NOMINAL",$A$2,PF,PT))</f>
        <v>0</v>
      </c>
      <c r="W35" s="26">
        <f>IF(TRUE,0,_xll.PSFx3BAL(CN,"*","DAF_Country",$A35,"DAF_Award",W$3,"NOMINAL",$A$2,PF,PT))</f>
        <v>0</v>
      </c>
      <c r="X35" s="26">
        <f>IF(TRUE,0,_xll.PSFx3BAL(CN,"*","DAF_Country",$A35,"DAF_Award",X$3,"NOMINAL",$A$2,PF,PT))</f>
        <v>0</v>
      </c>
      <c r="Y35" s="26">
        <f>IF(TRUE,0,_xll.PSFx3BAL(CN,"*","DAF_Country",$A35,"DAF_Award",Y$3,"NOMINAL",$A$2,PF,PT))</f>
        <v>0</v>
      </c>
      <c r="Z35" s="26">
        <f>IF(TRUE,0,_xll.PSFx3BAL(CN,"*","DAF_Country",$A35,"DAF_Award",Z$3,"NOMINAL",$A$2,PF,PT))</f>
        <v>0</v>
      </c>
      <c r="AA35" s="9">
        <f t="shared" si="6"/>
        <v>0</v>
      </c>
      <c r="AB35" s="19">
        <f t="shared" si="7"/>
        <v>0</v>
      </c>
    </row>
    <row r="36" spans="1:30" hidden="1" outlineLevel="1" x14ac:dyDescent="0.2">
      <c r="A36" t="s">
        <v>244</v>
      </c>
      <c r="B36" t="str">
        <f>VLOOKUP(A36,Parameters!R:S,2,FALSE)</f>
        <v>Other Conferences &amp; Meetings</v>
      </c>
      <c r="C36" s="26">
        <f>IF(TRUE,0,_xll.PSFx3BAL(CN,"*","DAF_Country",$A36,"DAF_Award",C$3,"NOMINAL",$A$2,PF,PT))</f>
        <v>0</v>
      </c>
      <c r="D36" s="26">
        <f>IF(TRUE,0,_xll.PSFx3BAL(CN,"*","DAF_Country",$A36,"DAF_Award",D$3,"NOMINAL",$A$2,PF,PT))</f>
        <v>0</v>
      </c>
      <c r="E36" s="26">
        <f>IF(TRUE,0,_xll.PSFx3BAL(CN,"*","DAF_Country",$A36,"DAF_Award",E$3,"NOMINAL",$A$2,PF,PT))</f>
        <v>0</v>
      </c>
      <c r="F36" s="26">
        <f>IF(TRUE,0,_xll.PSFx3BAL(CN,"*","DAF_Country",$A36,"DAF_Award",F$3,"NOMINAL",$A$2,PF,PT))</f>
        <v>0</v>
      </c>
      <c r="G36" s="26">
        <f>IF(TRUE,0,_xll.PSFx3BAL(CN,"*","DAF_Country",$A36,"DAF_Award",G$3,"NOMINAL",$A$2,PF,PT))</f>
        <v>0</v>
      </c>
      <c r="H36" s="26">
        <f>IF(TRUE,0,_xll.PSFx3BAL(CN,"*","DAF_Country",$A36,"DAF_Award",H$3,"NOMINAL",$A$2,PF,PT))</f>
        <v>0</v>
      </c>
      <c r="I36" s="26">
        <f>IF(TRUE,0,_xll.PSFx3BAL(CN,"*","DAF_Country",$A36,"DAF_Award",I$3,"NOMINAL",$A$2,PF,PT))</f>
        <v>0</v>
      </c>
      <c r="J36" s="26">
        <f>IF(TRUE,0,_xll.PSFx3BAL(CN,"*","DAF_Country",$A36,"DAF_Award",J$3,"NOMINAL",$A$2,PF,PT))</f>
        <v>0</v>
      </c>
      <c r="K36" s="26">
        <f>IF(TRUE,0,_xll.PSFx3BAL(CN,"*","DAF_Country",$A36,"DAF_Award",K$3,"NOMINAL",$A$2,PF,PT))</f>
        <v>0</v>
      </c>
      <c r="L36" s="26">
        <f>IF(TRUE,0,_xll.PSFx3BAL(CN,"*","DAF_Country",$A36,"DAF_Award",L$3,"NOMINAL",$A$2,PF,PT))</f>
        <v>0</v>
      </c>
      <c r="M36" s="26">
        <f>IF(TRUE,0,_xll.PSFx3BAL(CN,"*","DAF_Country",$A36,"DAF_Award",M$3,"NOMINAL",$A$2,PF,PT))</f>
        <v>0</v>
      </c>
      <c r="N36" s="26">
        <f>IF(TRUE,0,_xll.PSFx3BAL(CN,"*","DAF_Country",$A36,"DAF_Award",N$3,"NOMINAL",$A$2,PF,PT))</f>
        <v>0</v>
      </c>
      <c r="O36" s="26">
        <f>IF(TRUE,0,_xll.PSFx3BAL(CN,"*","DAF_Country",$A36,"DAF_Award",O$3,"NOMINAL",$A$2,PF,PT))</f>
        <v>0</v>
      </c>
      <c r="P36" s="26">
        <f>IF(TRUE,0,_xll.PSFx3BAL(CN,"*","DAF_Country",$A36,"DAF_Award",P$3,"NOMINAL",$A$2,PF,PT))</f>
        <v>0</v>
      </c>
      <c r="Q36" s="26">
        <f>IF(TRUE,0,_xll.PSFx3BAL(CN,"*","DAF_Country",$A36,"DAF_Award",Q$3,"NOMINAL",$A$2,PF,PT))</f>
        <v>0</v>
      </c>
      <c r="R36" s="26">
        <f>IF(TRUE,0,_xll.PSFx3BAL(CN,"*","DAF_Country",$A36,"DAF_Award",R$3,"NOMINAL",$A$2,PF,PT))</f>
        <v>0</v>
      </c>
      <c r="S36" s="26">
        <f>IF(TRUE,0,_xll.PSFx3BAL(CN,"*","DAF_Country",$A36,"DAF_Award",S$3,"NOMINAL",$A$2,PF,PT))</f>
        <v>0</v>
      </c>
      <c r="T36" s="26">
        <f>IF(TRUE,0,_xll.PSFx3BAL(CN,"*","DAF_Country",$A36,"DAF_Award",T$3,"NOMINAL",$A$2,PF,PT))</f>
        <v>0</v>
      </c>
      <c r="U36" s="26">
        <f>IF(TRUE,0,_xll.PSFx3BAL(CN,"*","DAF_Country",$A36,"DAF_Award",U$3,"NOMINAL",$A$2,PF,PT))</f>
        <v>0</v>
      </c>
      <c r="V36" s="26">
        <f>IF(TRUE,0,_xll.PSFx3BAL(CN,"*","DAF_Country",$A36,"DAF_Award",V$3,"NOMINAL",$A$2,PF,PT))</f>
        <v>0</v>
      </c>
      <c r="W36" s="26">
        <f>IF(TRUE,0,_xll.PSFx3BAL(CN,"*","DAF_Country",$A36,"DAF_Award",W$3,"NOMINAL",$A$2,PF,PT))</f>
        <v>0</v>
      </c>
      <c r="X36" s="26">
        <f>IF(TRUE,0,_xll.PSFx3BAL(CN,"*","DAF_Country",$A36,"DAF_Award",X$3,"NOMINAL",$A$2,PF,PT))</f>
        <v>0</v>
      </c>
      <c r="Y36" s="26">
        <f>IF(TRUE,0,_xll.PSFx3BAL(CN,"*","DAF_Country",$A36,"DAF_Award",Y$3,"NOMINAL",$A$2,PF,PT))</f>
        <v>0</v>
      </c>
      <c r="Z36" s="26">
        <f>IF(TRUE,0,_xll.PSFx3BAL(CN,"*","DAF_Country",$A36,"DAF_Award",Z$3,"NOMINAL",$A$2,PF,PT))</f>
        <v>0</v>
      </c>
      <c r="AA36" s="9">
        <f t="shared" si="6"/>
        <v>0</v>
      </c>
      <c r="AB36" s="19">
        <f t="shared" si="7"/>
        <v>0</v>
      </c>
    </row>
    <row r="37" spans="1:30" hidden="1" outlineLevel="1" x14ac:dyDescent="0.2">
      <c r="A37" t="s">
        <v>245</v>
      </c>
      <c r="B37" t="str">
        <f>VLOOKUP(A37,Parameters!R:S,2,FALSE)</f>
        <v>Pediatric Praziquantel Consortium</v>
      </c>
      <c r="C37" s="26">
        <f>IF(TRUE,0,_xll.PSFx3BAL(CN,"*","DAF_Country",$A37,"DAF_Award",C$3,"NOMINAL",$A$2,PF,PT))</f>
        <v>0</v>
      </c>
      <c r="D37" s="26">
        <f>IF(TRUE,0,_xll.PSFx3BAL(CN,"*","DAF_Country",$A37,"DAF_Award",D$3,"NOMINAL",$A$2,PF,PT))</f>
        <v>0</v>
      </c>
      <c r="E37" s="26">
        <f>IF(TRUE,0,_xll.PSFx3BAL(CN,"*","DAF_Country",$A37,"DAF_Award",E$3,"NOMINAL",$A$2,PF,PT))</f>
        <v>0</v>
      </c>
      <c r="F37" s="26">
        <f>IF(TRUE,0,_xll.PSFx3BAL(CN,"*","DAF_Country",$A37,"DAF_Award",F$3,"NOMINAL",$A$2,PF,PT))</f>
        <v>0</v>
      </c>
      <c r="G37" s="26">
        <f>IF(TRUE,0,_xll.PSFx3BAL(CN,"*","DAF_Country",$A37,"DAF_Award",G$3,"NOMINAL",$A$2,PF,PT))</f>
        <v>0</v>
      </c>
      <c r="H37" s="26">
        <f>IF(TRUE,0,_xll.PSFx3BAL(CN,"*","DAF_Country",$A37,"DAF_Award",H$3,"NOMINAL",$A$2,PF,PT))</f>
        <v>0</v>
      </c>
      <c r="I37" s="26">
        <f>IF(TRUE,0,_xll.PSFx3BAL(CN,"*","DAF_Country",$A37,"DAF_Award",I$3,"NOMINAL",$A$2,PF,PT))</f>
        <v>0</v>
      </c>
      <c r="J37" s="26">
        <f>IF(TRUE,0,_xll.PSFx3BAL(CN,"*","DAF_Country",$A37,"DAF_Award",J$3,"NOMINAL",$A$2,PF,PT))</f>
        <v>0</v>
      </c>
      <c r="K37" s="26">
        <f>IF(TRUE,0,_xll.PSFx3BAL(CN,"*","DAF_Country",$A37,"DAF_Award",K$3,"NOMINAL",$A$2,PF,PT))</f>
        <v>0</v>
      </c>
      <c r="L37" s="26">
        <f>IF(TRUE,0,_xll.PSFx3BAL(CN,"*","DAF_Country",$A37,"DAF_Award",L$3,"NOMINAL",$A$2,PF,PT))</f>
        <v>0</v>
      </c>
      <c r="M37" s="26">
        <f>IF(TRUE,0,_xll.PSFx3BAL(CN,"*","DAF_Country",$A37,"DAF_Award",M$3,"NOMINAL",$A$2,PF,PT))</f>
        <v>0</v>
      </c>
      <c r="N37" s="26">
        <f>IF(TRUE,0,_xll.PSFx3BAL(CN,"*","DAF_Country",$A37,"DAF_Award",N$3,"NOMINAL",$A$2,PF,PT))</f>
        <v>0</v>
      </c>
      <c r="O37" s="26">
        <f>IF(TRUE,0,_xll.PSFx3BAL(CN,"*","DAF_Country",$A37,"DAF_Award",O$3,"NOMINAL",$A$2,PF,PT))</f>
        <v>0</v>
      </c>
      <c r="P37" s="26">
        <f>IF(TRUE,0,_xll.PSFx3BAL(CN,"*","DAF_Country",$A37,"DAF_Award",P$3,"NOMINAL",$A$2,PF,PT))</f>
        <v>0</v>
      </c>
      <c r="Q37" s="26">
        <f>IF(TRUE,0,_xll.PSFx3BAL(CN,"*","DAF_Country",$A37,"DAF_Award",Q$3,"NOMINAL",$A$2,PF,PT))</f>
        <v>0</v>
      </c>
      <c r="R37" s="26">
        <f>IF(TRUE,0,_xll.PSFx3BAL(CN,"*","DAF_Country",$A37,"DAF_Award",R$3,"NOMINAL",$A$2,PF,PT))</f>
        <v>0</v>
      </c>
      <c r="S37" s="26">
        <f>IF(TRUE,0,_xll.PSFx3BAL(CN,"*","DAF_Country",$A37,"DAF_Award",S$3,"NOMINAL",$A$2,PF,PT))</f>
        <v>0</v>
      </c>
      <c r="T37" s="26">
        <f>IF(TRUE,0,_xll.PSFx3BAL(CN,"*","DAF_Country",$A37,"DAF_Award",T$3,"NOMINAL",$A$2,PF,PT))</f>
        <v>0</v>
      </c>
      <c r="U37" s="26">
        <f>IF(TRUE,0,_xll.PSFx3BAL(CN,"*","DAF_Country",$A37,"DAF_Award",U$3,"NOMINAL",$A$2,PF,PT))</f>
        <v>0</v>
      </c>
      <c r="V37" s="26">
        <f>IF(TRUE,0,_xll.PSFx3BAL(CN,"*","DAF_Country",$A37,"DAF_Award",V$3,"NOMINAL",$A$2,PF,PT))</f>
        <v>0</v>
      </c>
      <c r="W37" s="26">
        <f>IF(TRUE,0,_xll.PSFx3BAL(CN,"*","DAF_Country",$A37,"DAF_Award",W$3,"NOMINAL",$A$2,PF,PT))</f>
        <v>0</v>
      </c>
      <c r="X37" s="26">
        <f>IF(TRUE,0,_xll.PSFx3BAL(CN,"*","DAF_Country",$A37,"DAF_Award",X$3,"NOMINAL",$A$2,PF,PT))</f>
        <v>0</v>
      </c>
      <c r="Y37" s="26">
        <f>IF(TRUE,0,_xll.PSFx3BAL(CN,"*","DAF_Country",$A37,"DAF_Award",Y$3,"NOMINAL",$A$2,PF,PT))</f>
        <v>0</v>
      </c>
      <c r="Z37" s="26">
        <f>IF(TRUE,0,_xll.PSFx3BAL(CN,"*","DAF_Country",$A37,"DAF_Award",Z$3,"NOMINAL",$A$2,PF,PT))</f>
        <v>0</v>
      </c>
      <c r="AA37" s="9">
        <f t="shared" si="6"/>
        <v>0</v>
      </c>
      <c r="AB37" s="19">
        <f t="shared" si="7"/>
        <v>0</v>
      </c>
    </row>
    <row r="38" spans="1:30" hidden="1" outlineLevel="1" x14ac:dyDescent="0.2">
      <c r="A38" t="s">
        <v>246</v>
      </c>
      <c r="B38" t="str">
        <f>VLOOKUP(A38,Parameters!R:S,2,FALSE)</f>
        <v>SCI Team Meetings</v>
      </c>
      <c r="C38" s="26">
        <f>IF(TRUE,0,_xll.PSFx3BAL(CN,"*","DAF_Country",$A38,"DAF_Award",C$3,"NOMINAL",$A$2,PF,PT))</f>
        <v>0</v>
      </c>
      <c r="D38" s="26">
        <f>IF(TRUE,0,_xll.PSFx3BAL(CN,"*","DAF_Country",$A38,"DAF_Award",D$3,"NOMINAL",$A$2,PF,PT))</f>
        <v>0</v>
      </c>
      <c r="E38" s="26">
        <f>IF(TRUE,0,_xll.PSFx3BAL(CN,"*","DAF_Country",$A38,"DAF_Award",E$3,"NOMINAL",$A$2,PF,PT))</f>
        <v>0</v>
      </c>
      <c r="F38" s="26">
        <f>IF(TRUE,0,_xll.PSFx3BAL(CN,"*","DAF_Country",$A38,"DAF_Award",F$3,"NOMINAL",$A$2,PF,PT))</f>
        <v>0</v>
      </c>
      <c r="G38" s="26">
        <f>IF(TRUE,0,_xll.PSFx3BAL(CN,"*","DAF_Country",$A38,"DAF_Award",G$3,"NOMINAL",$A$2,PF,PT))</f>
        <v>0</v>
      </c>
      <c r="H38" s="26">
        <f>IF(TRUE,0,_xll.PSFx3BAL(CN,"*","DAF_Country",$A38,"DAF_Award",H$3,"NOMINAL",$A$2,PF,PT))</f>
        <v>0</v>
      </c>
      <c r="I38" s="26">
        <f>IF(TRUE,0,_xll.PSFx3BAL(CN,"*","DAF_Country",$A38,"DAF_Award",I$3,"NOMINAL",$A$2,PF,PT))</f>
        <v>0</v>
      </c>
      <c r="J38" s="26">
        <f>IF(TRUE,0,_xll.PSFx3BAL(CN,"*","DAF_Country",$A38,"DAF_Award",J$3,"NOMINAL",$A$2,PF,PT))</f>
        <v>0</v>
      </c>
      <c r="K38" s="26">
        <f>IF(TRUE,0,_xll.PSFx3BAL(CN,"*","DAF_Country",$A38,"DAF_Award",K$3,"NOMINAL",$A$2,PF,PT))</f>
        <v>0</v>
      </c>
      <c r="L38" s="26">
        <f>IF(TRUE,0,_xll.PSFx3BAL(CN,"*","DAF_Country",$A38,"DAF_Award",L$3,"NOMINAL",$A$2,PF,PT))</f>
        <v>0</v>
      </c>
      <c r="M38" s="26">
        <f>IF(TRUE,0,_xll.PSFx3BAL(CN,"*","DAF_Country",$A38,"DAF_Award",M$3,"NOMINAL",$A$2,PF,PT))</f>
        <v>0</v>
      </c>
      <c r="N38" s="26">
        <f>IF(TRUE,0,_xll.PSFx3BAL(CN,"*","DAF_Country",$A38,"DAF_Award",N$3,"NOMINAL",$A$2,PF,PT))</f>
        <v>0</v>
      </c>
      <c r="O38" s="26">
        <f>IF(TRUE,0,_xll.PSFx3BAL(CN,"*","DAF_Country",$A38,"DAF_Award",O$3,"NOMINAL",$A$2,PF,PT))</f>
        <v>0</v>
      </c>
      <c r="P38" s="26">
        <f>IF(TRUE,0,_xll.PSFx3BAL(CN,"*","DAF_Country",$A38,"DAF_Award",P$3,"NOMINAL",$A$2,PF,PT))</f>
        <v>0</v>
      </c>
      <c r="Q38" s="26">
        <f>IF(TRUE,0,_xll.PSFx3BAL(CN,"*","DAF_Country",$A38,"DAF_Award",Q$3,"NOMINAL",$A$2,PF,PT))</f>
        <v>0</v>
      </c>
      <c r="R38" s="26">
        <f>IF(TRUE,0,_xll.PSFx3BAL(CN,"*","DAF_Country",$A38,"DAF_Award",R$3,"NOMINAL",$A$2,PF,PT))</f>
        <v>0</v>
      </c>
      <c r="S38" s="26">
        <f>IF(TRUE,0,_xll.PSFx3BAL(CN,"*","DAF_Country",$A38,"DAF_Award",S$3,"NOMINAL",$A$2,PF,PT))</f>
        <v>0</v>
      </c>
      <c r="T38" s="26">
        <f>IF(TRUE,0,_xll.PSFx3BAL(CN,"*","DAF_Country",$A38,"DAF_Award",T$3,"NOMINAL",$A$2,PF,PT))</f>
        <v>0</v>
      </c>
      <c r="U38" s="26">
        <f>IF(TRUE,0,_xll.PSFx3BAL(CN,"*","DAF_Country",$A38,"DAF_Award",U$3,"NOMINAL",$A$2,PF,PT))</f>
        <v>0</v>
      </c>
      <c r="V38" s="26">
        <f>IF(TRUE,0,_xll.PSFx3BAL(CN,"*","DAF_Country",$A38,"DAF_Award",V$3,"NOMINAL",$A$2,PF,PT))</f>
        <v>0</v>
      </c>
      <c r="W38" s="26">
        <f>IF(TRUE,0,_xll.PSFx3BAL(CN,"*","DAF_Country",$A38,"DAF_Award",W$3,"NOMINAL",$A$2,PF,PT))</f>
        <v>0</v>
      </c>
      <c r="X38" s="26">
        <f>IF(TRUE,0,_xll.PSFx3BAL(CN,"*","DAF_Country",$A38,"DAF_Award",X$3,"NOMINAL",$A$2,PF,PT))</f>
        <v>0</v>
      </c>
      <c r="Y38" s="26">
        <f>IF(TRUE,0,_xll.PSFx3BAL(CN,"*","DAF_Country",$A38,"DAF_Award",Y$3,"NOMINAL",$A$2,PF,PT))</f>
        <v>0</v>
      </c>
      <c r="Z38" s="26">
        <f>IF(TRUE,0,_xll.PSFx3BAL(CN,"*","DAF_Country",$A38,"DAF_Award",Z$3,"NOMINAL",$A$2,PF,PT))</f>
        <v>0</v>
      </c>
      <c r="AA38" s="9">
        <f t="shared" si="6"/>
        <v>0</v>
      </c>
      <c r="AB38" s="19">
        <f t="shared" si="7"/>
        <v>0</v>
      </c>
    </row>
    <row r="39" spans="1:30" hidden="1" outlineLevel="1" x14ac:dyDescent="0.2">
      <c r="A39" t="s">
        <v>253</v>
      </c>
      <c r="B39" t="str">
        <f>VLOOKUP(A39,Parameters!R:S,2,FALSE)</f>
        <v>United States</v>
      </c>
      <c r="C39" s="26">
        <f>IF(TRUE,0,_xll.PSFx3BAL(CN,"*","DAF_Country",$A39,"DAF_Award",C$3,"NOMINAL",$A$2,PF,PT))</f>
        <v>0</v>
      </c>
      <c r="D39" s="26">
        <f>IF(TRUE,0,_xll.PSFx3BAL(CN,"*","DAF_Country",$A39,"DAF_Award",D$3,"NOMINAL",$A$2,PF,PT))</f>
        <v>0</v>
      </c>
      <c r="E39" s="26">
        <f>IF(TRUE,0,_xll.PSFx3BAL(CN,"*","DAF_Country",$A39,"DAF_Award",E$3,"NOMINAL",$A$2,PF,PT))</f>
        <v>0</v>
      </c>
      <c r="F39" s="26">
        <f>IF(TRUE,0,_xll.PSFx3BAL(CN,"*","DAF_Country",$A39,"DAF_Award",F$3,"NOMINAL",$A$2,PF,PT))</f>
        <v>0</v>
      </c>
      <c r="G39" s="26">
        <f>IF(TRUE,0,_xll.PSFx3BAL(CN,"*","DAF_Country",$A39,"DAF_Award",G$3,"NOMINAL",$A$2,PF,PT))</f>
        <v>0</v>
      </c>
      <c r="H39" s="26">
        <f>IF(TRUE,0,_xll.PSFx3BAL(CN,"*","DAF_Country",$A39,"DAF_Award",H$3,"NOMINAL",$A$2,PF,PT))</f>
        <v>0</v>
      </c>
      <c r="I39" s="26">
        <f>IF(TRUE,0,_xll.PSFx3BAL(CN,"*","DAF_Country",$A39,"DAF_Award",I$3,"NOMINAL",$A$2,PF,PT))</f>
        <v>0</v>
      </c>
      <c r="J39" s="26">
        <f>IF(TRUE,0,_xll.PSFx3BAL(CN,"*","DAF_Country",$A39,"DAF_Award",J$3,"NOMINAL",$A$2,PF,PT))</f>
        <v>0</v>
      </c>
      <c r="K39" s="26">
        <f>IF(TRUE,0,_xll.PSFx3BAL(CN,"*","DAF_Country",$A39,"DAF_Award",K$3,"NOMINAL",$A$2,PF,PT))</f>
        <v>0</v>
      </c>
      <c r="L39" s="26">
        <f>IF(TRUE,0,_xll.PSFx3BAL(CN,"*","DAF_Country",$A39,"DAF_Award",L$3,"NOMINAL",$A$2,PF,PT))</f>
        <v>0</v>
      </c>
      <c r="M39" s="26">
        <f>IF(TRUE,0,_xll.PSFx3BAL(CN,"*","DAF_Country",$A39,"DAF_Award",M$3,"NOMINAL",$A$2,PF,PT))</f>
        <v>0</v>
      </c>
      <c r="N39" s="26">
        <f>IF(TRUE,0,_xll.PSFx3BAL(CN,"*","DAF_Country",$A39,"DAF_Award",N$3,"NOMINAL",$A$2,PF,PT))</f>
        <v>0</v>
      </c>
      <c r="O39" s="26">
        <f>IF(TRUE,0,_xll.PSFx3BAL(CN,"*","DAF_Country",$A39,"DAF_Award",O$3,"NOMINAL",$A$2,PF,PT))</f>
        <v>0</v>
      </c>
      <c r="P39" s="26">
        <f>IF(TRUE,0,_xll.PSFx3BAL(CN,"*","DAF_Country",$A39,"DAF_Award",P$3,"NOMINAL",$A$2,PF,PT))</f>
        <v>0</v>
      </c>
      <c r="Q39" s="26">
        <f>IF(TRUE,0,_xll.PSFx3BAL(CN,"*","DAF_Country",$A39,"DAF_Award",Q$3,"NOMINAL",$A$2,PF,PT))</f>
        <v>0</v>
      </c>
      <c r="R39" s="26">
        <f>IF(TRUE,0,_xll.PSFx3BAL(CN,"*","DAF_Country",$A39,"DAF_Award",R$3,"NOMINAL",$A$2,PF,PT))</f>
        <v>0</v>
      </c>
      <c r="S39" s="26">
        <f>IF(TRUE,0,_xll.PSFx3BAL(CN,"*","DAF_Country",$A39,"DAF_Award",S$3,"NOMINAL",$A$2,PF,PT))</f>
        <v>0</v>
      </c>
      <c r="T39" s="26">
        <f>IF(TRUE,0,_xll.PSFx3BAL(CN,"*","DAF_Country",$A39,"DAF_Award",T$3,"NOMINAL",$A$2,PF,PT))</f>
        <v>0</v>
      </c>
      <c r="U39" s="26">
        <f>IF(TRUE,0,_xll.PSFx3BAL(CN,"*","DAF_Country",$A39,"DAF_Award",U$3,"NOMINAL",$A$2,PF,PT))</f>
        <v>0</v>
      </c>
      <c r="V39" s="26">
        <f>IF(TRUE,0,_xll.PSFx3BAL(CN,"*","DAF_Country",$A39,"DAF_Award",V$3,"NOMINAL",$A$2,PF,PT))</f>
        <v>0</v>
      </c>
      <c r="W39" s="26">
        <f>IF(TRUE,0,_xll.PSFx3BAL(CN,"*","DAF_Country",$A39,"DAF_Award",W$3,"NOMINAL",$A$2,PF,PT))</f>
        <v>0</v>
      </c>
      <c r="X39" s="26">
        <f>IF(TRUE,0,_xll.PSFx3BAL(CN,"*","DAF_Country",$A39,"DAF_Award",X$3,"NOMINAL",$A$2,PF,PT))</f>
        <v>0</v>
      </c>
      <c r="Y39" s="26">
        <f>IF(TRUE,0,_xll.PSFx3BAL(CN,"*","DAF_Country",$A39,"DAF_Award",Y$3,"NOMINAL",$A$2,PF,PT))</f>
        <v>0</v>
      </c>
      <c r="Z39" s="26">
        <f>IF(TRUE,0,_xll.PSFx3BAL(CN,"*","DAF_Country",$A39,"DAF_Award",Z$3,"NOMINAL",$A$2,PF,PT))</f>
        <v>0</v>
      </c>
      <c r="AA39" s="9">
        <f t="shared" si="6"/>
        <v>0</v>
      </c>
      <c r="AB39" s="19">
        <f t="shared" si="7"/>
        <v>0</v>
      </c>
    </row>
    <row r="40" spans="1:30" hidden="1" outlineLevel="1" x14ac:dyDescent="0.2">
      <c r="A40" t="s">
        <v>254</v>
      </c>
      <c r="B40" t="str">
        <f>VLOOKUP(A40,Parameters!R:S,2,FALSE)</f>
        <v>World Health Assembly</v>
      </c>
      <c r="C40" s="26">
        <f>IF(TRUE,0,_xll.PSFx3BAL(CN,"*","DAF_Country",$A40,"DAF_Award",C$3,"NOMINAL",$A$2,PF,PT))</f>
        <v>0</v>
      </c>
      <c r="D40" s="26">
        <f>IF(TRUE,0,_xll.PSFx3BAL(CN,"*","DAF_Country",$A40,"DAF_Award",D$3,"NOMINAL",$A$2,PF,PT))</f>
        <v>0</v>
      </c>
      <c r="E40" s="26">
        <f>IF(TRUE,0,_xll.PSFx3BAL(CN,"*","DAF_Country",$A40,"DAF_Award",E$3,"NOMINAL",$A$2,PF,PT))</f>
        <v>0</v>
      </c>
      <c r="F40" s="26">
        <f>IF(TRUE,0,_xll.PSFx3BAL(CN,"*","DAF_Country",$A40,"DAF_Award",F$3,"NOMINAL",$A$2,PF,PT))</f>
        <v>0</v>
      </c>
      <c r="G40" s="26">
        <f>IF(TRUE,0,_xll.PSFx3BAL(CN,"*","DAF_Country",$A40,"DAF_Award",G$3,"NOMINAL",$A$2,PF,PT))</f>
        <v>0</v>
      </c>
      <c r="H40" s="26">
        <f>IF(TRUE,0,_xll.PSFx3BAL(CN,"*","DAF_Country",$A40,"DAF_Award",H$3,"NOMINAL",$A$2,PF,PT))</f>
        <v>0</v>
      </c>
      <c r="I40" s="26">
        <f>IF(TRUE,0,_xll.PSFx3BAL(CN,"*","DAF_Country",$A40,"DAF_Award",I$3,"NOMINAL",$A$2,PF,PT))</f>
        <v>0</v>
      </c>
      <c r="J40" s="26">
        <f>IF(TRUE,0,_xll.PSFx3BAL(CN,"*","DAF_Country",$A40,"DAF_Award",J$3,"NOMINAL",$A$2,PF,PT))</f>
        <v>0</v>
      </c>
      <c r="K40" s="26">
        <f>IF(TRUE,0,_xll.PSFx3BAL(CN,"*","DAF_Country",$A40,"DAF_Award",K$3,"NOMINAL",$A$2,PF,PT))</f>
        <v>0</v>
      </c>
      <c r="L40" s="26">
        <f>IF(TRUE,0,_xll.PSFx3BAL(CN,"*","DAF_Country",$A40,"DAF_Award",L$3,"NOMINAL",$A$2,PF,PT))</f>
        <v>0</v>
      </c>
      <c r="M40" s="26">
        <f>IF(TRUE,0,_xll.PSFx3BAL(CN,"*","DAF_Country",$A40,"DAF_Award",M$3,"NOMINAL",$A$2,PF,PT))</f>
        <v>0</v>
      </c>
      <c r="N40" s="26">
        <f>IF(TRUE,0,_xll.PSFx3BAL(CN,"*","DAF_Country",$A40,"DAF_Award",N$3,"NOMINAL",$A$2,PF,PT))</f>
        <v>0</v>
      </c>
      <c r="O40" s="26">
        <f>IF(TRUE,0,_xll.PSFx3BAL(CN,"*","DAF_Country",$A40,"DAF_Award",O$3,"NOMINAL",$A$2,PF,PT))</f>
        <v>0</v>
      </c>
      <c r="P40" s="26">
        <f>IF(TRUE,0,_xll.PSFx3BAL(CN,"*","DAF_Country",$A40,"DAF_Award",P$3,"NOMINAL",$A$2,PF,PT))</f>
        <v>0</v>
      </c>
      <c r="Q40" s="26">
        <f>IF(TRUE,0,_xll.PSFx3BAL(CN,"*","DAF_Country",$A40,"DAF_Award",Q$3,"NOMINAL",$A$2,PF,PT))</f>
        <v>0</v>
      </c>
      <c r="R40" s="26">
        <f>IF(TRUE,0,_xll.PSFx3BAL(CN,"*","DAF_Country",$A40,"DAF_Award",R$3,"NOMINAL",$A$2,PF,PT))</f>
        <v>0</v>
      </c>
      <c r="S40" s="26">
        <f>IF(TRUE,0,_xll.PSFx3BAL(CN,"*","DAF_Country",$A40,"DAF_Award",S$3,"NOMINAL",$A$2,PF,PT))</f>
        <v>0</v>
      </c>
      <c r="T40" s="26">
        <f>IF(TRUE,0,_xll.PSFx3BAL(CN,"*","DAF_Country",$A40,"DAF_Award",T$3,"NOMINAL",$A$2,PF,PT))</f>
        <v>0</v>
      </c>
      <c r="U40" s="26">
        <f>IF(TRUE,0,_xll.PSFx3BAL(CN,"*","DAF_Country",$A40,"DAF_Award",U$3,"NOMINAL",$A$2,PF,PT))</f>
        <v>0</v>
      </c>
      <c r="V40" s="26">
        <f>IF(TRUE,0,_xll.PSFx3BAL(CN,"*","DAF_Country",$A40,"DAF_Award",V$3,"NOMINAL",$A$2,PF,PT))</f>
        <v>0</v>
      </c>
      <c r="W40" s="26">
        <f>IF(TRUE,0,_xll.PSFx3BAL(CN,"*","DAF_Country",$A40,"DAF_Award",W$3,"NOMINAL",$A$2,PF,PT))</f>
        <v>0</v>
      </c>
      <c r="X40" s="26">
        <f>IF(TRUE,0,_xll.PSFx3BAL(CN,"*","DAF_Country",$A40,"DAF_Award",X$3,"NOMINAL",$A$2,PF,PT))</f>
        <v>0</v>
      </c>
      <c r="Y40" s="26">
        <f>IF(TRUE,0,_xll.PSFx3BAL(CN,"*","DAF_Country",$A40,"DAF_Award",Y$3,"NOMINAL",$A$2,PF,PT))</f>
        <v>0</v>
      </c>
      <c r="Z40" s="26">
        <f>IF(TRUE,0,_xll.PSFx3BAL(CN,"*","DAF_Country",$A40,"DAF_Award",Z$3,"NOMINAL",$A$2,PF,PT))</f>
        <v>0</v>
      </c>
      <c r="AA40" s="9">
        <f t="shared" si="6"/>
        <v>0</v>
      </c>
      <c r="AB40" s="19">
        <f t="shared" si="7"/>
        <v>0</v>
      </c>
    </row>
    <row r="41" spans="1:30" hidden="1" outlineLevel="1" x14ac:dyDescent="0.2">
      <c r="A41" t="s">
        <v>255</v>
      </c>
      <c r="B41" t="str">
        <f>VLOOKUP(A41,Parameters!R:S,2,FALSE)</f>
        <v>Other WHO Meetings</v>
      </c>
      <c r="C41" s="26">
        <f>IF(TRUE,0,_xll.PSFx3BAL(CN,"*","DAF_Country",$A41,"DAF_Award",C$3,"NOMINAL",$A$2,PF,PT))</f>
        <v>0</v>
      </c>
      <c r="D41" s="26">
        <f>IF(TRUE,0,_xll.PSFx3BAL(CN,"*","DAF_Country",$A41,"DAF_Award",D$3,"NOMINAL",$A$2,PF,PT))</f>
        <v>0</v>
      </c>
      <c r="E41" s="26">
        <f>IF(TRUE,0,_xll.PSFx3BAL(CN,"*","DAF_Country",$A41,"DAF_Award",E$3,"NOMINAL",$A$2,PF,PT))</f>
        <v>0</v>
      </c>
      <c r="F41" s="26">
        <f>IF(TRUE,0,_xll.PSFx3BAL(CN,"*","DAF_Country",$A41,"DAF_Award",F$3,"NOMINAL",$A$2,PF,PT))</f>
        <v>0</v>
      </c>
      <c r="G41" s="26">
        <f>IF(TRUE,0,_xll.PSFx3BAL(CN,"*","DAF_Country",$A41,"DAF_Award",G$3,"NOMINAL",$A$2,PF,PT))</f>
        <v>0</v>
      </c>
      <c r="H41" s="26">
        <f>IF(TRUE,0,_xll.PSFx3BAL(CN,"*","DAF_Country",$A41,"DAF_Award",H$3,"NOMINAL",$A$2,PF,PT))</f>
        <v>0</v>
      </c>
      <c r="I41" s="26">
        <f>IF(TRUE,0,_xll.PSFx3BAL(CN,"*","DAF_Country",$A41,"DAF_Award",I$3,"NOMINAL",$A$2,PF,PT))</f>
        <v>0</v>
      </c>
      <c r="J41" s="26">
        <f>IF(TRUE,0,_xll.PSFx3BAL(CN,"*","DAF_Country",$A41,"DAF_Award",J$3,"NOMINAL",$A$2,PF,PT))</f>
        <v>0</v>
      </c>
      <c r="K41" s="26">
        <f>IF(TRUE,0,_xll.PSFx3BAL(CN,"*","DAF_Country",$A41,"DAF_Award",K$3,"NOMINAL",$A$2,PF,PT))</f>
        <v>0</v>
      </c>
      <c r="L41" s="26">
        <f>IF(TRUE,0,_xll.PSFx3BAL(CN,"*","DAF_Country",$A41,"DAF_Award",L$3,"NOMINAL",$A$2,PF,PT))</f>
        <v>0</v>
      </c>
      <c r="M41" s="26">
        <f>IF(TRUE,0,_xll.PSFx3BAL(CN,"*","DAF_Country",$A41,"DAF_Award",M$3,"NOMINAL",$A$2,PF,PT))</f>
        <v>0</v>
      </c>
      <c r="N41" s="26">
        <f>IF(TRUE,0,_xll.PSFx3BAL(CN,"*","DAF_Country",$A41,"DAF_Award",N$3,"NOMINAL",$A$2,PF,PT))</f>
        <v>0</v>
      </c>
      <c r="O41" s="26">
        <f>IF(TRUE,0,_xll.PSFx3BAL(CN,"*","DAF_Country",$A41,"DAF_Award",O$3,"NOMINAL",$A$2,PF,PT))</f>
        <v>0</v>
      </c>
      <c r="P41" s="26">
        <f>IF(TRUE,0,_xll.PSFx3BAL(CN,"*","DAF_Country",$A41,"DAF_Award",P$3,"NOMINAL",$A$2,PF,PT))</f>
        <v>0</v>
      </c>
      <c r="Q41" s="26">
        <f>IF(TRUE,0,_xll.PSFx3BAL(CN,"*","DAF_Country",$A41,"DAF_Award",Q$3,"NOMINAL",$A$2,PF,PT))</f>
        <v>0</v>
      </c>
      <c r="R41" s="26">
        <f>IF(TRUE,0,_xll.PSFx3BAL(CN,"*","DAF_Country",$A41,"DAF_Award",R$3,"NOMINAL",$A$2,PF,PT))</f>
        <v>0</v>
      </c>
      <c r="S41" s="26">
        <f>IF(TRUE,0,_xll.PSFx3BAL(CN,"*","DAF_Country",$A41,"DAF_Award",S$3,"NOMINAL",$A$2,PF,PT))</f>
        <v>0</v>
      </c>
      <c r="T41" s="26">
        <f>IF(TRUE,0,_xll.PSFx3BAL(CN,"*","DAF_Country",$A41,"DAF_Award",T$3,"NOMINAL",$A$2,PF,PT))</f>
        <v>0</v>
      </c>
      <c r="U41" s="26">
        <f>IF(TRUE,0,_xll.PSFx3BAL(CN,"*","DAF_Country",$A41,"DAF_Award",U$3,"NOMINAL",$A$2,PF,PT))</f>
        <v>0</v>
      </c>
      <c r="V41" s="26">
        <f>IF(TRUE,0,_xll.PSFx3BAL(CN,"*","DAF_Country",$A41,"DAF_Award",V$3,"NOMINAL",$A$2,PF,PT))</f>
        <v>0</v>
      </c>
      <c r="W41" s="26">
        <f>IF(TRUE,0,_xll.PSFx3BAL(CN,"*","DAF_Country",$A41,"DAF_Award",W$3,"NOMINAL",$A$2,PF,PT))</f>
        <v>0</v>
      </c>
      <c r="X41" s="26">
        <f>IF(TRUE,0,_xll.PSFx3BAL(CN,"*","DAF_Country",$A41,"DAF_Award",X$3,"NOMINAL",$A$2,PF,PT))</f>
        <v>0</v>
      </c>
      <c r="Y41" s="26">
        <f>IF(TRUE,0,_xll.PSFx3BAL(CN,"*","DAF_Country",$A41,"DAF_Award",Y$3,"NOMINAL",$A$2,PF,PT))</f>
        <v>0</v>
      </c>
      <c r="Z41" s="26">
        <f>IF(TRUE,0,_xll.PSFx3BAL(CN,"*","DAF_Country",$A41,"DAF_Award",Z$3,"NOMINAL",$A$2,PF,PT))</f>
        <v>0</v>
      </c>
      <c r="AA41" s="9">
        <f t="shared" si="6"/>
        <v>0</v>
      </c>
      <c r="AB41" s="19">
        <f t="shared" si="7"/>
        <v>0</v>
      </c>
    </row>
    <row r="42" spans="1:30" hidden="1" outlineLevel="1" x14ac:dyDescent="0.2">
      <c r="A42" t="s">
        <v>256</v>
      </c>
      <c r="B42" t="str">
        <f>VLOOKUP(A42,Parameters!R:S,2,FALSE)</f>
        <v>World Health Summit</v>
      </c>
      <c r="C42" s="26">
        <f>IF(TRUE,0,_xll.PSFx3BAL(CN,"*","DAF_Country",$A42,"DAF_Award",C$3,"NOMINAL",$A$2,PF,PT))</f>
        <v>0</v>
      </c>
      <c r="D42" s="26">
        <f>IF(TRUE,0,_xll.PSFx3BAL(CN,"*","DAF_Country",$A42,"DAF_Award",D$3,"NOMINAL",$A$2,PF,PT))</f>
        <v>0</v>
      </c>
      <c r="E42" s="26">
        <f>IF(TRUE,0,_xll.PSFx3BAL(CN,"*","DAF_Country",$A42,"DAF_Award",E$3,"NOMINAL",$A$2,PF,PT))</f>
        <v>0</v>
      </c>
      <c r="F42" s="26">
        <f>IF(TRUE,0,_xll.PSFx3BAL(CN,"*","DAF_Country",$A42,"DAF_Award",F$3,"NOMINAL",$A$2,PF,PT))</f>
        <v>0</v>
      </c>
      <c r="G42" s="26">
        <f>IF(TRUE,0,_xll.PSFx3BAL(CN,"*","DAF_Country",$A42,"DAF_Award",G$3,"NOMINAL",$A$2,PF,PT))</f>
        <v>0</v>
      </c>
      <c r="H42" s="26">
        <f>IF(TRUE,0,_xll.PSFx3BAL(CN,"*","DAF_Country",$A42,"DAF_Award",H$3,"NOMINAL",$A$2,PF,PT))</f>
        <v>0</v>
      </c>
      <c r="I42" s="26">
        <f>IF(TRUE,0,_xll.PSFx3BAL(CN,"*","DAF_Country",$A42,"DAF_Award",I$3,"NOMINAL",$A$2,PF,PT))</f>
        <v>0</v>
      </c>
      <c r="J42" s="26">
        <f>IF(TRUE,0,_xll.PSFx3BAL(CN,"*","DAF_Country",$A42,"DAF_Award",J$3,"NOMINAL",$A$2,PF,PT))</f>
        <v>0</v>
      </c>
      <c r="K42" s="26">
        <f>IF(TRUE,0,_xll.PSFx3BAL(CN,"*","DAF_Country",$A42,"DAF_Award",K$3,"NOMINAL",$A$2,PF,PT))</f>
        <v>0</v>
      </c>
      <c r="L42" s="26">
        <f>IF(TRUE,0,_xll.PSFx3BAL(CN,"*","DAF_Country",$A42,"DAF_Award",L$3,"NOMINAL",$A$2,PF,PT))</f>
        <v>0</v>
      </c>
      <c r="M42" s="26">
        <f>IF(TRUE,0,_xll.PSFx3BAL(CN,"*","DAF_Country",$A42,"DAF_Award",M$3,"NOMINAL",$A$2,PF,PT))</f>
        <v>0</v>
      </c>
      <c r="N42" s="26">
        <f>IF(TRUE,0,_xll.PSFx3BAL(CN,"*","DAF_Country",$A42,"DAF_Award",N$3,"NOMINAL",$A$2,PF,PT))</f>
        <v>0</v>
      </c>
      <c r="O42" s="26">
        <f>IF(TRUE,0,_xll.PSFx3BAL(CN,"*","DAF_Country",$A42,"DAF_Award",O$3,"NOMINAL",$A$2,PF,PT))</f>
        <v>0</v>
      </c>
      <c r="P42" s="26">
        <f>IF(TRUE,0,_xll.PSFx3BAL(CN,"*","DAF_Country",$A42,"DAF_Award",P$3,"NOMINAL",$A$2,PF,PT))</f>
        <v>0</v>
      </c>
      <c r="Q42" s="26">
        <f>IF(TRUE,0,_xll.PSFx3BAL(CN,"*","DAF_Country",$A42,"DAF_Award",Q$3,"NOMINAL",$A$2,PF,PT))</f>
        <v>0</v>
      </c>
      <c r="R42" s="26">
        <f>IF(TRUE,0,_xll.PSFx3BAL(CN,"*","DAF_Country",$A42,"DAF_Award",R$3,"NOMINAL",$A$2,PF,PT))</f>
        <v>0</v>
      </c>
      <c r="S42" s="26">
        <f>IF(TRUE,0,_xll.PSFx3BAL(CN,"*","DAF_Country",$A42,"DAF_Award",S$3,"NOMINAL",$A$2,PF,PT))</f>
        <v>0</v>
      </c>
      <c r="T42" s="26">
        <f>IF(TRUE,0,_xll.PSFx3BAL(CN,"*","DAF_Country",$A42,"DAF_Award",T$3,"NOMINAL",$A$2,PF,PT))</f>
        <v>0</v>
      </c>
      <c r="U42" s="26">
        <f>IF(TRUE,0,_xll.PSFx3BAL(CN,"*","DAF_Country",$A42,"DAF_Award",U$3,"NOMINAL",$A$2,PF,PT))</f>
        <v>0</v>
      </c>
      <c r="V42" s="26">
        <f>IF(TRUE,0,_xll.PSFx3BAL(CN,"*","DAF_Country",$A42,"DAF_Award",V$3,"NOMINAL",$A$2,PF,PT))</f>
        <v>0</v>
      </c>
      <c r="W42" s="26">
        <f>IF(TRUE,0,_xll.PSFx3BAL(CN,"*","DAF_Country",$A42,"DAF_Award",W$3,"NOMINAL",$A$2,PF,PT))</f>
        <v>0</v>
      </c>
      <c r="X42" s="26">
        <f>IF(TRUE,0,_xll.PSFx3BAL(CN,"*","DAF_Country",$A42,"DAF_Award",X$3,"NOMINAL",$A$2,PF,PT))</f>
        <v>0</v>
      </c>
      <c r="Y42" s="26">
        <f>IF(TRUE,0,_xll.PSFx3BAL(CN,"*","DAF_Country",$A42,"DAF_Award",Y$3,"NOMINAL",$A$2,PF,PT))</f>
        <v>0</v>
      </c>
      <c r="Z42" s="26">
        <f>IF(TRUE,0,_xll.PSFx3BAL(CN,"*","DAF_Country",$A42,"DAF_Award",Z$3,"NOMINAL",$A$2,PF,PT))</f>
        <v>0</v>
      </c>
      <c r="AA42" s="9">
        <f t="shared" si="6"/>
        <v>0</v>
      </c>
      <c r="AB42" s="19">
        <f t="shared" si="7"/>
        <v>0</v>
      </c>
    </row>
    <row r="43" spans="1:30" hidden="1" outlineLevel="1" x14ac:dyDescent="0.2">
      <c r="A43" t="s">
        <v>257</v>
      </c>
      <c r="B43" t="str">
        <f>VLOOKUP(A43,Parameters!R:S,2,FALSE)</f>
        <v>World Water Week</v>
      </c>
      <c r="C43" s="26">
        <f>IF(TRUE,0,_xll.PSFx3BAL(CN,"*","DAF_Country",$A43,"DAF_Award",C$3,"NOMINAL",$A$2,PF,PT))</f>
        <v>0</v>
      </c>
      <c r="D43" s="26">
        <f>IF(TRUE,0,_xll.PSFx3BAL(CN,"*","DAF_Country",$A43,"DAF_Award",D$3,"NOMINAL",$A$2,PF,PT))</f>
        <v>0</v>
      </c>
      <c r="E43" s="26">
        <f>IF(TRUE,0,_xll.PSFx3BAL(CN,"*","DAF_Country",$A43,"DAF_Award",E$3,"NOMINAL",$A$2,PF,PT))</f>
        <v>0</v>
      </c>
      <c r="F43" s="26">
        <f>IF(TRUE,0,_xll.PSFx3BAL(CN,"*","DAF_Country",$A43,"DAF_Award",F$3,"NOMINAL",$A$2,PF,PT))</f>
        <v>0</v>
      </c>
      <c r="G43" s="26">
        <f>IF(TRUE,0,_xll.PSFx3BAL(CN,"*","DAF_Country",$A43,"DAF_Award",G$3,"NOMINAL",$A$2,PF,PT))</f>
        <v>0</v>
      </c>
      <c r="H43" s="26">
        <f>IF(TRUE,0,_xll.PSFx3BAL(CN,"*","DAF_Country",$A43,"DAF_Award",H$3,"NOMINAL",$A$2,PF,PT))</f>
        <v>0</v>
      </c>
      <c r="I43" s="26">
        <f>IF(TRUE,0,_xll.PSFx3BAL(CN,"*","DAF_Country",$A43,"DAF_Award",I$3,"NOMINAL",$A$2,PF,PT))</f>
        <v>0</v>
      </c>
      <c r="J43" s="26">
        <f>IF(TRUE,0,_xll.PSFx3BAL(CN,"*","DAF_Country",$A43,"DAF_Award",J$3,"NOMINAL",$A$2,PF,PT))</f>
        <v>0</v>
      </c>
      <c r="K43" s="26">
        <f>IF(TRUE,0,_xll.PSFx3BAL(CN,"*","DAF_Country",$A43,"DAF_Award",K$3,"NOMINAL",$A$2,PF,PT))</f>
        <v>0</v>
      </c>
      <c r="L43" s="26">
        <f>IF(TRUE,0,_xll.PSFx3BAL(CN,"*","DAF_Country",$A43,"DAF_Award",L$3,"NOMINAL",$A$2,PF,PT))</f>
        <v>0</v>
      </c>
      <c r="M43" s="26">
        <f>IF(TRUE,0,_xll.PSFx3BAL(CN,"*","DAF_Country",$A43,"DAF_Award",M$3,"NOMINAL",$A$2,PF,PT))</f>
        <v>0</v>
      </c>
      <c r="N43" s="26">
        <f>IF(TRUE,0,_xll.PSFx3BAL(CN,"*","DAF_Country",$A43,"DAF_Award",N$3,"NOMINAL",$A$2,PF,PT))</f>
        <v>0</v>
      </c>
      <c r="O43" s="26">
        <f>IF(TRUE,0,_xll.PSFx3BAL(CN,"*","DAF_Country",$A43,"DAF_Award",O$3,"NOMINAL",$A$2,PF,PT))</f>
        <v>0</v>
      </c>
      <c r="P43" s="26">
        <f>IF(TRUE,0,_xll.PSFx3BAL(CN,"*","DAF_Country",$A43,"DAF_Award",P$3,"NOMINAL",$A$2,PF,PT))</f>
        <v>0</v>
      </c>
      <c r="Q43" s="26">
        <f>IF(TRUE,0,_xll.PSFx3BAL(CN,"*","DAF_Country",$A43,"DAF_Award",Q$3,"NOMINAL",$A$2,PF,PT))</f>
        <v>0</v>
      </c>
      <c r="R43" s="26">
        <f>IF(TRUE,0,_xll.PSFx3BAL(CN,"*","DAF_Country",$A43,"DAF_Award",R$3,"NOMINAL",$A$2,PF,PT))</f>
        <v>0</v>
      </c>
      <c r="S43" s="26">
        <f>IF(TRUE,0,_xll.PSFx3BAL(CN,"*","DAF_Country",$A43,"DAF_Award",S$3,"NOMINAL",$A$2,PF,PT))</f>
        <v>0</v>
      </c>
      <c r="T43" s="26">
        <f>IF(TRUE,0,_xll.PSFx3BAL(CN,"*","DAF_Country",$A43,"DAF_Award",T$3,"NOMINAL",$A$2,PF,PT))</f>
        <v>0</v>
      </c>
      <c r="U43" s="26">
        <f>IF(TRUE,0,_xll.PSFx3BAL(CN,"*","DAF_Country",$A43,"DAF_Award",U$3,"NOMINAL",$A$2,PF,PT))</f>
        <v>0</v>
      </c>
      <c r="V43" s="26">
        <f>IF(TRUE,0,_xll.PSFx3BAL(CN,"*","DAF_Country",$A43,"DAF_Award",V$3,"NOMINAL",$A$2,PF,PT))</f>
        <v>0</v>
      </c>
      <c r="W43" s="26">
        <f>IF(TRUE,0,_xll.PSFx3BAL(CN,"*","DAF_Country",$A43,"DAF_Award",W$3,"NOMINAL",$A$2,PF,PT))</f>
        <v>0</v>
      </c>
      <c r="X43" s="26">
        <f>IF(TRUE,0,_xll.PSFx3BAL(CN,"*","DAF_Country",$A43,"DAF_Award",X$3,"NOMINAL",$A$2,PF,PT))</f>
        <v>0</v>
      </c>
      <c r="Y43" s="26">
        <f>IF(TRUE,0,_xll.PSFx3BAL(CN,"*","DAF_Country",$A43,"DAF_Award",Y$3,"NOMINAL",$A$2,PF,PT))</f>
        <v>0</v>
      </c>
      <c r="Z43" s="26">
        <f>IF(TRUE,0,_xll.PSFx3BAL(CN,"*","DAF_Country",$A43,"DAF_Award",Z$3,"NOMINAL",$A$2,PF,PT))</f>
        <v>0</v>
      </c>
      <c r="AA43" s="9">
        <f t="shared" si="6"/>
        <v>0</v>
      </c>
      <c r="AB43" s="19">
        <f t="shared" si="7"/>
        <v>0</v>
      </c>
    </row>
    <row r="44" spans="1:30" hidden="1" outlineLevel="1" x14ac:dyDescent="0.2">
      <c r="A44" t="s">
        <v>258</v>
      </c>
      <c r="B44" t="str">
        <f>VLOOKUP(A44,Parameters!R:S,2,FALSE)</f>
        <v>Zambia</v>
      </c>
      <c r="C44" s="27">
        <f>IF(TRUE,0,_xll.PSFx3BAL(CN,"*","DAF_Country",$A44,"DAF_Award",C$3,"NOMINAL",$A$2,PF,PT))</f>
        <v>0</v>
      </c>
      <c r="D44" s="27">
        <f>IF(TRUE,0,_xll.PSFx3BAL(CN,"*","DAF_Country",$A44,"DAF_Award",D$3,"NOMINAL",$A$2,PF,PT))</f>
        <v>0</v>
      </c>
      <c r="E44" s="27">
        <f>IF(TRUE,0,_xll.PSFx3BAL(CN,"*","DAF_Country",$A44,"DAF_Award",E$3,"NOMINAL",$A$2,PF,PT))</f>
        <v>0</v>
      </c>
      <c r="F44" s="27">
        <f>IF(TRUE,0,_xll.PSFx3BAL(CN,"*","DAF_Country",$A44,"DAF_Award",F$3,"NOMINAL",$A$2,PF,PT))</f>
        <v>0</v>
      </c>
      <c r="G44" s="27">
        <f>IF(TRUE,0,_xll.PSFx3BAL(CN,"*","DAF_Country",$A44,"DAF_Award",G$3,"NOMINAL",$A$2,PF,PT))</f>
        <v>0</v>
      </c>
      <c r="H44" s="27">
        <f>IF(TRUE,0,_xll.PSFx3BAL(CN,"*","DAF_Country",$A44,"DAF_Award",H$3,"NOMINAL",$A$2,PF,PT))</f>
        <v>0</v>
      </c>
      <c r="I44" s="27">
        <f>IF(TRUE,0,_xll.PSFx3BAL(CN,"*","DAF_Country",$A44,"DAF_Award",I$3,"NOMINAL",$A$2,PF,PT))</f>
        <v>0</v>
      </c>
      <c r="J44" s="27">
        <f>IF(TRUE,0,_xll.PSFx3BAL(CN,"*","DAF_Country",$A44,"DAF_Award",J$3,"NOMINAL",$A$2,PF,PT))</f>
        <v>0</v>
      </c>
      <c r="K44" s="27">
        <f>IF(TRUE,0,_xll.PSFx3BAL(CN,"*","DAF_Country",$A44,"DAF_Award",K$3,"NOMINAL",$A$2,PF,PT))</f>
        <v>0</v>
      </c>
      <c r="L44" s="27">
        <f>IF(TRUE,0,_xll.PSFx3BAL(CN,"*","DAF_Country",$A44,"DAF_Award",L$3,"NOMINAL",$A$2,PF,PT))</f>
        <v>0</v>
      </c>
      <c r="M44" s="27">
        <f>IF(TRUE,0,_xll.PSFx3BAL(CN,"*","DAF_Country",$A44,"DAF_Award",M$3,"NOMINAL",$A$2,PF,PT))</f>
        <v>0</v>
      </c>
      <c r="N44" s="27">
        <f>IF(TRUE,0,_xll.PSFx3BAL(CN,"*","DAF_Country",$A44,"DAF_Award",N$3,"NOMINAL",$A$2,PF,PT))</f>
        <v>0</v>
      </c>
      <c r="O44" s="27">
        <f>IF(TRUE,0,_xll.PSFx3BAL(CN,"*","DAF_Country",$A44,"DAF_Award",O$3,"NOMINAL",$A$2,PF,PT))</f>
        <v>0</v>
      </c>
      <c r="P44" s="27">
        <f>IF(TRUE,0,_xll.PSFx3BAL(CN,"*","DAF_Country",$A44,"DAF_Award",P$3,"NOMINAL",$A$2,PF,PT))</f>
        <v>0</v>
      </c>
      <c r="Q44" s="27">
        <f>IF(TRUE,0,_xll.PSFx3BAL(CN,"*","DAF_Country",$A44,"DAF_Award",Q$3,"NOMINAL",$A$2,PF,PT))</f>
        <v>0</v>
      </c>
      <c r="R44" s="27">
        <f>IF(TRUE,0,_xll.PSFx3BAL(CN,"*","DAF_Country",$A44,"DAF_Award",R$3,"NOMINAL",$A$2,PF,PT))</f>
        <v>0</v>
      </c>
      <c r="S44" s="27">
        <f>IF(TRUE,0,_xll.PSFx3BAL(CN,"*","DAF_Country",$A44,"DAF_Award",S$3,"NOMINAL",$A$2,PF,PT))</f>
        <v>0</v>
      </c>
      <c r="T44" s="27">
        <f>IF(TRUE,0,_xll.PSFx3BAL(CN,"*","DAF_Country",$A44,"DAF_Award",T$3,"NOMINAL",$A$2,PF,PT))</f>
        <v>0</v>
      </c>
      <c r="U44" s="27">
        <f>IF(TRUE,0,_xll.PSFx3BAL(CN,"*","DAF_Country",$A44,"DAF_Award",U$3,"NOMINAL",$A$2,PF,PT))</f>
        <v>0</v>
      </c>
      <c r="V44" s="27">
        <f>IF(TRUE,0,_xll.PSFx3BAL(CN,"*","DAF_Country",$A44,"DAF_Award",V$3,"NOMINAL",$A$2,PF,PT))</f>
        <v>0</v>
      </c>
      <c r="W44" s="27">
        <f>IF(TRUE,0,_xll.PSFx3BAL(CN,"*","DAF_Country",$A44,"DAF_Award",W$3,"NOMINAL",$A$2,PF,PT))</f>
        <v>0</v>
      </c>
      <c r="X44" s="27">
        <f>IF(TRUE,0,_xll.PSFx3BAL(CN,"*","DAF_Country",$A44,"DAF_Award",X$3,"NOMINAL",$A$2,PF,PT))</f>
        <v>0</v>
      </c>
      <c r="Y44" s="27">
        <f>IF(TRUE,0,_xll.PSFx3BAL(CN,"*","DAF_Country",$A44,"DAF_Award",Y$3,"NOMINAL",$A$2,PF,PT))</f>
        <v>0</v>
      </c>
      <c r="Z44" s="27">
        <f>IF(TRUE,0,_xll.PSFx3BAL(CN,"*","DAF_Country",$A44,"DAF_Award",Z$3,"NOMINAL",$A$2,PF,PT))</f>
        <v>0</v>
      </c>
      <c r="AA44" s="15">
        <f t="shared" si="6"/>
        <v>0</v>
      </c>
      <c r="AB44" s="20">
        <f t="shared" si="7"/>
        <v>0</v>
      </c>
    </row>
    <row r="45" spans="1:30" collapsed="1" x14ac:dyDescent="0.2">
      <c r="B45" t="s">
        <v>211</v>
      </c>
      <c r="C45" s="9">
        <f t="shared" ref="C45:AB45" si="8">SUM(C20:C44)</f>
        <v>0</v>
      </c>
      <c r="D45" s="9">
        <f t="shared" ref="D45:F45" si="9">SUM(D20:D44)</f>
        <v>0</v>
      </c>
      <c r="E45" s="9">
        <f t="shared" si="9"/>
        <v>0</v>
      </c>
      <c r="F45" s="9">
        <f t="shared" si="9"/>
        <v>0</v>
      </c>
      <c r="G45" s="9">
        <f t="shared" si="8"/>
        <v>0</v>
      </c>
      <c r="H45" s="9">
        <f t="shared" si="8"/>
        <v>0</v>
      </c>
      <c r="I45" s="9">
        <f t="shared" si="8"/>
        <v>0</v>
      </c>
      <c r="J45" s="9">
        <f t="shared" si="8"/>
        <v>0</v>
      </c>
      <c r="K45" s="9">
        <f t="shared" si="8"/>
        <v>0</v>
      </c>
      <c r="L45" s="9">
        <f t="shared" si="8"/>
        <v>0</v>
      </c>
      <c r="M45" s="9">
        <f t="shared" si="8"/>
        <v>0</v>
      </c>
      <c r="N45" s="9">
        <f t="shared" si="8"/>
        <v>0</v>
      </c>
      <c r="O45" s="9">
        <f t="shared" si="8"/>
        <v>0</v>
      </c>
      <c r="P45" s="9">
        <f t="shared" si="8"/>
        <v>0</v>
      </c>
      <c r="Q45" s="9">
        <f t="shared" si="8"/>
        <v>0</v>
      </c>
      <c r="R45" s="9">
        <f t="shared" si="8"/>
        <v>0</v>
      </c>
      <c r="S45" s="9">
        <f t="shared" si="8"/>
        <v>0</v>
      </c>
      <c r="T45" s="9">
        <f t="shared" si="8"/>
        <v>0</v>
      </c>
      <c r="U45" s="9">
        <f t="shared" si="8"/>
        <v>0</v>
      </c>
      <c r="V45" s="9">
        <f t="shared" si="8"/>
        <v>0</v>
      </c>
      <c r="W45" s="9">
        <f t="shared" si="8"/>
        <v>0</v>
      </c>
      <c r="X45" s="9">
        <f t="shared" si="8"/>
        <v>0</v>
      </c>
      <c r="Y45" s="9">
        <f t="shared" si="8"/>
        <v>0</v>
      </c>
      <c r="Z45" s="9">
        <f t="shared" si="8"/>
        <v>0</v>
      </c>
      <c r="AA45" s="9">
        <f t="shared" si="8"/>
        <v>0</v>
      </c>
      <c r="AB45" s="9">
        <f t="shared" si="8"/>
        <v>0</v>
      </c>
    </row>
    <row r="46" spans="1:30" x14ac:dyDescent="0.2">
      <c r="A46" s="29" t="str">
        <f>A2</f>
        <v>6100</v>
      </c>
      <c r="B46" s="30" t="s">
        <v>284</v>
      </c>
      <c r="C46" s="16">
        <f t="shared" ref="C46:AB46" si="10">SUM(C6:C19,C45)</f>
        <v>2854459.54</v>
      </c>
      <c r="D46" s="16">
        <f t="shared" ref="D46:F46" si="11">SUM(D6:D19,D45)</f>
        <v>0</v>
      </c>
      <c r="E46" s="16">
        <f t="shared" si="11"/>
        <v>7097</v>
      </c>
      <c r="F46" s="16">
        <f t="shared" si="11"/>
        <v>295165.05</v>
      </c>
      <c r="G46" s="16">
        <f t="shared" si="10"/>
        <v>0</v>
      </c>
      <c r="H46" s="16">
        <f t="shared" si="10"/>
        <v>0</v>
      </c>
      <c r="I46" s="16">
        <f t="shared" si="10"/>
        <v>-62867.8</v>
      </c>
      <c r="J46" s="16">
        <f t="shared" si="10"/>
        <v>73075.31</v>
      </c>
      <c r="K46" s="16">
        <f t="shared" si="10"/>
        <v>0</v>
      </c>
      <c r="L46" s="16">
        <f t="shared" si="10"/>
        <v>0</v>
      </c>
      <c r="M46" s="16">
        <f t="shared" si="10"/>
        <v>0</v>
      </c>
      <c r="N46" s="16">
        <f t="shared" si="10"/>
        <v>69660.14</v>
      </c>
      <c r="O46" s="16">
        <f t="shared" si="10"/>
        <v>59150.16</v>
      </c>
      <c r="P46" s="16">
        <f t="shared" si="10"/>
        <v>0</v>
      </c>
      <c r="Q46" s="16">
        <f t="shared" si="10"/>
        <v>0</v>
      </c>
      <c r="R46" s="16">
        <f t="shared" si="10"/>
        <v>0</v>
      </c>
      <c r="S46" s="16">
        <f t="shared" si="10"/>
        <v>36718</v>
      </c>
      <c r="T46" s="16">
        <f t="shared" si="10"/>
        <v>267645</v>
      </c>
      <c r="U46" s="16">
        <f t="shared" si="10"/>
        <v>1432442.6</v>
      </c>
      <c r="V46" s="16">
        <f t="shared" si="10"/>
        <v>65365.42</v>
      </c>
      <c r="W46" s="16">
        <f t="shared" si="10"/>
        <v>51996</v>
      </c>
      <c r="X46" s="16">
        <f t="shared" si="10"/>
        <v>194090</v>
      </c>
      <c r="Y46" s="16">
        <f t="shared" si="10"/>
        <v>207104.6</v>
      </c>
      <c r="Z46" s="16">
        <f t="shared" si="10"/>
        <v>1027538.42</v>
      </c>
      <c r="AA46" s="16">
        <f t="shared" si="10"/>
        <v>3342050.2</v>
      </c>
      <c r="AB46" s="16">
        <f t="shared" si="10"/>
        <v>6578639.4400000004</v>
      </c>
      <c r="AD46" s="31">
        <f>VLOOKUP($A46,'Cost Centres'!$B:$O,'Cost Centres'!$O$2-1,FALSE)-AB46</f>
        <v>0</v>
      </c>
    </row>
    <row r="49" spans="1:30" x14ac:dyDescent="0.2">
      <c r="A49" s="21" t="s">
        <v>50</v>
      </c>
      <c r="B49" s="21" t="s">
        <v>51</v>
      </c>
    </row>
    <row r="51" spans="1:30" x14ac:dyDescent="0.2">
      <c r="A51" t="s">
        <v>226</v>
      </c>
      <c r="B51" t="str">
        <f>VLOOKUP(A51,Parameters!R:S,2,FALSE)</f>
        <v>Ethiopia</v>
      </c>
      <c r="C51" s="26">
        <f>IF(TRUE,0,_xll.PSFx3BAL(CN,"*","DAF_Country",$A51,"DAF_Award",C$3,"NOMINAL",$A$49,PF,PT))</f>
        <v>0</v>
      </c>
      <c r="D51" s="26">
        <f>IF(TRUE,0,_xll.PSFx3BAL(CN,"*","DAF_Country",$A51,"DAF_Award",D$3,"NOMINAL",$A$49,PF,PT))</f>
        <v>0</v>
      </c>
      <c r="E51" s="26">
        <f>IF(TRUE,0,_xll.PSFx3BAL(CN,"*","DAF_Country",$A51,"DAF_Award",E$3,"NOMINAL",$A$49,PF,PT))</f>
        <v>0</v>
      </c>
      <c r="F51" s="26">
        <f>IF(TRUE,0,_xll.PSFx3BAL(CN,"*","DAF_Country",$A51,"DAF_Award",F$3,"NOMINAL",$A$49,PF,PT))</f>
        <v>0</v>
      </c>
      <c r="G51" s="26">
        <f>IF(TRUE,0,_xll.PSFx3BAL(CN,"*","DAF_Country",$A51,"DAF_Award",G$3,"NOMINAL",$A$49,PF,PT))</f>
        <v>0</v>
      </c>
      <c r="H51" s="26">
        <f>IF(TRUE,18735.35,_xll.PSFx3BAL(CN,"*","DAF_Country",$A51,"DAF_Award",H$3,"NOMINAL",$A$49,PF,PT))</f>
        <v>18735.349999999999</v>
      </c>
      <c r="I51" s="26">
        <f>IF(TRUE,0,_xll.PSFx3BAL(CN,"*","DAF_Country",$A51,"DAF_Award",I$3,"NOMINAL",$A$49,PF,PT))</f>
        <v>0</v>
      </c>
      <c r="J51" s="26">
        <f>IF(TRUE,36001.98,_xll.PSFx3BAL(CN,"*","DAF_Country",$A51,"DAF_Award",J$3,"NOMINAL",$A$49,PF,PT))</f>
        <v>36001.980000000003</v>
      </c>
      <c r="K51" s="26">
        <f>IF(TRUE,0,_xll.PSFx3BAL(CN,"*","DAF_Country",$A51,"DAF_Award",K$3,"NOMINAL",$A$49,PF,PT))</f>
        <v>0</v>
      </c>
      <c r="L51" s="26">
        <f>IF(TRUE,0,_xll.PSFx3BAL(CN,"*","DAF_Country",$A51,"DAF_Award",L$3,"NOMINAL",$A$49,PF,PT))</f>
        <v>0</v>
      </c>
      <c r="M51" s="26">
        <f>IF(TRUE,0,_xll.PSFx3BAL(CN,"*","DAF_Country",$A51,"DAF_Award",M$3,"NOMINAL",$A$49,PF,PT))</f>
        <v>0</v>
      </c>
      <c r="N51" s="26">
        <f>IF(TRUE,0,_xll.PSFx3BAL(CN,"*","DAF_Country",$A51,"DAF_Award",N$3,"NOMINAL",$A$49,PF,PT))</f>
        <v>0</v>
      </c>
      <c r="O51" s="26">
        <f>IF(TRUE,19398.63,_xll.PSFx3BAL(CN,"*","DAF_Country",$A51,"DAF_Award",O$3,"NOMINAL",$A$49,PF,PT))</f>
        <v>19398.63</v>
      </c>
      <c r="P51" s="26">
        <f>IF(TRUE,0,_xll.PSFx3BAL(CN,"*","DAF_Country",$A51,"DAF_Award",P$3,"NOMINAL",$A$49,PF,PT))</f>
        <v>0</v>
      </c>
      <c r="Q51" s="26">
        <f>IF(TRUE,0,_xll.PSFx3BAL(CN,"*","DAF_Country",$A51,"DAF_Award",Q$3,"NOMINAL",$A$49,PF,PT))</f>
        <v>0</v>
      </c>
      <c r="R51" s="26">
        <f>IF(TRUE,0,_xll.PSFx3BAL(CN,"*","DAF_Country",$A51,"DAF_Award",R$3,"NOMINAL",$A$49,PF,PT))</f>
        <v>0</v>
      </c>
      <c r="S51" s="26">
        <f>IF(TRUE,0,_xll.PSFx3BAL(CN,"*","DAF_Country",$A51,"DAF_Award",S$3,"NOMINAL",$A$49,PF,PT))</f>
        <v>0</v>
      </c>
      <c r="T51" s="26">
        <f>IF(TRUE,0,_xll.PSFx3BAL(CN,"*","DAF_Country",$A51,"DAF_Award",T$3,"NOMINAL",$A$49,PF,PT))</f>
        <v>0</v>
      </c>
      <c r="U51" s="26">
        <f>IF(TRUE,0,_xll.PSFx3BAL(CN,"*","DAF_Country",$A51,"DAF_Award",U$3,"NOMINAL",$A$49,PF,PT))</f>
        <v>0</v>
      </c>
      <c r="V51" s="26">
        <f>IF(TRUE,0,_xll.PSFx3BAL(CN,"*","DAF_Country",$A51,"DAF_Award",V$3,"NOMINAL",$A$49,PF,PT))</f>
        <v>0</v>
      </c>
      <c r="W51" s="26">
        <f>IF(TRUE,0,_xll.PSFx3BAL(CN,"*","DAF_Country",$A51,"DAF_Award",W$3,"NOMINAL",$A$49,PF,PT))</f>
        <v>0</v>
      </c>
      <c r="X51" s="26">
        <f>IF(TRUE,0,_xll.PSFx3BAL(CN,"*","DAF_Country",$A51,"DAF_Award",X$3,"NOMINAL",$A$49,PF,PT))</f>
        <v>0</v>
      </c>
      <c r="Y51" s="26">
        <f>IF(TRUE,0,_xll.PSFx3BAL(CN,"*","DAF_Country",$A51,"DAF_Award",Y$3,"NOMINAL",$A$49,PF,PT))</f>
        <v>0</v>
      </c>
      <c r="Z51" s="26">
        <f>IF(TRUE,0,_xll.PSFx3BAL(CN,"*","DAF_Country",$A51,"DAF_Award",Z$3,"NOMINAL",$A$49,PF,PT))</f>
        <v>0</v>
      </c>
      <c r="AA51" s="9">
        <f>SUM(O51:Z51)</f>
        <v>19398.63</v>
      </c>
      <c r="AB51" s="18">
        <f>SUM(C51:N51,AA51)</f>
        <v>74135.960000000006</v>
      </c>
    </row>
    <row r="52" spans="1:30" x14ac:dyDescent="0.2">
      <c r="A52" s="29" t="str">
        <f>A49</f>
        <v>6101</v>
      </c>
      <c r="B52" s="30" t="s">
        <v>284</v>
      </c>
      <c r="C52" s="16">
        <f t="shared" ref="C52:AB52" si="12">SUM(C51)</f>
        <v>0</v>
      </c>
      <c r="D52" s="16">
        <f t="shared" ref="D52:F52" si="13">SUM(D51)</f>
        <v>0</v>
      </c>
      <c r="E52" s="16">
        <f t="shared" si="13"/>
        <v>0</v>
      </c>
      <c r="F52" s="16">
        <f t="shared" si="13"/>
        <v>0</v>
      </c>
      <c r="G52" s="16">
        <f t="shared" si="12"/>
        <v>0</v>
      </c>
      <c r="H52" s="16">
        <f t="shared" si="12"/>
        <v>18735.349999999999</v>
      </c>
      <c r="I52" s="16">
        <f t="shared" si="12"/>
        <v>0</v>
      </c>
      <c r="J52" s="16">
        <f t="shared" ref="J52" si="14">SUM(J51)</f>
        <v>36001.980000000003</v>
      </c>
      <c r="K52" s="16">
        <f t="shared" si="12"/>
        <v>0</v>
      </c>
      <c r="L52" s="16">
        <f t="shared" si="12"/>
        <v>0</v>
      </c>
      <c r="M52" s="16">
        <f t="shared" si="12"/>
        <v>0</v>
      </c>
      <c r="N52" s="16">
        <f t="shared" si="12"/>
        <v>0</v>
      </c>
      <c r="O52" s="16">
        <f t="shared" si="12"/>
        <v>19398.63</v>
      </c>
      <c r="P52" s="16">
        <f t="shared" si="12"/>
        <v>0</v>
      </c>
      <c r="Q52" s="16">
        <f t="shared" si="12"/>
        <v>0</v>
      </c>
      <c r="R52" s="16">
        <f t="shared" si="12"/>
        <v>0</v>
      </c>
      <c r="S52" s="16">
        <f t="shared" si="12"/>
        <v>0</v>
      </c>
      <c r="T52" s="16">
        <f t="shared" si="12"/>
        <v>0</v>
      </c>
      <c r="U52" s="16">
        <f t="shared" si="12"/>
        <v>0</v>
      </c>
      <c r="V52" s="16">
        <f t="shared" si="12"/>
        <v>0</v>
      </c>
      <c r="W52" s="16">
        <f t="shared" si="12"/>
        <v>0</v>
      </c>
      <c r="X52" s="16">
        <f t="shared" si="12"/>
        <v>0</v>
      </c>
      <c r="Y52" s="16">
        <f t="shared" si="12"/>
        <v>0</v>
      </c>
      <c r="Z52" s="16">
        <f t="shared" si="12"/>
        <v>0</v>
      </c>
      <c r="AA52" s="16">
        <f t="shared" si="12"/>
        <v>19398.63</v>
      </c>
      <c r="AB52" s="16">
        <f t="shared" si="12"/>
        <v>74135.960000000006</v>
      </c>
      <c r="AD52" s="31">
        <f>VLOOKUP($A52,'Cost Centres'!$B:$O,'Cost Centres'!$O$2-1,FALSE)-AB52</f>
        <v>0</v>
      </c>
    </row>
    <row r="55" spans="1:30" x14ac:dyDescent="0.2">
      <c r="A55" s="21" t="s">
        <v>52</v>
      </c>
      <c r="B55" s="21" t="s">
        <v>53</v>
      </c>
    </row>
    <row r="57" spans="1:30" x14ac:dyDescent="0.2">
      <c r="A57" t="s">
        <v>226</v>
      </c>
      <c r="B57" t="str">
        <f>VLOOKUP(A57,Parameters!R:S,2,FALSE)</f>
        <v>Ethiopia</v>
      </c>
      <c r="C57" s="26">
        <f>IF(TRUE,0,_xll.PSFx3BAL(CN,"*","DAF_Country",$A57,"DAF_Award",C$3,"NOMINAL",$A$55,PF,PT))</f>
        <v>0</v>
      </c>
      <c r="D57" s="26">
        <f>IF(TRUE,0,_xll.PSFx3BAL(CN,"*","DAF_Country",$A57,"DAF_Award",D$3,"NOMINAL",$A$55,PF,PT))</f>
        <v>0</v>
      </c>
      <c r="E57" s="26">
        <f>IF(TRUE,0,_xll.PSFx3BAL(CN,"*","DAF_Country",$A57,"DAF_Award",E$3,"NOMINAL",$A$55,PF,PT))</f>
        <v>0</v>
      </c>
      <c r="F57" s="26">
        <f>IF(TRUE,0,_xll.PSFx3BAL(CN,"*","DAF_Country",$A57,"DAF_Award",F$3,"NOMINAL",$A$55,PF,PT))</f>
        <v>0</v>
      </c>
      <c r="G57" s="26">
        <f>IF(TRUE,0,_xll.PSFx3BAL(CN,"*","DAF_Country",$A57,"DAF_Award",G$3,"NOMINAL",$A$55,PF,PT))</f>
        <v>0</v>
      </c>
      <c r="H57" s="26">
        <f>IF(TRUE,414.55,_xll.PSFx3BAL(CN,"*","DAF_Country",$A57,"DAF_Award",H$3,"NOMINAL",$A$55,PF,PT))</f>
        <v>414.55</v>
      </c>
      <c r="I57" s="26">
        <f>IF(TRUE,0,_xll.PSFx3BAL(CN,"*","DAF_Country",$A57,"DAF_Award",I$3,"NOMINAL",$A$55,PF,PT))</f>
        <v>0</v>
      </c>
      <c r="J57" s="26">
        <f>IF(TRUE,0,_xll.PSFx3BAL(CN,"*","DAF_Country",$A57,"DAF_Award",J$3,"NOMINAL",$A$55,PF,PT))</f>
        <v>0</v>
      </c>
      <c r="K57" s="26">
        <f>IF(TRUE,0,_xll.PSFx3BAL(CN,"*","DAF_Country",$A57,"DAF_Award",K$3,"NOMINAL",$A$55,PF,PT))</f>
        <v>0</v>
      </c>
      <c r="L57" s="26">
        <f>IF(TRUE,0,_xll.PSFx3BAL(CN,"*","DAF_Country",$A57,"DAF_Award",L$3,"NOMINAL",$A$55,PF,PT))</f>
        <v>0</v>
      </c>
      <c r="M57" s="26">
        <f>IF(TRUE,0,_xll.PSFx3BAL(CN,"*","DAF_Country",$A57,"DAF_Award",M$3,"NOMINAL",$A$55,PF,PT))</f>
        <v>0</v>
      </c>
      <c r="N57" s="26">
        <f>IF(TRUE,0,_xll.PSFx3BAL(CN,"*","DAF_Country",$A57,"DAF_Award",N$3,"NOMINAL",$A$55,PF,PT))</f>
        <v>0</v>
      </c>
      <c r="O57" s="26">
        <f>IF(TRUE,0,_xll.PSFx3BAL(CN,"*","DAF_Country",$A57,"DAF_Award",O$3,"NOMINAL",$A$55,PF,PT))</f>
        <v>0</v>
      </c>
      <c r="P57" s="26">
        <f>IF(TRUE,0,_xll.PSFx3BAL(CN,"*","DAF_Country",$A57,"DAF_Award",P$3,"NOMINAL",$A$55,PF,PT))</f>
        <v>0</v>
      </c>
      <c r="Q57" s="26">
        <f>IF(TRUE,0,_xll.PSFx3BAL(CN,"*","DAF_Country",$A57,"DAF_Award",Q$3,"NOMINAL",$A$55,PF,PT))</f>
        <v>0</v>
      </c>
      <c r="R57" s="26">
        <f>IF(TRUE,0,_xll.PSFx3BAL(CN,"*","DAF_Country",$A57,"DAF_Award",R$3,"NOMINAL",$A$55,PF,PT))</f>
        <v>0</v>
      </c>
      <c r="S57" s="26">
        <f>IF(TRUE,56.42,_xll.PSFx3BAL(CN,"*","DAF_Country",$A57,"DAF_Award",S$3,"NOMINAL",$A$55,PF,PT))</f>
        <v>56.42</v>
      </c>
      <c r="T57" s="26">
        <f>IF(TRUE,0,_xll.PSFx3BAL(CN,"*","DAF_Country",$A57,"DAF_Award",T$3,"NOMINAL",$A$55,PF,PT))</f>
        <v>0</v>
      </c>
      <c r="U57" s="26">
        <f>IF(TRUE,0,_xll.PSFx3BAL(CN,"*","DAF_Country",$A57,"DAF_Award",U$3,"NOMINAL",$A$55,PF,PT))</f>
        <v>0</v>
      </c>
      <c r="V57" s="26">
        <f>IF(TRUE,0,_xll.PSFx3BAL(CN,"*","DAF_Country",$A57,"DAF_Award",V$3,"NOMINAL",$A$55,PF,PT))</f>
        <v>0</v>
      </c>
      <c r="W57" s="26">
        <f>IF(TRUE,0,_xll.PSFx3BAL(CN,"*","DAF_Country",$A57,"DAF_Award",W$3,"NOMINAL",$A$55,PF,PT))</f>
        <v>0</v>
      </c>
      <c r="X57" s="26">
        <f>IF(TRUE,0,_xll.PSFx3BAL(CN,"*","DAF_Country",$A57,"DAF_Award",X$3,"NOMINAL",$A$55,PF,PT))</f>
        <v>0</v>
      </c>
      <c r="Y57" s="26">
        <f>IF(TRUE,0,_xll.PSFx3BAL(CN,"*","DAF_Country",$A57,"DAF_Award",Y$3,"NOMINAL",$A$55,PF,PT))</f>
        <v>0</v>
      </c>
      <c r="Z57" s="26">
        <f>IF(TRUE,0,_xll.PSFx3BAL(CN,"*","DAF_Country",$A57,"DAF_Award",Z$3,"NOMINAL",$A$55,PF,PT))</f>
        <v>0</v>
      </c>
      <c r="AA57" s="26">
        <f>SUM(O57:Z57)</f>
        <v>56.42</v>
      </c>
      <c r="AB57" s="26">
        <f>SUM(C57:N57,AA57)</f>
        <v>470.97</v>
      </c>
    </row>
    <row r="58" spans="1:30" x14ac:dyDescent="0.2">
      <c r="A58" t="s">
        <v>237</v>
      </c>
      <c r="B58" t="str">
        <f>VLOOKUP(A58,Parameters!R:S,2,FALSE)</f>
        <v>Malawi</v>
      </c>
      <c r="C58" s="26">
        <f>IF(TRUE,0,_xll.PSFx3BAL(CN,"*","DAF_Country",$A58,"DAF_Award",C$3,"NOMINAL",$A$55,PF,PT))</f>
        <v>0</v>
      </c>
      <c r="D58" s="26">
        <f>IF(TRUE,0,_xll.PSFx3BAL(CN,"*","DAF_Country",$A58,"DAF_Award",D$3,"NOMINAL",$A$55,PF,PT))</f>
        <v>0</v>
      </c>
      <c r="E58" s="26">
        <f>IF(TRUE,0,_xll.PSFx3BAL(CN,"*","DAF_Country",$A58,"DAF_Award",E$3,"NOMINAL",$A$55,PF,PT))</f>
        <v>0</v>
      </c>
      <c r="F58" s="26">
        <f>IF(TRUE,0,_xll.PSFx3BAL(CN,"*","DAF_Country",$A58,"DAF_Award",F$3,"NOMINAL",$A$55,PF,PT))</f>
        <v>0</v>
      </c>
      <c r="G58" s="26">
        <f>IF(TRUE,0,_xll.PSFx3BAL(CN,"*","DAF_Country",$A58,"DAF_Award",G$3,"NOMINAL",$A$55,PF,PT))</f>
        <v>0</v>
      </c>
      <c r="H58" s="26">
        <f>IF(TRUE,0,_xll.PSFx3BAL(CN,"*","DAF_Country",$A58,"DAF_Award",H$3,"NOMINAL",$A$55,PF,PT))</f>
        <v>0</v>
      </c>
      <c r="I58" s="26">
        <f>IF(TRUE,0,_xll.PSFx3BAL(CN,"*","DAF_Country",$A58,"DAF_Award",I$3,"NOMINAL",$A$55,PF,PT))</f>
        <v>0</v>
      </c>
      <c r="J58" s="26">
        <f>IF(TRUE,0,_xll.PSFx3BAL(CN,"*","DAF_Country",$A58,"DAF_Award",J$3,"NOMINAL",$A$55,PF,PT))</f>
        <v>0</v>
      </c>
      <c r="K58" s="26">
        <f>IF(TRUE,0,_xll.PSFx3BAL(CN,"*","DAF_Country",$A58,"DAF_Award",K$3,"NOMINAL",$A$55,PF,PT))</f>
        <v>0</v>
      </c>
      <c r="L58" s="26">
        <f>IF(TRUE,0,_xll.PSFx3BAL(CN,"*","DAF_Country",$A58,"DAF_Award",L$3,"NOMINAL",$A$55,PF,PT))</f>
        <v>0</v>
      </c>
      <c r="M58" s="26">
        <f>IF(TRUE,0,_xll.PSFx3BAL(CN,"*","DAF_Country",$A58,"DAF_Award",M$3,"NOMINAL",$A$55,PF,PT))</f>
        <v>0</v>
      </c>
      <c r="N58" s="26">
        <f>IF(TRUE,0,_xll.PSFx3BAL(CN,"*","DAF_Country",$A58,"DAF_Award",N$3,"NOMINAL",$A$55,PF,PT))</f>
        <v>0</v>
      </c>
      <c r="O58" s="26">
        <f>IF(TRUE,0,_xll.PSFx3BAL(CN,"*","DAF_Country",$A58,"DAF_Award",O$3,"NOMINAL",$A$55,PF,PT))</f>
        <v>0</v>
      </c>
      <c r="P58" s="26">
        <f>IF(TRUE,0,_xll.PSFx3BAL(CN,"*","DAF_Country",$A58,"DAF_Award",P$3,"NOMINAL",$A$55,PF,PT))</f>
        <v>0</v>
      </c>
      <c r="Q58" s="26">
        <f>IF(TRUE,0,_xll.PSFx3BAL(CN,"*","DAF_Country",$A58,"DAF_Award",Q$3,"NOMINAL",$A$55,PF,PT))</f>
        <v>0</v>
      </c>
      <c r="R58" s="26">
        <f>IF(TRUE,0,_xll.PSFx3BAL(CN,"*","DAF_Country",$A58,"DAF_Award",R$3,"NOMINAL",$A$55,PF,PT))</f>
        <v>0</v>
      </c>
      <c r="S58" s="26">
        <f>IF(TRUE,0,_xll.PSFx3BAL(CN,"*","DAF_Country",$A58,"DAF_Award",S$3,"NOMINAL",$A$55,PF,PT))</f>
        <v>0</v>
      </c>
      <c r="T58" s="26">
        <f>IF(TRUE,0,_xll.PSFx3BAL(CN,"*","DAF_Country",$A58,"DAF_Award",T$3,"NOMINAL",$A$55,PF,PT))</f>
        <v>0</v>
      </c>
      <c r="U58" s="26">
        <f>IF(TRUE,0,_xll.PSFx3BAL(CN,"*","DAF_Country",$A58,"DAF_Award",U$3,"NOMINAL",$A$55,PF,PT))</f>
        <v>0</v>
      </c>
      <c r="V58" s="26">
        <f>IF(TRUE,0,_xll.PSFx3BAL(CN,"*","DAF_Country",$A58,"DAF_Award",V$3,"NOMINAL",$A$55,PF,PT))</f>
        <v>0</v>
      </c>
      <c r="W58" s="26">
        <f>IF(TRUE,0,_xll.PSFx3BAL(CN,"*","DAF_Country",$A58,"DAF_Award",W$3,"NOMINAL",$A$55,PF,PT))</f>
        <v>0</v>
      </c>
      <c r="X58" s="26">
        <f>IF(TRUE,0,_xll.PSFx3BAL(CN,"*","DAF_Country",$A58,"DAF_Award",X$3,"NOMINAL",$A$55,PF,PT))</f>
        <v>0</v>
      </c>
      <c r="Y58" s="26">
        <f>IF(TRUE,0,_xll.PSFx3BAL(CN,"*","DAF_Country",$A58,"DAF_Award",Y$3,"NOMINAL",$A$55,PF,PT))</f>
        <v>0</v>
      </c>
      <c r="Z58" s="26">
        <f>IF(TRUE,0,_xll.PSFx3BAL(CN,"*","DAF_Country",$A58,"DAF_Award",Z$3,"NOMINAL",$A$55,PF,PT))</f>
        <v>0</v>
      </c>
      <c r="AA58" s="26">
        <f>SUM(O58:Z58)</f>
        <v>0</v>
      </c>
      <c r="AB58" s="26">
        <f>SUM(C58:N58,AA58)</f>
        <v>0</v>
      </c>
    </row>
    <row r="59" spans="1:30" x14ac:dyDescent="0.2">
      <c r="A59" t="s">
        <v>213</v>
      </c>
      <c r="B59" t="str">
        <f>VLOOKUP(A59,Parameters!R:S,2,FALSE)</f>
        <v>Burundi</v>
      </c>
      <c r="C59" s="26">
        <f>IF(TRUE,0,_xll.PSFx3BAL(CN,"*","DAF_Country",$A59,"DAF_Award",C$3,"NOMINAL",$A$55,PF,PT))</f>
        <v>0</v>
      </c>
      <c r="D59" s="26">
        <f>IF(TRUE,0,_xll.PSFx3BAL(CN,"*","DAF_Country",$A59,"DAF_Award",D$3,"NOMINAL",$A$55,PF,PT))</f>
        <v>0</v>
      </c>
      <c r="E59" s="26">
        <f>IF(TRUE,0,_xll.PSFx3BAL(CN,"*","DAF_Country",$A59,"DAF_Award",E$3,"NOMINAL",$A$55,PF,PT))</f>
        <v>0</v>
      </c>
      <c r="F59" s="26">
        <f>IF(TRUE,0,_xll.PSFx3BAL(CN,"*","DAF_Country",$A59,"DAF_Award",F$3,"NOMINAL",$A$55,PF,PT))</f>
        <v>0</v>
      </c>
      <c r="G59" s="26">
        <f>IF(TRUE,0,_xll.PSFx3BAL(CN,"*","DAF_Country",$A59,"DAF_Award",G$3,"NOMINAL",$A$55,PF,PT))</f>
        <v>0</v>
      </c>
      <c r="H59" s="26">
        <f>IF(TRUE,0,_xll.PSFx3BAL(CN,"*","DAF_Country",$A59,"DAF_Award",H$3,"NOMINAL",$A$55,PF,PT))</f>
        <v>0</v>
      </c>
      <c r="I59" s="26">
        <f>IF(TRUE,0,_xll.PSFx3BAL(CN,"*","DAF_Country",$A59,"DAF_Award",I$3,"NOMINAL",$A$55,PF,PT))</f>
        <v>0</v>
      </c>
      <c r="J59" s="26">
        <f>IF(TRUE,0,_xll.PSFx3BAL(CN,"*","DAF_Country",$A59,"DAF_Award",J$3,"NOMINAL",$A$55,PF,PT))</f>
        <v>0</v>
      </c>
      <c r="K59" s="26">
        <f>IF(TRUE,0,_xll.PSFx3BAL(CN,"*","DAF_Country",$A59,"DAF_Award",K$3,"NOMINAL",$A$55,PF,PT))</f>
        <v>0</v>
      </c>
      <c r="L59" s="26">
        <f>IF(TRUE,0,_xll.PSFx3BAL(CN,"*","DAF_Country",$A59,"DAF_Award",L$3,"NOMINAL",$A$55,PF,PT))</f>
        <v>0</v>
      </c>
      <c r="M59" s="26">
        <f>IF(TRUE,0,_xll.PSFx3BAL(CN,"*","DAF_Country",$A59,"DAF_Award",M$3,"NOMINAL",$A$55,PF,PT))</f>
        <v>0</v>
      </c>
      <c r="N59" s="26">
        <f>IF(TRUE,0,_xll.PSFx3BAL(CN,"*","DAF_Country",$A59,"DAF_Award",N$3,"NOMINAL",$A$55,PF,PT))</f>
        <v>0</v>
      </c>
      <c r="O59" s="26">
        <f>IF(TRUE,0,_xll.PSFx3BAL(CN,"*","DAF_Country",$A59,"DAF_Award",O$3,"NOMINAL",$A$55,PF,PT))</f>
        <v>0</v>
      </c>
      <c r="P59" s="26">
        <f>IF(TRUE,0,_xll.PSFx3BAL(CN,"*","DAF_Country",$A59,"DAF_Award",P$3,"NOMINAL",$A$55,PF,PT))</f>
        <v>0</v>
      </c>
      <c r="Q59" s="26">
        <f>IF(TRUE,0,_xll.PSFx3BAL(CN,"*","DAF_Country",$A59,"DAF_Award",Q$3,"NOMINAL",$A$55,PF,PT))</f>
        <v>0</v>
      </c>
      <c r="R59" s="26">
        <f>IF(TRUE,0,_xll.PSFx3BAL(CN,"*","DAF_Country",$A59,"DAF_Award",R$3,"NOMINAL",$A$55,PF,PT))</f>
        <v>0</v>
      </c>
      <c r="S59" s="26">
        <f>IF(TRUE,0,_xll.PSFx3BAL(CN,"*","DAF_Country",$A59,"DAF_Award",S$3,"NOMINAL",$A$55,PF,PT))</f>
        <v>0</v>
      </c>
      <c r="T59" s="26">
        <f>IF(TRUE,1209.75,_xll.PSFx3BAL(CN,"*","DAF_Country",$A59,"DAF_Award",T$3,"NOMINAL",$A$55,PF,PT))</f>
        <v>1209.75</v>
      </c>
      <c r="U59" s="26">
        <f>IF(TRUE,0,_xll.PSFx3BAL(CN,"*","DAF_Country",$A59,"DAF_Award",U$3,"NOMINAL",$A$55,PF,PT))</f>
        <v>0</v>
      </c>
      <c r="V59" s="26">
        <f>IF(TRUE,0,_xll.PSFx3BAL(CN,"*","DAF_Country",$A59,"DAF_Award",V$3,"NOMINAL",$A$55,PF,PT))</f>
        <v>0</v>
      </c>
      <c r="W59" s="26">
        <f>IF(TRUE,0,_xll.PSFx3BAL(CN,"*","DAF_Country",$A59,"DAF_Award",W$3,"NOMINAL",$A$55,PF,PT))</f>
        <v>0</v>
      </c>
      <c r="X59" s="26">
        <f>IF(TRUE,0,_xll.PSFx3BAL(CN,"*","DAF_Country",$A59,"DAF_Award",X$3,"NOMINAL",$A$55,PF,PT))</f>
        <v>0</v>
      </c>
      <c r="Y59" s="26">
        <f>IF(TRUE,0,_xll.PSFx3BAL(CN,"*","DAF_Country",$A59,"DAF_Award",Y$3,"NOMINAL",$A$55,PF,PT))</f>
        <v>0</v>
      </c>
      <c r="Z59" s="26">
        <f>IF(TRUE,0,_xll.PSFx3BAL(CN,"*","DAF_Country",$A59,"DAF_Award",Z$3,"NOMINAL",$A$55,PF,PT))</f>
        <v>0</v>
      </c>
      <c r="AA59" s="26">
        <f>SUM(O59:Z59)</f>
        <v>1209.75</v>
      </c>
      <c r="AB59" s="26">
        <f>SUM(C59:N59,AA59)</f>
        <v>1209.75</v>
      </c>
    </row>
    <row r="60" spans="1:30" x14ac:dyDescent="0.2">
      <c r="A60" t="s">
        <v>234</v>
      </c>
      <c r="B60" t="str">
        <f>VLOOKUP(A60,Parameters!R:S,2,FALSE)</f>
        <v>Madagascar</v>
      </c>
      <c r="C60" s="26">
        <f>IF(TRUE,0,_xll.PSFx3BAL(CN,"*","DAF_Country",$A60,"DAF_Award",C$3,"NOMINAL",$A$55,PF,PT))</f>
        <v>0</v>
      </c>
      <c r="D60" s="26">
        <f>IF(TRUE,0,_xll.PSFx3BAL(CN,"*","DAF_Country",$A60,"DAF_Award",D$3,"NOMINAL",$A$55,PF,PT))</f>
        <v>0</v>
      </c>
      <c r="E60" s="26">
        <f>IF(TRUE,0,_xll.PSFx3BAL(CN,"*","DAF_Country",$A60,"DAF_Award",E$3,"NOMINAL",$A$55,PF,PT))</f>
        <v>0</v>
      </c>
      <c r="F60" s="26">
        <f>IF(TRUE,0,_xll.PSFx3BAL(CN,"*","DAF_Country",$A60,"DAF_Award",F$3,"NOMINAL",$A$55,PF,PT))</f>
        <v>0</v>
      </c>
      <c r="G60" s="26">
        <f>IF(TRUE,0,_xll.PSFx3BAL(CN,"*","DAF_Country",$A60,"DAF_Award",G$3,"NOMINAL",$A$55,PF,PT))</f>
        <v>0</v>
      </c>
      <c r="H60" s="26">
        <f>IF(TRUE,0,_xll.PSFx3BAL(CN,"*","DAF_Country",$A60,"DAF_Award",H$3,"NOMINAL",$A$55,PF,PT))</f>
        <v>0</v>
      </c>
      <c r="I60" s="26">
        <f>IF(TRUE,4203,_xll.PSFx3BAL(CN,"*","DAF_Country",$A60,"DAF_Award",I$3,"NOMINAL",$A$55,PF,PT))</f>
        <v>4203</v>
      </c>
      <c r="J60" s="26">
        <f>IF(TRUE,0,_xll.PSFx3BAL(CN,"*","DAF_Country",$A60,"DAF_Award",J$3,"NOMINAL",$A$55,PF,PT))</f>
        <v>0</v>
      </c>
      <c r="K60" s="26">
        <f>IF(TRUE,0,_xll.PSFx3BAL(CN,"*","DAF_Country",$A60,"DAF_Award",K$3,"NOMINAL",$A$55,PF,PT))</f>
        <v>0</v>
      </c>
      <c r="L60" s="26">
        <f>IF(TRUE,0,_xll.PSFx3BAL(CN,"*","DAF_Country",$A60,"DAF_Award",L$3,"NOMINAL",$A$55,PF,PT))</f>
        <v>0</v>
      </c>
      <c r="M60" s="26">
        <f>IF(TRUE,0,_xll.PSFx3BAL(CN,"*","DAF_Country",$A60,"DAF_Award",M$3,"NOMINAL",$A$55,PF,PT))</f>
        <v>0</v>
      </c>
      <c r="N60" s="26">
        <f>IF(TRUE,0,_xll.PSFx3BAL(CN,"*","DAF_Country",$A60,"DAF_Award",N$3,"NOMINAL",$A$55,PF,PT))</f>
        <v>0</v>
      </c>
      <c r="O60" s="26">
        <f>IF(TRUE,0,_xll.PSFx3BAL(CN,"*","DAF_Country",$A60,"DAF_Award",O$3,"NOMINAL",$A$55,PF,PT))</f>
        <v>0</v>
      </c>
      <c r="P60" s="26">
        <f>IF(TRUE,0,_xll.PSFx3BAL(CN,"*","DAF_Country",$A60,"DAF_Award",P$3,"NOMINAL",$A$55,PF,PT))</f>
        <v>0</v>
      </c>
      <c r="Q60" s="26">
        <f>IF(TRUE,0,_xll.PSFx3BAL(CN,"*","DAF_Country",$A60,"DAF_Award",Q$3,"NOMINAL",$A$55,PF,PT))</f>
        <v>0</v>
      </c>
      <c r="R60" s="26">
        <f>IF(TRUE,0,_xll.PSFx3BAL(CN,"*","DAF_Country",$A60,"DAF_Award",R$3,"NOMINAL",$A$55,PF,PT))</f>
        <v>0</v>
      </c>
      <c r="S60" s="26">
        <f>IF(TRUE,0,_xll.PSFx3BAL(CN,"*","DAF_Country",$A60,"DAF_Award",S$3,"NOMINAL",$A$55,PF,PT))</f>
        <v>0</v>
      </c>
      <c r="T60" s="26">
        <f>IF(TRUE,0,_xll.PSFx3BAL(CN,"*","DAF_Country",$A60,"DAF_Award",T$3,"NOMINAL",$A$55,PF,PT))</f>
        <v>0</v>
      </c>
      <c r="U60" s="26">
        <f>IF(TRUE,0,_xll.PSFx3BAL(CN,"*","DAF_Country",$A60,"DAF_Award",U$3,"NOMINAL",$A$55,PF,PT))</f>
        <v>0</v>
      </c>
      <c r="V60" s="26">
        <f>IF(TRUE,0,_xll.PSFx3BAL(CN,"*","DAF_Country",$A60,"DAF_Award",V$3,"NOMINAL",$A$55,PF,PT))</f>
        <v>0</v>
      </c>
      <c r="W60" s="26">
        <f>IF(TRUE,0,_xll.PSFx3BAL(CN,"*","DAF_Country",$A60,"DAF_Award",W$3,"NOMINAL",$A$55,PF,PT))</f>
        <v>0</v>
      </c>
      <c r="X60" s="26">
        <f>IF(TRUE,0,_xll.PSFx3BAL(CN,"*","DAF_Country",$A60,"DAF_Award",X$3,"NOMINAL",$A$55,PF,PT))</f>
        <v>0</v>
      </c>
      <c r="Y60" s="26">
        <f>IF(TRUE,-4203,_xll.PSFx3BAL(CN,"*","DAF_Country",$A60,"DAF_Award",Y$3,"NOMINAL",$A$55,PF,PT))</f>
        <v>-4203</v>
      </c>
      <c r="Z60" s="26">
        <f>IF(TRUE,0,_xll.PSFx3BAL(CN,"*","DAF_Country",$A60,"DAF_Award",Z$3,"NOMINAL",$A$55,PF,PT))</f>
        <v>0</v>
      </c>
      <c r="AA60" s="26">
        <f>SUM(O60:Z60)</f>
        <v>-4203</v>
      </c>
      <c r="AB60" s="26">
        <f>SUM(C60:N60,AA60)</f>
        <v>0</v>
      </c>
    </row>
    <row r="61" spans="1:30" x14ac:dyDescent="0.2">
      <c r="A61" t="s">
        <v>259</v>
      </c>
      <c r="B61" t="str">
        <f>VLOOKUP(A61,Parameters!R:S,2,FALSE)</f>
        <v>Zanzibar Pemba</v>
      </c>
      <c r="C61" s="26">
        <f>IF(TRUE,0,_xll.PSFx3BAL(CN,"*","DAF_Country",$A61,"DAF_Award",C$3,"NOMINAL",$A$55,PF,PT))</f>
        <v>0</v>
      </c>
      <c r="D61" s="26">
        <f>IF(TRUE,0,_xll.PSFx3BAL(CN,"*","DAF_Country",$A61,"DAF_Award",D$3,"NOMINAL",$A$55,PF,PT))</f>
        <v>0</v>
      </c>
      <c r="E61" s="26">
        <f>IF(TRUE,0,_xll.PSFx3BAL(CN,"*","DAF_Country",$A61,"DAF_Award",E$3,"NOMINAL",$A$55,PF,PT))</f>
        <v>0</v>
      </c>
      <c r="F61" s="26">
        <f>IF(TRUE,0,_xll.PSFx3BAL(CN,"*","DAF_Country",$A61,"DAF_Award",F$3,"NOMINAL",$A$55,PF,PT))</f>
        <v>0</v>
      </c>
      <c r="G61" s="26">
        <f>IF(TRUE,0,_xll.PSFx3BAL(CN,"*","DAF_Country",$A61,"DAF_Award",G$3,"NOMINAL",$A$55,PF,PT))</f>
        <v>0</v>
      </c>
      <c r="H61" s="26">
        <f>IF(TRUE,0,_xll.PSFx3BAL(CN,"*","DAF_Country",$A61,"DAF_Award",H$3,"NOMINAL",$A$55,PF,PT))</f>
        <v>0</v>
      </c>
      <c r="I61" s="26">
        <f>IF(TRUE,0,_xll.PSFx3BAL(CN,"*","DAF_Country",$A61,"DAF_Award",I$3,"NOMINAL",$A$55,PF,PT))</f>
        <v>0</v>
      </c>
      <c r="J61" s="26">
        <f>IF(TRUE,0,_xll.PSFx3BAL(CN,"*","DAF_Country",$A61,"DAF_Award",J$3,"NOMINAL",$A$55,PF,PT))</f>
        <v>0</v>
      </c>
      <c r="K61" s="26">
        <f>IF(TRUE,0,_xll.PSFx3BAL(CN,"*","DAF_Country",$A61,"DAF_Award",K$3,"NOMINAL",$A$55,PF,PT))</f>
        <v>0</v>
      </c>
      <c r="L61" s="26">
        <f>IF(TRUE,0,_xll.PSFx3BAL(CN,"*","DAF_Country",$A61,"DAF_Award",L$3,"NOMINAL",$A$55,PF,PT))</f>
        <v>0</v>
      </c>
      <c r="M61" s="26">
        <f>IF(TRUE,0,_xll.PSFx3BAL(CN,"*","DAF_Country",$A61,"DAF_Award",M$3,"NOMINAL",$A$55,PF,PT))</f>
        <v>0</v>
      </c>
      <c r="N61" s="26">
        <f>IF(TRUE,0,_xll.PSFx3BAL(CN,"*","DAF_Country",$A61,"DAF_Award",N$3,"NOMINAL",$A$55,PF,PT))</f>
        <v>0</v>
      </c>
      <c r="O61" s="26">
        <f>IF(TRUE,-5,_xll.PSFx3BAL(CN,"*","DAF_Country",$A61,"DAF_Award",O$3,"NOMINAL",$A$55,PF,PT))</f>
        <v>-5</v>
      </c>
      <c r="P61" s="26">
        <f>IF(TRUE,0,_xll.PSFx3BAL(CN,"*","DAF_Country",$A61,"DAF_Award",P$3,"NOMINAL",$A$55,PF,PT))</f>
        <v>0</v>
      </c>
      <c r="Q61" s="26">
        <f>IF(TRUE,0,_xll.PSFx3BAL(CN,"*","DAF_Country",$A61,"DAF_Award",Q$3,"NOMINAL",$A$55,PF,PT))</f>
        <v>0</v>
      </c>
      <c r="R61" s="26">
        <f>IF(TRUE,0,_xll.PSFx3BAL(CN,"*","DAF_Country",$A61,"DAF_Award",R$3,"NOMINAL",$A$55,PF,PT))</f>
        <v>0</v>
      </c>
      <c r="S61" s="26">
        <f>IF(TRUE,0,_xll.PSFx3BAL(CN,"*","DAF_Country",$A61,"DAF_Award",S$3,"NOMINAL",$A$55,PF,PT))</f>
        <v>0</v>
      </c>
      <c r="T61" s="26">
        <f>IF(TRUE,0,_xll.PSFx3BAL(CN,"*","DAF_Country",$A61,"DAF_Award",T$3,"NOMINAL",$A$55,PF,PT))</f>
        <v>0</v>
      </c>
      <c r="U61" s="26">
        <f>IF(TRUE,0,_xll.PSFx3BAL(CN,"*","DAF_Country",$A61,"DAF_Award",U$3,"NOMINAL",$A$55,PF,PT))</f>
        <v>0</v>
      </c>
      <c r="V61" s="26">
        <f>IF(TRUE,14368.37,_xll.PSFx3BAL(CN,"*","DAF_Country",$A61,"DAF_Award",V$3,"NOMINAL",$A$55,PF,PT))</f>
        <v>14368.37</v>
      </c>
      <c r="W61" s="26">
        <f>IF(TRUE,605.99,_xll.PSFx3BAL(CN,"*","DAF_Country",$A61,"DAF_Award",W$3,"NOMINAL",$A$55,PF,PT))</f>
        <v>605.99</v>
      </c>
      <c r="X61" s="26">
        <f>IF(TRUE,0,_xll.PSFx3BAL(CN,"*","DAF_Country",$A61,"DAF_Award",X$3,"NOMINAL",$A$55,PF,PT))</f>
        <v>0</v>
      </c>
      <c r="Y61" s="26">
        <f>IF(TRUE,0,_xll.PSFx3BAL(CN,"*","DAF_Country",$A61,"DAF_Award",Y$3,"NOMINAL",$A$55,PF,PT))</f>
        <v>0</v>
      </c>
      <c r="Z61" s="26">
        <f>IF(TRUE,0,_xll.PSFx3BAL(CN,"*","DAF_Country",$A61,"DAF_Award",Z$3,"NOMINAL",$A$55,PF,PT))</f>
        <v>0</v>
      </c>
      <c r="AA61" s="26">
        <f t="shared" ref="AA61:AA62" si="15">SUM(O61:Z61)</f>
        <v>14969.36</v>
      </c>
      <c r="AB61" s="26">
        <f t="shared" ref="AB61:AB62" si="16">SUM(C61:N61,AA61)</f>
        <v>14969.36</v>
      </c>
    </row>
    <row r="62" spans="1:30" x14ac:dyDescent="0.2">
      <c r="A62" t="s">
        <v>260</v>
      </c>
      <c r="B62" t="str">
        <f>VLOOKUP(A62,Parameters!R:S,2,FALSE)</f>
        <v>Zanzibar Unguja</v>
      </c>
      <c r="C62" s="26">
        <f>IF(TRUE,0,_xll.PSFx3BAL(CN,"*","DAF_Country",$A62,"DAF_Award",C$3,"NOMINAL",$A$55,PF,PT))</f>
        <v>0</v>
      </c>
      <c r="D62" s="26">
        <f>IF(TRUE,0,_xll.PSFx3BAL(CN,"*","DAF_Country",$A62,"DAF_Award",D$3,"NOMINAL",$A$55,PF,PT))</f>
        <v>0</v>
      </c>
      <c r="E62" s="26">
        <f>IF(TRUE,0,_xll.PSFx3BAL(CN,"*","DAF_Country",$A62,"DAF_Award",E$3,"NOMINAL",$A$55,PF,PT))</f>
        <v>0</v>
      </c>
      <c r="F62" s="26">
        <f>IF(TRUE,0,_xll.PSFx3BAL(CN,"*","DAF_Country",$A62,"DAF_Award",F$3,"NOMINAL",$A$55,PF,PT))</f>
        <v>0</v>
      </c>
      <c r="G62" s="26">
        <f>IF(TRUE,0,_xll.PSFx3BAL(CN,"*","DAF_Country",$A62,"DAF_Award",G$3,"NOMINAL",$A$55,PF,PT))</f>
        <v>0</v>
      </c>
      <c r="H62" s="26">
        <f>IF(TRUE,0,_xll.PSFx3BAL(CN,"*","DAF_Country",$A62,"DAF_Award",H$3,"NOMINAL",$A$55,PF,PT))</f>
        <v>0</v>
      </c>
      <c r="I62" s="26">
        <f>IF(TRUE,0,_xll.PSFx3BAL(CN,"*","DAF_Country",$A62,"DAF_Award",I$3,"NOMINAL",$A$55,PF,PT))</f>
        <v>0</v>
      </c>
      <c r="J62" s="26">
        <f>IF(TRUE,0,_xll.PSFx3BAL(CN,"*","DAF_Country",$A62,"DAF_Award",J$3,"NOMINAL",$A$55,PF,PT))</f>
        <v>0</v>
      </c>
      <c r="K62" s="26">
        <f>IF(TRUE,0,_xll.PSFx3BAL(CN,"*","DAF_Country",$A62,"DAF_Award",K$3,"NOMINAL",$A$55,PF,PT))</f>
        <v>0</v>
      </c>
      <c r="L62" s="26">
        <f>IF(TRUE,0,_xll.PSFx3BAL(CN,"*","DAF_Country",$A62,"DAF_Award",L$3,"NOMINAL",$A$55,PF,PT))</f>
        <v>0</v>
      </c>
      <c r="M62" s="26">
        <f>IF(TRUE,0,_xll.PSFx3BAL(CN,"*","DAF_Country",$A62,"DAF_Award",M$3,"NOMINAL",$A$55,PF,PT))</f>
        <v>0</v>
      </c>
      <c r="N62" s="26">
        <f>IF(TRUE,0,_xll.PSFx3BAL(CN,"*","DAF_Country",$A62,"DAF_Award",N$3,"NOMINAL",$A$55,PF,PT))</f>
        <v>0</v>
      </c>
      <c r="O62" s="26">
        <f>IF(TRUE,0,_xll.PSFx3BAL(CN,"*","DAF_Country",$A62,"DAF_Award",O$3,"NOMINAL",$A$55,PF,PT))</f>
        <v>0</v>
      </c>
      <c r="P62" s="26">
        <f>IF(TRUE,0,_xll.PSFx3BAL(CN,"*","DAF_Country",$A62,"DAF_Award",P$3,"NOMINAL",$A$55,PF,PT))</f>
        <v>0</v>
      </c>
      <c r="Q62" s="26">
        <f>IF(TRUE,0,_xll.PSFx3BAL(CN,"*","DAF_Country",$A62,"DAF_Award",Q$3,"NOMINAL",$A$55,PF,PT))</f>
        <v>0</v>
      </c>
      <c r="R62" s="26">
        <f>IF(TRUE,0,_xll.PSFx3BAL(CN,"*","DAF_Country",$A62,"DAF_Award",R$3,"NOMINAL",$A$55,PF,PT))</f>
        <v>0</v>
      </c>
      <c r="S62" s="26">
        <f>IF(TRUE,0,_xll.PSFx3BAL(CN,"*","DAF_Country",$A62,"DAF_Award",S$3,"NOMINAL",$A$55,PF,PT))</f>
        <v>0</v>
      </c>
      <c r="T62" s="26">
        <f>IF(TRUE,0,_xll.PSFx3BAL(CN,"*","DAF_Country",$A62,"DAF_Award",T$3,"NOMINAL",$A$55,PF,PT))</f>
        <v>0</v>
      </c>
      <c r="U62" s="26">
        <f>IF(TRUE,0,_xll.PSFx3BAL(CN,"*","DAF_Country",$A62,"DAF_Award",U$3,"NOMINAL",$A$55,PF,PT))</f>
        <v>0</v>
      </c>
      <c r="V62" s="26">
        <f>IF(TRUE,0,_xll.PSFx3BAL(CN,"*","DAF_Country",$A62,"DAF_Award",V$3,"NOMINAL",$A$55,PF,PT))</f>
        <v>0</v>
      </c>
      <c r="W62" s="26">
        <f>IF(TRUE,304,_xll.PSFx3BAL(CN,"*","DAF_Country",$A62,"DAF_Award",W$3,"NOMINAL",$A$55,PF,PT))</f>
        <v>304</v>
      </c>
      <c r="X62" s="26">
        <f>IF(TRUE,0,_xll.PSFx3BAL(CN,"*","DAF_Country",$A62,"DAF_Award",X$3,"NOMINAL",$A$55,PF,PT))</f>
        <v>0</v>
      </c>
      <c r="Y62" s="26">
        <f>IF(TRUE,0,_xll.PSFx3BAL(CN,"*","DAF_Country",$A62,"DAF_Award",Y$3,"NOMINAL",$A$55,PF,PT))</f>
        <v>0</v>
      </c>
      <c r="Z62" s="26">
        <f>IF(TRUE,0,_xll.PSFx3BAL(CN,"*","DAF_Country",$A62,"DAF_Award",Z$3,"NOMINAL",$A$55,PF,PT))</f>
        <v>0</v>
      </c>
      <c r="AA62" s="26">
        <f t="shared" si="15"/>
        <v>304</v>
      </c>
      <c r="AB62" s="26">
        <f t="shared" si="16"/>
        <v>304</v>
      </c>
    </row>
    <row r="63" spans="1:30" x14ac:dyDescent="0.2">
      <c r="A63" s="29" t="str">
        <f>A55</f>
        <v>6102</v>
      </c>
      <c r="B63" s="30" t="s">
        <v>284</v>
      </c>
      <c r="C63" s="16">
        <f t="shared" ref="C63:AB63" si="17">SUM(C57:C62)</f>
        <v>0</v>
      </c>
      <c r="D63" s="16">
        <f t="shared" si="17"/>
        <v>0</v>
      </c>
      <c r="E63" s="16">
        <f t="shared" si="17"/>
        <v>0</v>
      </c>
      <c r="F63" s="16">
        <f t="shared" si="17"/>
        <v>0</v>
      </c>
      <c r="G63" s="16">
        <f t="shared" si="17"/>
        <v>0</v>
      </c>
      <c r="H63" s="16">
        <f t="shared" si="17"/>
        <v>414.55</v>
      </c>
      <c r="I63" s="16">
        <f t="shared" si="17"/>
        <v>4203</v>
      </c>
      <c r="J63" s="16">
        <f t="shared" si="17"/>
        <v>0</v>
      </c>
      <c r="K63" s="16">
        <f t="shared" si="17"/>
        <v>0</v>
      </c>
      <c r="L63" s="16">
        <f t="shared" si="17"/>
        <v>0</v>
      </c>
      <c r="M63" s="16">
        <f t="shared" si="17"/>
        <v>0</v>
      </c>
      <c r="N63" s="16">
        <f t="shared" si="17"/>
        <v>0</v>
      </c>
      <c r="O63" s="16">
        <f t="shared" si="17"/>
        <v>-5</v>
      </c>
      <c r="P63" s="16">
        <f t="shared" si="17"/>
        <v>0</v>
      </c>
      <c r="Q63" s="16">
        <f t="shared" si="17"/>
        <v>0</v>
      </c>
      <c r="R63" s="16">
        <f t="shared" si="17"/>
        <v>0</v>
      </c>
      <c r="S63" s="16">
        <f t="shared" si="17"/>
        <v>56.42</v>
      </c>
      <c r="T63" s="16">
        <f t="shared" si="17"/>
        <v>1209.75</v>
      </c>
      <c r="U63" s="16">
        <f t="shared" si="17"/>
        <v>0</v>
      </c>
      <c r="V63" s="16">
        <f t="shared" si="17"/>
        <v>14368.37</v>
      </c>
      <c r="W63" s="16">
        <f t="shared" si="17"/>
        <v>909.99</v>
      </c>
      <c r="X63" s="16">
        <f t="shared" si="17"/>
        <v>0</v>
      </c>
      <c r="Y63" s="16">
        <f t="shared" si="17"/>
        <v>-4203</v>
      </c>
      <c r="Z63" s="16">
        <f t="shared" si="17"/>
        <v>0</v>
      </c>
      <c r="AA63" s="16">
        <f t="shared" si="17"/>
        <v>12336.53</v>
      </c>
      <c r="AB63" s="16">
        <f t="shared" si="17"/>
        <v>16954.080000000002</v>
      </c>
      <c r="AD63" s="31">
        <f>VLOOKUP($A63,'Cost Centres'!$B:$O,'Cost Centres'!$O$2-1,FALSE)-AB63</f>
        <v>0</v>
      </c>
    </row>
    <row r="67" spans="1:28" ht="19" x14ac:dyDescent="0.25">
      <c r="A67" s="12" t="s">
        <v>373</v>
      </c>
    </row>
    <row r="68" spans="1:28" x14ac:dyDescent="0.2">
      <c r="A68" s="21" t="s">
        <v>48</v>
      </c>
      <c r="B68" s="21" t="s">
        <v>49</v>
      </c>
    </row>
    <row r="70" spans="1:28" x14ac:dyDescent="0.2">
      <c r="A70" t="s">
        <v>375</v>
      </c>
      <c r="B70" t="str">
        <f>VLOOKUP(A70,Parameters!U:V,2,FALSE)</f>
        <v>Ministy of The Public  Health Burundi</v>
      </c>
      <c r="C70" s="26">
        <f>IF(TRUE,0,_xll.PSFx3BAL(CN,"*","DAF_Partner",$A70,"DAF_Award",C$3,"GLCode",$A$68,PF,PT))</f>
        <v>0</v>
      </c>
      <c r="D70" s="26">
        <f>IF(TRUE,0,_xll.PSFx3BAL(CN,"*","DAF_Partner",$A70,"DAF_Award",D$3,"GLCode",$A$68,PF,PT))</f>
        <v>0</v>
      </c>
      <c r="E70" s="26">
        <f>IF(TRUE,0,_xll.PSFx3BAL(CN,"*","DAF_Partner",$A70,"DAF_Award",E$3,"GLCode",$A$68,PF,PT))</f>
        <v>0</v>
      </c>
      <c r="F70" s="26">
        <f>IF(TRUE,0,_xll.PSFx3BAL(CN,"*","DAF_Partner",$A70,"DAF_Award",F$3,"GLCode",$A$68,PF,PT))</f>
        <v>0</v>
      </c>
      <c r="G70" s="26">
        <f>IF(TRUE,0,_xll.PSFx3BAL(CN,"*","DAF_Partner",$A70,"DAF_Award",G$3,"GLCode",$A$68,PF,PT))</f>
        <v>0</v>
      </c>
      <c r="H70" s="26">
        <f>IF(TRUE,0,_xll.PSFx3BAL(CN,"*","DAF_Partner",$A70,"DAF_Award",H$3,"GLCode",$A$68,PF,PT))</f>
        <v>0</v>
      </c>
      <c r="I70" s="26">
        <f>IF(TRUE,0,_xll.PSFx3BAL(CN,"*","DAF_Partner",$A70,"DAF_Award",I$3,"GLCode",$A$68,PF,PT))</f>
        <v>0</v>
      </c>
      <c r="J70" s="26">
        <f>IF(TRUE,0,_xll.PSFx3BAL(CN,"*","DAF_Partner",$A70,"DAF_Award",J$3,"GLCode",$A$68,PF,PT))</f>
        <v>0</v>
      </c>
      <c r="K70" s="26">
        <f>IF(TRUE,0,_xll.PSFx3BAL(CN,"*","DAF_Partner",$A70,"DAF_Award",K$3,"GLCode",$A$68,PF,PT))</f>
        <v>0</v>
      </c>
      <c r="L70" s="26">
        <f>IF(TRUE,0,_xll.PSFx3BAL(CN,"*","DAF_Partner",$A70,"DAF_Award",L$3,"GLCode",$A$68,PF,PT))</f>
        <v>0</v>
      </c>
      <c r="M70" s="26">
        <f>IF(TRUE,0,_xll.PSFx3BAL(CN,"*","DAF_Partner",$A70,"DAF_Award",M$3,"GLCode",$A$68,PF,PT))</f>
        <v>0</v>
      </c>
      <c r="N70" s="26">
        <f>IF(TRUE,0,_xll.PSFx3BAL(CN,"*","DAF_Partner",$A70,"DAF_Award",N$3,"GLCode",$A$68,PF,PT))</f>
        <v>0</v>
      </c>
      <c r="O70" s="26">
        <f>IF(TRUE,0,_xll.PSFx3BAL(CN,"*","DAF_Partner",$A70,"DAF_Award",O$3,"GLCode",$A$68,PF,PT))</f>
        <v>0</v>
      </c>
      <c r="P70" s="26">
        <f>IF(TRUE,0,_xll.PSFx3BAL(CN,"*","DAF_Partner",$A70,"DAF_Award",P$3,"GLCode",$A$68,PF,PT))</f>
        <v>0</v>
      </c>
      <c r="Q70" s="26">
        <f>IF(TRUE,0,_xll.PSFx3BAL(CN,"*","DAF_Partner",$A70,"DAF_Award",Q$3,"GLCode",$A$68,PF,PT))</f>
        <v>0</v>
      </c>
      <c r="R70" s="26">
        <f>IF(TRUE,0,_xll.PSFx3BAL(CN,"*","DAF_Partner",$A70,"DAF_Award",R$3,"GLCode",$A$68,PF,PT))</f>
        <v>0</v>
      </c>
      <c r="S70" s="26">
        <f>IF(TRUE,0,_xll.PSFx3BAL(CN,"*","DAF_Partner",$A70,"DAF_Award",S$3,"GLCode",$A$68,PF,PT))</f>
        <v>0</v>
      </c>
      <c r="T70" s="26">
        <f>IF(TRUE,242000,_xll.PSFx3BAL(CN,"*","DAF_Partner",$A70,"DAF_Award",T$3,"GLCode",$A$68,PF,PT))</f>
        <v>242000</v>
      </c>
      <c r="U70" s="26">
        <f>IF(TRUE,0,_xll.PSFx3BAL(CN,"*","DAF_Partner",$A70,"DAF_Award",U$3,"GLCode",$A$68,PF,PT))</f>
        <v>0</v>
      </c>
      <c r="V70" s="26">
        <f>IF(TRUE,0,_xll.PSFx3BAL(CN,"*","DAF_Partner",$A70,"DAF_Award",V$3,"GLCode",$A$68,PF,PT))</f>
        <v>0</v>
      </c>
      <c r="W70" s="26">
        <f>IF(TRUE,0,_xll.PSFx3BAL(CN,"*","DAF_Partner",$A70,"DAF_Award",W$3,"GLCode",$A$68,PF,PT))</f>
        <v>0</v>
      </c>
      <c r="X70" s="26">
        <f>IF(TRUE,0,_xll.PSFx3BAL(CN,"*","DAF_Partner",$A70,"DAF_Award",X$3,"GLCode",$A$68,PF,PT))</f>
        <v>0</v>
      </c>
      <c r="Y70" s="26">
        <f>IF(TRUE,0,_xll.PSFx3BAL(CN,"*","DAF_Partner",$A70,"DAF_Award",Y$3,"GLCode",$A$68,PF,PT))</f>
        <v>0</v>
      </c>
      <c r="Z70" s="26">
        <f>IF(TRUE,0,_xll.PSFx3BAL(CN,"*","DAF_Partner",$A70,"DAF_Award",Z$3,"GLCode",$A$68,PF,PT))</f>
        <v>0</v>
      </c>
      <c r="AA70" s="26">
        <f t="shared" ref="AA70:AA87" si="18">SUM(O70:Z70)</f>
        <v>242000</v>
      </c>
      <c r="AB70" s="439">
        <f t="shared" ref="AB70:AB87" si="19">SUM(C70:N70,AA70)</f>
        <v>242000</v>
      </c>
    </row>
    <row r="71" spans="1:28" x14ac:dyDescent="0.2">
      <c r="A71" t="s">
        <v>376</v>
      </c>
      <c r="B71" t="str">
        <f>VLOOKUP(A71,Parameters!U:V,2,FALSE)</f>
        <v xml:space="preserve">BRESDE Consulting </v>
      </c>
      <c r="C71" s="26">
        <f>IF(TRUE,0,_xll.PSFx3BAL(CN,"*","DAF_Partner",$A71,"DAF_Award",C$3,"GLCode",$A$68,PF,PT))</f>
        <v>0</v>
      </c>
      <c r="D71" s="26">
        <f>IF(TRUE,0,_xll.PSFx3BAL(CN,"*","DAF_Partner",$A71,"DAF_Award",D$3,"GLCode",$A$68,PF,PT))</f>
        <v>0</v>
      </c>
      <c r="E71" s="26">
        <f>IF(TRUE,0,_xll.PSFx3BAL(CN,"*","DAF_Partner",$A71,"DAF_Award",E$3,"GLCode",$A$68,PF,PT))</f>
        <v>0</v>
      </c>
      <c r="F71" s="26">
        <f>IF(TRUE,0,_xll.PSFx3BAL(CN,"*","DAF_Partner",$A71,"DAF_Award",F$3,"GLCode",$A$68,PF,PT))</f>
        <v>0</v>
      </c>
      <c r="G71" s="26">
        <f>IF(TRUE,0,_xll.PSFx3BAL(CN,"*","DAF_Partner",$A71,"DAF_Award",G$3,"GLCode",$A$68,PF,PT))</f>
        <v>0</v>
      </c>
      <c r="H71" s="26">
        <f>IF(TRUE,0,_xll.PSFx3BAL(CN,"*","DAF_Partner",$A71,"DAF_Award",H$3,"GLCode",$A$68,PF,PT))</f>
        <v>0</v>
      </c>
      <c r="I71" s="26">
        <f>IF(TRUE,0,_xll.PSFx3BAL(CN,"*","DAF_Partner",$A71,"DAF_Award",I$3,"GLCode",$A$68,PF,PT))</f>
        <v>0</v>
      </c>
      <c r="J71" s="26">
        <f>IF(TRUE,0,_xll.PSFx3BAL(CN,"*","DAF_Partner",$A71,"DAF_Award",J$3,"GLCode",$A$68,PF,PT))</f>
        <v>0</v>
      </c>
      <c r="K71" s="26">
        <f>IF(TRUE,0,_xll.PSFx3BAL(CN,"*","DAF_Partner",$A71,"DAF_Award",K$3,"GLCode",$A$68,PF,PT))</f>
        <v>0</v>
      </c>
      <c r="L71" s="26">
        <f>IF(TRUE,0,_xll.PSFx3BAL(CN,"*","DAF_Partner",$A71,"DAF_Award",L$3,"GLCode",$A$68,PF,PT))</f>
        <v>0</v>
      </c>
      <c r="M71" s="26">
        <f>IF(TRUE,0,_xll.PSFx3BAL(CN,"*","DAF_Partner",$A71,"DAF_Award",M$3,"GLCode",$A$68,PF,PT))</f>
        <v>0</v>
      </c>
      <c r="N71" s="26">
        <f>IF(TRUE,0,_xll.PSFx3BAL(CN,"*","DAF_Partner",$A71,"DAF_Award",N$3,"GLCode",$A$68,PF,PT))</f>
        <v>0</v>
      </c>
      <c r="O71" s="26">
        <f>IF(TRUE,0,_xll.PSFx3BAL(CN,"*","DAF_Partner",$A71,"DAF_Award",O$3,"GLCode",$A$68,PF,PT))</f>
        <v>0</v>
      </c>
      <c r="P71" s="26">
        <f>IF(TRUE,0,_xll.PSFx3BAL(CN,"*","DAF_Partner",$A71,"DAF_Award",P$3,"GLCode",$A$68,PF,PT))</f>
        <v>0</v>
      </c>
      <c r="Q71" s="26">
        <f>IF(TRUE,0,_xll.PSFx3BAL(CN,"*","DAF_Partner",$A71,"DAF_Award",Q$3,"GLCode",$A$68,PF,PT))</f>
        <v>0</v>
      </c>
      <c r="R71" s="26">
        <f>IF(TRUE,0,_xll.PSFx3BAL(CN,"*","DAF_Partner",$A71,"DAF_Award",R$3,"GLCode",$A$68,PF,PT))</f>
        <v>0</v>
      </c>
      <c r="S71" s="26">
        <f>IF(TRUE,0,_xll.PSFx3BAL(CN,"*","DAF_Partner",$A71,"DAF_Award",S$3,"GLCode",$A$68,PF,PT))</f>
        <v>0</v>
      </c>
      <c r="T71" s="26">
        <f>IF(TRUE,0,_xll.PSFx3BAL(CN,"*","DAF_Partner",$A71,"DAF_Award",T$3,"GLCode",$A$68,PF,PT))</f>
        <v>0</v>
      </c>
      <c r="U71" s="26">
        <f>IF(TRUE,0,_xll.PSFx3BAL(CN,"*","DAF_Partner",$A71,"DAF_Award",U$3,"GLCode",$A$68,PF,PT))</f>
        <v>0</v>
      </c>
      <c r="V71" s="26">
        <f>IF(TRUE,0,_xll.PSFx3BAL(CN,"*","DAF_Partner",$A71,"DAF_Award",V$3,"GLCode",$A$68,PF,PT))</f>
        <v>0</v>
      </c>
      <c r="W71" s="26">
        <f>IF(TRUE,0,_xll.PSFx3BAL(CN,"*","DAF_Partner",$A71,"DAF_Award",W$3,"GLCode",$A$68,PF,PT))</f>
        <v>0</v>
      </c>
      <c r="X71" s="26">
        <f>IF(TRUE,0,_xll.PSFx3BAL(CN,"*","DAF_Partner",$A71,"DAF_Award",X$3,"GLCode",$A$68,PF,PT))</f>
        <v>0</v>
      </c>
      <c r="Y71" s="26">
        <f>IF(TRUE,0,_xll.PSFx3BAL(CN,"*","DAF_Partner",$A71,"DAF_Award",Y$3,"GLCode",$A$68,PF,PT))</f>
        <v>0</v>
      </c>
      <c r="Z71" s="26">
        <f>IF(TRUE,0,_xll.PSFx3BAL(CN,"*","DAF_Partner",$A71,"DAF_Award",Z$3,"GLCode",$A$68,PF,PT))</f>
        <v>0</v>
      </c>
      <c r="AA71" s="26">
        <f t="shared" si="18"/>
        <v>0</v>
      </c>
      <c r="AB71" s="439">
        <f t="shared" si="19"/>
        <v>0</v>
      </c>
    </row>
    <row r="72" spans="1:28" x14ac:dyDescent="0.2">
      <c r="A72" t="s">
        <v>523</v>
      </c>
      <c r="B72" t="str">
        <f>VLOOKUP(A72,Parameters!U:V,2,FALSE)</f>
        <v>All Consulting and Logistics</v>
      </c>
      <c r="C72" s="26">
        <f>IF(TRUE,0,_xll.PSFx3BAL(CN,"*","DAF_Partner",$A72,"DAF_Award",C$3,"GLCode",$A$68,PF,PT))</f>
        <v>0</v>
      </c>
      <c r="D72" s="26">
        <f>IF(TRUE,0,_xll.PSFx3BAL(CN,"*","DAF_Partner",$A72,"DAF_Award",D$3,"GLCode",$A$68,PF,PT))</f>
        <v>0</v>
      </c>
      <c r="E72" s="26">
        <f>IF(TRUE,0,_xll.PSFx3BAL(CN,"*","DAF_Partner",$A72,"DAF_Award",E$3,"GLCode",$A$68,PF,PT))</f>
        <v>0</v>
      </c>
      <c r="F72" s="26">
        <f>IF(TRUE,0,_xll.PSFx3BAL(CN,"*","DAF_Partner",$A72,"DAF_Award",F$3,"GLCode",$A$68,PF,PT))</f>
        <v>0</v>
      </c>
      <c r="G72" s="26">
        <f>IF(TRUE,0,_xll.PSFx3BAL(CN,"*","DAF_Partner",$A72,"DAF_Award",G$3,"GLCode",$A$68,PF,PT))</f>
        <v>0</v>
      </c>
      <c r="H72" s="26">
        <f>IF(TRUE,0,_xll.PSFx3BAL(CN,"*","DAF_Partner",$A72,"DAF_Award",H$3,"GLCode",$A$68,PF,PT))</f>
        <v>0</v>
      </c>
      <c r="I72" s="26">
        <f>IF(TRUE,0,_xll.PSFx3BAL(CN,"*","DAF_Partner",$A72,"DAF_Award",I$3,"GLCode",$A$68,PF,PT))</f>
        <v>0</v>
      </c>
      <c r="J72" s="26">
        <f>IF(TRUE,0,_xll.PSFx3BAL(CN,"*","DAF_Partner",$A72,"DAF_Award",J$3,"GLCode",$A$68,PF,PT))</f>
        <v>0</v>
      </c>
      <c r="K72" s="26">
        <f>IF(TRUE,0,_xll.PSFx3BAL(CN,"*","DAF_Partner",$A72,"DAF_Award",K$3,"GLCode",$A$68,PF,PT))</f>
        <v>0</v>
      </c>
      <c r="L72" s="26">
        <f>IF(TRUE,0,_xll.PSFx3BAL(CN,"*","DAF_Partner",$A72,"DAF_Award",L$3,"GLCode",$A$68,PF,PT))</f>
        <v>0</v>
      </c>
      <c r="M72" s="26">
        <f>IF(TRUE,0,_xll.PSFx3BAL(CN,"*","DAF_Partner",$A72,"DAF_Award",M$3,"GLCode",$A$68,PF,PT))</f>
        <v>0</v>
      </c>
      <c r="N72" s="26">
        <f>IF(TRUE,0,_xll.PSFx3BAL(CN,"*","DAF_Partner",$A72,"DAF_Award",N$3,"GLCode",$A$68,PF,PT))</f>
        <v>0</v>
      </c>
      <c r="O72" s="26">
        <f>IF(TRUE,0,_xll.PSFx3BAL(CN,"*","DAF_Partner",$A72,"DAF_Award",O$3,"GLCode",$A$68,PF,PT))</f>
        <v>0</v>
      </c>
      <c r="P72" s="26">
        <f>IF(TRUE,0,_xll.PSFx3BAL(CN,"*","DAF_Partner",$A72,"DAF_Award",P$3,"GLCode",$A$68,PF,PT))</f>
        <v>0</v>
      </c>
      <c r="Q72" s="26">
        <f>IF(TRUE,0,_xll.PSFx3BAL(CN,"*","DAF_Partner",$A72,"DAF_Award",Q$3,"GLCode",$A$68,PF,PT))</f>
        <v>0</v>
      </c>
      <c r="R72" s="26">
        <f>IF(TRUE,0,_xll.PSFx3BAL(CN,"*","DAF_Partner",$A72,"DAF_Award",R$3,"GLCode",$A$68,PF,PT))</f>
        <v>0</v>
      </c>
      <c r="S72" s="26">
        <f>IF(TRUE,0,_xll.PSFx3BAL(CN,"*","DAF_Partner",$A72,"DAF_Award",S$3,"GLCode",$A$68,PF,PT))</f>
        <v>0</v>
      </c>
      <c r="T72" s="26">
        <f>IF(TRUE,25645,_xll.PSFx3BAL(CN,"*","DAF_Partner",$A72,"DAF_Award",T$3,"GLCode",$A$68,PF,PT))</f>
        <v>25645</v>
      </c>
      <c r="U72" s="26">
        <f>IF(TRUE,0,_xll.PSFx3BAL(CN,"*","DAF_Partner",$A72,"DAF_Award",U$3,"GLCode",$A$68,PF,PT))</f>
        <v>0</v>
      </c>
      <c r="V72" s="26">
        <f>IF(TRUE,0,_xll.PSFx3BAL(CN,"*","DAF_Partner",$A72,"DAF_Award",V$3,"GLCode",$A$68,PF,PT))</f>
        <v>0</v>
      </c>
      <c r="W72" s="26">
        <f>IF(TRUE,0,_xll.PSFx3BAL(CN,"*","DAF_Partner",$A72,"DAF_Award",W$3,"GLCode",$A$68,PF,PT))</f>
        <v>0</v>
      </c>
      <c r="X72" s="26">
        <f>IF(TRUE,0,_xll.PSFx3BAL(CN,"*","DAF_Partner",$A72,"DAF_Award",X$3,"GLCode",$A$68,PF,PT))</f>
        <v>0</v>
      </c>
      <c r="Y72" s="26">
        <f>IF(TRUE,0,_xll.PSFx3BAL(CN,"*","DAF_Partner",$A72,"DAF_Award",Y$3,"GLCode",$A$68,PF,PT))</f>
        <v>0</v>
      </c>
      <c r="Z72" s="26">
        <f>IF(TRUE,0,_xll.PSFx3BAL(CN,"*","DAF_Partner",$A72,"DAF_Award",Z$3,"GLCode",$A$68,PF,PT))</f>
        <v>0</v>
      </c>
      <c r="AA72" s="26">
        <f t="shared" ref="AA72" si="20">SUM(O72:Z72)</f>
        <v>25645</v>
      </c>
      <c r="AB72" s="439">
        <f t="shared" ref="AB72" si="21">SUM(C72:N72,AA72)</f>
        <v>25645</v>
      </c>
    </row>
    <row r="73" spans="1:28" x14ac:dyDescent="0.2">
      <c r="A73" t="s">
        <v>377</v>
      </c>
      <c r="B73" t="str">
        <f>VLOOKUP(A73,Parameters!U:V,2,FALSE)</f>
        <v>CHAD Malawi</v>
      </c>
      <c r="C73" s="26">
        <f>IF(TRUE,0,_xll.PSFx3BAL(CN,"*","DAF_Partner",$A73,"DAF_Award",C$3,"GLCode",$A$68,PF,PT))</f>
        <v>0</v>
      </c>
      <c r="D73" s="26">
        <f>IF(TRUE,0,_xll.PSFx3BAL(CN,"*","DAF_Partner",$A73,"DAF_Award",D$3,"GLCode",$A$68,PF,PT))</f>
        <v>0</v>
      </c>
      <c r="E73" s="26">
        <f>IF(TRUE,0,_xll.PSFx3BAL(CN,"*","DAF_Partner",$A73,"DAF_Award",E$3,"GLCode",$A$68,PF,PT))</f>
        <v>0</v>
      </c>
      <c r="F73" s="26">
        <f>IF(TRUE,0,_xll.PSFx3BAL(CN,"*","DAF_Partner",$A73,"DAF_Award",F$3,"GLCode",$A$68,PF,PT))</f>
        <v>0</v>
      </c>
      <c r="G73" s="26">
        <f>IF(TRUE,0,_xll.PSFx3BAL(CN,"*","DAF_Partner",$A73,"DAF_Award",G$3,"GLCode",$A$68,PF,PT))</f>
        <v>0</v>
      </c>
      <c r="H73" s="26">
        <f>IF(TRUE,0,_xll.PSFx3BAL(CN,"*","DAF_Partner",$A73,"DAF_Award",H$3,"GLCode",$A$68,PF,PT))</f>
        <v>0</v>
      </c>
      <c r="I73" s="26">
        <f>IF(TRUE,0,_xll.PSFx3BAL(CN,"*","DAF_Partner",$A73,"DAF_Award",I$3,"GLCode",$A$68,PF,PT))</f>
        <v>0</v>
      </c>
      <c r="J73" s="26">
        <f>IF(TRUE,0,_xll.PSFx3BAL(CN,"*","DAF_Partner",$A73,"DAF_Award",J$3,"GLCode",$A$68,PF,PT))</f>
        <v>0</v>
      </c>
      <c r="K73" s="26">
        <f>IF(TRUE,0,_xll.PSFx3BAL(CN,"*","DAF_Partner",$A73,"DAF_Award",K$3,"GLCode",$A$68,PF,PT))</f>
        <v>0</v>
      </c>
      <c r="L73" s="26">
        <f>IF(TRUE,0,_xll.PSFx3BAL(CN,"*","DAF_Partner",$A73,"DAF_Award",L$3,"GLCode",$A$68,PF,PT))</f>
        <v>0</v>
      </c>
      <c r="M73" s="26">
        <f>IF(TRUE,0,_xll.PSFx3BAL(CN,"*","DAF_Partner",$A73,"DAF_Award",M$3,"GLCode",$A$68,PF,PT))</f>
        <v>0</v>
      </c>
      <c r="N73" s="26">
        <f>IF(TRUE,0,_xll.PSFx3BAL(CN,"*","DAF_Partner",$A73,"DAF_Award",N$3,"GLCode",$A$68,PF,PT))</f>
        <v>0</v>
      </c>
      <c r="O73" s="26">
        <f>IF(TRUE,0,_xll.PSFx3BAL(CN,"*","DAF_Partner",$A73,"DAF_Award",O$3,"GLCode",$A$68,PF,PT))</f>
        <v>0</v>
      </c>
      <c r="P73" s="26">
        <f>IF(TRUE,0,_xll.PSFx3BAL(CN,"*","DAF_Partner",$A73,"DAF_Award",P$3,"GLCode",$A$68,PF,PT))</f>
        <v>0</v>
      </c>
      <c r="Q73" s="26">
        <f>IF(TRUE,0,_xll.PSFx3BAL(CN,"*","DAF_Partner",$A73,"DAF_Award",Q$3,"GLCode",$A$68,PF,PT))</f>
        <v>0</v>
      </c>
      <c r="R73" s="26">
        <f>IF(TRUE,0,_xll.PSFx3BAL(CN,"*","DAF_Partner",$A73,"DAF_Award",R$3,"GLCode",$A$68,PF,PT))</f>
        <v>0</v>
      </c>
      <c r="S73" s="26">
        <f>IF(TRUE,0,_xll.PSFx3BAL(CN,"*","DAF_Partner",$A73,"DAF_Award",S$3,"GLCode",$A$68,PF,PT))</f>
        <v>0</v>
      </c>
      <c r="T73" s="26">
        <f>IF(TRUE,0,_xll.PSFx3BAL(CN,"*","DAF_Partner",$A73,"DAF_Award",T$3,"GLCode",$A$68,PF,PT))</f>
        <v>0</v>
      </c>
      <c r="U73" s="26">
        <f>IF(TRUE,1432442.6,_xll.PSFx3BAL(CN,"*","DAF_Partner",$A73,"DAF_Award",U$3,"GLCode",$A$68,PF,PT))</f>
        <v>1432442.6</v>
      </c>
      <c r="V73" s="26">
        <f>IF(TRUE,0,_xll.PSFx3BAL(CN,"*","DAF_Partner",$A73,"DAF_Award",V$3,"GLCode",$A$68,PF,PT))</f>
        <v>0</v>
      </c>
      <c r="W73" s="26">
        <f>IF(TRUE,0,_xll.PSFx3BAL(CN,"*","DAF_Partner",$A73,"DAF_Award",W$3,"GLCode",$A$68,PF,PT))</f>
        <v>0</v>
      </c>
      <c r="X73" s="26">
        <f>IF(TRUE,0,_xll.PSFx3BAL(CN,"*","DAF_Partner",$A73,"DAF_Award",X$3,"GLCode",$A$68,PF,PT))</f>
        <v>0</v>
      </c>
      <c r="Y73" s="26">
        <f>IF(TRUE,0,_xll.PSFx3BAL(CN,"*","DAF_Partner",$A73,"DAF_Award",Y$3,"GLCode",$A$68,PF,PT))</f>
        <v>0</v>
      </c>
      <c r="Z73" s="26">
        <f>IF(TRUE,0,_xll.PSFx3BAL(CN,"*","DAF_Partner",$A73,"DAF_Award",Z$3,"GLCode",$A$68,PF,PT))</f>
        <v>0</v>
      </c>
      <c r="AA73" s="26">
        <f t="shared" si="18"/>
        <v>1432442.6</v>
      </c>
      <c r="AB73" s="439">
        <f t="shared" si="19"/>
        <v>1432442.6</v>
      </c>
    </row>
    <row r="74" spans="1:28" x14ac:dyDescent="0.2">
      <c r="A74" t="s">
        <v>378</v>
      </c>
      <c r="B74" t="str">
        <f>VLOOKUP(A74,Parameters!U:V,2,FALSE)</f>
        <v>PNLMTN-CP Cote d'Ivoire</v>
      </c>
      <c r="C74" s="26">
        <f>IF(TRUE,1136039.66,_xll.PSFx3BAL(CN,"*","DAF_Partner",$A74,"DAF_Award",C$3,"GLCode",$A$68,PF,PT))</f>
        <v>1136039.6599999999</v>
      </c>
      <c r="D74" s="26">
        <f>IF(TRUE,0,_xll.PSFx3BAL(CN,"*","DAF_Partner",$A74,"DAF_Award",D$3,"GLCode",$A$68,PF,PT))</f>
        <v>0</v>
      </c>
      <c r="E74" s="26">
        <f>IF(TRUE,0,_xll.PSFx3BAL(CN,"*","DAF_Partner",$A74,"DAF_Award",E$3,"GLCode",$A$68,PF,PT))</f>
        <v>0</v>
      </c>
      <c r="F74" s="26">
        <f>IF(TRUE,0,_xll.PSFx3BAL(CN,"*","DAF_Partner",$A74,"DAF_Award",F$3,"GLCode",$A$68,PF,PT))</f>
        <v>0</v>
      </c>
      <c r="G74" s="26">
        <f>IF(TRUE,0,_xll.PSFx3BAL(CN,"*","DAF_Partner",$A74,"DAF_Award",G$3,"GLCode",$A$68,PF,PT))</f>
        <v>0</v>
      </c>
      <c r="H74" s="26">
        <f>IF(TRUE,0,_xll.PSFx3BAL(CN,"*","DAF_Partner",$A74,"DAF_Award",H$3,"GLCode",$A$68,PF,PT))</f>
        <v>0</v>
      </c>
      <c r="I74" s="26">
        <f>IF(TRUE,0,_xll.PSFx3BAL(CN,"*","DAF_Partner",$A74,"DAF_Award",I$3,"GLCode",$A$68,PF,PT))</f>
        <v>0</v>
      </c>
      <c r="J74" s="26">
        <f>IF(TRUE,0,_xll.PSFx3BAL(CN,"*","DAF_Partner",$A74,"DAF_Award",J$3,"GLCode",$A$68,PF,PT))</f>
        <v>0</v>
      </c>
      <c r="K74" s="26">
        <f>IF(TRUE,0,_xll.PSFx3BAL(CN,"*","DAF_Partner",$A74,"DAF_Award",K$3,"GLCode",$A$68,PF,PT))</f>
        <v>0</v>
      </c>
      <c r="L74" s="26">
        <f>IF(TRUE,0,_xll.PSFx3BAL(CN,"*","DAF_Partner",$A74,"DAF_Award",L$3,"GLCode",$A$68,PF,PT))</f>
        <v>0</v>
      </c>
      <c r="M74" s="26">
        <f>IF(TRUE,0,_xll.PSFx3BAL(CN,"*","DAF_Partner",$A74,"DAF_Award",M$3,"GLCode",$A$68,PF,PT))</f>
        <v>0</v>
      </c>
      <c r="N74" s="26">
        <f>IF(TRUE,69660.14,_xll.PSFx3BAL(CN,"*","DAF_Partner",$A74,"DAF_Award",N$3,"GLCode",$A$68,PF,PT))</f>
        <v>69660.14</v>
      </c>
      <c r="O74" s="26">
        <f>IF(TRUE,0,_xll.PSFx3BAL(CN,"*","DAF_Partner",$A74,"DAF_Award",O$3,"GLCode",$A$68,PF,PT))</f>
        <v>0</v>
      </c>
      <c r="P74" s="26">
        <f>IF(TRUE,0,_xll.PSFx3BAL(CN,"*","DAF_Partner",$A74,"DAF_Award",P$3,"GLCode",$A$68,PF,PT))</f>
        <v>0</v>
      </c>
      <c r="Q74" s="26">
        <f>IF(TRUE,0,_xll.PSFx3BAL(CN,"*","DAF_Partner",$A74,"DAF_Award",Q$3,"GLCode",$A$68,PF,PT))</f>
        <v>0</v>
      </c>
      <c r="R74" s="26">
        <f>IF(TRUE,0,_xll.PSFx3BAL(CN,"*","DAF_Partner",$A74,"DAF_Award",R$3,"GLCode",$A$68,PF,PT))</f>
        <v>0</v>
      </c>
      <c r="S74" s="26">
        <f>IF(TRUE,0,_xll.PSFx3BAL(CN,"*","DAF_Partner",$A74,"DAF_Award",S$3,"GLCode",$A$68,PF,PT))</f>
        <v>0</v>
      </c>
      <c r="T74" s="26">
        <f>IF(TRUE,0,_xll.PSFx3BAL(CN,"*","DAF_Partner",$A74,"DAF_Award",T$3,"GLCode",$A$68,PF,PT))</f>
        <v>0</v>
      </c>
      <c r="U74" s="26">
        <f>IF(TRUE,0,_xll.PSFx3BAL(CN,"*","DAF_Partner",$A74,"DAF_Award",U$3,"GLCode",$A$68,PF,PT))</f>
        <v>0</v>
      </c>
      <c r="V74" s="26">
        <f>IF(TRUE,0,_xll.PSFx3BAL(CN,"*","DAF_Partner",$A74,"DAF_Award",V$3,"GLCode",$A$68,PF,PT))</f>
        <v>0</v>
      </c>
      <c r="W74" s="26">
        <f>IF(TRUE,0,_xll.PSFx3BAL(CN,"*","DAF_Partner",$A74,"DAF_Award",W$3,"GLCode",$A$68,PF,PT))</f>
        <v>0</v>
      </c>
      <c r="X74" s="26">
        <f>IF(TRUE,0,_xll.PSFx3BAL(CN,"*","DAF_Partner",$A74,"DAF_Award",X$3,"GLCode",$A$68,PF,PT))</f>
        <v>0</v>
      </c>
      <c r="Y74" s="26">
        <f>IF(TRUE,0,_xll.PSFx3BAL(CN,"*","DAF_Partner",$A74,"DAF_Award",Y$3,"GLCode",$A$68,PF,PT))</f>
        <v>0</v>
      </c>
      <c r="Z74" s="26">
        <f>IF(TRUE,0,_xll.PSFx3BAL(CN,"*","DAF_Partner",$A74,"DAF_Award",Z$3,"GLCode",$A$68,PF,PT))</f>
        <v>0</v>
      </c>
      <c r="AA74" s="26">
        <f t="shared" si="18"/>
        <v>0</v>
      </c>
      <c r="AB74" s="26">
        <f t="shared" si="19"/>
        <v>1205699.7999999998</v>
      </c>
    </row>
    <row r="75" spans="1:28" x14ac:dyDescent="0.2">
      <c r="A75" t="s">
        <v>488</v>
      </c>
      <c r="B75" t="str">
        <f>VLOOKUP(A75,Parameters!U:V,2,FALSE)</f>
        <v>MSHP-UCP-FE</v>
      </c>
      <c r="C75" s="26">
        <f>IF(TRUE,0,_xll.PSFx3BAL(CN,"*","DAF_Partner",$A75,"DAF_Award",C$3,"GLCode",$A$68,PF,PT))</f>
        <v>0</v>
      </c>
      <c r="D75" s="26">
        <f>IF(TRUE,0,_xll.PSFx3BAL(CN,"*","DAF_Partner",$A75,"DAF_Award",D$3,"GLCode",$A$68,PF,PT))</f>
        <v>0</v>
      </c>
      <c r="E75" s="26">
        <f>IF(TRUE,0,_xll.PSFx3BAL(CN,"*","DAF_Partner",$A75,"DAF_Award",E$3,"GLCode",$A$68,PF,PT))</f>
        <v>0</v>
      </c>
      <c r="F75" s="26">
        <f>IF(TRUE,295165.05,_xll.PSFx3BAL(CN,"*","DAF_Partner",$A75,"DAF_Award",F$3,"GLCode",$A$68,PF,PT))</f>
        <v>295165.05</v>
      </c>
      <c r="G75" s="26">
        <f>IF(TRUE,0,_xll.PSFx3BAL(CN,"*","DAF_Partner",$A75,"DAF_Award",G$3,"GLCode",$A$68,PF,PT))</f>
        <v>0</v>
      </c>
      <c r="H75" s="26">
        <f>IF(TRUE,0,_xll.PSFx3BAL(CN,"*","DAF_Partner",$A75,"DAF_Award",H$3,"GLCode",$A$68,PF,PT))</f>
        <v>0</v>
      </c>
      <c r="I75" s="26">
        <f>IF(TRUE,0,_xll.PSFx3BAL(CN,"*","DAF_Partner",$A75,"DAF_Award",I$3,"GLCode",$A$68,PF,PT))</f>
        <v>0</v>
      </c>
      <c r="J75" s="26">
        <f>IF(TRUE,0,_xll.PSFx3BAL(CN,"*","DAF_Partner",$A75,"DAF_Award",J$3,"GLCode",$A$68,PF,PT))</f>
        <v>0</v>
      </c>
      <c r="K75" s="26">
        <f>IF(TRUE,0,_xll.PSFx3BAL(CN,"*","DAF_Partner",$A75,"DAF_Award",K$3,"GLCode",$A$68,PF,PT))</f>
        <v>0</v>
      </c>
      <c r="L75" s="26">
        <f>IF(TRUE,0,_xll.PSFx3BAL(CN,"*","DAF_Partner",$A75,"DAF_Award",L$3,"GLCode",$A$68,PF,PT))</f>
        <v>0</v>
      </c>
      <c r="M75" s="26">
        <f>IF(TRUE,0,_xll.PSFx3BAL(CN,"*","DAF_Partner",$A75,"DAF_Award",M$3,"GLCode",$A$68,PF,PT))</f>
        <v>0</v>
      </c>
      <c r="N75" s="26">
        <f>IF(TRUE,0,_xll.PSFx3BAL(CN,"*","DAF_Partner",$A75,"DAF_Award",N$3,"GLCode",$A$68,PF,PT))</f>
        <v>0</v>
      </c>
      <c r="O75" s="26">
        <f>IF(TRUE,0,_xll.PSFx3BAL(CN,"*","DAF_Partner",$A75,"DAF_Award",O$3,"GLCode",$A$68,PF,PT))</f>
        <v>0</v>
      </c>
      <c r="P75" s="26">
        <f>IF(TRUE,0,_xll.PSFx3BAL(CN,"*","DAF_Partner",$A75,"DAF_Award",P$3,"GLCode",$A$68,PF,PT))</f>
        <v>0</v>
      </c>
      <c r="Q75" s="26">
        <f>IF(TRUE,0,_xll.PSFx3BAL(CN,"*","DAF_Partner",$A75,"DAF_Award",Q$3,"GLCode",$A$68,PF,PT))</f>
        <v>0</v>
      </c>
      <c r="R75" s="26">
        <f>IF(TRUE,0,_xll.PSFx3BAL(CN,"*","DAF_Partner",$A75,"DAF_Award",R$3,"GLCode",$A$68,PF,PT))</f>
        <v>0</v>
      </c>
      <c r="S75" s="26">
        <f>IF(TRUE,0,_xll.PSFx3BAL(CN,"*","DAF_Partner",$A75,"DAF_Award",S$3,"GLCode",$A$68,PF,PT))</f>
        <v>0</v>
      </c>
      <c r="T75" s="26">
        <f>IF(TRUE,0,_xll.PSFx3BAL(CN,"*","DAF_Partner",$A75,"DAF_Award",T$3,"GLCode",$A$68,PF,PT))</f>
        <v>0</v>
      </c>
      <c r="U75" s="26">
        <f>IF(TRUE,0,_xll.PSFx3BAL(CN,"*","DAF_Partner",$A75,"DAF_Award",U$3,"GLCode",$A$68,PF,PT))</f>
        <v>0</v>
      </c>
      <c r="V75" s="26">
        <f>IF(TRUE,0,_xll.PSFx3BAL(CN,"*","DAF_Partner",$A75,"DAF_Award",V$3,"GLCode",$A$68,PF,PT))</f>
        <v>0</v>
      </c>
      <c r="W75" s="26">
        <f>IF(TRUE,0,_xll.PSFx3BAL(CN,"*","DAF_Partner",$A75,"DAF_Award",W$3,"GLCode",$A$68,PF,PT))</f>
        <v>0</v>
      </c>
      <c r="X75" s="26">
        <f>IF(TRUE,0,_xll.PSFx3BAL(CN,"*","DAF_Partner",$A75,"DAF_Award",X$3,"GLCode",$A$68,PF,PT))</f>
        <v>0</v>
      </c>
      <c r="Y75" s="26">
        <f>IF(TRUE,0,_xll.PSFx3BAL(CN,"*","DAF_Partner",$A75,"DAF_Award",Y$3,"GLCode",$A$68,PF,PT))</f>
        <v>0</v>
      </c>
      <c r="Z75" s="26">
        <f>IF(TRUE,0,_xll.PSFx3BAL(CN,"*","DAF_Partner",$A75,"DAF_Award",Z$3,"GLCode",$A$68,PF,PT))</f>
        <v>0</v>
      </c>
      <c r="AA75" s="26">
        <f t="shared" ref="AA75" si="22">SUM(O75:Z75)</f>
        <v>0</v>
      </c>
      <c r="AB75" s="26">
        <f t="shared" ref="AB75" si="23">SUM(C75:N75,AA75)</f>
        <v>295165.05</v>
      </c>
    </row>
    <row r="76" spans="1:28" x14ac:dyDescent="0.2">
      <c r="A76" t="s">
        <v>518</v>
      </c>
      <c r="B76" t="str">
        <f>VLOOKUP(A76,Parameters!U:V,2,FALSE)</f>
        <v>United Front Against River Blindness DRC</v>
      </c>
      <c r="C76" s="26">
        <f>IF(TRUE,1638356.86,_xll.PSFx3BAL(CN,"*","DAF_Partner",$A76,"DAF_Award",C$3,"GLCode",$A$68,PF,PT))</f>
        <v>1638356.86</v>
      </c>
      <c r="D76" s="26">
        <f>IF(TRUE,0,_xll.PSFx3BAL(CN,"*","DAF_Partner",$A76,"DAF_Award",D$3,"GLCode",$A$68,PF,PT))</f>
        <v>0</v>
      </c>
      <c r="E76" s="26">
        <f>IF(TRUE,0,_xll.PSFx3BAL(CN,"*","DAF_Partner",$A76,"DAF_Award",E$3,"GLCode",$A$68,PF,PT))</f>
        <v>0</v>
      </c>
      <c r="F76" s="26">
        <f>IF(TRUE,0,_xll.PSFx3BAL(CN,"*","DAF_Partner",$A76,"DAF_Award",F$3,"GLCode",$A$68,PF,PT))</f>
        <v>0</v>
      </c>
      <c r="G76" s="26">
        <f>IF(TRUE,0,_xll.PSFx3BAL(CN,"*","DAF_Partner",$A76,"DAF_Award",G$3,"GLCode",$A$68,PF,PT))</f>
        <v>0</v>
      </c>
      <c r="H76" s="26">
        <f>IF(TRUE,0,_xll.PSFx3BAL(CN,"*","DAF_Partner",$A76,"DAF_Award",H$3,"GLCode",$A$68,PF,PT))</f>
        <v>0</v>
      </c>
      <c r="I76" s="26">
        <f>IF(TRUE,0,_xll.PSFx3BAL(CN,"*","DAF_Partner",$A76,"DAF_Award",I$3,"GLCode",$A$68,PF,PT))</f>
        <v>0</v>
      </c>
      <c r="J76" s="26">
        <f>IF(TRUE,0,_xll.PSFx3BAL(CN,"*","DAF_Partner",$A76,"DAF_Award",J$3,"GLCode",$A$68,PF,PT))</f>
        <v>0</v>
      </c>
      <c r="K76" s="26">
        <f>IF(TRUE,0,_xll.PSFx3BAL(CN,"*","DAF_Partner",$A76,"DAF_Award",K$3,"GLCode",$A$68,PF,PT))</f>
        <v>0</v>
      </c>
      <c r="L76" s="26">
        <f>IF(TRUE,0,_xll.PSFx3BAL(CN,"*","DAF_Partner",$A76,"DAF_Award",L$3,"GLCode",$A$68,PF,PT))</f>
        <v>0</v>
      </c>
      <c r="M76" s="26">
        <f>IF(TRUE,0,_xll.PSFx3BAL(CN,"*","DAF_Partner",$A76,"DAF_Award",M$3,"GLCode",$A$68,PF,PT))</f>
        <v>0</v>
      </c>
      <c r="N76" s="26">
        <f>IF(TRUE,0,_xll.PSFx3BAL(CN,"*","DAF_Partner",$A76,"DAF_Award",N$3,"GLCode",$A$68,PF,PT))</f>
        <v>0</v>
      </c>
      <c r="O76" s="26">
        <f>IF(TRUE,0,_xll.PSFx3BAL(CN,"*","DAF_Partner",$A76,"DAF_Award",O$3,"GLCode",$A$68,PF,PT))</f>
        <v>0</v>
      </c>
      <c r="P76" s="26">
        <f>IF(TRUE,0,_xll.PSFx3BAL(CN,"*","DAF_Partner",$A76,"DAF_Award",P$3,"GLCode",$A$68,PF,PT))</f>
        <v>0</v>
      </c>
      <c r="Q76" s="26">
        <f>IF(TRUE,0,_xll.PSFx3BAL(CN,"*","DAF_Partner",$A76,"DAF_Award",Q$3,"GLCode",$A$68,PF,PT))</f>
        <v>0</v>
      </c>
      <c r="R76" s="26">
        <f>IF(TRUE,0,_xll.PSFx3BAL(CN,"*","DAF_Partner",$A76,"DAF_Award",R$3,"GLCode",$A$68,PF,PT))</f>
        <v>0</v>
      </c>
      <c r="S76" s="26">
        <f>IF(TRUE,0,_xll.PSFx3BAL(CN,"*","DAF_Partner",$A76,"DAF_Award",S$3,"GLCode",$A$68,PF,PT))</f>
        <v>0</v>
      </c>
      <c r="T76" s="26">
        <f>IF(TRUE,0,_xll.PSFx3BAL(CN,"*","DAF_Partner",$A76,"DAF_Award",T$3,"GLCode",$A$68,PF,PT))</f>
        <v>0</v>
      </c>
      <c r="U76" s="26">
        <f>IF(TRUE,0,_xll.PSFx3BAL(CN,"*","DAF_Partner",$A76,"DAF_Award",U$3,"GLCode",$A$68,PF,PT))</f>
        <v>0</v>
      </c>
      <c r="V76" s="26">
        <f>IF(TRUE,0,_xll.PSFx3BAL(CN,"*","DAF_Partner",$A76,"DAF_Award",V$3,"GLCode",$A$68,PF,PT))</f>
        <v>0</v>
      </c>
      <c r="W76" s="26">
        <f>IF(TRUE,0,_xll.PSFx3BAL(CN,"*","DAF_Partner",$A76,"DAF_Award",W$3,"GLCode",$A$68,PF,PT))</f>
        <v>0</v>
      </c>
      <c r="X76" s="26">
        <f>IF(TRUE,0,_xll.PSFx3BAL(CN,"*","DAF_Partner",$A76,"DAF_Award",X$3,"GLCode",$A$68,PF,PT))</f>
        <v>0</v>
      </c>
      <c r="Y76" s="26">
        <f>IF(TRUE,0,_xll.PSFx3BAL(CN,"*","DAF_Partner",$A76,"DAF_Award",Y$3,"GLCode",$A$68,PF,PT))</f>
        <v>0</v>
      </c>
      <c r="Z76" s="26">
        <f>IF(TRUE,0,_xll.PSFx3BAL(CN,"*","DAF_Partner",$A76,"DAF_Award",Z$3,"GLCode",$A$68,PF,PT))</f>
        <v>0</v>
      </c>
      <c r="AA76" s="26">
        <f t="shared" ref="AA76" si="24">SUM(O76:Z76)</f>
        <v>0</v>
      </c>
      <c r="AB76" s="439">
        <f t="shared" ref="AB76" si="25">SUM(C76:N76,AA76)</f>
        <v>1638356.86</v>
      </c>
    </row>
    <row r="77" spans="1:28" x14ac:dyDescent="0.2">
      <c r="A77" t="s">
        <v>379</v>
      </c>
      <c r="B77" t="str">
        <f>VLOOKUP(A77,Parameters!U:V,2,FALSE)</f>
        <v>FMOH Ethiopia</v>
      </c>
      <c r="C77" s="26">
        <f>IF(TRUE,0,_xll.PSFx3BAL(CN,"*","DAF_Partner",$A77,"DAF_Award",C$3,"GLCode",$A$68,PF,PT))</f>
        <v>0</v>
      </c>
      <c r="D77" s="26">
        <f>IF(TRUE,0,_xll.PSFx3BAL(CN,"*","DAF_Partner",$A77,"DAF_Award",D$3,"GLCode",$A$68,PF,PT))</f>
        <v>0</v>
      </c>
      <c r="E77" s="26">
        <f>IF(TRUE,0,_xll.PSFx3BAL(CN,"*","DAF_Partner",$A77,"DAF_Award",E$3,"GLCode",$A$68,PF,PT))</f>
        <v>0</v>
      </c>
      <c r="F77" s="26">
        <f>IF(TRUE,0,_xll.PSFx3BAL(CN,"*","DAF_Partner",$A77,"DAF_Award",F$3,"GLCode",$A$68,PF,PT))</f>
        <v>0</v>
      </c>
      <c r="G77" s="26">
        <f>IF(TRUE,0,_xll.PSFx3BAL(CN,"*","DAF_Partner",$A77,"DAF_Award",G$3,"GLCode",$A$68,PF,PT))</f>
        <v>0</v>
      </c>
      <c r="H77" s="26">
        <f>IF(TRUE,0,_xll.PSFx3BAL(CN,"*","DAF_Partner",$A77,"DAF_Award",H$3,"GLCode",$A$68,PF,PT))</f>
        <v>0</v>
      </c>
      <c r="I77" s="26">
        <f>IF(TRUE,0,_xll.PSFx3BAL(CN,"*","DAF_Partner",$A77,"DAF_Award",I$3,"GLCode",$A$68,PF,PT))</f>
        <v>0</v>
      </c>
      <c r="J77" s="26">
        <f>IF(TRUE,73075.31,_xll.PSFx3BAL(CN,"*","DAF_Partner",$A77,"DAF_Award",J$3,"GLCode",$A$68,PF,PT))</f>
        <v>73075.31</v>
      </c>
      <c r="K77" s="26">
        <f>IF(TRUE,0,_xll.PSFx3BAL(CN,"*","DAF_Partner",$A77,"DAF_Award",K$3,"GLCode",$A$68,PF,PT))</f>
        <v>0</v>
      </c>
      <c r="L77" s="26">
        <f>IF(TRUE,0,_xll.PSFx3BAL(CN,"*","DAF_Partner",$A77,"DAF_Award",L$3,"GLCode",$A$68,PF,PT))</f>
        <v>0</v>
      </c>
      <c r="M77" s="26">
        <f>IF(TRUE,0,_xll.PSFx3BAL(CN,"*","DAF_Partner",$A77,"DAF_Award",M$3,"GLCode",$A$68,PF,PT))</f>
        <v>0</v>
      </c>
      <c r="N77" s="26">
        <f>IF(TRUE,0,_xll.PSFx3BAL(CN,"*","DAF_Partner",$A77,"DAF_Award",N$3,"GLCode",$A$68,PF,PT))</f>
        <v>0</v>
      </c>
      <c r="O77" s="26">
        <f>IF(TRUE,53538,_xll.PSFx3BAL(CN,"*","DAF_Partner",$A77,"DAF_Award",O$3,"GLCode",$A$68,PF,PT))</f>
        <v>53538</v>
      </c>
      <c r="P77" s="26">
        <f>IF(TRUE,0,_xll.PSFx3BAL(CN,"*","DAF_Partner",$A77,"DAF_Award",P$3,"GLCode",$A$68,PF,PT))</f>
        <v>0</v>
      </c>
      <c r="Q77" s="26">
        <f>IF(TRUE,0,_xll.PSFx3BAL(CN,"*","DAF_Partner",$A77,"DAF_Award",Q$3,"GLCode",$A$68,PF,PT))</f>
        <v>0</v>
      </c>
      <c r="R77" s="26">
        <f>IF(TRUE,0,_xll.PSFx3BAL(CN,"*","DAF_Partner",$A77,"DAF_Award",R$3,"GLCode",$A$68,PF,PT))</f>
        <v>0</v>
      </c>
      <c r="S77" s="26">
        <f>IF(TRUE,36718,_xll.PSFx3BAL(CN,"*","DAF_Partner",$A77,"DAF_Award",S$3,"GLCode",$A$68,PF,PT))</f>
        <v>36718</v>
      </c>
      <c r="T77" s="26">
        <f>IF(TRUE,0,_xll.PSFx3BAL(CN,"*","DAF_Partner",$A77,"DAF_Award",T$3,"GLCode",$A$68,PF,PT))</f>
        <v>0</v>
      </c>
      <c r="U77" s="26">
        <f>IF(TRUE,0,_xll.PSFx3BAL(CN,"*","DAF_Partner",$A77,"DAF_Award",U$3,"GLCode",$A$68,PF,PT))</f>
        <v>0</v>
      </c>
      <c r="V77" s="26">
        <f>IF(TRUE,0,_xll.PSFx3BAL(CN,"*","DAF_Partner",$A77,"DAF_Award",V$3,"GLCode",$A$68,PF,PT))</f>
        <v>0</v>
      </c>
      <c r="W77" s="26">
        <f>IF(TRUE,0,_xll.PSFx3BAL(CN,"*","DAF_Partner",$A77,"DAF_Award",W$3,"GLCode",$A$68,PF,PT))</f>
        <v>0</v>
      </c>
      <c r="X77" s="26">
        <f>IF(TRUE,0,_xll.PSFx3BAL(CN,"*","DAF_Partner",$A77,"DAF_Award",X$3,"GLCode",$A$68,PF,PT))</f>
        <v>0</v>
      </c>
      <c r="Y77" s="26">
        <f>IF(TRUE,0,_xll.PSFx3BAL(CN,"*","DAF_Partner",$A77,"DAF_Award",Y$3,"GLCode",$A$68,PF,PT))</f>
        <v>0</v>
      </c>
      <c r="Z77" s="26">
        <f>IF(TRUE,0,_xll.PSFx3BAL(CN,"*","DAF_Partner",$A77,"DAF_Award",Z$3,"GLCode",$A$68,PF,PT))</f>
        <v>0</v>
      </c>
      <c r="AA77" s="26">
        <f t="shared" si="18"/>
        <v>90256</v>
      </c>
      <c r="AB77" s="439">
        <f t="shared" si="19"/>
        <v>163331.31</v>
      </c>
    </row>
    <row r="78" spans="1:28" x14ac:dyDescent="0.2">
      <c r="A78" t="s">
        <v>380</v>
      </c>
      <c r="B78" t="str">
        <f>VLOOKUP(A78,Parameters!U:V,2,FALSE)</f>
        <v xml:space="preserve">IMA World Health </v>
      </c>
      <c r="C78" s="26">
        <f>IF(TRUE,0,_xll.PSFx3BAL(CN,"*","DAF_Partner",$A78,"DAF_Award",C$3,"GLCode",$A$68,PF,PT))</f>
        <v>0</v>
      </c>
      <c r="D78" s="26">
        <f>IF(TRUE,0,_xll.PSFx3BAL(CN,"*","DAF_Partner",$A78,"DAF_Award",D$3,"GLCode",$A$68,PF,PT))</f>
        <v>0</v>
      </c>
      <c r="E78" s="26">
        <f>IF(TRUE,0,_xll.PSFx3BAL(CN,"*","DAF_Partner",$A78,"DAF_Award",E$3,"GLCode",$A$68,PF,PT))</f>
        <v>0</v>
      </c>
      <c r="F78" s="26">
        <f>IF(TRUE,0,_xll.PSFx3BAL(CN,"*","DAF_Partner",$A78,"DAF_Award",F$3,"GLCode",$A$68,PF,PT))</f>
        <v>0</v>
      </c>
      <c r="G78" s="26">
        <f>IF(TRUE,0,_xll.PSFx3BAL(CN,"*","DAF_Partner",$A78,"DAF_Award",G$3,"GLCode",$A$68,PF,PT))</f>
        <v>0</v>
      </c>
      <c r="H78" s="26">
        <f>IF(TRUE,0,_xll.PSFx3BAL(CN,"*","DAF_Partner",$A78,"DAF_Award",H$3,"GLCode",$A$68,PF,PT))</f>
        <v>0</v>
      </c>
      <c r="I78" s="26">
        <f>IF(TRUE,0,_xll.PSFx3BAL(CN,"*","DAF_Partner",$A78,"DAF_Award",I$3,"GLCode",$A$68,PF,PT))</f>
        <v>0</v>
      </c>
      <c r="J78" s="26">
        <f>IF(TRUE,0,_xll.PSFx3BAL(CN,"*","DAF_Partner",$A78,"DAF_Award",J$3,"GLCode",$A$68,PF,PT))</f>
        <v>0</v>
      </c>
      <c r="K78" s="26">
        <f>IF(TRUE,0,_xll.PSFx3BAL(CN,"*","DAF_Partner",$A78,"DAF_Award",K$3,"GLCode",$A$68,PF,PT))</f>
        <v>0</v>
      </c>
      <c r="L78" s="26">
        <f>IF(TRUE,0,_xll.PSFx3BAL(CN,"*","DAF_Partner",$A78,"DAF_Award",L$3,"GLCode",$A$68,PF,PT))</f>
        <v>0</v>
      </c>
      <c r="M78" s="26">
        <f>IF(TRUE,0,_xll.PSFx3BAL(CN,"*","DAF_Partner",$A78,"DAF_Award",M$3,"GLCode",$A$68,PF,PT))</f>
        <v>0</v>
      </c>
      <c r="N78" s="26">
        <f>IF(TRUE,0,_xll.PSFx3BAL(CN,"*","DAF_Partner",$A78,"DAF_Award",N$3,"GLCode",$A$68,PF,PT))</f>
        <v>0</v>
      </c>
      <c r="O78" s="26">
        <f>IF(TRUE,5612.16,_xll.PSFx3BAL(CN,"*","DAF_Partner",$A78,"DAF_Award",O$3,"GLCode",$A$68,PF,PT))</f>
        <v>5612.16</v>
      </c>
      <c r="P78" s="26">
        <f>IF(TRUE,0,_xll.PSFx3BAL(CN,"*","DAF_Partner",$A78,"DAF_Award",P$3,"GLCode",$A$68,PF,PT))</f>
        <v>0</v>
      </c>
      <c r="Q78" s="26">
        <f>IF(TRUE,0,_xll.PSFx3BAL(CN,"*","DAF_Partner",$A78,"DAF_Award",Q$3,"GLCode",$A$68,PF,PT))</f>
        <v>0</v>
      </c>
      <c r="R78" s="26">
        <f>IF(TRUE,0,_xll.PSFx3BAL(CN,"*","DAF_Partner",$A78,"DAF_Award",R$3,"GLCode",$A$68,PF,PT))</f>
        <v>0</v>
      </c>
      <c r="S78" s="26">
        <f>IF(TRUE,0,_xll.PSFx3BAL(CN,"*","DAF_Partner",$A78,"DAF_Award",S$3,"GLCode",$A$68,PF,PT))</f>
        <v>0</v>
      </c>
      <c r="T78" s="26">
        <f>IF(TRUE,0,_xll.PSFx3BAL(CN,"*","DAF_Partner",$A78,"DAF_Award",T$3,"GLCode",$A$68,PF,PT))</f>
        <v>0</v>
      </c>
      <c r="U78" s="26">
        <f>IF(TRUE,0,_xll.PSFx3BAL(CN,"*","DAF_Partner",$A78,"DAF_Award",U$3,"GLCode",$A$68,PF,PT))</f>
        <v>0</v>
      </c>
      <c r="V78" s="26">
        <f>IF(TRUE,0,_xll.PSFx3BAL(CN,"*","DAF_Partner",$A78,"DAF_Award",V$3,"GLCode",$A$68,PF,PT))</f>
        <v>0</v>
      </c>
      <c r="W78" s="26">
        <f>IF(TRUE,0,_xll.PSFx3BAL(CN,"*","DAF_Partner",$A78,"DAF_Award",W$3,"GLCode",$A$68,PF,PT))</f>
        <v>0</v>
      </c>
      <c r="X78" s="26">
        <f>IF(TRUE,0,_xll.PSFx3BAL(CN,"*","DAF_Partner",$A78,"DAF_Award",X$3,"GLCode",$A$68,PF,PT))</f>
        <v>0</v>
      </c>
      <c r="Y78" s="26">
        <f>IF(TRUE,0,_xll.PSFx3BAL(CN,"*","DAF_Partner",$A78,"DAF_Award",Y$3,"GLCode",$A$68,PF,PT))</f>
        <v>0</v>
      </c>
      <c r="Z78" s="26">
        <f>IF(TRUE,1027538.42,_xll.PSFx3BAL(CN,"*","DAF_Partner",$A78,"DAF_Award",Z$3,"GLCode",$A$68,PF,PT))</f>
        <v>1027538.42</v>
      </c>
      <c r="AA78" s="26">
        <f t="shared" si="18"/>
        <v>1033150.5800000001</v>
      </c>
      <c r="AB78" s="439">
        <f t="shared" si="19"/>
        <v>1033150.5800000001</v>
      </c>
    </row>
    <row r="79" spans="1:28" x14ac:dyDescent="0.2">
      <c r="A79" t="s">
        <v>381</v>
      </c>
      <c r="B79" t="str">
        <f>VLOOKUP(A79,Parameters!U:V,2,FALSE)</f>
        <v xml:space="preserve">MOH Liberia </v>
      </c>
      <c r="C79" s="26">
        <f>IF(TRUE,0,_xll.PSFx3BAL(CN,"*","DAF_Partner",$A79,"DAF_Award",C$3,"GLCode",$A$68,PF,PT))</f>
        <v>0</v>
      </c>
      <c r="D79" s="26">
        <f>IF(TRUE,0,_xll.PSFx3BAL(CN,"*","DAF_Partner",$A79,"DAF_Award",D$3,"GLCode",$A$68,PF,PT))</f>
        <v>0</v>
      </c>
      <c r="E79" s="26">
        <f>IF(TRUE,0,_xll.PSFx3BAL(CN,"*","DAF_Partner",$A79,"DAF_Award",E$3,"GLCode",$A$68,PF,PT))</f>
        <v>0</v>
      </c>
      <c r="F79" s="26">
        <f>IF(TRUE,0,_xll.PSFx3BAL(CN,"*","DAF_Partner",$A79,"DAF_Award",F$3,"GLCode",$A$68,PF,PT))</f>
        <v>0</v>
      </c>
      <c r="G79" s="26">
        <f>IF(TRUE,0,_xll.PSFx3BAL(CN,"*","DAF_Partner",$A79,"DAF_Award",G$3,"GLCode",$A$68,PF,PT))</f>
        <v>0</v>
      </c>
      <c r="H79" s="26">
        <f>IF(TRUE,0,_xll.PSFx3BAL(CN,"*","DAF_Partner",$A79,"DAF_Award",H$3,"GLCode",$A$68,PF,PT))</f>
        <v>0</v>
      </c>
      <c r="I79" s="26">
        <f>IF(TRUE,0,_xll.PSFx3BAL(CN,"*","DAF_Partner",$A79,"DAF_Award",I$3,"GLCode",$A$68,PF,PT))</f>
        <v>0</v>
      </c>
      <c r="J79" s="26">
        <f>IF(TRUE,0,_xll.PSFx3BAL(CN,"*","DAF_Partner",$A79,"DAF_Award",J$3,"GLCode",$A$68,PF,PT))</f>
        <v>0</v>
      </c>
      <c r="K79" s="26">
        <f>IF(TRUE,0,_xll.PSFx3BAL(CN,"*","DAF_Partner",$A79,"DAF_Award",K$3,"GLCode",$A$68,PF,PT))</f>
        <v>0</v>
      </c>
      <c r="L79" s="26">
        <f>IF(TRUE,0,_xll.PSFx3BAL(CN,"*","DAF_Partner",$A79,"DAF_Award",L$3,"GLCode",$A$68,PF,PT))</f>
        <v>0</v>
      </c>
      <c r="M79" s="26">
        <f>IF(TRUE,0,_xll.PSFx3BAL(CN,"*","DAF_Partner",$A79,"DAF_Award",M$3,"GLCode",$A$68,PF,PT))</f>
        <v>0</v>
      </c>
      <c r="N79" s="26">
        <f>IF(TRUE,0,_xll.PSFx3BAL(CN,"*","DAF_Partner",$A79,"DAF_Award",N$3,"GLCode",$A$68,PF,PT))</f>
        <v>0</v>
      </c>
      <c r="O79" s="26">
        <f>IF(TRUE,0,_xll.PSFx3BAL(CN,"*","DAF_Partner",$A79,"DAF_Award",O$3,"GLCode",$A$68,PF,PT))</f>
        <v>0</v>
      </c>
      <c r="P79" s="26">
        <f>IF(TRUE,0,_xll.PSFx3BAL(CN,"*","DAF_Partner",$A79,"DAF_Award",P$3,"GLCode",$A$68,PF,PT))</f>
        <v>0</v>
      </c>
      <c r="Q79" s="26">
        <f>IF(TRUE,0,_xll.PSFx3BAL(CN,"*","DAF_Partner",$A79,"DAF_Award",Q$3,"GLCode",$A$68,PF,PT))</f>
        <v>0</v>
      </c>
      <c r="R79" s="26">
        <f>IF(TRUE,0,_xll.PSFx3BAL(CN,"*","DAF_Partner",$A79,"DAF_Award",R$3,"GLCode",$A$68,PF,PT))</f>
        <v>0</v>
      </c>
      <c r="S79" s="26">
        <f>IF(TRUE,0,_xll.PSFx3BAL(CN,"*","DAF_Partner",$A79,"DAF_Award",S$3,"GLCode",$A$68,PF,PT))</f>
        <v>0</v>
      </c>
      <c r="T79" s="26">
        <f>IF(TRUE,0,_xll.PSFx3BAL(CN,"*","DAF_Partner",$A79,"DAF_Award",T$3,"GLCode",$A$68,PF,PT))</f>
        <v>0</v>
      </c>
      <c r="U79" s="26">
        <f>IF(TRUE,0,_xll.PSFx3BAL(CN,"*","DAF_Partner",$A79,"DAF_Award",U$3,"GLCode",$A$68,PF,PT))</f>
        <v>0</v>
      </c>
      <c r="V79" s="26">
        <f>IF(TRUE,0,_xll.PSFx3BAL(CN,"*","DAF_Partner",$A79,"DAF_Award",V$3,"GLCode",$A$68,PF,PT))</f>
        <v>0</v>
      </c>
      <c r="W79" s="26">
        <f>IF(TRUE,0,_xll.PSFx3BAL(CN,"*","DAF_Partner",$A79,"DAF_Award",W$3,"GLCode",$A$68,PF,PT))</f>
        <v>0</v>
      </c>
      <c r="X79" s="26">
        <f>IF(TRUE,0,_xll.PSFx3BAL(CN,"*","DAF_Partner",$A79,"DAF_Award",X$3,"GLCode",$A$68,PF,PT))</f>
        <v>0</v>
      </c>
      <c r="Y79" s="26">
        <f>IF(TRUE,0,_xll.PSFx3BAL(CN,"*","DAF_Partner",$A79,"DAF_Award",Y$3,"GLCode",$A$68,PF,PT))</f>
        <v>0</v>
      </c>
      <c r="Z79" s="26">
        <f>IF(TRUE,0,_xll.PSFx3BAL(CN,"*","DAF_Partner",$A79,"DAF_Award",Z$3,"GLCode",$A$68,PF,PT))</f>
        <v>0</v>
      </c>
      <c r="AA79" s="26">
        <f t="shared" si="18"/>
        <v>0</v>
      </c>
      <c r="AB79" s="26">
        <f t="shared" si="19"/>
        <v>0</v>
      </c>
    </row>
    <row r="80" spans="1:28" x14ac:dyDescent="0.2">
      <c r="A80" t="s">
        <v>382</v>
      </c>
      <c r="B80" t="str">
        <f>VLOOKUP(A80,Parameters!U:V,2,FALSE)</f>
        <v>RISEAL Madagascar</v>
      </c>
      <c r="C80" s="26">
        <f>IF(TRUE,0,_xll.PSFx3BAL(CN,"*","DAF_Partner",$A80,"DAF_Award",C$3,"GLCode",$A$68,PF,PT))</f>
        <v>0</v>
      </c>
      <c r="D80" s="26">
        <f>IF(TRUE,0,_xll.PSFx3BAL(CN,"*","DAF_Partner",$A80,"DAF_Award",D$3,"GLCode",$A$68,PF,PT))</f>
        <v>0</v>
      </c>
      <c r="E80" s="26">
        <f>IF(TRUE,0,_xll.PSFx3BAL(CN,"*","DAF_Partner",$A80,"DAF_Award",E$3,"GLCode",$A$68,PF,PT))</f>
        <v>0</v>
      </c>
      <c r="F80" s="26">
        <f>IF(TRUE,0,_xll.PSFx3BAL(CN,"*","DAF_Partner",$A80,"DAF_Award",F$3,"GLCode",$A$68,PF,PT))</f>
        <v>0</v>
      </c>
      <c r="G80" s="26">
        <f>IF(TRUE,0,_xll.PSFx3BAL(CN,"*","DAF_Partner",$A80,"DAF_Award",G$3,"GLCode",$A$68,PF,PT))</f>
        <v>0</v>
      </c>
      <c r="H80" s="26">
        <f>IF(TRUE,0,_xll.PSFx3BAL(CN,"*","DAF_Partner",$A80,"DAF_Award",H$3,"GLCode",$A$68,PF,PT))</f>
        <v>0</v>
      </c>
      <c r="I80" s="26">
        <f>IF(TRUE,-62867.8,_xll.PSFx3BAL(CN,"*","DAF_Partner",$A80,"DAF_Award",I$3,"GLCode",$A$68,PF,PT))</f>
        <v>-62867.8</v>
      </c>
      <c r="J80" s="26">
        <f>IF(TRUE,0,_xll.PSFx3BAL(CN,"*","DAF_Partner",$A80,"DAF_Award",J$3,"GLCode",$A$68,PF,PT))</f>
        <v>0</v>
      </c>
      <c r="K80" s="26">
        <f>IF(TRUE,0,_xll.PSFx3BAL(CN,"*","DAF_Partner",$A80,"DAF_Award",K$3,"GLCode",$A$68,PF,PT))</f>
        <v>0</v>
      </c>
      <c r="L80" s="26">
        <f>IF(TRUE,0,_xll.PSFx3BAL(CN,"*","DAF_Partner",$A80,"DAF_Award",L$3,"GLCode",$A$68,PF,PT))</f>
        <v>0</v>
      </c>
      <c r="M80" s="26">
        <f>IF(TRUE,0,_xll.PSFx3BAL(CN,"*","DAF_Partner",$A80,"DAF_Award",M$3,"GLCode",$A$68,PF,PT))</f>
        <v>0</v>
      </c>
      <c r="N80" s="26">
        <f>IF(TRUE,0,_xll.PSFx3BAL(CN,"*","DAF_Partner",$A80,"DAF_Award",N$3,"GLCode",$A$68,PF,PT))</f>
        <v>0</v>
      </c>
      <c r="O80" s="26">
        <f>IF(TRUE,0,_xll.PSFx3BAL(CN,"*","DAF_Partner",$A80,"DAF_Award",O$3,"GLCode",$A$68,PF,PT))</f>
        <v>0</v>
      </c>
      <c r="P80" s="26">
        <f>IF(TRUE,0,_xll.PSFx3BAL(CN,"*","DAF_Partner",$A80,"DAF_Award",P$3,"GLCode",$A$68,PF,PT))</f>
        <v>0</v>
      </c>
      <c r="Q80" s="26">
        <f>IF(TRUE,0,_xll.PSFx3BAL(CN,"*","DAF_Partner",$A80,"DAF_Award",Q$3,"GLCode",$A$68,PF,PT))</f>
        <v>0</v>
      </c>
      <c r="R80" s="26">
        <f>IF(TRUE,0,_xll.PSFx3BAL(CN,"*","DAF_Partner",$A80,"DAF_Award",R$3,"GLCode",$A$68,PF,PT))</f>
        <v>0</v>
      </c>
      <c r="S80" s="26">
        <f>IF(TRUE,0,_xll.PSFx3BAL(CN,"*","DAF_Partner",$A80,"DAF_Award",S$3,"GLCode",$A$68,PF,PT))</f>
        <v>0</v>
      </c>
      <c r="T80" s="26">
        <f>IF(TRUE,0,_xll.PSFx3BAL(CN,"*","DAF_Partner",$A80,"DAF_Award",T$3,"GLCode",$A$68,PF,PT))</f>
        <v>0</v>
      </c>
      <c r="U80" s="26">
        <f>IF(TRUE,0,_xll.PSFx3BAL(CN,"*","DAF_Partner",$A80,"DAF_Award",U$3,"GLCode",$A$68,PF,PT))</f>
        <v>0</v>
      </c>
      <c r="V80" s="26">
        <f>IF(TRUE,0,_xll.PSFx3BAL(CN,"*","DAF_Partner",$A80,"DAF_Award",V$3,"GLCode",$A$68,PF,PT))</f>
        <v>0</v>
      </c>
      <c r="W80" s="26">
        <f>IF(TRUE,0,_xll.PSFx3BAL(CN,"*","DAF_Partner",$A80,"DAF_Award",W$3,"GLCode",$A$68,PF,PT))</f>
        <v>0</v>
      </c>
      <c r="X80" s="26">
        <f>IF(TRUE,0,_xll.PSFx3BAL(CN,"*","DAF_Partner",$A80,"DAF_Award",X$3,"GLCode",$A$68,PF,PT))</f>
        <v>0</v>
      </c>
      <c r="Y80" s="26">
        <f>IF(TRUE,207104.6,_xll.PSFx3BAL(CN,"*","DAF_Partner",$A80,"DAF_Award",Y$3,"GLCode",$A$68,PF,PT))</f>
        <v>207104.6</v>
      </c>
      <c r="Z80" s="26">
        <f>IF(TRUE,0,_xll.PSFx3BAL(CN,"*","DAF_Partner",$A80,"DAF_Award",Z$3,"GLCode",$A$68,PF,PT))</f>
        <v>0</v>
      </c>
      <c r="AA80" s="26">
        <f t="shared" si="18"/>
        <v>207104.6</v>
      </c>
      <c r="AB80" s="439">
        <f t="shared" si="19"/>
        <v>144236.79999999999</v>
      </c>
    </row>
    <row r="81" spans="1:30" x14ac:dyDescent="0.2">
      <c r="A81" t="s">
        <v>383</v>
      </c>
      <c r="B81" t="str">
        <f>VLOOKUP(A81,Parameters!U:V,2,FALSE)</f>
        <v>SLMEN Madagascar</v>
      </c>
      <c r="C81" s="26">
        <f>IF(TRUE,0,_xll.PSFx3BAL(CN,"*","DAF_Partner",$A81,"DAF_Award",C$3,"GLCode",$A$68,PF,PT))</f>
        <v>0</v>
      </c>
      <c r="D81" s="26">
        <f>IF(TRUE,0,_xll.PSFx3BAL(CN,"*","DAF_Partner",$A81,"DAF_Award",D$3,"GLCode",$A$68,PF,PT))</f>
        <v>0</v>
      </c>
      <c r="E81" s="26">
        <f>IF(TRUE,0,_xll.PSFx3BAL(CN,"*","DAF_Partner",$A81,"DAF_Award",E$3,"GLCode",$A$68,PF,PT))</f>
        <v>0</v>
      </c>
      <c r="F81" s="26">
        <f>IF(TRUE,0,_xll.PSFx3BAL(CN,"*","DAF_Partner",$A81,"DAF_Award",F$3,"GLCode",$A$68,PF,PT))</f>
        <v>0</v>
      </c>
      <c r="G81" s="26">
        <f>IF(TRUE,0,_xll.PSFx3BAL(CN,"*","DAF_Partner",$A81,"DAF_Award",G$3,"GLCode",$A$68,PF,PT))</f>
        <v>0</v>
      </c>
      <c r="H81" s="26">
        <f>IF(TRUE,0,_xll.PSFx3BAL(CN,"*","DAF_Partner",$A81,"DAF_Award",H$3,"GLCode",$A$68,PF,PT))</f>
        <v>0</v>
      </c>
      <c r="I81" s="26">
        <f>IF(TRUE,0,_xll.PSFx3BAL(CN,"*","DAF_Partner",$A81,"DAF_Award",I$3,"GLCode",$A$68,PF,PT))</f>
        <v>0</v>
      </c>
      <c r="J81" s="26">
        <f>IF(TRUE,0,_xll.PSFx3BAL(CN,"*","DAF_Partner",$A81,"DAF_Award",J$3,"GLCode",$A$68,PF,PT))</f>
        <v>0</v>
      </c>
      <c r="K81" s="26">
        <f>IF(TRUE,0,_xll.PSFx3BAL(CN,"*","DAF_Partner",$A81,"DAF_Award",K$3,"GLCode",$A$68,PF,PT))</f>
        <v>0</v>
      </c>
      <c r="L81" s="26">
        <f>IF(TRUE,0,_xll.PSFx3BAL(CN,"*","DAF_Partner",$A81,"DAF_Award",L$3,"GLCode",$A$68,PF,PT))</f>
        <v>0</v>
      </c>
      <c r="M81" s="26">
        <f>IF(TRUE,0,_xll.PSFx3BAL(CN,"*","DAF_Partner",$A81,"DAF_Award",M$3,"GLCode",$A$68,PF,PT))</f>
        <v>0</v>
      </c>
      <c r="N81" s="26">
        <f>IF(TRUE,0,_xll.PSFx3BAL(CN,"*","DAF_Partner",$A81,"DAF_Award",N$3,"GLCode",$A$68,PF,PT))</f>
        <v>0</v>
      </c>
      <c r="O81" s="26">
        <f>IF(TRUE,0,_xll.PSFx3BAL(CN,"*","DAF_Partner",$A81,"DAF_Award",O$3,"GLCode",$A$68,PF,PT))</f>
        <v>0</v>
      </c>
      <c r="P81" s="26">
        <f>IF(TRUE,0,_xll.PSFx3BAL(CN,"*","DAF_Partner",$A81,"DAF_Award",P$3,"GLCode",$A$68,PF,PT))</f>
        <v>0</v>
      </c>
      <c r="Q81" s="26">
        <f>IF(TRUE,0,_xll.PSFx3BAL(CN,"*","DAF_Partner",$A81,"DAF_Award",Q$3,"GLCode",$A$68,PF,PT))</f>
        <v>0</v>
      </c>
      <c r="R81" s="26">
        <f>IF(TRUE,0,_xll.PSFx3BAL(CN,"*","DAF_Partner",$A81,"DAF_Award",R$3,"GLCode",$A$68,PF,PT))</f>
        <v>0</v>
      </c>
      <c r="S81" s="26">
        <f>IF(TRUE,0,_xll.PSFx3BAL(CN,"*","DAF_Partner",$A81,"DAF_Award",S$3,"GLCode",$A$68,PF,PT))</f>
        <v>0</v>
      </c>
      <c r="T81" s="26">
        <f>IF(TRUE,0,_xll.PSFx3BAL(CN,"*","DAF_Partner",$A81,"DAF_Award",T$3,"GLCode",$A$68,PF,PT))</f>
        <v>0</v>
      </c>
      <c r="U81" s="26">
        <f>IF(TRUE,0,_xll.PSFx3BAL(CN,"*","DAF_Partner",$A81,"DAF_Award",U$3,"GLCode",$A$68,PF,PT))</f>
        <v>0</v>
      </c>
      <c r="V81" s="26">
        <f>IF(TRUE,0,_xll.PSFx3BAL(CN,"*","DAF_Partner",$A81,"DAF_Award",V$3,"GLCode",$A$68,PF,PT))</f>
        <v>0</v>
      </c>
      <c r="W81" s="26">
        <f>IF(TRUE,0,_xll.PSFx3BAL(CN,"*","DAF_Partner",$A81,"DAF_Award",W$3,"GLCode",$A$68,PF,PT))</f>
        <v>0</v>
      </c>
      <c r="X81" s="26">
        <f>IF(TRUE,0,_xll.PSFx3BAL(CN,"*","DAF_Partner",$A81,"DAF_Award",X$3,"GLCode",$A$68,PF,PT))</f>
        <v>0</v>
      </c>
      <c r="Y81" s="26">
        <f>IF(TRUE,0,_xll.PSFx3BAL(CN,"*","DAF_Partner",$A81,"DAF_Award",Y$3,"GLCode",$A$68,PF,PT))</f>
        <v>0</v>
      </c>
      <c r="Z81" s="26">
        <f>IF(TRUE,0,_xll.PSFx3BAL(CN,"*","DAF_Partner",$A81,"DAF_Award",Z$3,"GLCode",$A$68,PF,PT))</f>
        <v>0</v>
      </c>
      <c r="AA81" s="26">
        <f t="shared" si="18"/>
        <v>0</v>
      </c>
      <c r="AB81" s="26">
        <f t="shared" si="19"/>
        <v>0</v>
      </c>
    </row>
    <row r="82" spans="1:30" x14ac:dyDescent="0.2">
      <c r="A82" t="s">
        <v>384</v>
      </c>
      <c r="B82" t="str">
        <f>VLOOKUP(A82,Parameters!U:V,2,FALSE)</f>
        <v>MOH Mauritania</v>
      </c>
      <c r="C82" s="26">
        <f>IF(TRUE,0,_xll.PSFx3BAL(CN,"*","DAF_Partner",$A82,"DAF_Award",C$3,"GLCode",$A$68,PF,PT))</f>
        <v>0</v>
      </c>
      <c r="D82" s="26">
        <f>IF(TRUE,0,_xll.PSFx3BAL(CN,"*","DAF_Partner",$A82,"DAF_Award",D$3,"GLCode",$A$68,PF,PT))</f>
        <v>0</v>
      </c>
      <c r="E82" s="26">
        <f>IF(TRUE,0,_xll.PSFx3BAL(CN,"*","DAF_Partner",$A82,"DAF_Award",E$3,"GLCode",$A$68,PF,PT))</f>
        <v>0</v>
      </c>
      <c r="F82" s="26">
        <f>IF(TRUE,0,_xll.PSFx3BAL(CN,"*","DAF_Partner",$A82,"DAF_Award",F$3,"GLCode",$A$68,PF,PT))</f>
        <v>0</v>
      </c>
      <c r="G82" s="26">
        <f>IF(TRUE,0,_xll.PSFx3BAL(CN,"*","DAF_Partner",$A82,"DAF_Award",G$3,"GLCode",$A$68,PF,PT))</f>
        <v>0</v>
      </c>
      <c r="H82" s="26">
        <f>IF(TRUE,0,_xll.PSFx3BAL(CN,"*","DAF_Partner",$A82,"DAF_Award",H$3,"GLCode",$A$68,PF,PT))</f>
        <v>0</v>
      </c>
      <c r="I82" s="26">
        <f>IF(TRUE,0,_xll.PSFx3BAL(CN,"*","DAF_Partner",$A82,"DAF_Award",I$3,"GLCode",$A$68,PF,PT))</f>
        <v>0</v>
      </c>
      <c r="J82" s="26">
        <f>IF(TRUE,0,_xll.PSFx3BAL(CN,"*","DAF_Partner",$A82,"DAF_Award",J$3,"GLCode",$A$68,PF,PT))</f>
        <v>0</v>
      </c>
      <c r="K82" s="26">
        <f>IF(TRUE,0,_xll.PSFx3BAL(CN,"*","DAF_Partner",$A82,"DAF_Award",K$3,"GLCode",$A$68,PF,PT))</f>
        <v>0</v>
      </c>
      <c r="L82" s="26">
        <f>IF(TRUE,0,_xll.PSFx3BAL(CN,"*","DAF_Partner",$A82,"DAF_Award",L$3,"GLCode",$A$68,PF,PT))</f>
        <v>0</v>
      </c>
      <c r="M82" s="26">
        <f>IF(TRUE,0,_xll.PSFx3BAL(CN,"*","DAF_Partner",$A82,"DAF_Award",M$3,"GLCode",$A$68,PF,PT))</f>
        <v>0</v>
      </c>
      <c r="N82" s="26">
        <f>IF(TRUE,0,_xll.PSFx3BAL(CN,"*","DAF_Partner",$A82,"DAF_Award",N$3,"GLCode",$A$68,PF,PT))</f>
        <v>0</v>
      </c>
      <c r="O82" s="26">
        <f>IF(TRUE,0,_xll.PSFx3BAL(CN,"*","DAF_Partner",$A82,"DAF_Award",O$3,"GLCode",$A$68,PF,PT))</f>
        <v>0</v>
      </c>
      <c r="P82" s="26">
        <f>IF(TRUE,0,_xll.PSFx3BAL(CN,"*","DAF_Partner",$A82,"DAF_Award",P$3,"GLCode",$A$68,PF,PT))</f>
        <v>0</v>
      </c>
      <c r="Q82" s="26">
        <f>IF(TRUE,0,_xll.PSFx3BAL(CN,"*","DAF_Partner",$A82,"DAF_Award",Q$3,"GLCode",$A$68,PF,PT))</f>
        <v>0</v>
      </c>
      <c r="R82" s="26">
        <f>IF(TRUE,0,_xll.PSFx3BAL(CN,"*","DAF_Partner",$A82,"DAF_Award",R$3,"GLCode",$A$68,PF,PT))</f>
        <v>0</v>
      </c>
      <c r="S82" s="26">
        <f>IF(TRUE,0,_xll.PSFx3BAL(CN,"*","DAF_Partner",$A82,"DAF_Award",S$3,"GLCode",$A$68,PF,PT))</f>
        <v>0</v>
      </c>
      <c r="T82" s="26">
        <f>IF(TRUE,0,_xll.PSFx3BAL(CN,"*","DAF_Partner",$A82,"DAF_Award",T$3,"GLCode",$A$68,PF,PT))</f>
        <v>0</v>
      </c>
      <c r="U82" s="26">
        <f>IF(TRUE,0,_xll.PSFx3BAL(CN,"*","DAF_Partner",$A82,"DAF_Award",U$3,"GLCode",$A$68,PF,PT))</f>
        <v>0</v>
      </c>
      <c r="V82" s="26">
        <f>IF(TRUE,0,_xll.PSFx3BAL(CN,"*","DAF_Partner",$A82,"DAF_Award",V$3,"GLCode",$A$68,PF,PT))</f>
        <v>0</v>
      </c>
      <c r="W82" s="26">
        <f>IF(TRUE,0,_xll.PSFx3BAL(CN,"*","DAF_Partner",$A82,"DAF_Award",W$3,"GLCode",$A$68,PF,PT))</f>
        <v>0</v>
      </c>
      <c r="X82" s="26">
        <f>IF(TRUE,0,_xll.PSFx3BAL(CN,"*","DAF_Partner",$A82,"DAF_Award",X$3,"GLCode",$A$68,PF,PT))</f>
        <v>0</v>
      </c>
      <c r="Y82" s="26">
        <f>IF(TRUE,0,_xll.PSFx3BAL(CN,"*","DAF_Partner",$A82,"DAF_Award",Y$3,"GLCode",$A$68,PF,PT))</f>
        <v>0</v>
      </c>
      <c r="Z82" s="26">
        <f>IF(TRUE,0,_xll.PSFx3BAL(CN,"*","DAF_Partner",$A82,"DAF_Award",Z$3,"GLCode",$A$68,PF,PT))</f>
        <v>0</v>
      </c>
      <c r="AA82" s="26">
        <f t="shared" si="18"/>
        <v>0</v>
      </c>
      <c r="AB82" s="26">
        <f t="shared" si="19"/>
        <v>0</v>
      </c>
    </row>
    <row r="83" spans="1:30" x14ac:dyDescent="0.2">
      <c r="A83" t="s">
        <v>524</v>
      </c>
      <c r="B83" t="str">
        <f>VLOOKUP(A83,Parameters!U:V,2,FALSE)</f>
        <v xml:space="preserve">Ministere de la Sante Publique, Niger </v>
      </c>
      <c r="C83" s="26">
        <f>IF(TRUE,41022.02,_xll.PSFx3BAL(CN,"*","DAF_Partner",$A83,"DAF_Award",C$3,"GLCode",$A$68,PF,PT))</f>
        <v>41022.019999999997</v>
      </c>
      <c r="D83" s="26">
        <f>IF(TRUE,0,_xll.PSFx3BAL(CN,"*","DAF_Partner",$A83,"DAF_Award",D$3,"GLCode",$A$68,PF,PT))</f>
        <v>0</v>
      </c>
      <c r="E83" s="26">
        <f>IF(TRUE,7097,_xll.PSFx3BAL(CN,"*","DAF_Partner",$A83,"DAF_Award",E$3,"GLCode",$A$68,PF,PT))</f>
        <v>7097</v>
      </c>
      <c r="F83" s="26">
        <f>IF(TRUE,0,_xll.PSFx3BAL(CN,"*","DAF_Partner",$A83,"DAF_Award",F$3,"GLCode",$A$68,PF,PT))</f>
        <v>0</v>
      </c>
      <c r="G83" s="26">
        <f>IF(TRUE,0,_xll.PSFx3BAL(CN,"*","DAF_Partner",$A83,"DAF_Award",G$3,"GLCode",$A$68,PF,PT))</f>
        <v>0</v>
      </c>
      <c r="H83" s="26">
        <f>IF(TRUE,0,_xll.PSFx3BAL(CN,"*","DAF_Partner",$A83,"DAF_Award",H$3,"GLCode",$A$68,PF,PT))</f>
        <v>0</v>
      </c>
      <c r="I83" s="26">
        <f>IF(TRUE,0,_xll.PSFx3BAL(CN,"*","DAF_Partner",$A83,"DAF_Award",I$3,"GLCode",$A$68,PF,PT))</f>
        <v>0</v>
      </c>
      <c r="J83" s="26">
        <f>IF(TRUE,0,_xll.PSFx3BAL(CN,"*","DAF_Partner",$A83,"DAF_Award",J$3,"GLCode",$A$68,PF,PT))</f>
        <v>0</v>
      </c>
      <c r="K83" s="26">
        <f>IF(TRUE,0,_xll.PSFx3BAL(CN,"*","DAF_Partner",$A83,"DAF_Award",K$3,"GLCode",$A$68,PF,PT))</f>
        <v>0</v>
      </c>
      <c r="L83" s="26">
        <f>IF(TRUE,0,_xll.PSFx3BAL(CN,"*","DAF_Partner",$A83,"DAF_Award",L$3,"GLCode",$A$68,PF,PT))</f>
        <v>0</v>
      </c>
      <c r="M83" s="26">
        <f>IF(TRUE,0,_xll.PSFx3BAL(CN,"*","DAF_Partner",$A83,"DAF_Award",M$3,"GLCode",$A$68,PF,PT))</f>
        <v>0</v>
      </c>
      <c r="N83" s="26">
        <f>IF(TRUE,0,_xll.PSFx3BAL(CN,"*","DAF_Partner",$A83,"DAF_Award",N$3,"GLCode",$A$68,PF,PT))</f>
        <v>0</v>
      </c>
      <c r="O83" s="26">
        <f>IF(TRUE,0,_xll.PSFx3BAL(CN,"*","DAF_Partner",$A83,"DAF_Award",O$3,"GLCode",$A$68,PF,PT))</f>
        <v>0</v>
      </c>
      <c r="P83" s="26">
        <f>IF(TRUE,0,_xll.PSFx3BAL(CN,"*","DAF_Partner",$A83,"DAF_Award",P$3,"GLCode",$A$68,PF,PT))</f>
        <v>0</v>
      </c>
      <c r="Q83" s="26">
        <f>IF(TRUE,0,_xll.PSFx3BAL(CN,"*","DAF_Partner",$A83,"DAF_Award",Q$3,"GLCode",$A$68,PF,PT))</f>
        <v>0</v>
      </c>
      <c r="R83" s="26">
        <f>IF(TRUE,0,_xll.PSFx3BAL(CN,"*","DAF_Partner",$A83,"DAF_Award",R$3,"GLCode",$A$68,PF,PT))</f>
        <v>0</v>
      </c>
      <c r="S83" s="26">
        <f>IF(TRUE,0,_xll.PSFx3BAL(CN,"*","DAF_Partner",$A83,"DAF_Award",S$3,"GLCode",$A$68,PF,PT))</f>
        <v>0</v>
      </c>
      <c r="T83" s="26">
        <f>IF(TRUE,0,_xll.PSFx3BAL(CN,"*","DAF_Partner",$A83,"DAF_Award",T$3,"GLCode",$A$68,PF,PT))</f>
        <v>0</v>
      </c>
      <c r="U83" s="26">
        <f>IF(TRUE,0,_xll.PSFx3BAL(CN,"*","DAF_Partner",$A83,"DAF_Award",U$3,"GLCode",$A$68,PF,PT))</f>
        <v>0</v>
      </c>
      <c r="V83" s="26">
        <f>IF(TRUE,0,_xll.PSFx3BAL(CN,"*","DAF_Partner",$A83,"DAF_Award",V$3,"GLCode",$A$68,PF,PT))</f>
        <v>0</v>
      </c>
      <c r="W83" s="26">
        <f>IF(TRUE,0,_xll.PSFx3BAL(CN,"*","DAF_Partner",$A83,"DAF_Award",W$3,"GLCode",$A$68,PF,PT))</f>
        <v>0</v>
      </c>
      <c r="X83" s="26">
        <f>IF(TRUE,0,_xll.PSFx3BAL(CN,"*","DAF_Partner",$A83,"DAF_Award",X$3,"GLCode",$A$68,PF,PT))</f>
        <v>0</v>
      </c>
      <c r="Y83" s="26">
        <f>IF(TRUE,0,_xll.PSFx3BAL(CN,"*","DAF_Partner",$A83,"DAF_Award",Y$3,"GLCode",$A$68,PF,PT))</f>
        <v>0</v>
      </c>
      <c r="Z83" s="26">
        <f>IF(TRUE,0,_xll.PSFx3BAL(CN,"*","DAF_Partner",$A83,"DAF_Award",Z$3,"GLCode",$A$68,PF,PT))</f>
        <v>0</v>
      </c>
      <c r="AA83" s="26">
        <f t="shared" ref="AA83" si="26">SUM(O83:Z83)</f>
        <v>0</v>
      </c>
      <c r="AB83" s="439">
        <f t="shared" ref="AB83" si="27">SUM(C83:N83,AA83)</f>
        <v>48119.02</v>
      </c>
    </row>
    <row r="84" spans="1:30" x14ac:dyDescent="0.2">
      <c r="A84" t="s">
        <v>517</v>
      </c>
      <c r="B84" t="str">
        <f>VLOOKUP(A84,Parameters!U:V,2,FALSE)</f>
        <v>Institut de la Sante Publique</v>
      </c>
      <c r="C84" s="26">
        <f>IF(TRUE,39041,_xll.PSFx3BAL(CN,"*","DAF_Partner",$A84,"DAF_Award",C$3,"GLCode",$A$68,PF,PT))</f>
        <v>39041</v>
      </c>
      <c r="D84" s="26">
        <f>IF(TRUE,0,_xll.PSFx3BAL(CN,"*","DAF_Partner",$A84,"DAF_Award",D$3,"GLCode",$A$68,PF,PT))</f>
        <v>0</v>
      </c>
      <c r="E84" s="26">
        <f>IF(TRUE,0,_xll.PSFx3BAL(CN,"*","DAF_Partner",$A84,"DAF_Award",E$3,"GLCode",$A$68,PF,PT))</f>
        <v>0</v>
      </c>
      <c r="F84" s="26">
        <f>IF(TRUE,0,_xll.PSFx3BAL(CN,"*","DAF_Partner",$A84,"DAF_Award",F$3,"GLCode",$A$68,PF,PT))</f>
        <v>0</v>
      </c>
      <c r="G84" s="26">
        <f>IF(TRUE,0,_xll.PSFx3BAL(CN,"*","DAF_Partner",$A84,"DAF_Award",G$3,"GLCode",$A$68,PF,PT))</f>
        <v>0</v>
      </c>
      <c r="H84" s="26">
        <f>IF(TRUE,0,_xll.PSFx3BAL(CN,"*","DAF_Partner",$A84,"DAF_Award",H$3,"GLCode",$A$68,PF,PT))</f>
        <v>0</v>
      </c>
      <c r="I84" s="26">
        <f>IF(TRUE,0,_xll.PSFx3BAL(CN,"*","DAF_Partner",$A84,"DAF_Award",I$3,"GLCode",$A$68,PF,PT))</f>
        <v>0</v>
      </c>
      <c r="J84" s="26">
        <f>IF(TRUE,0,_xll.PSFx3BAL(CN,"*","DAF_Partner",$A84,"DAF_Award",J$3,"GLCode",$A$68,PF,PT))</f>
        <v>0</v>
      </c>
      <c r="K84" s="26">
        <f>IF(TRUE,0,_xll.PSFx3BAL(CN,"*","DAF_Partner",$A84,"DAF_Award",K$3,"GLCode",$A$68,PF,PT))</f>
        <v>0</v>
      </c>
      <c r="L84" s="26">
        <f>IF(TRUE,0,_xll.PSFx3BAL(CN,"*","DAF_Partner",$A84,"DAF_Award",L$3,"GLCode",$A$68,PF,PT))</f>
        <v>0</v>
      </c>
      <c r="M84" s="26">
        <f>IF(TRUE,0,_xll.PSFx3BAL(CN,"*","DAF_Partner",$A84,"DAF_Award",M$3,"GLCode",$A$68,PF,PT))</f>
        <v>0</v>
      </c>
      <c r="N84" s="26">
        <f>IF(TRUE,0,_xll.PSFx3BAL(CN,"*","DAF_Partner",$A84,"DAF_Award",N$3,"GLCode",$A$68,PF,PT))</f>
        <v>0</v>
      </c>
      <c r="O84" s="26">
        <f>IF(TRUE,0,_xll.PSFx3BAL(CN,"*","DAF_Partner",$A84,"DAF_Award",O$3,"GLCode",$A$68,PF,PT))</f>
        <v>0</v>
      </c>
      <c r="P84" s="26">
        <f>IF(TRUE,0,_xll.PSFx3BAL(CN,"*","DAF_Partner",$A84,"DAF_Award",P$3,"GLCode",$A$68,PF,PT))</f>
        <v>0</v>
      </c>
      <c r="Q84" s="26">
        <f>IF(TRUE,0,_xll.PSFx3BAL(CN,"*","DAF_Partner",$A84,"DAF_Award",Q$3,"GLCode",$A$68,PF,PT))</f>
        <v>0</v>
      </c>
      <c r="R84" s="26">
        <f>IF(TRUE,0,_xll.PSFx3BAL(CN,"*","DAF_Partner",$A84,"DAF_Award",R$3,"GLCode",$A$68,PF,PT))</f>
        <v>0</v>
      </c>
      <c r="S84" s="26">
        <f>IF(TRUE,0,_xll.PSFx3BAL(CN,"*","DAF_Partner",$A84,"DAF_Award",S$3,"GLCode",$A$68,PF,PT))</f>
        <v>0</v>
      </c>
      <c r="T84" s="26">
        <f>IF(TRUE,0,_xll.PSFx3BAL(CN,"*","DAF_Partner",$A84,"DAF_Award",T$3,"GLCode",$A$68,PF,PT))</f>
        <v>0</v>
      </c>
      <c r="U84" s="26">
        <f>IF(TRUE,0,_xll.PSFx3BAL(CN,"*","DAF_Partner",$A84,"DAF_Award",U$3,"GLCode",$A$68,PF,PT))</f>
        <v>0</v>
      </c>
      <c r="V84" s="26">
        <f>IF(TRUE,0,_xll.PSFx3BAL(CN,"*","DAF_Partner",$A84,"DAF_Award",V$3,"GLCode",$A$68,PF,PT))</f>
        <v>0</v>
      </c>
      <c r="W84" s="26">
        <f>IF(TRUE,0,_xll.PSFx3BAL(CN,"*","DAF_Partner",$A84,"DAF_Award",W$3,"GLCode",$A$68,PF,PT))</f>
        <v>0</v>
      </c>
      <c r="X84" s="26">
        <f>IF(TRUE,0,_xll.PSFx3BAL(CN,"*","DAF_Partner",$A84,"DAF_Award",X$3,"GLCode",$A$68,PF,PT))</f>
        <v>0</v>
      </c>
      <c r="Y84" s="26">
        <f>IF(TRUE,0,_xll.PSFx3BAL(CN,"*","DAF_Partner",$A84,"DAF_Award",Y$3,"GLCode",$A$68,PF,PT))</f>
        <v>0</v>
      </c>
      <c r="Z84" s="26">
        <f>IF(TRUE,0,_xll.PSFx3BAL(CN,"*","DAF_Partner",$A84,"DAF_Award",Z$3,"GLCode",$A$68,PF,PT))</f>
        <v>0</v>
      </c>
      <c r="AA84" s="26">
        <f t="shared" ref="AA84" si="28">SUM(O84:Z84)</f>
        <v>0</v>
      </c>
      <c r="AB84" s="439">
        <f t="shared" ref="AB84" si="29">SUM(C84:N84,AA84)</f>
        <v>39041</v>
      </c>
    </row>
    <row r="85" spans="1:30" x14ac:dyDescent="0.2">
      <c r="A85" t="s">
        <v>386</v>
      </c>
      <c r="B85" t="str">
        <f>VLOOKUP(A85,Parameters!U:V,2,FALSE)</f>
        <v>VCD Uganda MoH</v>
      </c>
      <c r="C85" s="26">
        <f>IF(TRUE,0,_xll.PSFx3BAL(CN,"*","DAF_Partner",$A85,"DAF_Award",C$3,"GLCode",$A$68,PF,PT))</f>
        <v>0</v>
      </c>
      <c r="D85" s="26">
        <f>IF(TRUE,0,_xll.PSFx3BAL(CN,"*","DAF_Partner",$A85,"DAF_Award",D$3,"GLCode",$A$68,PF,PT))</f>
        <v>0</v>
      </c>
      <c r="E85" s="26">
        <f>IF(TRUE,0,_xll.PSFx3BAL(CN,"*","DAF_Partner",$A85,"DAF_Award",E$3,"GLCode",$A$68,PF,PT))</f>
        <v>0</v>
      </c>
      <c r="F85" s="26">
        <f>IF(TRUE,0,_xll.PSFx3BAL(CN,"*","DAF_Partner",$A85,"DAF_Award",F$3,"GLCode",$A$68,PF,PT))</f>
        <v>0</v>
      </c>
      <c r="G85" s="26">
        <f>IF(TRUE,0,_xll.PSFx3BAL(CN,"*","DAF_Partner",$A85,"DAF_Award",G$3,"GLCode",$A$68,PF,PT))</f>
        <v>0</v>
      </c>
      <c r="H85" s="26">
        <f>IF(TRUE,0,_xll.PSFx3BAL(CN,"*","DAF_Partner",$A85,"DAF_Award",H$3,"GLCode",$A$68,PF,PT))</f>
        <v>0</v>
      </c>
      <c r="I85" s="26">
        <f>IF(TRUE,0,_xll.PSFx3BAL(CN,"*","DAF_Partner",$A85,"DAF_Award",I$3,"GLCode",$A$68,PF,PT))</f>
        <v>0</v>
      </c>
      <c r="J85" s="26">
        <f>IF(TRUE,0,_xll.PSFx3BAL(CN,"*","DAF_Partner",$A85,"DAF_Award",J$3,"GLCode",$A$68,PF,PT))</f>
        <v>0</v>
      </c>
      <c r="K85" s="26">
        <f>IF(TRUE,0,_xll.PSFx3BAL(CN,"*","DAF_Partner",$A85,"DAF_Award",K$3,"GLCode",$A$68,PF,PT))</f>
        <v>0</v>
      </c>
      <c r="L85" s="26">
        <f>IF(TRUE,0,_xll.PSFx3BAL(CN,"*","DAF_Partner",$A85,"DAF_Award",L$3,"GLCode",$A$68,PF,PT))</f>
        <v>0</v>
      </c>
      <c r="M85" s="26">
        <f>IF(TRUE,0,_xll.PSFx3BAL(CN,"*","DAF_Partner",$A85,"DAF_Award",M$3,"GLCode",$A$68,PF,PT))</f>
        <v>0</v>
      </c>
      <c r="N85" s="26">
        <f>IF(TRUE,0,_xll.PSFx3BAL(CN,"*","DAF_Partner",$A85,"DAF_Award",N$3,"GLCode",$A$68,PF,PT))</f>
        <v>0</v>
      </c>
      <c r="O85" s="26">
        <f>IF(TRUE,0,_xll.PSFx3BAL(CN,"*","DAF_Partner",$A85,"DAF_Award",O$3,"GLCode",$A$68,PF,PT))</f>
        <v>0</v>
      </c>
      <c r="P85" s="26">
        <f>IF(TRUE,0,_xll.PSFx3BAL(CN,"*","DAF_Partner",$A85,"DAF_Award",P$3,"GLCode",$A$68,PF,PT))</f>
        <v>0</v>
      </c>
      <c r="Q85" s="26">
        <f>IF(TRUE,0,_xll.PSFx3BAL(CN,"*","DAF_Partner",$A85,"DAF_Award",Q$3,"GLCode",$A$68,PF,PT))</f>
        <v>0</v>
      </c>
      <c r="R85" s="26">
        <f>IF(TRUE,0,_xll.PSFx3BAL(CN,"*","DAF_Partner",$A85,"DAF_Award",R$3,"GLCode",$A$68,PF,PT))</f>
        <v>0</v>
      </c>
      <c r="S85" s="26">
        <f>IF(TRUE,0,_xll.PSFx3BAL(CN,"*","DAF_Partner",$A85,"DAF_Award",S$3,"GLCode",$A$68,PF,PT))</f>
        <v>0</v>
      </c>
      <c r="T85" s="26">
        <f>IF(TRUE,0,_xll.PSFx3BAL(CN,"*","DAF_Partner",$A85,"DAF_Award",T$3,"GLCode",$A$68,PF,PT))</f>
        <v>0</v>
      </c>
      <c r="U85" s="26">
        <f>IF(TRUE,0,_xll.PSFx3BAL(CN,"*","DAF_Partner",$A85,"DAF_Award",U$3,"GLCode",$A$68,PF,PT))</f>
        <v>0</v>
      </c>
      <c r="V85" s="26">
        <f>IF(TRUE,0,_xll.PSFx3BAL(CN,"*","DAF_Partner",$A85,"DAF_Award",V$3,"GLCode",$A$68,PF,PT))</f>
        <v>0</v>
      </c>
      <c r="W85" s="26">
        <f>IF(TRUE,0,_xll.PSFx3BAL(CN,"*","DAF_Partner",$A85,"DAF_Award",W$3,"GLCode",$A$68,PF,PT))</f>
        <v>0</v>
      </c>
      <c r="X85" s="26">
        <f>IF(TRUE,194090,_xll.PSFx3BAL(CN,"*","DAF_Partner",$A85,"DAF_Award",X$3,"GLCode",$A$68,PF,PT))</f>
        <v>194090</v>
      </c>
      <c r="Y85" s="26">
        <f>IF(TRUE,0,_xll.PSFx3BAL(CN,"*","DAF_Partner",$A85,"DAF_Award",Y$3,"GLCode",$A$68,PF,PT))</f>
        <v>0</v>
      </c>
      <c r="Z85" s="26">
        <f>IF(TRUE,0,_xll.PSFx3BAL(CN,"*","DAF_Partner",$A85,"DAF_Award",Z$3,"GLCode",$A$68,PF,PT))</f>
        <v>0</v>
      </c>
      <c r="AA85" s="26">
        <f t="shared" si="18"/>
        <v>194090</v>
      </c>
      <c r="AB85" s="439">
        <f t="shared" si="19"/>
        <v>194090</v>
      </c>
    </row>
    <row r="86" spans="1:30" x14ac:dyDescent="0.2">
      <c r="A86" t="s">
        <v>385</v>
      </c>
      <c r="B86" t="str">
        <f>VLOOKUP(A86,Parameters!U:V,2,FALSE)</f>
        <v>Public Health Laboratory-IdC</v>
      </c>
      <c r="C86" s="26">
        <f>IF(TRUE,0,_xll.PSFx3BAL(CN,"*","DAF_Partner",$A86,"DAF_Award",C$3,"GLCode",$A$68,PF,PT))</f>
        <v>0</v>
      </c>
      <c r="D86" s="26">
        <f>IF(TRUE,0,_xll.PSFx3BAL(CN,"*","DAF_Partner",$A86,"DAF_Award",D$3,"GLCode",$A$68,PF,PT))</f>
        <v>0</v>
      </c>
      <c r="E86" s="26">
        <f>IF(TRUE,0,_xll.PSFx3BAL(CN,"*","DAF_Partner",$A86,"DAF_Award",E$3,"GLCode",$A$68,PF,PT))</f>
        <v>0</v>
      </c>
      <c r="F86" s="26">
        <f>IF(TRUE,0,_xll.PSFx3BAL(CN,"*","DAF_Partner",$A86,"DAF_Award",F$3,"GLCode",$A$68,PF,PT))</f>
        <v>0</v>
      </c>
      <c r="G86" s="26">
        <f>IF(TRUE,0,_xll.PSFx3BAL(CN,"*","DAF_Partner",$A86,"DAF_Award",G$3,"GLCode",$A$68,PF,PT))</f>
        <v>0</v>
      </c>
      <c r="H86" s="26">
        <f>IF(TRUE,0,_xll.PSFx3BAL(CN,"*","DAF_Partner",$A86,"DAF_Award",H$3,"GLCode",$A$68,PF,PT))</f>
        <v>0</v>
      </c>
      <c r="I86" s="26">
        <f>IF(TRUE,0,_xll.PSFx3BAL(CN,"*","DAF_Partner",$A86,"DAF_Award",I$3,"GLCode",$A$68,PF,PT))</f>
        <v>0</v>
      </c>
      <c r="J86" s="26">
        <f>IF(TRUE,0,_xll.PSFx3BAL(CN,"*","DAF_Partner",$A86,"DAF_Award",J$3,"GLCode",$A$68,PF,PT))</f>
        <v>0</v>
      </c>
      <c r="K86" s="26">
        <f>IF(TRUE,0,_xll.PSFx3BAL(CN,"*","DAF_Partner",$A86,"DAF_Award",K$3,"GLCode",$A$68,PF,PT))</f>
        <v>0</v>
      </c>
      <c r="L86" s="26">
        <f>IF(TRUE,0,_xll.PSFx3BAL(CN,"*","DAF_Partner",$A86,"DAF_Award",L$3,"GLCode",$A$68,PF,PT))</f>
        <v>0</v>
      </c>
      <c r="M86" s="26">
        <f>IF(TRUE,0,_xll.PSFx3BAL(CN,"*","DAF_Partner",$A86,"DAF_Award",M$3,"GLCode",$A$68,PF,PT))</f>
        <v>0</v>
      </c>
      <c r="N86" s="26">
        <f>IF(TRUE,0,_xll.PSFx3BAL(CN,"*","DAF_Partner",$A86,"DAF_Award",N$3,"GLCode",$A$68,PF,PT))</f>
        <v>0</v>
      </c>
      <c r="O86" s="26">
        <f>IF(TRUE,0,_xll.PSFx3BAL(CN,"*","DAF_Partner",$A86,"DAF_Award",O$3,"GLCode",$A$68,PF,PT))</f>
        <v>0</v>
      </c>
      <c r="P86" s="26">
        <f>IF(TRUE,0,_xll.PSFx3BAL(CN,"*","DAF_Partner",$A86,"DAF_Award",P$3,"GLCode",$A$68,PF,PT))</f>
        <v>0</v>
      </c>
      <c r="Q86" s="26">
        <f>IF(TRUE,0,_xll.PSFx3BAL(CN,"*","DAF_Partner",$A86,"DAF_Award",Q$3,"GLCode",$A$68,PF,PT))</f>
        <v>0</v>
      </c>
      <c r="R86" s="26">
        <f>IF(TRUE,0,_xll.PSFx3BAL(CN,"*","DAF_Partner",$A86,"DAF_Award",R$3,"GLCode",$A$68,PF,PT))</f>
        <v>0</v>
      </c>
      <c r="S86" s="26">
        <f>IF(TRUE,0,_xll.PSFx3BAL(CN,"*","DAF_Partner",$A86,"DAF_Award",S$3,"GLCode",$A$68,PF,PT))</f>
        <v>0</v>
      </c>
      <c r="T86" s="26">
        <f>IF(TRUE,0,_xll.PSFx3BAL(CN,"*","DAF_Partner",$A86,"DAF_Award",T$3,"GLCode",$A$68,PF,PT))</f>
        <v>0</v>
      </c>
      <c r="U86" s="26">
        <f>IF(TRUE,0,_xll.PSFx3BAL(CN,"*","DAF_Partner",$A86,"DAF_Award",U$3,"GLCode",$A$68,PF,PT))</f>
        <v>0</v>
      </c>
      <c r="V86" s="26">
        <f>IF(TRUE,65365.42,_xll.PSFx3BAL(CN,"*","DAF_Partner",$A86,"DAF_Award",V$3,"GLCode",$A$68,PF,PT))</f>
        <v>65365.42</v>
      </c>
      <c r="W86" s="26">
        <f>IF(TRUE,0,_xll.PSFx3BAL(CN,"*","DAF_Partner",$A86,"DAF_Award",W$3,"GLCode",$A$68,PF,PT))</f>
        <v>0</v>
      </c>
      <c r="X86" s="26">
        <f>IF(TRUE,0,_xll.PSFx3BAL(CN,"*","DAF_Partner",$A86,"DAF_Award",X$3,"GLCode",$A$68,PF,PT))</f>
        <v>0</v>
      </c>
      <c r="Y86" s="26">
        <f>IF(TRUE,0,_xll.PSFx3BAL(CN,"*","DAF_Partner",$A86,"DAF_Award",Y$3,"GLCode",$A$68,PF,PT))</f>
        <v>0</v>
      </c>
      <c r="Z86" s="26">
        <f>IF(TRUE,0,_xll.PSFx3BAL(CN,"*","DAF_Partner",$A86,"DAF_Award",Z$3,"GLCode",$A$68,PF,PT))</f>
        <v>0</v>
      </c>
      <c r="AA86" s="26">
        <f>SUM(O86:Z86)</f>
        <v>65365.42</v>
      </c>
      <c r="AB86" s="439">
        <f>SUM(C86:N86,AA86)</f>
        <v>65365.42</v>
      </c>
    </row>
    <row r="87" spans="1:30" x14ac:dyDescent="0.2">
      <c r="A87" t="s">
        <v>387</v>
      </c>
      <c r="B87" t="str">
        <f>VLOOKUP(A87,Parameters!U:V,2,FALSE)</f>
        <v>MOH Zanzibar</v>
      </c>
      <c r="C87" s="26">
        <f>IF(TRUE,0,_xll.PSFx3BAL(CN,"*","DAF_Partner",$A87,"DAF_Award",C$3,"GLCode",$A$68,PF,PT))</f>
        <v>0</v>
      </c>
      <c r="D87" s="26">
        <f>IF(TRUE,0,_xll.PSFx3BAL(CN,"*","DAF_Partner",$A87,"DAF_Award",D$3,"GLCode",$A$68,PF,PT))</f>
        <v>0</v>
      </c>
      <c r="E87" s="26">
        <f>IF(TRUE,0,_xll.PSFx3BAL(CN,"*","DAF_Partner",$A87,"DAF_Award",E$3,"GLCode",$A$68,PF,PT))</f>
        <v>0</v>
      </c>
      <c r="F87" s="26">
        <f>IF(TRUE,0,_xll.PSFx3BAL(CN,"*","DAF_Partner",$A87,"DAF_Award",F$3,"GLCode",$A$68,PF,PT))</f>
        <v>0</v>
      </c>
      <c r="G87" s="26">
        <f>IF(TRUE,0,_xll.PSFx3BAL(CN,"*","DAF_Partner",$A87,"DAF_Award",G$3,"GLCode",$A$68,PF,PT))</f>
        <v>0</v>
      </c>
      <c r="H87" s="26">
        <f>IF(TRUE,0,_xll.PSFx3BAL(CN,"*","DAF_Partner",$A87,"DAF_Award",H$3,"GLCode",$A$68,PF,PT))</f>
        <v>0</v>
      </c>
      <c r="I87" s="26">
        <f>IF(TRUE,0,_xll.PSFx3BAL(CN,"*","DAF_Partner",$A87,"DAF_Award",I$3,"GLCode",$A$68,PF,PT))</f>
        <v>0</v>
      </c>
      <c r="J87" s="26">
        <f>IF(TRUE,0,_xll.PSFx3BAL(CN,"*","DAF_Partner",$A87,"DAF_Award",J$3,"GLCode",$A$68,PF,PT))</f>
        <v>0</v>
      </c>
      <c r="K87" s="26">
        <f>IF(TRUE,0,_xll.PSFx3BAL(CN,"*","DAF_Partner",$A87,"DAF_Award",K$3,"GLCode",$A$68,PF,PT))</f>
        <v>0</v>
      </c>
      <c r="L87" s="26">
        <f>IF(TRUE,0,_xll.PSFx3BAL(CN,"*","DAF_Partner",$A87,"DAF_Award",L$3,"GLCode",$A$68,PF,PT))</f>
        <v>0</v>
      </c>
      <c r="M87" s="26">
        <f>IF(TRUE,0,_xll.PSFx3BAL(CN,"*","DAF_Partner",$A87,"DAF_Award",M$3,"GLCode",$A$68,PF,PT))</f>
        <v>0</v>
      </c>
      <c r="N87" s="26">
        <f>IF(TRUE,0,_xll.PSFx3BAL(CN,"*","DAF_Partner",$A87,"DAF_Award",N$3,"GLCode",$A$68,PF,PT))</f>
        <v>0</v>
      </c>
      <c r="O87" s="26">
        <f>IF(TRUE,0,_xll.PSFx3BAL(CN,"*","DAF_Partner",$A87,"DAF_Award",O$3,"GLCode",$A$68,PF,PT))</f>
        <v>0</v>
      </c>
      <c r="P87" s="26">
        <f>IF(TRUE,0,_xll.PSFx3BAL(CN,"*","DAF_Partner",$A87,"DAF_Award",P$3,"GLCode",$A$68,PF,PT))</f>
        <v>0</v>
      </c>
      <c r="Q87" s="26">
        <f>IF(TRUE,0,_xll.PSFx3BAL(CN,"*","DAF_Partner",$A87,"DAF_Award",Q$3,"GLCode",$A$68,PF,PT))</f>
        <v>0</v>
      </c>
      <c r="R87" s="26">
        <f>IF(TRUE,0,_xll.PSFx3BAL(CN,"*","DAF_Partner",$A87,"DAF_Award",R$3,"GLCode",$A$68,PF,PT))</f>
        <v>0</v>
      </c>
      <c r="S87" s="26">
        <f>IF(TRUE,0,_xll.PSFx3BAL(CN,"*","DAF_Partner",$A87,"DAF_Award",S$3,"GLCode",$A$68,PF,PT))</f>
        <v>0</v>
      </c>
      <c r="T87" s="26">
        <f>IF(TRUE,0,_xll.PSFx3BAL(CN,"*","DAF_Partner",$A87,"DAF_Award",T$3,"GLCode",$A$68,PF,PT))</f>
        <v>0</v>
      </c>
      <c r="U87" s="26">
        <f>IF(TRUE,0,_xll.PSFx3BAL(CN,"*","DAF_Partner",$A87,"DAF_Award",U$3,"GLCode",$A$68,PF,PT))</f>
        <v>0</v>
      </c>
      <c r="V87" s="26">
        <f>IF(TRUE,0,_xll.PSFx3BAL(CN,"*","DAF_Partner",$A87,"DAF_Award",V$3,"GLCode",$A$68,PF,PT))</f>
        <v>0</v>
      </c>
      <c r="W87" s="26">
        <f>IF(TRUE,51996,_xll.PSFx3BAL(CN,"*","DAF_Partner",$A87,"DAF_Award",W$3,"GLCode",$A$68,PF,PT))</f>
        <v>51996</v>
      </c>
      <c r="X87" s="26">
        <f>IF(TRUE,0,_xll.PSFx3BAL(CN,"*","DAF_Partner",$A87,"DAF_Award",X$3,"GLCode",$A$68,PF,PT))</f>
        <v>0</v>
      </c>
      <c r="Y87" s="26">
        <f>IF(TRUE,0,_xll.PSFx3BAL(CN,"*","DAF_Partner",$A87,"DAF_Award",Y$3,"GLCode",$A$68,PF,PT))</f>
        <v>0</v>
      </c>
      <c r="Z87" s="26">
        <f>IF(TRUE,0,_xll.PSFx3BAL(CN,"*","DAF_Partner",$A87,"DAF_Award",Z$3,"GLCode",$A$68,PF,PT))</f>
        <v>0</v>
      </c>
      <c r="AA87" s="26">
        <f t="shared" si="18"/>
        <v>51996</v>
      </c>
      <c r="AB87" s="439">
        <f t="shared" si="19"/>
        <v>51996</v>
      </c>
    </row>
    <row r="88" spans="1:30" x14ac:dyDescent="0.2">
      <c r="A88" s="29" t="str">
        <f>A68</f>
        <v>6100</v>
      </c>
      <c r="B88" s="30" t="s">
        <v>284</v>
      </c>
      <c r="C88" s="16">
        <f t="shared" ref="C88:AB88" si="30">SUM(C70:C87)</f>
        <v>2854459.54</v>
      </c>
      <c r="D88" s="16">
        <f t="shared" si="30"/>
        <v>0</v>
      </c>
      <c r="E88" s="16">
        <f t="shared" si="30"/>
        <v>7097</v>
      </c>
      <c r="F88" s="16">
        <f t="shared" si="30"/>
        <v>295165.05</v>
      </c>
      <c r="G88" s="16">
        <f t="shared" si="30"/>
        <v>0</v>
      </c>
      <c r="H88" s="16">
        <f t="shared" si="30"/>
        <v>0</v>
      </c>
      <c r="I88" s="16">
        <f t="shared" si="30"/>
        <v>-62867.8</v>
      </c>
      <c r="J88" s="16">
        <f t="shared" si="30"/>
        <v>73075.31</v>
      </c>
      <c r="K88" s="16">
        <f t="shared" si="30"/>
        <v>0</v>
      </c>
      <c r="L88" s="16">
        <f t="shared" si="30"/>
        <v>0</v>
      </c>
      <c r="M88" s="16">
        <f t="shared" si="30"/>
        <v>0</v>
      </c>
      <c r="N88" s="16">
        <f t="shared" si="30"/>
        <v>69660.14</v>
      </c>
      <c r="O88" s="16">
        <f t="shared" si="30"/>
        <v>59150.16</v>
      </c>
      <c r="P88" s="16">
        <f t="shared" si="30"/>
        <v>0</v>
      </c>
      <c r="Q88" s="16">
        <f t="shared" si="30"/>
        <v>0</v>
      </c>
      <c r="R88" s="16">
        <f t="shared" si="30"/>
        <v>0</v>
      </c>
      <c r="S88" s="16">
        <f t="shared" si="30"/>
        <v>36718</v>
      </c>
      <c r="T88" s="16">
        <f t="shared" si="30"/>
        <v>267645</v>
      </c>
      <c r="U88" s="16">
        <f t="shared" si="30"/>
        <v>1432442.6</v>
      </c>
      <c r="V88" s="16">
        <f t="shared" si="30"/>
        <v>65365.42</v>
      </c>
      <c r="W88" s="16">
        <f t="shared" si="30"/>
        <v>51996</v>
      </c>
      <c r="X88" s="16">
        <f t="shared" si="30"/>
        <v>194090</v>
      </c>
      <c r="Y88" s="16">
        <f t="shared" si="30"/>
        <v>207104.6</v>
      </c>
      <c r="Z88" s="16">
        <f t="shared" si="30"/>
        <v>1027538.42</v>
      </c>
      <c r="AA88" s="16">
        <f t="shared" si="30"/>
        <v>3342050.2</v>
      </c>
      <c r="AB88" s="16">
        <f t="shared" si="30"/>
        <v>6578639.4399999985</v>
      </c>
      <c r="AD88" s="31">
        <f>VLOOKUP($A88,'Cost Centres'!$B:$O,'Cost Centres'!$O$2-1,FALSE)-AB88</f>
        <v>0</v>
      </c>
    </row>
    <row r="90" spans="1:30" x14ac:dyDescent="0.2">
      <c r="AB90" s="9"/>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G177"/>
  <sheetViews>
    <sheetView workbookViewId="0">
      <pane xSplit="3" ySplit="4" topLeftCell="D147" activePane="bottomRight" state="frozen"/>
      <selection activeCell="B3" sqref="B3"/>
      <selection pane="topRight" activeCell="B3" sqref="B3"/>
      <selection pane="bottomLeft" activeCell="B3" sqref="B3"/>
      <selection pane="bottomRight" activeCell="B3" sqref="B3"/>
    </sheetView>
  </sheetViews>
  <sheetFormatPr baseColWidth="10" defaultColWidth="8.83203125" defaultRowHeight="15" x14ac:dyDescent="0.2"/>
  <cols>
    <col min="1" max="1" width="9.1640625" style="1"/>
    <col min="3" max="3" width="36.83203125" customWidth="1"/>
    <col min="4" max="15" width="12.6640625" customWidth="1"/>
    <col min="17" max="17" width="12.6640625" customWidth="1"/>
    <col min="19" max="24" width="9.6640625" customWidth="1"/>
    <col min="25" max="25" width="1.6640625" customWidth="1"/>
    <col min="26" max="29" width="9.6640625" customWidth="1"/>
    <col min="30" max="30" width="1.6640625" customWidth="1"/>
    <col min="31" max="31" width="9.6640625" customWidth="1"/>
    <col min="32" max="32" width="11.6640625" customWidth="1"/>
  </cols>
  <sheetData>
    <row r="1" spans="1:32" ht="19" x14ac:dyDescent="0.25">
      <c r="B1" s="12" t="s">
        <v>295</v>
      </c>
      <c r="D1" t="s">
        <v>210</v>
      </c>
      <c r="E1" s="13" t="s">
        <v>282</v>
      </c>
      <c r="F1" s="14" t="str">
        <f>PF</f>
        <v>2021.00</v>
      </c>
      <c r="G1" s="13" t="s">
        <v>283</v>
      </c>
      <c r="H1" s="14" t="str">
        <f>PT</f>
        <v>2021.12</v>
      </c>
      <c r="S1" s="142" t="s">
        <v>404</v>
      </c>
      <c r="T1" s="138"/>
      <c r="U1" s="138"/>
      <c r="V1" s="138"/>
      <c r="W1" s="138"/>
      <c r="X1" s="138"/>
      <c r="Y1" s="138"/>
      <c r="Z1" s="138"/>
      <c r="AA1" s="138"/>
      <c r="AB1" s="138"/>
      <c r="AD1" s="138"/>
      <c r="AE1" s="138"/>
      <c r="AF1" s="138"/>
    </row>
    <row r="2" spans="1:32" x14ac:dyDescent="0.2">
      <c r="A2" s="28">
        <v>1</v>
      </c>
      <c r="B2" s="28">
        <f>A2+1</f>
        <v>2</v>
      </c>
      <c r="C2" s="28">
        <f>B2+1</f>
        <v>3</v>
      </c>
      <c r="D2" s="28">
        <f t="shared" ref="D2:O2" si="0">C2+1</f>
        <v>4</v>
      </c>
      <c r="E2" s="28">
        <f t="shared" si="0"/>
        <v>5</v>
      </c>
      <c r="F2" s="28">
        <f t="shared" si="0"/>
        <v>6</v>
      </c>
      <c r="G2" s="28">
        <f t="shared" si="0"/>
        <v>7</v>
      </c>
      <c r="H2" s="28">
        <f t="shared" si="0"/>
        <v>8</v>
      </c>
      <c r="I2" s="28">
        <f t="shared" si="0"/>
        <v>9</v>
      </c>
      <c r="J2" s="28">
        <f t="shared" si="0"/>
        <v>10</v>
      </c>
      <c r="K2" s="28">
        <f t="shared" si="0"/>
        <v>11</v>
      </c>
      <c r="L2" s="28">
        <f t="shared" si="0"/>
        <v>12</v>
      </c>
      <c r="M2" s="28">
        <f t="shared" si="0"/>
        <v>13</v>
      </c>
      <c r="N2" s="28">
        <f t="shared" si="0"/>
        <v>14</v>
      </c>
      <c r="O2" s="28">
        <f t="shared" si="0"/>
        <v>15</v>
      </c>
      <c r="P2" s="28">
        <f t="shared" ref="P2" si="1">O2+1</f>
        <v>16</v>
      </c>
      <c r="Q2" s="28">
        <f t="shared" ref="Q2" si="2">P2+1</f>
        <v>17</v>
      </c>
      <c r="S2" s="139" t="s">
        <v>406</v>
      </c>
      <c r="T2" s="138"/>
      <c r="U2" s="138"/>
      <c r="V2" s="138"/>
      <c r="W2" s="138"/>
      <c r="X2" s="138"/>
      <c r="Z2" s="139" t="s">
        <v>407</v>
      </c>
      <c r="AA2" s="138"/>
      <c r="AB2" s="138"/>
      <c r="AC2" s="138" t="s">
        <v>319</v>
      </c>
      <c r="AE2" s="138"/>
      <c r="AF2" s="138"/>
    </row>
    <row r="3" spans="1:32" x14ac:dyDescent="0.2">
      <c r="D3" s="22" t="s">
        <v>16</v>
      </c>
      <c r="E3" s="22" t="s">
        <v>22</v>
      </c>
      <c r="F3" s="22" t="s">
        <v>21</v>
      </c>
      <c r="G3" s="22" t="s">
        <v>18</v>
      </c>
      <c r="H3" s="23" t="s">
        <v>19</v>
      </c>
      <c r="I3" s="23" t="s">
        <v>13</v>
      </c>
      <c r="J3" s="23" t="s">
        <v>12</v>
      </c>
      <c r="K3" s="23" t="s">
        <v>14</v>
      </c>
      <c r="L3" s="23" t="s">
        <v>20</v>
      </c>
      <c r="M3" s="23" t="s">
        <v>17</v>
      </c>
      <c r="N3" s="23" t="s">
        <v>23</v>
      </c>
      <c r="S3" s="139" t="s">
        <v>405</v>
      </c>
      <c r="T3" s="138"/>
      <c r="U3" s="138"/>
      <c r="V3" s="138"/>
      <c r="Z3" s="140" t="s">
        <v>364</v>
      </c>
    </row>
    <row r="4" spans="1:32" ht="48" x14ac:dyDescent="0.2">
      <c r="A4" s="17" t="s">
        <v>341</v>
      </c>
      <c r="B4" s="17" t="s">
        <v>340</v>
      </c>
      <c r="C4" s="17" t="s">
        <v>298</v>
      </c>
      <c r="D4" s="24" t="s">
        <v>24</v>
      </c>
      <c r="E4" s="24" t="s">
        <v>25</v>
      </c>
      <c r="F4" s="24" t="s">
        <v>26</v>
      </c>
      <c r="G4" s="24" t="s">
        <v>27</v>
      </c>
      <c r="H4" s="25" t="s">
        <v>292</v>
      </c>
      <c r="I4" s="25" t="s">
        <v>28</v>
      </c>
      <c r="J4" s="25" t="s">
        <v>293</v>
      </c>
      <c r="K4" s="25" t="s">
        <v>15</v>
      </c>
      <c r="L4" s="25" t="s">
        <v>294</v>
      </c>
      <c r="M4" s="25" t="s">
        <v>29</v>
      </c>
      <c r="N4" s="25" t="s">
        <v>30</v>
      </c>
      <c r="O4" s="25" t="s">
        <v>284</v>
      </c>
      <c r="Q4" s="25" t="s">
        <v>437</v>
      </c>
      <c r="S4" s="25" t="s">
        <v>367</v>
      </c>
      <c r="T4" s="25" t="s">
        <v>368</v>
      </c>
      <c r="U4" s="25" t="s">
        <v>369</v>
      </c>
      <c r="V4" s="25" t="s">
        <v>370</v>
      </c>
      <c r="W4" s="25" t="s">
        <v>365</v>
      </c>
      <c r="X4" s="25" t="s">
        <v>366</v>
      </c>
      <c r="Z4" s="25" t="s">
        <v>369</v>
      </c>
      <c r="AA4" s="25" t="s">
        <v>365</v>
      </c>
      <c r="AB4" s="25" t="s">
        <v>366</v>
      </c>
      <c r="AC4" s="141" t="s">
        <v>408</v>
      </c>
      <c r="AE4" s="25" t="s">
        <v>419</v>
      </c>
      <c r="AF4" s="25" t="s">
        <v>420</v>
      </c>
    </row>
    <row r="5" spans="1:32" x14ac:dyDescent="0.2">
      <c r="A5" s="1">
        <f>VALUE(B5)</f>
        <v>4000</v>
      </c>
      <c r="B5" t="s">
        <v>31</v>
      </c>
      <c r="C5" t="s">
        <v>32</v>
      </c>
      <c r="D5" s="39">
        <f>IF(TRUE,-4097805.25,_xll.PSFx2BAL(CN,"*","GLCode",$B5,"COSTCENTRE",D$3,PF,PT))</f>
        <v>-4097805.25</v>
      </c>
      <c r="E5" s="26">
        <f>IF(TRUE,0,_xll.PSFx2BAL(CN,"*","GLCode",$B5,"COSTCENTRE",E$3,PF,PT))</f>
        <v>0</v>
      </c>
      <c r="F5" s="26">
        <f>IF(TRUE,0,_xll.PSFx2BAL(CN,"*","GLCode",$B5,"COSTCENTRE",F$3,PF,PT))</f>
        <v>0</v>
      </c>
      <c r="G5" s="26">
        <f>IF(TRUE,0,_xll.PSFx2BAL(CN,"*","GLCode",$B5,"COSTCENTRE",G$3,PF,PT))</f>
        <v>0</v>
      </c>
      <c r="H5" s="26">
        <f>IF(TRUE,0,_xll.PSFx2BAL(CN,"*","GLCode",$B5,"COSTCENTRE",H$3,PF,PT))</f>
        <v>0</v>
      </c>
      <c r="I5" s="26">
        <f>IF(TRUE,0,_xll.PSFx2BAL(CN,"*","GLCode",$B5,"COSTCENTRE",I$3,PF,PT))</f>
        <v>0</v>
      </c>
      <c r="J5" s="26">
        <f>IF(TRUE,0,_xll.PSFx2BAL(CN,"*","GLCode",$B5,"COSTCENTRE",J$3,PF,PT))</f>
        <v>0</v>
      </c>
      <c r="K5" s="26">
        <f>IF(TRUE,0,_xll.PSFx2BAL(CN,"*","GLCode",$B5,"COSTCENTRE",K$3,PF,PT))</f>
        <v>0</v>
      </c>
      <c r="L5" s="26">
        <f>IF(TRUE,0,_xll.PSFx2BAL(CN,"*","GLCode",$B5,"COSTCENTRE",L$3,PF,PT))</f>
        <v>0</v>
      </c>
      <c r="M5" s="26">
        <f>IF(TRUE,0,_xll.PSFx2BAL(CN,"*","GLCode",$B5,"COSTCENTRE",M$3,PF,PT))</f>
        <v>0</v>
      </c>
      <c r="N5" s="26">
        <f>IF(TRUE,0,_xll.PSFx2BAL(CN,"*","GLCode",$B5,"COSTCENTRE",N$3,PF,PT))</f>
        <v>0</v>
      </c>
      <c r="O5" s="18">
        <f t="shared" ref="O5:O39" si="3">SUM(D5:N5)</f>
        <v>-4097805.25</v>
      </c>
      <c r="Q5" s="19">
        <f t="shared" ref="Q5:Q39" si="4">O5-SUM(L5:M5)</f>
        <v>-4097805.25</v>
      </c>
      <c r="S5" s="137"/>
      <c r="T5" s="137"/>
      <c r="U5" s="137"/>
      <c r="V5" s="137"/>
      <c r="W5" s="137"/>
      <c r="X5" s="137"/>
      <c r="Z5" s="137"/>
      <c r="AA5" s="137"/>
      <c r="AB5" s="137"/>
      <c r="AE5" s="137"/>
      <c r="AF5" s="137"/>
    </row>
    <row r="6" spans="1:32" x14ac:dyDescent="0.2">
      <c r="A6" s="1">
        <f t="shared" ref="A6:A72" si="5">VALUE(B6)</f>
        <v>4001</v>
      </c>
      <c r="B6" t="s">
        <v>33</v>
      </c>
      <c r="C6" t="s">
        <v>34</v>
      </c>
      <c r="D6" s="26">
        <f>IF(TRUE,-41158.45,_xll.PSFx2BAL(CN,"*","GLCode",$B6,"COSTCENTRE",D$3,PF,PT))</f>
        <v>-41158.449999999997</v>
      </c>
      <c r="E6" s="26">
        <f>IF(TRUE,0,_xll.PSFx2BAL(CN,"*","GLCode",$B6,"COSTCENTRE",E$3,PF,PT))</f>
        <v>0</v>
      </c>
      <c r="F6" s="26">
        <f>IF(TRUE,0,_xll.PSFx2BAL(CN,"*","GLCode",$B6,"COSTCENTRE",F$3,PF,PT))</f>
        <v>0</v>
      </c>
      <c r="G6" s="26">
        <f>IF(TRUE,0,_xll.PSFx2BAL(CN,"*","GLCode",$B6,"COSTCENTRE",G$3,PF,PT))</f>
        <v>0</v>
      </c>
      <c r="H6" s="26">
        <f>IF(TRUE,0,_xll.PSFx2BAL(CN,"*","GLCode",$B6,"COSTCENTRE",H$3,PF,PT))</f>
        <v>0</v>
      </c>
      <c r="I6" s="26">
        <f>IF(TRUE,0,_xll.PSFx2BAL(CN,"*","GLCode",$B6,"COSTCENTRE",I$3,PF,PT))</f>
        <v>0</v>
      </c>
      <c r="J6" s="26">
        <f>IF(TRUE,0,_xll.PSFx2BAL(CN,"*","GLCode",$B6,"COSTCENTRE",J$3,PF,PT))</f>
        <v>0</v>
      </c>
      <c r="K6" s="26">
        <f>IF(TRUE,0,_xll.PSFx2BAL(CN,"*","GLCode",$B6,"COSTCENTRE",K$3,PF,PT))</f>
        <v>0</v>
      </c>
      <c r="L6" s="26">
        <f>IF(TRUE,0,_xll.PSFx2BAL(CN,"*","GLCode",$B6,"COSTCENTRE",L$3,PF,PT))</f>
        <v>0</v>
      </c>
      <c r="M6" s="26">
        <f>IF(TRUE,0,_xll.PSFx2BAL(CN,"*","GLCode",$B6,"COSTCENTRE",M$3,PF,PT))</f>
        <v>0</v>
      </c>
      <c r="N6" s="26">
        <f>IF(TRUE,0,_xll.PSFx2BAL(CN,"*","GLCode",$B6,"COSTCENTRE",N$3,PF,PT))</f>
        <v>0</v>
      </c>
      <c r="O6" s="18">
        <f t="shared" si="3"/>
        <v>-41158.449999999997</v>
      </c>
      <c r="Q6" s="19">
        <f t="shared" si="4"/>
        <v>-41158.449999999997</v>
      </c>
      <c r="S6" s="137"/>
      <c r="T6" s="137"/>
      <c r="U6" s="137"/>
      <c r="V6" s="137"/>
      <c r="W6" s="137"/>
      <c r="X6" s="137"/>
      <c r="Z6" s="137"/>
      <c r="AA6" s="137"/>
      <c r="AB6" s="137"/>
      <c r="AE6" s="137"/>
      <c r="AF6" s="137"/>
    </row>
    <row r="7" spans="1:32" x14ac:dyDescent="0.2">
      <c r="A7" s="1">
        <f t="shared" si="5"/>
        <v>4010</v>
      </c>
      <c r="B7" t="s">
        <v>35</v>
      </c>
      <c r="C7" t="s">
        <v>36</v>
      </c>
      <c r="D7" s="26">
        <f>IF(TRUE,-4007832.31,_xll.PSFx2BAL(CN,"*","GLCode",$B7,"COSTCENTRE",D$3,PF,PT))</f>
        <v>-4007832.31</v>
      </c>
      <c r="E7" s="26">
        <f>IF(TRUE,0,_xll.PSFx2BAL(CN,"*","GLCode",$B7,"COSTCENTRE",E$3,PF,PT))</f>
        <v>0</v>
      </c>
      <c r="F7" s="26">
        <f>IF(TRUE,0,_xll.PSFx2BAL(CN,"*","GLCode",$B7,"COSTCENTRE",F$3,PF,PT))</f>
        <v>0</v>
      </c>
      <c r="G7" s="26">
        <f>IF(TRUE,0,_xll.PSFx2BAL(CN,"*","GLCode",$B7,"COSTCENTRE",G$3,PF,PT))</f>
        <v>0</v>
      </c>
      <c r="H7" s="26">
        <f>IF(TRUE,0,_xll.PSFx2BAL(CN,"*","GLCode",$B7,"COSTCENTRE",H$3,PF,PT))</f>
        <v>0</v>
      </c>
      <c r="I7" s="26">
        <f>IF(TRUE,0,_xll.PSFx2BAL(CN,"*","GLCode",$B7,"COSTCENTRE",I$3,PF,PT))</f>
        <v>0</v>
      </c>
      <c r="J7" s="26">
        <f>IF(TRUE,0,_xll.PSFx2BAL(CN,"*","GLCode",$B7,"COSTCENTRE",J$3,PF,PT))</f>
        <v>0</v>
      </c>
      <c r="K7" s="26">
        <f>IF(TRUE,0,_xll.PSFx2BAL(CN,"*","GLCode",$B7,"COSTCENTRE",K$3,PF,PT))</f>
        <v>0</v>
      </c>
      <c r="L7" s="26">
        <f>IF(TRUE,0,_xll.PSFx2BAL(CN,"*","GLCode",$B7,"COSTCENTRE",L$3,PF,PT))</f>
        <v>0</v>
      </c>
      <c r="M7" s="26">
        <f>IF(TRUE,0,_xll.PSFx2BAL(CN,"*","GLCode",$B7,"COSTCENTRE",M$3,PF,PT))</f>
        <v>0</v>
      </c>
      <c r="N7" s="26">
        <f>IF(TRUE,0,_xll.PSFx2BAL(CN,"*","GLCode",$B7,"COSTCENTRE",N$3,PF,PT))</f>
        <v>0</v>
      </c>
      <c r="O7" s="18">
        <f t="shared" si="3"/>
        <v>-4007832.31</v>
      </c>
      <c r="Q7" s="19">
        <f t="shared" si="4"/>
        <v>-4007832.31</v>
      </c>
      <c r="S7" s="137"/>
      <c r="T7" s="137"/>
      <c r="U7" s="137"/>
      <c r="V7" s="137"/>
      <c r="W7" s="137"/>
      <c r="X7" s="137"/>
      <c r="Z7" s="137"/>
      <c r="AA7" s="137"/>
      <c r="AB7" s="137"/>
      <c r="AE7" s="137"/>
      <c r="AF7" s="137"/>
    </row>
    <row r="8" spans="1:32" x14ac:dyDescent="0.2">
      <c r="A8" s="1">
        <f t="shared" si="5"/>
        <v>4011</v>
      </c>
      <c r="B8" t="s">
        <v>37</v>
      </c>
      <c r="C8" t="s">
        <v>38</v>
      </c>
      <c r="D8" s="26">
        <f>IF(TRUE,-299606.5,_xll.PSFx2BAL(CN,"*","GLCode",$B8,"COSTCENTRE",D$3,PF,PT))</f>
        <v>-299606.5</v>
      </c>
      <c r="E8" s="26">
        <f>IF(TRUE,0,_xll.PSFx2BAL(CN,"*","GLCode",$B8,"COSTCENTRE",E$3,PF,PT))</f>
        <v>0</v>
      </c>
      <c r="F8" s="26">
        <f>IF(TRUE,0,_xll.PSFx2BAL(CN,"*","GLCode",$B8,"COSTCENTRE",F$3,PF,PT))</f>
        <v>0</v>
      </c>
      <c r="G8" s="26">
        <f>IF(TRUE,0,_xll.PSFx2BAL(CN,"*","GLCode",$B8,"COSTCENTRE",G$3,PF,PT))</f>
        <v>0</v>
      </c>
      <c r="H8" s="26">
        <f>IF(TRUE,0,_xll.PSFx2BAL(CN,"*","GLCode",$B8,"COSTCENTRE",H$3,PF,PT))</f>
        <v>0</v>
      </c>
      <c r="I8" s="26">
        <f>IF(TRUE,0,_xll.PSFx2BAL(CN,"*","GLCode",$B8,"COSTCENTRE",I$3,PF,PT))</f>
        <v>0</v>
      </c>
      <c r="J8" s="26">
        <f>IF(TRUE,0,_xll.PSFx2BAL(CN,"*","GLCode",$B8,"COSTCENTRE",J$3,PF,PT))</f>
        <v>0</v>
      </c>
      <c r="K8" s="26">
        <f>IF(TRUE,0,_xll.PSFx2BAL(CN,"*","GLCode",$B8,"COSTCENTRE",K$3,PF,PT))</f>
        <v>0</v>
      </c>
      <c r="L8" s="26">
        <f>IF(TRUE,0,_xll.PSFx2BAL(CN,"*","GLCode",$B8,"COSTCENTRE",L$3,PF,PT))</f>
        <v>0</v>
      </c>
      <c r="M8" s="26">
        <f>IF(TRUE,0,_xll.PSFx2BAL(CN,"*","GLCode",$B8,"COSTCENTRE",M$3,PF,PT))</f>
        <v>0</v>
      </c>
      <c r="N8" s="26">
        <f>IF(TRUE,0,_xll.PSFx2BAL(CN,"*","GLCode",$B8,"COSTCENTRE",N$3,PF,PT))</f>
        <v>0</v>
      </c>
      <c r="O8" s="18">
        <f t="shared" si="3"/>
        <v>-299606.5</v>
      </c>
      <c r="Q8" s="19">
        <f t="shared" si="4"/>
        <v>-299606.5</v>
      </c>
      <c r="S8" s="137"/>
      <c r="T8" s="137"/>
      <c r="U8" s="137"/>
      <c r="V8" s="137"/>
      <c r="W8" s="137"/>
      <c r="X8" s="137"/>
      <c r="Z8" s="137"/>
      <c r="AA8" s="137"/>
      <c r="AB8" s="137"/>
      <c r="AE8" s="137"/>
      <c r="AF8" s="137"/>
    </row>
    <row r="9" spans="1:32" x14ac:dyDescent="0.2">
      <c r="A9" s="1">
        <f t="shared" si="5"/>
        <v>4020</v>
      </c>
      <c r="B9" t="s">
        <v>39</v>
      </c>
      <c r="C9" t="s">
        <v>40</v>
      </c>
      <c r="D9" s="26">
        <f>IF(TRUE,-106070.49,_xll.PSFx2BAL(CN,"*","GLCode",$B9,"COSTCENTRE",D$3,PF,PT))</f>
        <v>-106070.49</v>
      </c>
      <c r="E9" s="26">
        <f>IF(TRUE,0,_xll.PSFx2BAL(CN,"*","GLCode",$B9,"COSTCENTRE",E$3,PF,PT))</f>
        <v>0</v>
      </c>
      <c r="F9" s="26">
        <f>IF(TRUE,0,_xll.PSFx2BAL(CN,"*","GLCode",$B9,"COSTCENTRE",F$3,PF,PT))</f>
        <v>0</v>
      </c>
      <c r="G9" s="26">
        <f>IF(TRUE,0,_xll.PSFx2BAL(CN,"*","GLCode",$B9,"COSTCENTRE",G$3,PF,PT))</f>
        <v>0</v>
      </c>
      <c r="H9" s="26">
        <f>IF(TRUE,0,_xll.PSFx2BAL(CN,"*","GLCode",$B9,"COSTCENTRE",H$3,PF,PT))</f>
        <v>0</v>
      </c>
      <c r="I9" s="26">
        <f>IF(TRUE,0,_xll.PSFx2BAL(CN,"*","GLCode",$B9,"COSTCENTRE",I$3,PF,PT))</f>
        <v>0</v>
      </c>
      <c r="J9" s="26">
        <f>IF(TRUE,0,_xll.PSFx2BAL(CN,"*","GLCode",$B9,"COSTCENTRE",J$3,PF,PT))</f>
        <v>0</v>
      </c>
      <c r="K9" s="26">
        <f>IF(TRUE,0,_xll.PSFx2BAL(CN,"*","GLCode",$B9,"COSTCENTRE",K$3,PF,PT))</f>
        <v>0</v>
      </c>
      <c r="L9" s="26">
        <f>IF(TRUE,0,_xll.PSFx2BAL(CN,"*","GLCode",$B9,"COSTCENTRE",L$3,PF,PT))</f>
        <v>0</v>
      </c>
      <c r="M9" s="26">
        <f>IF(TRUE,0,_xll.PSFx2BAL(CN,"*","GLCode",$B9,"COSTCENTRE",M$3,PF,PT))</f>
        <v>0</v>
      </c>
      <c r="N9" s="26">
        <f>IF(TRUE,0,_xll.PSFx2BAL(CN,"*","GLCode",$B9,"COSTCENTRE",N$3,PF,PT))</f>
        <v>0</v>
      </c>
      <c r="O9" s="18">
        <f t="shared" si="3"/>
        <v>-106070.49</v>
      </c>
      <c r="Q9" s="19">
        <f t="shared" si="4"/>
        <v>-106070.49</v>
      </c>
      <c r="S9" s="137"/>
      <c r="T9" s="137"/>
      <c r="U9" s="137"/>
      <c r="V9" s="137"/>
      <c r="W9" s="137"/>
      <c r="X9" s="137"/>
      <c r="Z9" s="137"/>
      <c r="AA9" s="137"/>
      <c r="AB9" s="137"/>
      <c r="AE9" s="137"/>
      <c r="AF9" s="137"/>
    </row>
    <row r="10" spans="1:32" x14ac:dyDescent="0.2">
      <c r="A10" s="1">
        <f t="shared" si="5"/>
        <v>4021</v>
      </c>
      <c r="B10" t="s">
        <v>41</v>
      </c>
      <c r="C10" t="s">
        <v>286</v>
      </c>
      <c r="D10" s="26">
        <f>IF(TRUE,-51233.07,_xll.PSFx2BAL(CN,"*","GLCode",$B10,"COSTCENTRE",D$3,PF,PT))</f>
        <v>-51233.07</v>
      </c>
      <c r="E10" s="26">
        <f>IF(TRUE,0,_xll.PSFx2BAL(CN,"*","GLCode",$B10,"COSTCENTRE",E$3,PF,PT))</f>
        <v>0</v>
      </c>
      <c r="F10" s="26">
        <f>IF(TRUE,0,_xll.PSFx2BAL(CN,"*","GLCode",$B10,"COSTCENTRE",F$3,PF,PT))</f>
        <v>0</v>
      </c>
      <c r="G10" s="26">
        <f>IF(TRUE,0,_xll.PSFx2BAL(CN,"*","GLCode",$B10,"COSTCENTRE",G$3,PF,PT))</f>
        <v>0</v>
      </c>
      <c r="H10" s="26">
        <f>IF(TRUE,0,_xll.PSFx2BAL(CN,"*","GLCode",$B10,"COSTCENTRE",H$3,PF,PT))</f>
        <v>0</v>
      </c>
      <c r="I10" s="26">
        <f>IF(TRUE,0,_xll.PSFx2BAL(CN,"*","GLCode",$B10,"COSTCENTRE",I$3,PF,PT))</f>
        <v>0</v>
      </c>
      <c r="J10" s="26">
        <f>IF(TRUE,0,_xll.PSFx2BAL(CN,"*","GLCode",$B10,"COSTCENTRE",J$3,PF,PT))</f>
        <v>0</v>
      </c>
      <c r="K10" s="26">
        <f>IF(TRUE,0,_xll.PSFx2BAL(CN,"*","GLCode",$B10,"COSTCENTRE",K$3,PF,PT))</f>
        <v>0</v>
      </c>
      <c r="L10" s="26">
        <f>IF(TRUE,0,_xll.PSFx2BAL(CN,"*","GLCode",$B10,"COSTCENTRE",L$3,PF,PT))</f>
        <v>0</v>
      </c>
      <c r="M10" s="26">
        <f>IF(TRUE,0,_xll.PSFx2BAL(CN,"*","GLCode",$B10,"COSTCENTRE",M$3,PF,PT))</f>
        <v>0</v>
      </c>
      <c r="N10" s="26">
        <f>IF(TRUE,0,_xll.PSFx2BAL(CN,"*","GLCode",$B10,"COSTCENTRE",N$3,PF,PT))</f>
        <v>0</v>
      </c>
      <c r="O10" s="18">
        <f t="shared" si="3"/>
        <v>-51233.07</v>
      </c>
      <c r="Q10" s="19">
        <f t="shared" si="4"/>
        <v>-51233.07</v>
      </c>
      <c r="S10" s="137"/>
      <c r="T10" s="137"/>
      <c r="U10" s="137"/>
      <c r="V10" s="137"/>
      <c r="W10" s="137"/>
      <c r="X10" s="137"/>
      <c r="Z10" s="137"/>
      <c r="AA10" s="137"/>
      <c r="AB10" s="137"/>
      <c r="AE10" s="137"/>
      <c r="AF10" s="137"/>
    </row>
    <row r="11" spans="1:32" hidden="1" x14ac:dyDescent="0.2">
      <c r="A11" s="1">
        <f t="shared" si="5"/>
        <v>4050</v>
      </c>
      <c r="B11" t="s">
        <v>42</v>
      </c>
      <c r="C11" t="s">
        <v>43</v>
      </c>
      <c r="D11" s="26">
        <f>IF(TRUE,0,_xll.PSFx2BAL(CN,"*","GLCode",$B11,"COSTCENTRE",D$3,PF,PT))</f>
        <v>0</v>
      </c>
      <c r="E11" s="26">
        <f>IF(TRUE,0,_xll.PSFx2BAL(CN,"*","GLCode",$B11,"COSTCENTRE",E$3,PF,PT))</f>
        <v>0</v>
      </c>
      <c r="F11" s="26">
        <f>IF(TRUE,0,_xll.PSFx2BAL(CN,"*","GLCode",$B11,"COSTCENTRE",F$3,PF,PT))</f>
        <v>0</v>
      </c>
      <c r="G11" s="26">
        <f>IF(TRUE,0,_xll.PSFx2BAL(CN,"*","GLCode",$B11,"COSTCENTRE",G$3,PF,PT))</f>
        <v>0</v>
      </c>
      <c r="H11" s="26">
        <f>IF(TRUE,0,_xll.PSFx2BAL(CN,"*","GLCode",$B11,"COSTCENTRE",H$3,PF,PT))</f>
        <v>0</v>
      </c>
      <c r="I11" s="26">
        <f>IF(TRUE,0,_xll.PSFx2BAL(CN,"*","GLCode",$B11,"COSTCENTRE",I$3,PF,PT))</f>
        <v>0</v>
      </c>
      <c r="J11" s="26">
        <f>IF(TRUE,0,_xll.PSFx2BAL(CN,"*","GLCode",$B11,"COSTCENTRE",J$3,PF,PT))</f>
        <v>0</v>
      </c>
      <c r="K11" s="26">
        <f>IF(TRUE,0,_xll.PSFx2BAL(CN,"*","GLCode",$B11,"COSTCENTRE",K$3,PF,PT))</f>
        <v>0</v>
      </c>
      <c r="L11" s="26">
        <f>IF(TRUE,0,_xll.PSFx2BAL(CN,"*","GLCode",$B11,"COSTCENTRE",L$3,PF,PT))</f>
        <v>0</v>
      </c>
      <c r="M11" s="26">
        <f>IF(TRUE,0,_xll.PSFx2BAL(CN,"*","GLCode",$B11,"COSTCENTRE",M$3,PF,PT))</f>
        <v>0</v>
      </c>
      <c r="N11" s="26">
        <f>IF(TRUE,0,_xll.PSFx2BAL(CN,"*","GLCode",$B11,"COSTCENTRE",N$3,PF,PT))</f>
        <v>0</v>
      </c>
      <c r="O11" s="18">
        <f t="shared" si="3"/>
        <v>0</v>
      </c>
      <c r="Q11" s="19">
        <f t="shared" si="4"/>
        <v>0</v>
      </c>
      <c r="S11" s="137"/>
      <c r="T11" s="137"/>
      <c r="U11" s="137"/>
      <c r="V11" s="137"/>
      <c r="W11" s="137"/>
      <c r="X11" s="137"/>
      <c r="Z11" s="137"/>
      <c r="AA11" s="137"/>
      <c r="AB11" s="137"/>
      <c r="AE11" s="137"/>
      <c r="AF11" s="137"/>
    </row>
    <row r="12" spans="1:32" x14ac:dyDescent="0.2">
      <c r="A12" s="1">
        <f t="shared" si="5"/>
        <v>4060</v>
      </c>
      <c r="B12" t="s">
        <v>44</v>
      </c>
      <c r="C12" t="s">
        <v>45</v>
      </c>
      <c r="D12" s="26">
        <f>IF(TRUE,-646.51,_xll.PSFx2BAL(CN,"*","GLCode",$B12,"COSTCENTRE",D$3,PF,PT))</f>
        <v>-646.51</v>
      </c>
      <c r="E12" s="26">
        <f>IF(TRUE,0,_xll.PSFx2BAL(CN,"*","GLCode",$B12,"COSTCENTRE",E$3,PF,PT))</f>
        <v>0</v>
      </c>
      <c r="F12" s="26">
        <f>IF(TRUE,0,_xll.PSFx2BAL(CN,"*","GLCode",$B12,"COSTCENTRE",F$3,PF,PT))</f>
        <v>0</v>
      </c>
      <c r="G12" s="26">
        <f>IF(TRUE,0,_xll.PSFx2BAL(CN,"*","GLCode",$B12,"COSTCENTRE",G$3,PF,PT))</f>
        <v>0</v>
      </c>
      <c r="H12" s="26">
        <f>IF(TRUE,0,_xll.PSFx2BAL(CN,"*","GLCode",$B12,"COSTCENTRE",H$3,PF,PT))</f>
        <v>0</v>
      </c>
      <c r="I12" s="26">
        <f>IF(TRUE,0,_xll.PSFx2BAL(CN,"*","GLCode",$B12,"COSTCENTRE",I$3,PF,PT))</f>
        <v>0</v>
      </c>
      <c r="J12" s="26">
        <f>IF(TRUE,0,_xll.PSFx2BAL(CN,"*","GLCode",$B12,"COSTCENTRE",J$3,PF,PT))</f>
        <v>0</v>
      </c>
      <c r="K12" s="26">
        <f>IF(TRUE,0,_xll.PSFx2BAL(CN,"*","GLCode",$B12,"COSTCENTRE",K$3,PF,PT))</f>
        <v>0</v>
      </c>
      <c r="L12" s="26">
        <f>IF(TRUE,0,_xll.PSFx2BAL(CN,"*","GLCode",$B12,"COSTCENTRE",L$3,PF,PT))</f>
        <v>0</v>
      </c>
      <c r="M12" s="26">
        <f>IF(TRUE,0,_xll.PSFx2BAL(CN,"*","GLCode",$B12,"COSTCENTRE",M$3,PF,PT))</f>
        <v>0</v>
      </c>
      <c r="N12" s="26">
        <f>IF(TRUE,0,_xll.PSFx2BAL(CN,"*","GLCode",$B12,"COSTCENTRE",N$3,PF,PT))</f>
        <v>0</v>
      </c>
      <c r="O12" s="18">
        <f t="shared" si="3"/>
        <v>-646.51</v>
      </c>
      <c r="Q12" s="19">
        <f t="shared" si="4"/>
        <v>-646.51</v>
      </c>
      <c r="S12" s="137"/>
      <c r="T12" s="137"/>
      <c r="U12" s="137"/>
      <c r="V12" s="137"/>
      <c r="W12" s="137"/>
      <c r="X12" s="137"/>
      <c r="Z12" s="137"/>
      <c r="AA12" s="137"/>
      <c r="AB12" s="137"/>
      <c r="AE12" s="137"/>
      <c r="AF12" s="137"/>
    </row>
    <row r="13" spans="1:32" x14ac:dyDescent="0.2">
      <c r="A13" s="1">
        <f t="shared" si="5"/>
        <v>4100</v>
      </c>
      <c r="B13" t="s">
        <v>46</v>
      </c>
      <c r="C13" t="s">
        <v>47</v>
      </c>
      <c r="D13" s="26">
        <f>IF(TRUE,-1172.28,_xll.PSFx2BAL(CN,"*","GLCode",$B13,"COSTCENTRE",D$3,PF,PT))</f>
        <v>-1172.28</v>
      </c>
      <c r="E13" s="26">
        <f>IF(TRUE,0,_xll.PSFx2BAL(CN,"*","GLCode",$B13,"COSTCENTRE",E$3,PF,PT))</f>
        <v>0</v>
      </c>
      <c r="F13" s="26">
        <f>IF(TRUE,0,_xll.PSFx2BAL(CN,"*","GLCode",$B13,"COSTCENTRE",F$3,PF,PT))</f>
        <v>0</v>
      </c>
      <c r="G13" s="26">
        <f>IF(TRUE,0,_xll.PSFx2BAL(CN,"*","GLCode",$B13,"COSTCENTRE",G$3,PF,PT))</f>
        <v>0</v>
      </c>
      <c r="H13" s="26">
        <f>IF(TRUE,0,_xll.PSFx2BAL(CN,"*","GLCode",$B13,"COSTCENTRE",H$3,PF,PT))</f>
        <v>0</v>
      </c>
      <c r="I13" s="26">
        <f>IF(TRUE,0,_xll.PSFx2BAL(CN,"*","GLCode",$B13,"COSTCENTRE",I$3,PF,PT))</f>
        <v>0</v>
      </c>
      <c r="J13" s="26">
        <f>IF(TRUE,0,_xll.PSFx2BAL(CN,"*","GLCode",$B13,"COSTCENTRE",J$3,PF,PT))</f>
        <v>0</v>
      </c>
      <c r="K13" s="26">
        <f>IF(TRUE,0,_xll.PSFx2BAL(CN,"*","GLCode",$B13,"COSTCENTRE",K$3,PF,PT))</f>
        <v>0</v>
      </c>
      <c r="L13" s="26">
        <f>IF(TRUE,0,_xll.PSFx2BAL(CN,"*","GLCode",$B13,"COSTCENTRE",L$3,PF,PT))</f>
        <v>0</v>
      </c>
      <c r="M13" s="26">
        <f>IF(TRUE,0,_xll.PSFx2BAL(CN,"*","GLCode",$B13,"COSTCENTRE",M$3,PF,PT))</f>
        <v>0</v>
      </c>
      <c r="N13" s="26">
        <f>IF(TRUE,0,_xll.PSFx2BAL(CN,"*","GLCode",$B13,"COSTCENTRE",N$3,PF,PT))</f>
        <v>0</v>
      </c>
      <c r="O13" s="18">
        <f t="shared" si="3"/>
        <v>-1172.28</v>
      </c>
      <c r="Q13" s="19">
        <f t="shared" si="4"/>
        <v>-1172.28</v>
      </c>
      <c r="S13" s="137"/>
      <c r="T13" s="137"/>
      <c r="U13" s="137"/>
      <c r="V13" s="137"/>
      <c r="W13" s="137"/>
      <c r="X13" s="137"/>
      <c r="Z13" s="137"/>
      <c r="AA13" s="137"/>
      <c r="AB13" s="137"/>
      <c r="AE13" s="137"/>
      <c r="AF13" s="137"/>
    </row>
    <row r="14" spans="1:32" x14ac:dyDescent="0.2">
      <c r="A14" s="1">
        <f t="shared" ref="A14:A15" si="6">VALUE(B14)</f>
        <v>4105</v>
      </c>
      <c r="B14" s="202" t="s">
        <v>503</v>
      </c>
      <c r="C14" t="s">
        <v>505</v>
      </c>
      <c r="D14" s="26">
        <f>IF(TRUE,-45748.32,_xll.PSFx2BAL(CN,"*","GLCode",$B14,"COSTCENTRE",D$3,PF,PT))</f>
        <v>-45748.32</v>
      </c>
      <c r="E14" s="26">
        <f>IF(TRUE,0,_xll.PSFx2BAL(CN,"*","GLCode",$B14,"COSTCENTRE",E$3,PF,PT))</f>
        <v>0</v>
      </c>
      <c r="F14" s="26">
        <f>IF(TRUE,0,_xll.PSFx2BAL(CN,"*","GLCode",$B14,"COSTCENTRE",F$3,PF,PT))</f>
        <v>0</v>
      </c>
      <c r="G14" s="26">
        <f>IF(TRUE,0,_xll.PSFx2BAL(CN,"*","GLCode",$B14,"COSTCENTRE",G$3,PF,PT))</f>
        <v>0</v>
      </c>
      <c r="H14" s="26">
        <f>IF(TRUE,0,_xll.PSFx2BAL(CN,"*","GLCode",$B14,"COSTCENTRE",H$3,PF,PT))</f>
        <v>0</v>
      </c>
      <c r="I14" s="26">
        <f>IF(TRUE,0,_xll.PSFx2BAL(CN,"*","GLCode",$B14,"COSTCENTRE",I$3,PF,PT))</f>
        <v>0</v>
      </c>
      <c r="J14" s="26">
        <f>IF(TRUE,0,_xll.PSFx2BAL(CN,"*","GLCode",$B14,"COSTCENTRE",J$3,PF,PT))</f>
        <v>0</v>
      </c>
      <c r="K14" s="26">
        <f>IF(TRUE,0,_xll.PSFx2BAL(CN,"*","GLCode",$B14,"COSTCENTRE",K$3,PF,PT))</f>
        <v>0</v>
      </c>
      <c r="L14" s="26">
        <f>IF(TRUE,0,_xll.PSFx2BAL(CN,"*","GLCode",$B14,"COSTCENTRE",L$3,PF,PT))</f>
        <v>0</v>
      </c>
      <c r="M14" s="26">
        <f>IF(TRUE,0,_xll.PSFx2BAL(CN,"*","GLCode",$B14,"COSTCENTRE",M$3,PF,PT))</f>
        <v>0</v>
      </c>
      <c r="N14" s="26">
        <f>IF(TRUE,0,_xll.PSFx2BAL(CN,"*","GLCode",$B14,"COSTCENTRE",N$3,PF,PT))</f>
        <v>0</v>
      </c>
      <c r="O14" s="18">
        <f t="shared" ref="O14:O15" si="7">SUM(D14:N14)</f>
        <v>-45748.32</v>
      </c>
      <c r="Q14" s="19">
        <f t="shared" ref="Q14:Q15" si="8">O14-SUM(L14:M14)</f>
        <v>-45748.32</v>
      </c>
      <c r="S14" s="137"/>
      <c r="T14" s="137"/>
      <c r="U14" s="137"/>
      <c r="V14" s="137"/>
      <c r="W14" s="137"/>
      <c r="X14" s="137"/>
      <c r="Z14" s="137"/>
      <c r="AA14" s="137"/>
      <c r="AB14" s="137"/>
      <c r="AE14" s="137"/>
      <c r="AF14" s="137"/>
    </row>
    <row r="15" spans="1:32" x14ac:dyDescent="0.2">
      <c r="A15" s="1">
        <f t="shared" si="6"/>
        <v>4106</v>
      </c>
      <c r="B15" s="202" t="s">
        <v>504</v>
      </c>
      <c r="C15" t="s">
        <v>506</v>
      </c>
      <c r="D15" s="26">
        <f>IF(TRUE,19062,_xll.PSFx2BAL(CN,"*","GLCode",$B15,"COSTCENTRE",D$3,PF,PT))</f>
        <v>19062</v>
      </c>
      <c r="E15" s="26">
        <f>IF(TRUE,0,_xll.PSFx2BAL(CN,"*","GLCode",$B15,"COSTCENTRE",E$3,PF,PT))</f>
        <v>0</v>
      </c>
      <c r="F15" s="26">
        <f>IF(TRUE,0,_xll.PSFx2BAL(CN,"*","GLCode",$B15,"COSTCENTRE",F$3,PF,PT))</f>
        <v>0</v>
      </c>
      <c r="G15" s="26">
        <f>IF(TRUE,0,_xll.PSFx2BAL(CN,"*","GLCode",$B15,"COSTCENTRE",G$3,PF,PT))</f>
        <v>0</v>
      </c>
      <c r="H15" s="26">
        <f>IF(TRUE,0,_xll.PSFx2BAL(CN,"*","GLCode",$B15,"COSTCENTRE",H$3,PF,PT))</f>
        <v>0</v>
      </c>
      <c r="I15" s="26">
        <f>IF(TRUE,0,_xll.PSFx2BAL(CN,"*","GLCode",$B15,"COSTCENTRE",I$3,PF,PT))</f>
        <v>0</v>
      </c>
      <c r="J15" s="26">
        <f>IF(TRUE,0,_xll.PSFx2BAL(CN,"*","GLCode",$B15,"COSTCENTRE",J$3,PF,PT))</f>
        <v>0</v>
      </c>
      <c r="K15" s="26">
        <f>IF(TRUE,0,_xll.PSFx2BAL(CN,"*","GLCode",$B15,"COSTCENTRE",K$3,PF,PT))</f>
        <v>0</v>
      </c>
      <c r="L15" s="26">
        <f>IF(TRUE,0,_xll.PSFx2BAL(CN,"*","GLCode",$B15,"COSTCENTRE",L$3,PF,PT))</f>
        <v>0</v>
      </c>
      <c r="M15" s="26">
        <f>IF(TRUE,0,_xll.PSFx2BAL(CN,"*","GLCode",$B15,"COSTCENTRE",M$3,PF,PT))</f>
        <v>0</v>
      </c>
      <c r="N15" s="26">
        <f>IF(TRUE,0,_xll.PSFx2BAL(CN,"*","GLCode",$B15,"COSTCENTRE",N$3,PF,PT))</f>
        <v>0</v>
      </c>
      <c r="O15" s="18">
        <f t="shared" si="7"/>
        <v>19062</v>
      </c>
      <c r="Q15" s="19">
        <f t="shared" si="8"/>
        <v>19062</v>
      </c>
      <c r="S15" s="137"/>
      <c r="T15" s="137"/>
      <c r="U15" s="137"/>
      <c r="V15" s="137"/>
      <c r="W15" s="137"/>
      <c r="X15" s="137"/>
      <c r="Z15" s="137"/>
      <c r="AA15" s="137"/>
      <c r="AB15" s="137"/>
      <c r="AE15" s="137"/>
      <c r="AF15" s="137"/>
    </row>
    <row r="16" spans="1:32" x14ac:dyDescent="0.2">
      <c r="A16" s="1">
        <f t="shared" si="5"/>
        <v>6100</v>
      </c>
      <c r="B16" t="s">
        <v>48</v>
      </c>
      <c r="C16" t="s">
        <v>49</v>
      </c>
      <c r="D16" s="26">
        <f>IF(TRUE,0,_xll.PSFx2BAL(CN,"*","GLCode",$B16,"COSTCENTRE",D$3,PF,PT))</f>
        <v>0</v>
      </c>
      <c r="E16" s="26">
        <f>IF(TRUE,6578639.44,_xll.PSFx2BAL(CN,"*","GLCode",$B16,"COSTCENTRE",E$3,PF,PT))</f>
        <v>6578639.4400000004</v>
      </c>
      <c r="F16" s="26">
        <f>IF(TRUE,0,_xll.PSFx2BAL(CN,"*","GLCode",$B16,"COSTCENTRE",F$3,PF,PT))</f>
        <v>0</v>
      </c>
      <c r="G16" s="26">
        <f>IF(TRUE,0,_xll.PSFx2BAL(CN,"*","GLCode",$B16,"COSTCENTRE",G$3,PF,PT))</f>
        <v>0</v>
      </c>
      <c r="H16" s="26">
        <f>IF(TRUE,0,_xll.PSFx2BAL(CN,"*","GLCode",$B16,"COSTCENTRE",H$3,PF,PT))</f>
        <v>0</v>
      </c>
      <c r="I16" s="26">
        <f>IF(TRUE,0,_xll.PSFx2BAL(CN,"*","GLCode",$B16,"COSTCENTRE",I$3,PF,PT))</f>
        <v>0</v>
      </c>
      <c r="J16" s="26">
        <f>IF(TRUE,0,_xll.PSFx2BAL(CN,"*","GLCode",$B16,"COSTCENTRE",J$3,PF,PT))</f>
        <v>0</v>
      </c>
      <c r="K16" s="26">
        <f>IF(TRUE,0,_xll.PSFx2BAL(CN,"*","GLCode",$B16,"COSTCENTRE",K$3,PF,PT))</f>
        <v>0</v>
      </c>
      <c r="L16" s="26">
        <f>IF(TRUE,0,_xll.PSFx2BAL(CN,"*","GLCode",$B16,"COSTCENTRE",L$3,PF,PT))</f>
        <v>0</v>
      </c>
      <c r="M16" s="26">
        <f>IF(TRUE,0,_xll.PSFx2BAL(CN,"*","GLCode",$B16,"COSTCENTRE",M$3,PF,PT))</f>
        <v>0</v>
      </c>
      <c r="N16" s="26">
        <f>IF(TRUE,0,_xll.PSFx2BAL(CN,"*","GLCode",$B16,"COSTCENTRE",N$3,PF,PT))</f>
        <v>0</v>
      </c>
      <c r="O16" s="18">
        <f t="shared" si="3"/>
        <v>6578639.4400000004</v>
      </c>
      <c r="Q16" s="19">
        <f t="shared" si="4"/>
        <v>6578639.4400000004</v>
      </c>
      <c r="S16" s="137"/>
      <c r="T16" s="137"/>
      <c r="U16" s="137"/>
      <c r="V16" s="137"/>
      <c r="W16" s="137"/>
      <c r="X16" s="137"/>
      <c r="Z16" s="137"/>
      <c r="AA16" s="137"/>
      <c r="AB16" s="137"/>
      <c r="AE16" s="137"/>
      <c r="AF16" s="137"/>
    </row>
    <row r="17" spans="1:32" x14ac:dyDescent="0.2">
      <c r="A17" s="1">
        <f t="shared" si="5"/>
        <v>6101</v>
      </c>
      <c r="B17" t="s">
        <v>50</v>
      </c>
      <c r="C17" t="s">
        <v>287</v>
      </c>
      <c r="D17" s="26">
        <f>IF(TRUE,0,_xll.PSFx2BAL(CN,"*","GLCode",$B17,"COSTCENTRE",D$3,PF,PT))</f>
        <v>0</v>
      </c>
      <c r="E17" s="26">
        <f>IF(TRUE,69961.62,_xll.PSFx2BAL(CN,"*","GLCode",$B17,"COSTCENTRE",E$3,PF,PT))</f>
        <v>69961.62</v>
      </c>
      <c r="F17" s="26">
        <f>IF(TRUE,0,_xll.PSFx2BAL(CN,"*","GLCode",$B17,"COSTCENTRE",F$3,PF,PT))</f>
        <v>0</v>
      </c>
      <c r="G17" s="26">
        <f>IF(TRUE,0,_xll.PSFx2BAL(CN,"*","GLCode",$B17,"COSTCENTRE",G$3,PF,PT))</f>
        <v>0</v>
      </c>
      <c r="H17" s="26">
        <f>IF(TRUE,4174.34,_xll.PSFx2BAL(CN,"*","GLCode",$B17,"COSTCENTRE",H$3,PF,PT))</f>
        <v>4174.34</v>
      </c>
      <c r="I17" s="26">
        <f>IF(TRUE,0,_xll.PSFx2BAL(CN,"*","GLCode",$B17,"COSTCENTRE",I$3,PF,PT))</f>
        <v>0</v>
      </c>
      <c r="J17" s="26">
        <f>IF(TRUE,0,_xll.PSFx2BAL(CN,"*","GLCode",$B17,"COSTCENTRE",J$3,PF,PT))</f>
        <v>0</v>
      </c>
      <c r="K17" s="26">
        <f>IF(TRUE,0,_xll.PSFx2BAL(CN,"*","GLCode",$B17,"COSTCENTRE",K$3,PF,PT))</f>
        <v>0</v>
      </c>
      <c r="L17" s="26">
        <f>IF(TRUE,0,_xll.PSFx2BAL(CN,"*","GLCode",$B17,"COSTCENTRE",L$3,PF,PT))</f>
        <v>0</v>
      </c>
      <c r="M17" s="26">
        <f>IF(TRUE,0,_xll.PSFx2BAL(CN,"*","GLCode",$B17,"COSTCENTRE",M$3,PF,PT))</f>
        <v>0</v>
      </c>
      <c r="N17" s="26">
        <f>IF(TRUE,0,_xll.PSFx2BAL(CN,"*","GLCode",$B17,"COSTCENTRE",N$3,PF,PT))</f>
        <v>0</v>
      </c>
      <c r="O17" s="18">
        <f t="shared" si="3"/>
        <v>74135.959999999992</v>
      </c>
      <c r="Q17" s="19">
        <f t="shared" si="4"/>
        <v>74135.959999999992</v>
      </c>
      <c r="S17" s="26"/>
      <c r="T17" s="26"/>
      <c r="U17" s="26"/>
      <c r="V17" s="26"/>
      <c r="W17" s="26"/>
      <c r="X17" s="26">
        <f>$O17</f>
        <v>74135.959999999992</v>
      </c>
      <c r="Y17" s="26"/>
      <c r="Z17" s="26"/>
      <c r="AA17" s="26"/>
      <c r="AB17" s="26"/>
      <c r="AC17" s="460">
        <f t="shared" ref="AC17:AC49" si="9">O17-SUM(S17:AB17)</f>
        <v>0</v>
      </c>
      <c r="AD17" s="26"/>
      <c r="AE17" s="26">
        <f>VLOOKUP(A17,'P&amp;L by Award'!$A$5:$AM$101,'P&amp;L by Award'!$AM$3,FALSE)</f>
        <v>54737.33</v>
      </c>
      <c r="AF17" s="26"/>
    </row>
    <row r="18" spans="1:32" x14ac:dyDescent="0.2">
      <c r="A18" s="1">
        <f t="shared" si="5"/>
        <v>6102</v>
      </c>
      <c r="B18" t="s">
        <v>52</v>
      </c>
      <c r="C18" t="s">
        <v>53</v>
      </c>
      <c r="D18" s="26">
        <f>IF(TRUE,0,_xll.PSFx2BAL(CN,"*","GLCode",$B18,"COSTCENTRE",D$3,PF,PT))</f>
        <v>0</v>
      </c>
      <c r="E18" s="26">
        <f>IF(TRUE,16954.08,_xll.PSFx2BAL(CN,"*","GLCode",$B18,"COSTCENTRE",E$3,PF,PT))</f>
        <v>16954.080000000002</v>
      </c>
      <c r="F18" s="26">
        <f>IF(TRUE,0,_xll.PSFx2BAL(CN,"*","GLCode",$B18,"COSTCENTRE",F$3,PF,PT))</f>
        <v>0</v>
      </c>
      <c r="G18" s="26">
        <f>IF(TRUE,0,_xll.PSFx2BAL(CN,"*","GLCode",$B18,"COSTCENTRE",G$3,PF,PT))</f>
        <v>0</v>
      </c>
      <c r="H18" s="26">
        <f>IF(TRUE,0,_xll.PSFx2BAL(CN,"*","GLCode",$B18,"COSTCENTRE",H$3,PF,PT))</f>
        <v>0</v>
      </c>
      <c r="I18" s="26">
        <f>IF(TRUE,0,_xll.PSFx2BAL(CN,"*","GLCode",$B18,"COSTCENTRE",I$3,PF,PT))</f>
        <v>0</v>
      </c>
      <c r="J18" s="26">
        <f>IF(TRUE,0,_xll.PSFx2BAL(CN,"*","GLCode",$B18,"COSTCENTRE",J$3,PF,PT))</f>
        <v>0</v>
      </c>
      <c r="K18" s="26">
        <f>IF(TRUE,0,_xll.PSFx2BAL(CN,"*","GLCode",$B18,"COSTCENTRE",K$3,PF,PT))</f>
        <v>0</v>
      </c>
      <c r="L18" s="26">
        <f>IF(TRUE,0,_xll.PSFx2BAL(CN,"*","GLCode",$B18,"COSTCENTRE",L$3,PF,PT))</f>
        <v>0</v>
      </c>
      <c r="M18" s="26">
        <f>IF(TRUE,0,_xll.PSFx2BAL(CN,"*","GLCode",$B18,"COSTCENTRE",M$3,PF,PT))</f>
        <v>0</v>
      </c>
      <c r="N18" s="26">
        <f>IF(TRUE,0,_xll.PSFx2BAL(CN,"*","GLCode",$B18,"COSTCENTRE",N$3,PF,PT))</f>
        <v>0</v>
      </c>
      <c r="O18" s="18">
        <f t="shared" si="3"/>
        <v>16954.080000000002</v>
      </c>
      <c r="Q18" s="19">
        <f t="shared" si="4"/>
        <v>16954.080000000002</v>
      </c>
      <c r="S18" s="26"/>
      <c r="T18" s="26"/>
      <c r="U18" s="26"/>
      <c r="V18" s="26"/>
      <c r="W18" s="26"/>
      <c r="X18" s="26">
        <f>$O18</f>
        <v>16954.080000000002</v>
      </c>
      <c r="Y18" s="26"/>
      <c r="Z18" s="26"/>
      <c r="AA18" s="26"/>
      <c r="AB18" s="26"/>
      <c r="AC18" s="460">
        <f t="shared" si="9"/>
        <v>0</v>
      </c>
      <c r="AD18" s="26"/>
      <c r="AE18" s="26">
        <f>VLOOKUP(A18,'P&amp;L by Award'!$A$5:$AM$101,'P&amp;L by Award'!$AM$3,FALSE)</f>
        <v>4617.5499999999993</v>
      </c>
      <c r="AF18" s="26"/>
    </row>
    <row r="19" spans="1:32" x14ac:dyDescent="0.2">
      <c r="A19" s="1">
        <f t="shared" si="5"/>
        <v>6103</v>
      </c>
      <c r="B19" t="s">
        <v>54</v>
      </c>
      <c r="C19" t="s">
        <v>55</v>
      </c>
      <c r="D19" s="26">
        <f>IF(TRUE,0,_xll.PSFx2BAL(CN,"*","GLCode",$B19,"COSTCENTRE",D$3,PF,PT))</f>
        <v>0</v>
      </c>
      <c r="E19" s="26">
        <f>IF(TRUE,388.52,_xll.PSFx2BAL(CN,"*","GLCode",$B19,"COSTCENTRE",E$3,PF,PT))</f>
        <v>388.52</v>
      </c>
      <c r="F19" s="26">
        <f>IF(TRUE,0,_xll.PSFx2BAL(CN,"*","GLCode",$B19,"COSTCENTRE",F$3,PF,PT))</f>
        <v>0</v>
      </c>
      <c r="G19" s="26">
        <f>IF(TRUE,0,_xll.PSFx2BAL(CN,"*","GLCode",$B19,"COSTCENTRE",G$3,PF,PT))</f>
        <v>0</v>
      </c>
      <c r="H19" s="26">
        <f>IF(TRUE,0,_xll.PSFx2BAL(CN,"*","GLCode",$B19,"COSTCENTRE",H$3,PF,PT))</f>
        <v>0</v>
      </c>
      <c r="I19" s="26">
        <f>IF(TRUE,0,_xll.PSFx2BAL(CN,"*","GLCode",$B19,"COSTCENTRE",I$3,PF,PT))</f>
        <v>0</v>
      </c>
      <c r="J19" s="26">
        <f>IF(TRUE,0,_xll.PSFx2BAL(CN,"*","GLCode",$B19,"COSTCENTRE",J$3,PF,PT))</f>
        <v>0</v>
      </c>
      <c r="K19" s="26">
        <f>IF(TRUE,0,_xll.PSFx2BAL(CN,"*","GLCode",$B19,"COSTCENTRE",K$3,PF,PT))</f>
        <v>0</v>
      </c>
      <c r="L19" s="26">
        <f>IF(TRUE,0,_xll.PSFx2BAL(CN,"*","GLCode",$B19,"COSTCENTRE",L$3,PF,PT))</f>
        <v>0</v>
      </c>
      <c r="M19" s="26">
        <f>IF(TRUE,0,_xll.PSFx2BAL(CN,"*","GLCode",$B19,"COSTCENTRE",M$3,PF,PT))</f>
        <v>0</v>
      </c>
      <c r="N19" s="26">
        <f>IF(TRUE,0,_xll.PSFx2BAL(CN,"*","GLCode",$B19,"COSTCENTRE",N$3,PF,PT))</f>
        <v>0</v>
      </c>
      <c r="O19" s="18">
        <f t="shared" si="3"/>
        <v>388.52</v>
      </c>
      <c r="Q19" s="19">
        <f t="shared" si="4"/>
        <v>388.52</v>
      </c>
      <c r="S19" s="26"/>
      <c r="T19" s="26"/>
      <c r="U19" s="26"/>
      <c r="V19" s="26"/>
      <c r="W19" s="26"/>
      <c r="X19" s="26">
        <f>$O19</f>
        <v>388.52</v>
      </c>
      <c r="Y19" s="26"/>
      <c r="Z19" s="26"/>
      <c r="AA19" s="26"/>
      <c r="AB19" s="26"/>
      <c r="AC19" s="460">
        <f t="shared" si="9"/>
        <v>0</v>
      </c>
      <c r="AD19" s="26"/>
      <c r="AE19" s="26">
        <f>VLOOKUP(A19,'P&amp;L by Award'!$A$5:$AM$101,'P&amp;L by Award'!$AM$3,FALSE)</f>
        <v>388.52</v>
      </c>
      <c r="AF19" s="26"/>
    </row>
    <row r="20" spans="1:32" x14ac:dyDescent="0.2">
      <c r="A20" s="1">
        <f t="shared" ref="A20" si="10">VALUE(B20)</f>
        <v>6104</v>
      </c>
      <c r="B20" s="202" t="s">
        <v>496</v>
      </c>
      <c r="C20" t="s">
        <v>497</v>
      </c>
      <c r="D20" s="26">
        <f>IF(TRUE,0,_xll.PSFx2BAL(CN,"*","GLCode",$B20,"COSTCENTRE",D$3,PF,PT))</f>
        <v>0</v>
      </c>
      <c r="E20" s="26">
        <f>IF(TRUE,3784.33,_xll.PSFx2BAL(CN,"*","GLCode",$B20,"COSTCENTRE",E$3,PF,PT))</f>
        <v>3784.33</v>
      </c>
      <c r="F20" s="26">
        <f>IF(TRUE,0,_xll.PSFx2BAL(CN,"*","GLCode",$B20,"COSTCENTRE",F$3,PF,PT))</f>
        <v>0</v>
      </c>
      <c r="G20" s="26">
        <f>IF(TRUE,0,_xll.PSFx2BAL(CN,"*","GLCode",$B20,"COSTCENTRE",G$3,PF,PT))</f>
        <v>0</v>
      </c>
      <c r="H20" s="26">
        <f>IF(TRUE,0,_xll.PSFx2BAL(CN,"*","GLCode",$B20,"COSTCENTRE",H$3,PF,PT))</f>
        <v>0</v>
      </c>
      <c r="I20" s="26">
        <f>IF(TRUE,0,_xll.PSFx2BAL(CN,"*","GLCode",$B20,"COSTCENTRE",I$3,PF,PT))</f>
        <v>0</v>
      </c>
      <c r="J20" s="26">
        <f>IF(TRUE,0,_xll.PSFx2BAL(CN,"*","GLCode",$B20,"COSTCENTRE",J$3,PF,PT))</f>
        <v>0</v>
      </c>
      <c r="K20" s="26">
        <f>IF(TRUE,0,_xll.PSFx2BAL(CN,"*","GLCode",$B20,"COSTCENTRE",K$3,PF,PT))</f>
        <v>0</v>
      </c>
      <c r="L20" s="26">
        <f>IF(TRUE,0,_xll.PSFx2BAL(CN,"*","GLCode",$B20,"COSTCENTRE",L$3,PF,PT))</f>
        <v>0</v>
      </c>
      <c r="M20" s="26">
        <f>IF(TRUE,0,_xll.PSFx2BAL(CN,"*","GLCode",$B20,"COSTCENTRE",M$3,PF,PT))</f>
        <v>0</v>
      </c>
      <c r="N20" s="26">
        <f>IF(TRUE,0,_xll.PSFx2BAL(CN,"*","GLCode",$B20,"COSTCENTRE",N$3,PF,PT))</f>
        <v>0</v>
      </c>
      <c r="O20" s="18">
        <f t="shared" ref="O20" si="11">SUM(D20:N20)</f>
        <v>3784.33</v>
      </c>
      <c r="Q20" s="19">
        <f t="shared" ref="Q20" si="12">O20-SUM(L20:M20)</f>
        <v>3784.33</v>
      </c>
      <c r="S20" s="26"/>
      <c r="T20" s="26"/>
      <c r="U20" s="26"/>
      <c r="V20" s="26"/>
      <c r="W20" s="26"/>
      <c r="X20" s="26">
        <f>$O20</f>
        <v>3784.33</v>
      </c>
      <c r="Y20" s="26"/>
      <c r="Z20" s="26"/>
      <c r="AA20" s="26"/>
      <c r="AB20" s="26"/>
      <c r="AC20" s="460">
        <f t="shared" si="9"/>
        <v>0</v>
      </c>
      <c r="AD20" s="26"/>
      <c r="AE20" s="26">
        <f>VLOOKUP(A20,'P&amp;L by Award'!$A$5:$AM$101,'P&amp;L by Award'!$AM$3,FALSE)</f>
        <v>0</v>
      </c>
      <c r="AF20" s="26"/>
    </row>
    <row r="21" spans="1:32" x14ac:dyDescent="0.2">
      <c r="A21" s="1">
        <f t="shared" si="5"/>
        <v>7000</v>
      </c>
      <c r="B21" t="s">
        <v>56</v>
      </c>
      <c r="C21" t="s">
        <v>57</v>
      </c>
      <c r="D21" s="26">
        <f>IF(TRUE,0,_xll.PSFx2BAL(CN,"*","GLCode",$B21,"COSTCENTRE",D$3,PF,PT))</f>
        <v>0</v>
      </c>
      <c r="E21" s="26">
        <f>IF(TRUE,0,_xll.PSFx2BAL(CN,"*","GLCode",$B21,"COSTCENTRE",E$3,PF,PT))</f>
        <v>0</v>
      </c>
      <c r="F21" s="26">
        <f>IF(TRUE,503263.36,_xll.PSFx2BAL(CN,"*","GLCode",$B21,"COSTCENTRE",F$3,PF,PT))</f>
        <v>503263.36</v>
      </c>
      <c r="G21" s="26">
        <f>IF(TRUE,382075.01,_xll.PSFx2BAL(CN,"*","GLCode",$B21,"COSTCENTRE",G$3,PF,PT))</f>
        <v>382075.01</v>
      </c>
      <c r="H21" s="26">
        <f>IF(TRUE,187051.25,_xll.PSFx2BAL(CN,"*","GLCode",$B21,"COSTCENTRE",H$3,PF,PT))</f>
        <v>187051.25</v>
      </c>
      <c r="I21" s="26">
        <f>IF(TRUE,478259.22,_xll.PSFx2BAL(CN,"*","GLCode",$B21,"COSTCENTRE",I$3,PF,PT))</f>
        <v>478259.22</v>
      </c>
      <c r="J21" s="26">
        <f>IF(TRUE,30499.56,_xll.PSFx2BAL(CN,"*","GLCode",$B21,"COSTCENTRE",J$3,PF,PT))</f>
        <v>30499.56</v>
      </c>
      <c r="K21" s="26">
        <f>IF(TRUE,0,_xll.PSFx2BAL(CN,"*","GLCode",$B21,"COSTCENTRE",K$3,PF,PT))</f>
        <v>0</v>
      </c>
      <c r="L21" s="26">
        <f>IF(TRUE,0,_xll.PSFx2BAL(CN,"*","GLCode",$B21,"COSTCENTRE",L$3,PF,PT))</f>
        <v>0</v>
      </c>
      <c r="M21" s="26">
        <f>IF(TRUE,0,_xll.PSFx2BAL(CN,"*","GLCode",$B21,"COSTCENTRE",M$3,PF,PT))</f>
        <v>0</v>
      </c>
      <c r="N21" s="26">
        <f>IF(TRUE,0,_xll.PSFx2BAL(CN,"*","GLCode",$B21,"COSTCENTRE",N$3,PF,PT))</f>
        <v>0</v>
      </c>
      <c r="O21" s="18">
        <f t="shared" si="3"/>
        <v>1581148.4000000001</v>
      </c>
      <c r="Q21" s="67">
        <f t="shared" si="4"/>
        <v>1581148.4000000001</v>
      </c>
      <c r="S21" s="26"/>
      <c r="T21" s="26"/>
      <c r="U21" s="26"/>
      <c r="V21" s="26"/>
      <c r="W21" s="26">
        <f>$O21-AA21</f>
        <v>1447062.9300000002</v>
      </c>
      <c r="X21" s="26"/>
      <c r="Y21" s="26"/>
      <c r="Z21" s="26"/>
      <c r="AA21" s="135">
        <v>134085.47</v>
      </c>
      <c r="AB21" s="26"/>
      <c r="AC21" s="460">
        <f t="shared" si="9"/>
        <v>0</v>
      </c>
      <c r="AD21" s="26"/>
      <c r="AE21" s="26">
        <f>VLOOKUP(A21,'P&amp;L by Award'!$A$5:$AM$101,'P&amp;L by Award'!$AM$3,FALSE)</f>
        <v>778977.14999999991</v>
      </c>
      <c r="AF21" s="135">
        <v>22478.300000000003</v>
      </c>
    </row>
    <row r="22" spans="1:32" hidden="1" x14ac:dyDescent="0.2">
      <c r="A22" s="1">
        <f t="shared" si="5"/>
        <v>7001</v>
      </c>
      <c r="B22" t="s">
        <v>288</v>
      </c>
      <c r="C22" t="s">
        <v>289</v>
      </c>
      <c r="D22" s="26">
        <f>IF(TRUE,0,_xll.PSFx2BAL(CN,"*","GLCode",$B22,"COSTCENTRE",D$3,PF,PT))</f>
        <v>0</v>
      </c>
      <c r="E22" s="26">
        <f>IF(TRUE,0,_xll.PSFx2BAL(CN,"*","GLCode",$B22,"COSTCENTRE",E$3,PF,PT))</f>
        <v>0</v>
      </c>
      <c r="F22" s="26">
        <f>IF(TRUE,0,_xll.PSFx2BAL(CN,"*","GLCode",$B22,"COSTCENTRE",F$3,PF,PT))</f>
        <v>0</v>
      </c>
      <c r="G22" s="26">
        <f>IF(TRUE,0,_xll.PSFx2BAL(CN,"*","GLCode",$B22,"COSTCENTRE",G$3,PF,PT))</f>
        <v>0</v>
      </c>
      <c r="H22" s="26">
        <f>IF(TRUE,0,_xll.PSFx2BAL(CN,"*","GLCode",$B22,"COSTCENTRE",H$3,PF,PT))</f>
        <v>0</v>
      </c>
      <c r="I22" s="26">
        <f>IF(TRUE,0,_xll.PSFx2BAL(CN,"*","GLCode",$B22,"COSTCENTRE",I$3,PF,PT))</f>
        <v>0</v>
      </c>
      <c r="J22" s="26">
        <f>IF(TRUE,0,_xll.PSFx2BAL(CN,"*","GLCode",$B22,"COSTCENTRE",J$3,PF,PT))</f>
        <v>0</v>
      </c>
      <c r="K22" s="26">
        <f>IF(TRUE,0,_xll.PSFx2BAL(CN,"*","GLCode",$B22,"COSTCENTRE",K$3,PF,PT))</f>
        <v>0</v>
      </c>
      <c r="L22" s="26">
        <f>IF(TRUE,0,_xll.PSFx2BAL(CN,"*","GLCode",$B22,"COSTCENTRE",L$3,PF,PT))</f>
        <v>0</v>
      </c>
      <c r="M22" s="26">
        <f>IF(TRUE,0,_xll.PSFx2BAL(CN,"*","GLCode",$B22,"COSTCENTRE",M$3,PF,PT))</f>
        <v>0</v>
      </c>
      <c r="N22" s="26">
        <f>IF(TRUE,0,_xll.PSFx2BAL(CN,"*","GLCode",$B22,"COSTCENTRE",N$3,PF,PT))</f>
        <v>0</v>
      </c>
      <c r="O22" s="18">
        <f t="shared" si="3"/>
        <v>0</v>
      </c>
      <c r="Q22" s="19">
        <f t="shared" si="4"/>
        <v>0</v>
      </c>
      <c r="S22" s="26"/>
      <c r="T22" s="26"/>
      <c r="U22" s="26"/>
      <c r="V22" s="26"/>
      <c r="W22" s="26"/>
      <c r="X22" s="26"/>
      <c r="Y22" s="26"/>
      <c r="Z22" s="26"/>
      <c r="AA22" s="26"/>
      <c r="AB22" s="26"/>
      <c r="AC22" s="460">
        <f t="shared" si="9"/>
        <v>0</v>
      </c>
      <c r="AD22" s="26"/>
      <c r="AE22" s="26">
        <f>VLOOKUP(A22,'P&amp;L by Award'!$A$5:$AM$101,'P&amp;L by Award'!$AM$3,FALSE)</f>
        <v>0</v>
      </c>
      <c r="AF22" s="26"/>
    </row>
    <row r="23" spans="1:32" hidden="1" x14ac:dyDescent="0.2">
      <c r="A23" s="1">
        <f t="shared" si="5"/>
        <v>7002</v>
      </c>
      <c r="B23" t="s">
        <v>290</v>
      </c>
      <c r="C23" t="s">
        <v>291</v>
      </c>
      <c r="D23" s="26">
        <f>IF(TRUE,0,_xll.PSFx2BAL(CN,"*","GLCode",$B23,"COSTCENTRE",D$3,PF,PT))</f>
        <v>0</v>
      </c>
      <c r="E23" s="26">
        <f>IF(TRUE,0,_xll.PSFx2BAL(CN,"*","GLCode",$B23,"COSTCENTRE",E$3,PF,PT))</f>
        <v>0</v>
      </c>
      <c r="F23" s="26">
        <f>IF(TRUE,0,_xll.PSFx2BAL(CN,"*","GLCode",$B23,"COSTCENTRE",F$3,PF,PT))</f>
        <v>0</v>
      </c>
      <c r="G23" s="26">
        <f>IF(TRUE,0,_xll.PSFx2BAL(CN,"*","GLCode",$B23,"COSTCENTRE",G$3,PF,PT))</f>
        <v>0</v>
      </c>
      <c r="H23" s="26">
        <f>IF(TRUE,0,_xll.PSFx2BAL(CN,"*","GLCode",$B23,"COSTCENTRE",H$3,PF,PT))</f>
        <v>0</v>
      </c>
      <c r="I23" s="26">
        <f>IF(TRUE,0,_xll.PSFx2BAL(CN,"*","GLCode",$B23,"COSTCENTRE",I$3,PF,PT))</f>
        <v>0</v>
      </c>
      <c r="J23" s="26">
        <f>IF(TRUE,0,_xll.PSFx2BAL(CN,"*","GLCode",$B23,"COSTCENTRE",J$3,PF,PT))</f>
        <v>0</v>
      </c>
      <c r="K23" s="26">
        <f>IF(TRUE,0,_xll.PSFx2BAL(CN,"*","GLCode",$B23,"COSTCENTRE",K$3,PF,PT))</f>
        <v>0</v>
      </c>
      <c r="L23" s="26">
        <f>IF(TRUE,0,_xll.PSFx2BAL(CN,"*","GLCode",$B23,"COSTCENTRE",L$3,PF,PT))</f>
        <v>0</v>
      </c>
      <c r="M23" s="26">
        <f>IF(TRUE,0,_xll.PSFx2BAL(CN,"*","GLCode",$B23,"COSTCENTRE",M$3,PF,PT))</f>
        <v>0</v>
      </c>
      <c r="N23" s="26">
        <f>IF(TRUE,0,_xll.PSFx2BAL(CN,"*","GLCode",$B23,"COSTCENTRE",N$3,PF,PT))</f>
        <v>0</v>
      </c>
      <c r="O23" s="18">
        <f t="shared" si="3"/>
        <v>0</v>
      </c>
      <c r="Q23" s="19">
        <f t="shared" si="4"/>
        <v>0</v>
      </c>
      <c r="S23" s="26"/>
      <c r="T23" s="26"/>
      <c r="U23" s="26"/>
      <c r="V23" s="26"/>
      <c r="W23" s="26"/>
      <c r="X23" s="26"/>
      <c r="Y23" s="26"/>
      <c r="Z23" s="26"/>
      <c r="AA23" s="26"/>
      <c r="AB23" s="26"/>
      <c r="AC23" s="460">
        <f t="shared" si="9"/>
        <v>0</v>
      </c>
      <c r="AD23" s="26"/>
      <c r="AE23" s="26">
        <f>VLOOKUP(A23,'P&amp;L by Award'!$A$5:$AM$101,'P&amp;L by Award'!$AM$3,FALSE)</f>
        <v>0</v>
      </c>
      <c r="AF23" s="26"/>
    </row>
    <row r="24" spans="1:32" x14ac:dyDescent="0.2">
      <c r="A24" s="1">
        <f t="shared" si="5"/>
        <v>7010</v>
      </c>
      <c r="B24" t="s">
        <v>58</v>
      </c>
      <c r="C24" t="s">
        <v>59</v>
      </c>
      <c r="D24" s="26">
        <f>IF(TRUE,0,_xll.PSFx2BAL(CN,"*","GLCode",$B24,"COSTCENTRE",D$3,PF,PT))</f>
        <v>0</v>
      </c>
      <c r="E24" s="26">
        <f>IF(TRUE,21448.78,_xll.PSFx2BAL(CN,"*","GLCode",$B24,"COSTCENTRE",E$3,PF,PT))</f>
        <v>21448.78</v>
      </c>
      <c r="F24" s="26">
        <f>IF(TRUE,0,_xll.PSFx2BAL(CN,"*","GLCode",$B24,"COSTCENTRE",F$3,PF,PT))</f>
        <v>0</v>
      </c>
      <c r="G24" s="26">
        <f>IF(TRUE,118585.94,_xll.PSFx2BAL(CN,"*","GLCode",$B24,"COSTCENTRE",G$3,PF,PT))</f>
        <v>118585.94</v>
      </c>
      <c r="H24" s="26">
        <f>IF(TRUE,39203.45,_xll.PSFx2BAL(CN,"*","GLCode",$B24,"COSTCENTRE",H$3,PF,PT))</f>
        <v>39203.449999999997</v>
      </c>
      <c r="I24" s="26">
        <f>IF(TRUE,35152.55,_xll.PSFx2BAL(CN,"*","GLCode",$B24,"COSTCENTRE",I$3,PF,PT))</f>
        <v>35152.550000000003</v>
      </c>
      <c r="J24" s="26">
        <f>IF(TRUE,14557.86,_xll.PSFx2BAL(CN,"*","GLCode",$B24,"COSTCENTRE",J$3,PF,PT))</f>
        <v>14557.86</v>
      </c>
      <c r="K24" s="26">
        <f>IF(TRUE,0,_xll.PSFx2BAL(CN,"*","GLCode",$B24,"COSTCENTRE",K$3,PF,PT))</f>
        <v>0</v>
      </c>
      <c r="L24" s="26">
        <f>IF(TRUE,0,_xll.PSFx2BAL(CN,"*","GLCode",$B24,"COSTCENTRE",L$3,PF,PT))</f>
        <v>0</v>
      </c>
      <c r="M24" s="26">
        <f>IF(TRUE,0,_xll.PSFx2BAL(CN,"*","GLCode",$B24,"COSTCENTRE",M$3,PF,PT))</f>
        <v>0</v>
      </c>
      <c r="N24" s="26">
        <f>IF(TRUE,0,_xll.PSFx2BAL(CN,"*","GLCode",$B24,"COSTCENTRE",N$3,PF,PT))</f>
        <v>0</v>
      </c>
      <c r="O24" s="18">
        <f t="shared" si="3"/>
        <v>228948.57999999996</v>
      </c>
      <c r="Q24" s="67">
        <f t="shared" si="4"/>
        <v>228948.57999999996</v>
      </c>
      <c r="S24" s="26"/>
      <c r="T24" s="26"/>
      <c r="U24" s="26">
        <f>G149</f>
        <v>2521.5500000000002</v>
      </c>
      <c r="V24" s="26">
        <f>G150</f>
        <v>0</v>
      </c>
      <c r="W24" s="26"/>
      <c r="X24" s="26">
        <f>G139</f>
        <v>180863.58</v>
      </c>
      <c r="Y24" s="26"/>
      <c r="Z24" s="26"/>
      <c r="AA24" s="26"/>
      <c r="AB24" s="26">
        <f>G145</f>
        <v>45563.45</v>
      </c>
      <c r="AC24" s="460">
        <f t="shared" si="9"/>
        <v>0</v>
      </c>
      <c r="AD24" s="26"/>
      <c r="AE24" s="26">
        <f>VLOOKUP(A24,'P&amp;L by Award'!$A$5:$AM$101,'P&amp;L by Award'!$AM$3,FALSE)</f>
        <v>71793.479999999981</v>
      </c>
      <c r="AF24" s="26"/>
    </row>
    <row r="25" spans="1:32" x14ac:dyDescent="0.2">
      <c r="A25" s="1">
        <f t="shared" si="5"/>
        <v>7011</v>
      </c>
      <c r="B25" t="s">
        <v>60</v>
      </c>
      <c r="C25" t="s">
        <v>61</v>
      </c>
      <c r="D25" s="26">
        <f>IF(TRUE,0,_xll.PSFx2BAL(CN,"*","GLCode",$B25,"COSTCENTRE",D$3,PF,PT))</f>
        <v>0</v>
      </c>
      <c r="E25" s="26">
        <f>IF(TRUE,0,_xll.PSFx2BAL(CN,"*","GLCode",$B25,"COSTCENTRE",E$3,PF,PT))</f>
        <v>0</v>
      </c>
      <c r="F25" s="26">
        <f>IF(TRUE,0,_xll.PSFx2BAL(CN,"*","GLCode",$B25,"COSTCENTRE",F$3,PF,PT))</f>
        <v>0</v>
      </c>
      <c r="G25" s="26">
        <f>IF(TRUE,0,_xll.PSFx2BAL(CN,"*","GLCode",$B25,"COSTCENTRE",G$3,PF,PT))</f>
        <v>0</v>
      </c>
      <c r="H25" s="26">
        <f>IF(TRUE,0,_xll.PSFx2BAL(CN,"*","GLCode",$B25,"COSTCENTRE",H$3,PF,PT))</f>
        <v>0</v>
      </c>
      <c r="I25" s="26">
        <f>IF(TRUE,19466.55,_xll.PSFx2BAL(CN,"*","GLCode",$B25,"COSTCENTRE",I$3,PF,PT))</f>
        <v>19466.55</v>
      </c>
      <c r="J25" s="26">
        <f>IF(TRUE,0,_xll.PSFx2BAL(CN,"*","GLCode",$B25,"COSTCENTRE",J$3,PF,PT))</f>
        <v>0</v>
      </c>
      <c r="K25" s="26">
        <f>IF(TRUE,0,_xll.PSFx2BAL(CN,"*","GLCode",$B25,"COSTCENTRE",K$3,PF,PT))</f>
        <v>0</v>
      </c>
      <c r="L25" s="26">
        <f>IF(TRUE,0,_xll.PSFx2BAL(CN,"*","GLCode",$B25,"COSTCENTRE",L$3,PF,PT))</f>
        <v>0</v>
      </c>
      <c r="M25" s="26">
        <f>IF(TRUE,0,_xll.PSFx2BAL(CN,"*","GLCode",$B25,"COSTCENTRE",M$3,PF,PT))</f>
        <v>0</v>
      </c>
      <c r="N25" s="26">
        <f>IF(TRUE,0,_xll.PSFx2BAL(CN,"*","GLCode",$B25,"COSTCENTRE",N$3,PF,PT))</f>
        <v>0</v>
      </c>
      <c r="O25" s="18">
        <f t="shared" si="3"/>
        <v>19466.55</v>
      </c>
      <c r="Q25" s="67">
        <f t="shared" si="4"/>
        <v>19466.55</v>
      </c>
      <c r="S25" s="26"/>
      <c r="T25" s="26"/>
      <c r="U25" s="26"/>
      <c r="V25" s="26"/>
      <c r="W25" s="26"/>
      <c r="X25" s="26"/>
      <c r="Y25" s="26"/>
      <c r="Z25" s="26"/>
      <c r="AA25" s="26">
        <f>G162</f>
        <v>19466.550000000003</v>
      </c>
      <c r="AB25" s="26"/>
      <c r="AC25" s="460">
        <f t="shared" si="9"/>
        <v>0</v>
      </c>
      <c r="AD25" s="26"/>
      <c r="AE25" s="26">
        <f>VLOOKUP(A25,'P&amp;L by Award'!$A$5:$AM$101,'P&amp;L by Award'!$AM$3,FALSE)</f>
        <v>1421.9699999999975</v>
      </c>
      <c r="AF25" s="26">
        <f>D161+D162</f>
        <v>1421.9699999999998</v>
      </c>
    </row>
    <row r="26" spans="1:32" x14ac:dyDescent="0.2">
      <c r="A26" s="1">
        <f t="shared" si="5"/>
        <v>7020</v>
      </c>
      <c r="B26" t="s">
        <v>62</v>
      </c>
      <c r="C26" t="s">
        <v>63</v>
      </c>
      <c r="D26" s="26">
        <f>IF(TRUE,0,_xll.PSFx2BAL(CN,"*","GLCode",$B26,"COSTCENTRE",D$3,PF,PT))</f>
        <v>0</v>
      </c>
      <c r="E26" s="26">
        <f>IF(TRUE,0,_xll.PSFx2BAL(CN,"*","GLCode",$B26,"COSTCENTRE",E$3,PF,PT))</f>
        <v>0</v>
      </c>
      <c r="F26" s="26">
        <f>IF(TRUE,998,_xll.PSFx2BAL(CN,"*","GLCode",$B26,"COSTCENTRE",F$3,PF,PT))</f>
        <v>998</v>
      </c>
      <c r="G26" s="26">
        <f>IF(TRUE,0,_xll.PSFx2BAL(CN,"*","GLCode",$B26,"COSTCENTRE",G$3,PF,PT))</f>
        <v>0</v>
      </c>
      <c r="H26" s="26">
        <f>IF(TRUE,0,_xll.PSFx2BAL(CN,"*","GLCode",$B26,"COSTCENTRE",H$3,PF,PT))</f>
        <v>0</v>
      </c>
      <c r="I26" s="26">
        <f>IF(TRUE,0,_xll.PSFx2BAL(CN,"*","GLCode",$B26,"COSTCENTRE",I$3,PF,PT))</f>
        <v>0</v>
      </c>
      <c r="J26" s="26">
        <f>IF(TRUE,0,_xll.PSFx2BAL(CN,"*","GLCode",$B26,"COSTCENTRE",J$3,PF,PT))</f>
        <v>0</v>
      </c>
      <c r="K26" s="26">
        <f>IF(TRUE,0,_xll.PSFx2BAL(CN,"*","GLCode",$B26,"COSTCENTRE",K$3,PF,PT))</f>
        <v>0</v>
      </c>
      <c r="L26" s="26">
        <f>IF(TRUE,10640.57,_xll.PSFx2BAL(CN,"*","GLCode",$B26,"COSTCENTRE",L$3,PF,PT))</f>
        <v>10640.57</v>
      </c>
      <c r="M26" s="26">
        <f>IF(TRUE,0,_xll.PSFx2BAL(CN,"*","GLCode",$B26,"COSTCENTRE",M$3,PF,PT))</f>
        <v>0</v>
      </c>
      <c r="N26" s="26">
        <f>IF(TRUE,0,_xll.PSFx2BAL(CN,"*","GLCode",$B26,"COSTCENTRE",N$3,PF,PT))</f>
        <v>0</v>
      </c>
      <c r="O26" s="18">
        <f t="shared" si="3"/>
        <v>11638.57</v>
      </c>
      <c r="Q26" s="67">
        <f t="shared" si="4"/>
        <v>998</v>
      </c>
      <c r="S26" s="26"/>
      <c r="T26" s="26"/>
      <c r="U26" s="26"/>
      <c r="V26" s="26"/>
      <c r="W26" s="26">
        <f>$O26</f>
        <v>11638.57</v>
      </c>
      <c r="X26" s="26"/>
      <c r="Y26" s="26"/>
      <c r="Z26" s="26"/>
      <c r="AA26" s="26"/>
      <c r="AB26" s="26"/>
      <c r="AC26" s="460">
        <f t="shared" si="9"/>
        <v>0</v>
      </c>
      <c r="AD26" s="26"/>
      <c r="AE26" s="26">
        <f>VLOOKUP(A26,'P&amp;L by Award'!$A$5:$AM$101,'P&amp;L by Award'!$AM$3,FALSE)</f>
        <v>0</v>
      </c>
      <c r="AF26" s="26"/>
    </row>
    <row r="27" spans="1:32" x14ac:dyDescent="0.2">
      <c r="A27" s="1">
        <f t="shared" si="5"/>
        <v>7021</v>
      </c>
      <c r="B27" t="s">
        <v>64</v>
      </c>
      <c r="C27" t="s">
        <v>65</v>
      </c>
      <c r="D27" s="26">
        <f>IF(TRUE,0,_xll.PSFx2BAL(CN,"*","GLCode",$B27,"COSTCENTRE",D$3,PF,PT))</f>
        <v>0</v>
      </c>
      <c r="E27" s="26">
        <f>IF(TRUE,0,_xll.PSFx2BAL(CN,"*","GLCode",$B27,"COSTCENTRE",E$3,PF,PT))</f>
        <v>0</v>
      </c>
      <c r="F27" s="26">
        <f>IF(TRUE,0,_xll.PSFx2BAL(CN,"*","GLCode",$B27,"COSTCENTRE",F$3,PF,PT))</f>
        <v>0</v>
      </c>
      <c r="G27" s="26">
        <f>IF(TRUE,0,_xll.PSFx2BAL(CN,"*","GLCode",$B27,"COSTCENTRE",G$3,PF,PT))</f>
        <v>0</v>
      </c>
      <c r="H27" s="26">
        <f>IF(TRUE,0,_xll.PSFx2BAL(CN,"*","GLCode",$B27,"COSTCENTRE",H$3,PF,PT))</f>
        <v>0</v>
      </c>
      <c r="I27" s="26">
        <f>IF(TRUE,1850.5,_xll.PSFx2BAL(CN,"*","GLCode",$B27,"COSTCENTRE",I$3,PF,PT))</f>
        <v>1850.5</v>
      </c>
      <c r="J27" s="26">
        <f>IF(TRUE,1094.4,_xll.PSFx2BAL(CN,"*","GLCode",$B27,"COSTCENTRE",J$3,PF,PT))</f>
        <v>1094.4000000000001</v>
      </c>
      <c r="K27" s="26">
        <f>IF(TRUE,0,_xll.PSFx2BAL(CN,"*","GLCode",$B27,"COSTCENTRE",K$3,PF,PT))</f>
        <v>0</v>
      </c>
      <c r="L27" s="26">
        <f>IF(TRUE,1500,_xll.PSFx2BAL(CN,"*","GLCode",$B27,"COSTCENTRE",L$3,PF,PT))</f>
        <v>1500</v>
      </c>
      <c r="M27" s="26">
        <f>IF(TRUE,0,_xll.PSFx2BAL(CN,"*","GLCode",$B27,"COSTCENTRE",M$3,PF,PT))</f>
        <v>0</v>
      </c>
      <c r="N27" s="26">
        <f>IF(TRUE,0,_xll.PSFx2BAL(CN,"*","GLCode",$B27,"COSTCENTRE",N$3,PF,PT))</f>
        <v>0</v>
      </c>
      <c r="O27" s="18">
        <f t="shared" si="3"/>
        <v>4444.8999999999996</v>
      </c>
      <c r="Q27" s="67">
        <f t="shared" si="4"/>
        <v>2944.8999999999996</v>
      </c>
      <c r="S27" s="26"/>
      <c r="T27" s="26"/>
      <c r="U27" s="26"/>
      <c r="V27" s="26"/>
      <c r="W27" s="26">
        <f>$O27</f>
        <v>4444.8999999999996</v>
      </c>
      <c r="X27" s="26"/>
      <c r="Y27" s="26"/>
      <c r="Z27" s="26"/>
      <c r="AA27" s="26"/>
      <c r="AB27" s="26"/>
      <c r="AC27" s="460">
        <f t="shared" si="9"/>
        <v>0</v>
      </c>
      <c r="AD27" s="26"/>
      <c r="AE27" s="26">
        <f>VLOOKUP(A27,'P&amp;L by Award'!$A$5:$AM$101,'P&amp;L by Award'!$AM$3,FALSE)</f>
        <v>0</v>
      </c>
      <c r="AF27" s="26"/>
    </row>
    <row r="28" spans="1:32" x14ac:dyDescent="0.2">
      <c r="A28" s="1">
        <f t="shared" si="5"/>
        <v>7023</v>
      </c>
      <c r="B28" t="s">
        <v>66</v>
      </c>
      <c r="C28" t="s">
        <v>67</v>
      </c>
      <c r="D28" s="26">
        <f>IF(TRUE,0,_xll.PSFx2BAL(CN,"*","GLCode",$B28,"COSTCENTRE",D$3,PF,PT))</f>
        <v>0</v>
      </c>
      <c r="E28" s="26">
        <f>IF(TRUE,0,_xll.PSFx2BAL(CN,"*","GLCode",$B28,"COSTCENTRE",E$3,PF,PT))</f>
        <v>0</v>
      </c>
      <c r="F28" s="26">
        <f>IF(TRUE,0,_xll.PSFx2BAL(CN,"*","GLCode",$B28,"COSTCENTRE",F$3,PF,PT))</f>
        <v>0</v>
      </c>
      <c r="G28" s="26">
        <f>IF(TRUE,0,_xll.PSFx2BAL(CN,"*","GLCode",$B28,"COSTCENTRE",G$3,PF,PT))</f>
        <v>0</v>
      </c>
      <c r="H28" s="26">
        <f>IF(TRUE,0,_xll.PSFx2BAL(CN,"*","GLCode",$B28,"COSTCENTRE",H$3,PF,PT))</f>
        <v>0</v>
      </c>
      <c r="I28" s="26">
        <f>IF(TRUE,7456.5,_xll.PSFx2BAL(CN,"*","GLCode",$B28,"COSTCENTRE",I$3,PF,PT))</f>
        <v>7456.5</v>
      </c>
      <c r="J28" s="26">
        <f>IF(TRUE,0,_xll.PSFx2BAL(CN,"*","GLCode",$B28,"COSTCENTRE",J$3,PF,PT))</f>
        <v>0</v>
      </c>
      <c r="K28" s="26">
        <f>IF(TRUE,0,_xll.PSFx2BAL(CN,"*","GLCode",$B28,"COSTCENTRE",K$3,PF,PT))</f>
        <v>0</v>
      </c>
      <c r="L28" s="26">
        <f>IF(TRUE,0,_xll.PSFx2BAL(CN,"*","GLCode",$B28,"COSTCENTRE",L$3,PF,PT))</f>
        <v>0</v>
      </c>
      <c r="M28" s="26">
        <f>IF(TRUE,0,_xll.PSFx2BAL(CN,"*","GLCode",$B28,"COSTCENTRE",M$3,PF,PT))</f>
        <v>0</v>
      </c>
      <c r="N28" s="26">
        <f>IF(TRUE,0,_xll.PSFx2BAL(CN,"*","GLCode",$B28,"COSTCENTRE",N$3,PF,PT))</f>
        <v>0</v>
      </c>
      <c r="O28" s="18">
        <f t="shared" si="3"/>
        <v>7456.5</v>
      </c>
      <c r="Q28" s="67">
        <f t="shared" si="4"/>
        <v>7456.5</v>
      </c>
      <c r="S28" s="26"/>
      <c r="T28" s="26"/>
      <c r="U28" s="26">
        <f>$O28</f>
        <v>7456.5</v>
      </c>
      <c r="V28" s="26"/>
      <c r="W28" s="26"/>
      <c r="X28" s="26"/>
      <c r="Y28" s="26"/>
      <c r="Z28" s="26"/>
      <c r="AA28" s="26"/>
      <c r="AB28" s="26"/>
      <c r="AC28" s="460">
        <f t="shared" si="9"/>
        <v>0</v>
      </c>
      <c r="AD28" s="26"/>
      <c r="AE28" s="26">
        <f>VLOOKUP(A28,'P&amp;L by Award'!$A$5:$AM$101,'P&amp;L by Award'!$AM$3,FALSE)</f>
        <v>0</v>
      </c>
      <c r="AF28" s="26"/>
    </row>
    <row r="29" spans="1:32" x14ac:dyDescent="0.2">
      <c r="A29" s="1">
        <f t="shared" si="5"/>
        <v>7030</v>
      </c>
      <c r="B29" t="s">
        <v>68</v>
      </c>
      <c r="C29" t="s">
        <v>69</v>
      </c>
      <c r="D29" s="26">
        <f>IF(TRUE,0,_xll.PSFx2BAL(CN,"*","GLCode",$B29,"COSTCENTRE",D$3,PF,PT))</f>
        <v>0</v>
      </c>
      <c r="E29" s="26">
        <f>IF(TRUE,0,_xll.PSFx2BAL(CN,"*","GLCode",$B29,"COSTCENTRE",E$3,PF,PT))</f>
        <v>0</v>
      </c>
      <c r="F29" s="26">
        <f>IF(TRUE,0,_xll.PSFx2BAL(CN,"*","GLCode",$B29,"COSTCENTRE",F$3,PF,PT))</f>
        <v>0</v>
      </c>
      <c r="G29" s="26">
        <f>IF(TRUE,0,_xll.PSFx2BAL(CN,"*","GLCode",$B29,"COSTCENTRE",G$3,PF,PT))</f>
        <v>0</v>
      </c>
      <c r="H29" s="26">
        <f>IF(TRUE,0,_xll.PSFx2BAL(CN,"*","GLCode",$B29,"COSTCENTRE",H$3,PF,PT))</f>
        <v>0</v>
      </c>
      <c r="I29" s="26">
        <f>IF(TRUE,33603.24,_xll.PSFx2BAL(CN,"*","GLCode",$B29,"COSTCENTRE",I$3,PF,PT))</f>
        <v>33603.24</v>
      </c>
      <c r="J29" s="26">
        <f>IF(TRUE,0,_xll.PSFx2BAL(CN,"*","GLCode",$B29,"COSTCENTRE",J$3,PF,PT))</f>
        <v>0</v>
      </c>
      <c r="K29" s="26">
        <f>IF(TRUE,-695.45,_xll.PSFx2BAL(CN,"*","GLCode",$B29,"COSTCENTRE",K$3,PF,PT))</f>
        <v>-695.45</v>
      </c>
      <c r="L29" s="26">
        <f>IF(TRUE,0,_xll.PSFx2BAL(CN,"*","GLCode",$B29,"COSTCENTRE",L$3,PF,PT))</f>
        <v>0</v>
      </c>
      <c r="M29" s="26">
        <f>IF(TRUE,0,_xll.PSFx2BAL(CN,"*","GLCode",$B29,"COSTCENTRE",M$3,PF,PT))</f>
        <v>0</v>
      </c>
      <c r="N29" s="26">
        <f>IF(TRUE,0,_xll.PSFx2BAL(CN,"*","GLCode",$B29,"COSTCENTRE",N$3,PF,PT))</f>
        <v>0</v>
      </c>
      <c r="O29" s="18">
        <f t="shared" si="3"/>
        <v>32907.79</v>
      </c>
      <c r="Q29" s="67">
        <f t="shared" si="4"/>
        <v>32907.79</v>
      </c>
      <c r="S29" s="26"/>
      <c r="T29" s="26"/>
      <c r="U29" s="26">
        <f>$O29</f>
        <v>32907.79</v>
      </c>
      <c r="V29" s="26"/>
      <c r="W29" s="26"/>
      <c r="X29" s="26"/>
      <c r="Y29" s="26"/>
      <c r="Z29" s="26"/>
      <c r="AA29" s="26"/>
      <c r="AB29" s="26"/>
      <c r="AC29" s="460">
        <f t="shared" si="9"/>
        <v>0</v>
      </c>
      <c r="AD29" s="26"/>
      <c r="AE29" s="26">
        <f>VLOOKUP(A29,'P&amp;L by Award'!$A$5:$AM$101,'P&amp;L by Award'!$AM$3,FALSE)</f>
        <v>0</v>
      </c>
      <c r="AF29" s="26"/>
    </row>
    <row r="30" spans="1:32" x14ac:dyDescent="0.2">
      <c r="A30" s="1">
        <f t="shared" si="5"/>
        <v>7031</v>
      </c>
      <c r="B30" t="s">
        <v>70</v>
      </c>
      <c r="C30" t="s">
        <v>71</v>
      </c>
      <c r="D30" s="26">
        <f>IF(TRUE,0,_xll.PSFx2BAL(CN,"*","GLCode",$B30,"COSTCENTRE",D$3,PF,PT))</f>
        <v>0</v>
      </c>
      <c r="E30" s="26">
        <f>IF(TRUE,0,_xll.PSFx2BAL(CN,"*","GLCode",$B30,"COSTCENTRE",E$3,PF,PT))</f>
        <v>0</v>
      </c>
      <c r="F30" s="26">
        <f>IF(TRUE,0,_xll.PSFx2BAL(CN,"*","GLCode",$B30,"COSTCENTRE",F$3,PF,PT))</f>
        <v>0</v>
      </c>
      <c r="G30" s="26">
        <f>IF(TRUE,0,_xll.PSFx2BAL(CN,"*","GLCode",$B30,"COSTCENTRE",G$3,PF,PT))</f>
        <v>0</v>
      </c>
      <c r="H30" s="26">
        <f>IF(TRUE,0,_xll.PSFx2BAL(CN,"*","GLCode",$B30,"COSTCENTRE",H$3,PF,PT))</f>
        <v>0</v>
      </c>
      <c r="I30" s="26">
        <f>IF(TRUE,1891.32,_xll.PSFx2BAL(CN,"*","GLCode",$B30,"COSTCENTRE",I$3,PF,PT))</f>
        <v>1891.32</v>
      </c>
      <c r="J30" s="26">
        <f>IF(TRUE,0,_xll.PSFx2BAL(CN,"*","GLCode",$B30,"COSTCENTRE",J$3,PF,PT))</f>
        <v>0</v>
      </c>
      <c r="K30" s="26">
        <f>IF(TRUE,0,_xll.PSFx2BAL(CN,"*","GLCode",$B30,"COSTCENTRE",K$3,PF,PT))</f>
        <v>0</v>
      </c>
      <c r="L30" s="26">
        <f>IF(TRUE,0,_xll.PSFx2BAL(CN,"*","GLCode",$B30,"COSTCENTRE",L$3,PF,PT))</f>
        <v>0</v>
      </c>
      <c r="M30" s="26">
        <f>IF(TRUE,0,_xll.PSFx2BAL(CN,"*","GLCode",$B30,"COSTCENTRE",M$3,PF,PT))</f>
        <v>0</v>
      </c>
      <c r="N30" s="26">
        <f>IF(TRUE,0,_xll.PSFx2BAL(CN,"*","GLCode",$B30,"COSTCENTRE",N$3,PF,PT))</f>
        <v>0</v>
      </c>
      <c r="O30" s="18">
        <f t="shared" si="3"/>
        <v>1891.32</v>
      </c>
      <c r="Q30" s="67">
        <f t="shared" si="4"/>
        <v>1891.32</v>
      </c>
      <c r="S30" s="26"/>
      <c r="T30" s="26"/>
      <c r="U30" s="26">
        <f>$O30</f>
        <v>1891.32</v>
      </c>
      <c r="V30" s="26"/>
      <c r="W30" s="26"/>
      <c r="X30" s="26"/>
      <c r="Y30" s="26"/>
      <c r="Z30" s="26"/>
      <c r="AA30" s="26"/>
      <c r="AB30" s="26"/>
      <c r="AC30" s="460">
        <f t="shared" si="9"/>
        <v>0</v>
      </c>
      <c r="AD30" s="26"/>
      <c r="AE30" s="26">
        <f>VLOOKUP(A30,'P&amp;L by Award'!$A$5:$AM$101,'P&amp;L by Award'!$AM$3,FALSE)</f>
        <v>0</v>
      </c>
      <c r="AF30" s="26"/>
    </row>
    <row r="31" spans="1:32" x14ac:dyDescent="0.2">
      <c r="A31" s="1">
        <f t="shared" si="5"/>
        <v>7040</v>
      </c>
      <c r="B31" t="s">
        <v>72</v>
      </c>
      <c r="C31" t="s">
        <v>73</v>
      </c>
      <c r="D31" s="26">
        <f>IF(TRUE,0,_xll.PSFx2BAL(CN,"*","GLCode",$B31,"COSTCENTRE",D$3,PF,PT))</f>
        <v>0</v>
      </c>
      <c r="E31" s="26">
        <f>IF(TRUE,0,_xll.PSFx2BAL(CN,"*","GLCode",$B31,"COSTCENTRE",E$3,PF,PT))</f>
        <v>0</v>
      </c>
      <c r="F31" s="26">
        <f>IF(TRUE,0,_xll.PSFx2BAL(CN,"*","GLCode",$B31,"COSTCENTRE",F$3,PF,PT))</f>
        <v>0</v>
      </c>
      <c r="G31" s="26">
        <f>IF(TRUE,3156.25,_xll.PSFx2BAL(CN,"*","GLCode",$B31,"COSTCENTRE",G$3,PF,PT))</f>
        <v>3156.25</v>
      </c>
      <c r="H31" s="26">
        <f>IF(TRUE,475,_xll.PSFx2BAL(CN,"*","GLCode",$B31,"COSTCENTRE",H$3,PF,PT))</f>
        <v>475</v>
      </c>
      <c r="I31" s="26">
        <f>IF(TRUE,20108.15,_xll.PSFx2BAL(CN,"*","GLCode",$B31,"COSTCENTRE",I$3,PF,PT))</f>
        <v>20108.150000000001</v>
      </c>
      <c r="J31" s="26">
        <f>IF(TRUE,0,_xll.PSFx2BAL(CN,"*","GLCode",$B31,"COSTCENTRE",J$3,PF,PT))</f>
        <v>0</v>
      </c>
      <c r="K31" s="26">
        <f>IF(TRUE,0,_xll.PSFx2BAL(CN,"*","GLCode",$B31,"COSTCENTRE",K$3,PF,PT))</f>
        <v>0</v>
      </c>
      <c r="L31" s="26">
        <f>IF(TRUE,0,_xll.PSFx2BAL(CN,"*","GLCode",$B31,"COSTCENTRE",L$3,PF,PT))</f>
        <v>0</v>
      </c>
      <c r="M31" s="26">
        <f>IF(TRUE,0,_xll.PSFx2BAL(CN,"*","GLCode",$B31,"COSTCENTRE",M$3,PF,PT))</f>
        <v>0</v>
      </c>
      <c r="N31" s="26">
        <f>IF(TRUE,0,_xll.PSFx2BAL(CN,"*","GLCode",$B31,"COSTCENTRE",N$3,PF,PT))</f>
        <v>0</v>
      </c>
      <c r="O31" s="18">
        <f t="shared" si="3"/>
        <v>23739.4</v>
      </c>
      <c r="Q31" s="67">
        <f t="shared" si="4"/>
        <v>23739.4</v>
      </c>
      <c r="S31" s="26"/>
      <c r="T31" s="26"/>
      <c r="U31" s="26"/>
      <c r="V31" s="26"/>
      <c r="W31" s="26">
        <f>$O31</f>
        <v>23739.4</v>
      </c>
      <c r="X31" s="26"/>
      <c r="Y31" s="26"/>
      <c r="Z31" s="26"/>
      <c r="AA31" s="26"/>
      <c r="AB31" s="26"/>
      <c r="AC31" s="460">
        <f t="shared" si="9"/>
        <v>0</v>
      </c>
      <c r="AD31" s="26"/>
      <c r="AE31" s="26">
        <f>VLOOKUP(A31,'P&amp;L by Award'!$A$5:$AM$101,'P&amp;L by Award'!$AM$3,FALSE)</f>
        <v>0</v>
      </c>
      <c r="AF31" s="26"/>
    </row>
    <row r="32" spans="1:32" x14ac:dyDescent="0.2">
      <c r="A32" s="1">
        <f t="shared" si="5"/>
        <v>7100</v>
      </c>
      <c r="B32" t="s">
        <v>74</v>
      </c>
      <c r="C32" t="s">
        <v>75</v>
      </c>
      <c r="D32" s="26">
        <f>IF(TRUE,0,_xll.PSFx2BAL(CN,"*","GLCode",$B32,"COSTCENTRE",D$3,PF,PT))</f>
        <v>0</v>
      </c>
      <c r="E32" s="26">
        <f>IF(TRUE,0,_xll.PSFx2BAL(CN,"*","GLCode",$B32,"COSTCENTRE",E$3,PF,PT))</f>
        <v>0</v>
      </c>
      <c r="F32" s="26">
        <f>IF(TRUE,0,_xll.PSFx2BAL(CN,"*","GLCode",$B32,"COSTCENTRE",F$3,PF,PT))</f>
        <v>0</v>
      </c>
      <c r="G32" s="26">
        <f>IF(TRUE,0,_xll.PSFx2BAL(CN,"*","GLCode",$B32,"COSTCENTRE",G$3,PF,PT))</f>
        <v>0</v>
      </c>
      <c r="H32" s="26">
        <f>IF(TRUE,0,_xll.PSFx2BAL(CN,"*","GLCode",$B32,"COSTCENTRE",H$3,PF,PT))</f>
        <v>0</v>
      </c>
      <c r="I32" s="26">
        <f>IF(TRUE,0,_xll.PSFx2BAL(CN,"*","GLCode",$B32,"COSTCENTRE",I$3,PF,PT))</f>
        <v>0</v>
      </c>
      <c r="J32" s="26">
        <f>IF(TRUE,0,_xll.PSFx2BAL(CN,"*","GLCode",$B32,"COSTCENTRE",J$3,PF,PT))</f>
        <v>0</v>
      </c>
      <c r="K32" s="26">
        <f>IF(TRUE,117382.08,_xll.PSFx2BAL(CN,"*","GLCode",$B32,"COSTCENTRE",K$3,PF,PT))</f>
        <v>117382.08</v>
      </c>
      <c r="L32" s="26">
        <f>IF(TRUE,0,_xll.PSFx2BAL(CN,"*","GLCode",$B32,"COSTCENTRE",L$3,PF,PT))</f>
        <v>0</v>
      </c>
      <c r="M32" s="26">
        <f>IF(TRUE,0,_xll.PSFx2BAL(CN,"*","GLCode",$B32,"COSTCENTRE",M$3,PF,PT))</f>
        <v>0</v>
      </c>
      <c r="N32" s="26">
        <f>IF(TRUE,0,_xll.PSFx2BAL(CN,"*","GLCode",$B32,"COSTCENTRE",N$3,PF,PT))</f>
        <v>0</v>
      </c>
      <c r="O32" s="69">
        <f t="shared" si="3"/>
        <v>117382.08</v>
      </c>
      <c r="Q32" s="67">
        <f t="shared" si="4"/>
        <v>117382.08</v>
      </c>
      <c r="S32" s="26"/>
      <c r="T32" s="26">
        <f>$O32</f>
        <v>117382.08</v>
      </c>
      <c r="U32" s="26"/>
      <c r="V32" s="26"/>
      <c r="W32" s="26"/>
      <c r="X32" s="26"/>
      <c r="Y32" s="26"/>
      <c r="Z32" s="26"/>
      <c r="AA32" s="26"/>
      <c r="AB32" s="26"/>
      <c r="AC32" s="460">
        <f t="shared" si="9"/>
        <v>0</v>
      </c>
      <c r="AD32" s="26"/>
      <c r="AE32" s="26">
        <f>VLOOKUP(A32,'P&amp;L by Award'!$A$5:$AM$101,'P&amp;L by Award'!$AM$3,FALSE)</f>
        <v>0</v>
      </c>
      <c r="AF32" s="26"/>
    </row>
    <row r="33" spans="1:32" hidden="1" x14ac:dyDescent="0.2">
      <c r="A33" s="1">
        <f t="shared" si="5"/>
        <v>7101</v>
      </c>
      <c r="B33" t="s">
        <v>76</v>
      </c>
      <c r="C33" t="s">
        <v>77</v>
      </c>
      <c r="D33" s="26">
        <f>IF(TRUE,0,_xll.PSFx2BAL(CN,"*","GLCode",$B33,"COSTCENTRE",D$3,PF,PT))</f>
        <v>0</v>
      </c>
      <c r="E33" s="26">
        <f>IF(TRUE,0,_xll.PSFx2BAL(CN,"*","GLCode",$B33,"COSTCENTRE",E$3,PF,PT))</f>
        <v>0</v>
      </c>
      <c r="F33" s="26">
        <f>IF(TRUE,0,_xll.PSFx2BAL(CN,"*","GLCode",$B33,"COSTCENTRE",F$3,PF,PT))</f>
        <v>0</v>
      </c>
      <c r="G33" s="26">
        <f>IF(TRUE,0,_xll.PSFx2BAL(CN,"*","GLCode",$B33,"COSTCENTRE",G$3,PF,PT))</f>
        <v>0</v>
      </c>
      <c r="H33" s="26">
        <f>IF(TRUE,0,_xll.PSFx2BAL(CN,"*","GLCode",$B33,"COSTCENTRE",H$3,PF,PT))</f>
        <v>0</v>
      </c>
      <c r="I33" s="26">
        <f>IF(TRUE,0,_xll.PSFx2BAL(CN,"*","GLCode",$B33,"COSTCENTRE",I$3,PF,PT))</f>
        <v>0</v>
      </c>
      <c r="J33" s="26">
        <f>IF(TRUE,0,_xll.PSFx2BAL(CN,"*","GLCode",$B33,"COSTCENTRE",J$3,PF,PT))</f>
        <v>0</v>
      </c>
      <c r="K33" s="26">
        <f>IF(TRUE,0,_xll.PSFx2BAL(CN,"*","GLCode",$B33,"COSTCENTRE",K$3,PF,PT))</f>
        <v>0</v>
      </c>
      <c r="L33" s="26">
        <f>IF(TRUE,0,_xll.PSFx2BAL(CN,"*","GLCode",$B33,"COSTCENTRE",L$3,PF,PT))</f>
        <v>0</v>
      </c>
      <c r="M33" s="26">
        <f>IF(TRUE,0,_xll.PSFx2BAL(CN,"*","GLCode",$B33,"COSTCENTRE",M$3,PF,PT))</f>
        <v>0</v>
      </c>
      <c r="N33" s="26">
        <f>IF(TRUE,0,_xll.PSFx2BAL(CN,"*","GLCode",$B33,"COSTCENTRE",N$3,PF,PT))</f>
        <v>0</v>
      </c>
      <c r="O33" s="69">
        <f t="shared" si="3"/>
        <v>0</v>
      </c>
      <c r="Q33" s="66">
        <f t="shared" si="4"/>
        <v>0</v>
      </c>
      <c r="S33" s="26"/>
      <c r="T33" s="26">
        <f>$O33</f>
        <v>0</v>
      </c>
      <c r="U33" s="26"/>
      <c r="V33" s="26"/>
      <c r="W33" s="26"/>
      <c r="X33" s="26"/>
      <c r="Y33" s="26"/>
      <c r="Z33" s="26"/>
      <c r="AA33" s="26"/>
      <c r="AB33" s="26"/>
      <c r="AC33" s="460">
        <f t="shared" si="9"/>
        <v>0</v>
      </c>
      <c r="AD33" s="26"/>
      <c r="AE33" s="26">
        <f>VLOOKUP(A33,'P&amp;L by Award'!$A$5:$AM$101,'P&amp;L by Award'!$AM$3,FALSE)</f>
        <v>0</v>
      </c>
      <c r="AF33" s="26"/>
    </row>
    <row r="34" spans="1:32" x14ac:dyDescent="0.2">
      <c r="A34" s="1">
        <f t="shared" si="5"/>
        <v>7120</v>
      </c>
      <c r="B34" t="s">
        <v>78</v>
      </c>
      <c r="C34" t="s">
        <v>79</v>
      </c>
      <c r="D34" s="26">
        <f>IF(TRUE,0,_xll.PSFx2BAL(CN,"*","GLCode",$B34,"COSTCENTRE",D$3,PF,PT))</f>
        <v>0</v>
      </c>
      <c r="E34" s="26">
        <f>IF(TRUE,0,_xll.PSFx2BAL(CN,"*","GLCode",$B34,"COSTCENTRE",E$3,PF,PT))</f>
        <v>0</v>
      </c>
      <c r="F34" s="26">
        <f>IF(TRUE,0,_xll.PSFx2BAL(CN,"*","GLCode",$B34,"COSTCENTRE",F$3,PF,PT))</f>
        <v>0</v>
      </c>
      <c r="G34" s="26">
        <f>IF(TRUE,0,_xll.PSFx2BAL(CN,"*","GLCode",$B34,"COSTCENTRE",G$3,PF,PT))</f>
        <v>0</v>
      </c>
      <c r="H34" s="26">
        <f>IF(TRUE,0,_xll.PSFx2BAL(CN,"*","GLCode",$B34,"COSTCENTRE",H$3,PF,PT))</f>
        <v>0</v>
      </c>
      <c r="I34" s="26">
        <f>IF(TRUE,0,_xll.PSFx2BAL(CN,"*","GLCode",$B34,"COSTCENTRE",I$3,PF,PT))</f>
        <v>0</v>
      </c>
      <c r="J34" s="26">
        <f>IF(TRUE,0,_xll.PSFx2BAL(CN,"*","GLCode",$B34,"COSTCENTRE",J$3,PF,PT))</f>
        <v>0</v>
      </c>
      <c r="K34" s="26">
        <f>IF(TRUE,8628.2,_xll.PSFx2BAL(CN,"*","GLCode",$B34,"COSTCENTRE",K$3,PF,PT))</f>
        <v>8628.2000000000007</v>
      </c>
      <c r="L34" s="26">
        <f>IF(TRUE,0,_xll.PSFx2BAL(CN,"*","GLCode",$B34,"COSTCENTRE",L$3,PF,PT))</f>
        <v>0</v>
      </c>
      <c r="M34" s="26">
        <f>IF(TRUE,0,_xll.PSFx2BAL(CN,"*","GLCode",$B34,"COSTCENTRE",M$3,PF,PT))</f>
        <v>0</v>
      </c>
      <c r="N34" s="26">
        <f>IF(TRUE,0,_xll.PSFx2BAL(CN,"*","GLCode",$B34,"COSTCENTRE",N$3,PF,PT))</f>
        <v>0</v>
      </c>
      <c r="O34" s="69">
        <f t="shared" si="3"/>
        <v>8628.2000000000007</v>
      </c>
      <c r="Q34" s="67">
        <f t="shared" si="4"/>
        <v>8628.2000000000007</v>
      </c>
      <c r="S34" s="26"/>
      <c r="T34" s="26">
        <f>$O34</f>
        <v>8628.2000000000007</v>
      </c>
      <c r="U34" s="26"/>
      <c r="V34" s="26"/>
      <c r="W34" s="26"/>
      <c r="X34" s="26"/>
      <c r="Y34" s="26"/>
      <c r="Z34" s="26"/>
      <c r="AA34" s="26"/>
      <c r="AB34" s="26"/>
      <c r="AC34" s="460">
        <f t="shared" si="9"/>
        <v>0</v>
      </c>
      <c r="AD34" s="26"/>
      <c r="AE34" s="26">
        <f>VLOOKUP(A34,'P&amp;L by Award'!$A$5:$AM$101,'P&amp;L by Award'!$AM$3,FALSE)</f>
        <v>0</v>
      </c>
      <c r="AF34" s="26"/>
    </row>
    <row r="35" spans="1:32" hidden="1" x14ac:dyDescent="0.2">
      <c r="A35" s="1">
        <f t="shared" si="5"/>
        <v>7130</v>
      </c>
      <c r="B35" t="s">
        <v>80</v>
      </c>
      <c r="C35" t="s">
        <v>81</v>
      </c>
      <c r="D35" s="26">
        <f>IF(TRUE,0,_xll.PSFx2BAL(CN,"*","GLCode",$B35,"COSTCENTRE",D$3,PF,PT))</f>
        <v>0</v>
      </c>
      <c r="E35" s="26">
        <f>IF(TRUE,0,_xll.PSFx2BAL(CN,"*","GLCode",$B35,"COSTCENTRE",E$3,PF,PT))</f>
        <v>0</v>
      </c>
      <c r="F35" s="26">
        <f>IF(TRUE,0,_xll.PSFx2BAL(CN,"*","GLCode",$B35,"COSTCENTRE",F$3,PF,PT))</f>
        <v>0</v>
      </c>
      <c r="G35" s="26">
        <f>IF(TRUE,0,_xll.PSFx2BAL(CN,"*","GLCode",$B35,"COSTCENTRE",G$3,PF,PT))</f>
        <v>0</v>
      </c>
      <c r="H35" s="26">
        <f>IF(TRUE,0,_xll.PSFx2BAL(CN,"*","GLCode",$B35,"COSTCENTRE",H$3,PF,PT))</f>
        <v>0</v>
      </c>
      <c r="I35" s="32">
        <f>IF(TRUE,0,_xll.PSFx2BAL(CN,"*","GLCode",$B35,"COSTCENTRE",I$3,PF,PT))</f>
        <v>0</v>
      </c>
      <c r="J35" s="26">
        <f>IF(TRUE,0,_xll.PSFx2BAL(CN,"*","GLCode",$B35,"COSTCENTRE",J$3,PF,PT))</f>
        <v>0</v>
      </c>
      <c r="K35" s="26">
        <f>IF(TRUE,0,_xll.PSFx2BAL(CN,"*","GLCode",$B35,"COSTCENTRE",K$3,PF,PT))</f>
        <v>0</v>
      </c>
      <c r="L35" s="26">
        <f>IF(TRUE,0,_xll.PSFx2BAL(CN,"*","GLCode",$B35,"COSTCENTRE",L$3,PF,PT))</f>
        <v>0</v>
      </c>
      <c r="M35" s="26">
        <f>IF(TRUE,0,_xll.PSFx2BAL(CN,"*","GLCode",$B35,"COSTCENTRE",M$3,PF,PT))</f>
        <v>0</v>
      </c>
      <c r="N35" s="26">
        <f>IF(TRUE,0,_xll.PSFx2BAL(CN,"*","GLCode",$B35,"COSTCENTRE",N$3,PF,PT))</f>
        <v>0</v>
      </c>
      <c r="O35" s="18">
        <f t="shared" si="3"/>
        <v>0</v>
      </c>
      <c r="Q35" s="19">
        <f t="shared" si="4"/>
        <v>0</v>
      </c>
      <c r="S35" s="26"/>
      <c r="T35" s="26"/>
      <c r="U35" s="26"/>
      <c r="V35" s="26"/>
      <c r="W35" s="26"/>
      <c r="X35" s="26"/>
      <c r="Y35" s="26"/>
      <c r="Z35" s="26"/>
      <c r="AA35" s="26"/>
      <c r="AB35" s="26"/>
      <c r="AC35" s="460">
        <f t="shared" si="9"/>
        <v>0</v>
      </c>
      <c r="AD35" s="26"/>
      <c r="AE35" s="26">
        <f>VLOOKUP(A35,'P&amp;L by Award'!$A$5:$AM$101,'P&amp;L by Award'!$AM$3,FALSE)</f>
        <v>0</v>
      </c>
      <c r="AF35" s="26"/>
    </row>
    <row r="36" spans="1:32" x14ac:dyDescent="0.2">
      <c r="A36" s="1">
        <f t="shared" si="5"/>
        <v>7150</v>
      </c>
      <c r="B36" t="s">
        <v>82</v>
      </c>
      <c r="C36" t="s">
        <v>83</v>
      </c>
      <c r="D36" s="26">
        <f>IF(TRUE,0,_xll.PSFx2BAL(CN,"*","GLCode",$B36,"COSTCENTRE",D$3,PF,PT))</f>
        <v>0</v>
      </c>
      <c r="E36" s="26">
        <f>IF(TRUE,0,_xll.PSFx2BAL(CN,"*","GLCode",$B36,"COSTCENTRE",E$3,PF,PT))</f>
        <v>0</v>
      </c>
      <c r="F36" s="26">
        <f>IF(TRUE,0,_xll.PSFx2BAL(CN,"*","GLCode",$B36,"COSTCENTRE",F$3,PF,PT))</f>
        <v>0</v>
      </c>
      <c r="G36" s="26">
        <f>IF(TRUE,0,_xll.PSFx2BAL(CN,"*","GLCode",$B36,"COSTCENTRE",G$3,PF,PT))</f>
        <v>0</v>
      </c>
      <c r="H36" s="26">
        <f>IF(TRUE,0,_xll.PSFx2BAL(CN,"*","GLCode",$B36,"COSTCENTRE",H$3,PF,PT))</f>
        <v>0</v>
      </c>
      <c r="I36" s="26">
        <f>IF(TRUE,0,_xll.PSFx2BAL(CN,"*","GLCode",$B36,"COSTCENTRE",I$3,PF,PT))</f>
        <v>0</v>
      </c>
      <c r="J36" s="26">
        <f>IF(TRUE,0,_xll.PSFx2BAL(CN,"*","GLCode",$B36,"COSTCENTRE",J$3,PF,PT))</f>
        <v>0</v>
      </c>
      <c r="K36" s="26">
        <f>IF(TRUE,307.46,_xll.PSFx2BAL(CN,"*","GLCode",$B36,"COSTCENTRE",K$3,PF,PT))</f>
        <v>307.45999999999998</v>
      </c>
      <c r="L36" s="26">
        <f>IF(TRUE,0,_xll.PSFx2BAL(CN,"*","GLCode",$B36,"COSTCENTRE",L$3,PF,PT))</f>
        <v>0</v>
      </c>
      <c r="M36" s="26">
        <f>IF(TRUE,0,_xll.PSFx2BAL(CN,"*","GLCode",$B36,"COSTCENTRE",M$3,PF,PT))</f>
        <v>0</v>
      </c>
      <c r="N36" s="26">
        <f>IF(TRUE,0,_xll.PSFx2BAL(CN,"*","GLCode",$B36,"COSTCENTRE",N$3,PF,PT))</f>
        <v>0</v>
      </c>
      <c r="O36" s="18">
        <f t="shared" si="3"/>
        <v>307.45999999999998</v>
      </c>
      <c r="Q36" s="67">
        <f t="shared" si="4"/>
        <v>307.45999999999998</v>
      </c>
      <c r="S36" s="26"/>
      <c r="T36" s="26">
        <f>$O36</f>
        <v>307.45999999999998</v>
      </c>
      <c r="U36" s="26"/>
      <c r="V36" s="26"/>
      <c r="W36" s="26"/>
      <c r="X36" s="26"/>
      <c r="Y36" s="26"/>
      <c r="Z36" s="26"/>
      <c r="AA36" s="26"/>
      <c r="AB36" s="26"/>
      <c r="AC36" s="460">
        <f t="shared" si="9"/>
        <v>0</v>
      </c>
      <c r="AD36" s="26"/>
      <c r="AE36" s="26">
        <f>VLOOKUP(A36,'P&amp;L by Award'!$A$5:$AM$101,'P&amp;L by Award'!$AM$3,FALSE)</f>
        <v>0</v>
      </c>
      <c r="AF36" s="26"/>
    </row>
    <row r="37" spans="1:32" x14ac:dyDescent="0.2">
      <c r="A37" s="1">
        <f t="shared" si="5"/>
        <v>7151</v>
      </c>
      <c r="B37" t="s">
        <v>84</v>
      </c>
      <c r="C37" t="s">
        <v>85</v>
      </c>
      <c r="D37" s="26">
        <f>IF(TRUE,0,_xll.PSFx2BAL(CN,"*","GLCode",$B37,"COSTCENTRE",D$3,PF,PT))</f>
        <v>0</v>
      </c>
      <c r="E37" s="26">
        <f>IF(TRUE,0,_xll.PSFx2BAL(CN,"*","GLCode",$B37,"COSTCENTRE",E$3,PF,PT))</f>
        <v>0</v>
      </c>
      <c r="F37" s="26">
        <f>IF(TRUE,0,_xll.PSFx2BAL(CN,"*","GLCode",$B37,"COSTCENTRE",F$3,PF,PT))</f>
        <v>0</v>
      </c>
      <c r="G37" s="26">
        <f>IF(TRUE,0,_xll.PSFx2BAL(CN,"*","GLCode",$B37,"COSTCENTRE",G$3,PF,PT))</f>
        <v>0</v>
      </c>
      <c r="H37" s="26">
        <f>IF(TRUE,0,_xll.PSFx2BAL(CN,"*","GLCode",$B37,"COSTCENTRE",H$3,PF,PT))</f>
        <v>0</v>
      </c>
      <c r="I37" s="26">
        <f>IF(TRUE,0,_xll.PSFx2BAL(CN,"*","GLCode",$B37,"COSTCENTRE",I$3,PF,PT))</f>
        <v>0</v>
      </c>
      <c r="J37" s="26">
        <f>IF(TRUE,0,_xll.PSFx2BAL(CN,"*","GLCode",$B37,"COSTCENTRE",J$3,PF,PT))</f>
        <v>0</v>
      </c>
      <c r="K37" s="26">
        <f>IF(TRUE,46.2,_xll.PSFx2BAL(CN,"*","GLCode",$B37,"COSTCENTRE",K$3,PF,PT))</f>
        <v>46.2</v>
      </c>
      <c r="L37" s="26">
        <f>IF(TRUE,0,_xll.PSFx2BAL(CN,"*","GLCode",$B37,"COSTCENTRE",L$3,PF,PT))</f>
        <v>0</v>
      </c>
      <c r="M37" s="26">
        <f>IF(TRUE,0,_xll.PSFx2BAL(CN,"*","GLCode",$B37,"COSTCENTRE",M$3,PF,PT))</f>
        <v>0</v>
      </c>
      <c r="N37" s="26">
        <f>IF(TRUE,0,_xll.PSFx2BAL(CN,"*","GLCode",$B37,"COSTCENTRE",N$3,PF,PT))</f>
        <v>0</v>
      </c>
      <c r="O37" s="18">
        <f t="shared" si="3"/>
        <v>46.2</v>
      </c>
      <c r="Q37" s="67">
        <f t="shared" si="4"/>
        <v>46.2</v>
      </c>
      <c r="S37" s="26"/>
      <c r="T37" s="26">
        <f>$O37</f>
        <v>46.2</v>
      </c>
      <c r="U37" s="26"/>
      <c r="V37" s="26"/>
      <c r="W37" s="26"/>
      <c r="X37" s="26"/>
      <c r="Y37" s="26"/>
      <c r="Z37" s="26"/>
      <c r="AA37" s="26"/>
      <c r="AB37" s="26"/>
      <c r="AC37" s="460">
        <f t="shared" si="9"/>
        <v>0</v>
      </c>
      <c r="AD37" s="26"/>
      <c r="AE37" s="26">
        <f>VLOOKUP(A37,'P&amp;L by Award'!$A$5:$AM$101,'P&amp;L by Award'!$AM$3,FALSE)</f>
        <v>0</v>
      </c>
      <c r="AF37" s="26"/>
    </row>
    <row r="38" spans="1:32" x14ac:dyDescent="0.2">
      <c r="A38" s="1">
        <f t="shared" si="5"/>
        <v>7160</v>
      </c>
      <c r="B38" t="s">
        <v>86</v>
      </c>
      <c r="C38" t="s">
        <v>87</v>
      </c>
      <c r="D38" s="26">
        <f>IF(TRUE,0,_xll.PSFx2BAL(CN,"*","GLCode",$B38,"COSTCENTRE",D$3,PF,PT))</f>
        <v>0</v>
      </c>
      <c r="E38" s="26">
        <f>IF(TRUE,0,_xll.PSFx2BAL(CN,"*","GLCode",$B38,"COSTCENTRE",E$3,PF,PT))</f>
        <v>0</v>
      </c>
      <c r="F38" s="26">
        <f>IF(TRUE,0,_xll.PSFx2BAL(CN,"*","GLCode",$B38,"COSTCENTRE",F$3,PF,PT))</f>
        <v>0</v>
      </c>
      <c r="G38" s="26">
        <f>IF(TRUE,0,_xll.PSFx2BAL(CN,"*","GLCode",$B38,"COSTCENTRE",G$3,PF,PT))</f>
        <v>0</v>
      </c>
      <c r="H38" s="26">
        <f>IF(TRUE,0,_xll.PSFx2BAL(CN,"*","GLCode",$B38,"COSTCENTRE",H$3,PF,PT))</f>
        <v>0</v>
      </c>
      <c r="I38" s="26">
        <f>IF(TRUE,379.8,_xll.PSFx2BAL(CN,"*","GLCode",$B38,"COSTCENTRE",I$3,PF,PT))</f>
        <v>379.8</v>
      </c>
      <c r="J38" s="26">
        <f>IF(TRUE,0,_xll.PSFx2BAL(CN,"*","GLCode",$B38,"COSTCENTRE",J$3,PF,PT))</f>
        <v>0</v>
      </c>
      <c r="K38" s="26">
        <f>IF(TRUE,1893.6,_xll.PSFx2BAL(CN,"*","GLCode",$B38,"COSTCENTRE",K$3,PF,PT))</f>
        <v>1893.6</v>
      </c>
      <c r="L38" s="26">
        <f>IF(TRUE,0,_xll.PSFx2BAL(CN,"*","GLCode",$B38,"COSTCENTRE",L$3,PF,PT))</f>
        <v>0</v>
      </c>
      <c r="M38" s="26">
        <f>IF(TRUE,0,_xll.PSFx2BAL(CN,"*","GLCode",$B38,"COSTCENTRE",M$3,PF,PT))</f>
        <v>0</v>
      </c>
      <c r="N38" s="26">
        <f>IF(TRUE,0,_xll.PSFx2BAL(CN,"*","GLCode",$B38,"COSTCENTRE",N$3,PF,PT))</f>
        <v>0</v>
      </c>
      <c r="O38" s="18">
        <f t="shared" si="3"/>
        <v>2273.4</v>
      </c>
      <c r="Q38" s="67">
        <f t="shared" si="4"/>
        <v>2273.4</v>
      </c>
      <c r="S38" s="26"/>
      <c r="T38" s="26">
        <f>$O38</f>
        <v>2273.4</v>
      </c>
      <c r="U38" s="26"/>
      <c r="V38" s="26"/>
      <c r="W38" s="26"/>
      <c r="X38" s="26"/>
      <c r="Y38" s="26"/>
      <c r="Z38" s="26"/>
      <c r="AA38" s="26"/>
      <c r="AB38" s="26"/>
      <c r="AC38" s="460">
        <f t="shared" si="9"/>
        <v>0</v>
      </c>
      <c r="AD38" s="26"/>
      <c r="AE38" s="26">
        <f>VLOOKUP(A38,'P&amp;L by Award'!$A$5:$AM$101,'P&amp;L by Award'!$AM$3,FALSE)</f>
        <v>0</v>
      </c>
      <c r="AF38" s="26"/>
    </row>
    <row r="39" spans="1:32" x14ac:dyDescent="0.2">
      <c r="A39" s="1">
        <f t="shared" si="5"/>
        <v>7161</v>
      </c>
      <c r="B39" t="s">
        <v>88</v>
      </c>
      <c r="C39" t="s">
        <v>89</v>
      </c>
      <c r="D39" s="26">
        <f>IF(TRUE,0,_xll.PSFx2BAL(CN,"*","GLCode",$B39,"COSTCENTRE",D$3,PF,PT))</f>
        <v>0</v>
      </c>
      <c r="E39" s="26">
        <f>IF(TRUE,0,_xll.PSFx2BAL(CN,"*","GLCode",$B39,"COSTCENTRE",E$3,PF,PT))</f>
        <v>0</v>
      </c>
      <c r="F39" s="26">
        <f>IF(TRUE,0,_xll.PSFx2BAL(CN,"*","GLCode",$B39,"COSTCENTRE",F$3,PF,PT))</f>
        <v>0</v>
      </c>
      <c r="G39" s="26">
        <f>IF(TRUE,0,_xll.PSFx2BAL(CN,"*","GLCode",$B39,"COSTCENTRE",G$3,PF,PT))</f>
        <v>0</v>
      </c>
      <c r="H39" s="26">
        <f>IF(TRUE,0,_xll.PSFx2BAL(CN,"*","GLCode",$B39,"COSTCENTRE",H$3,PF,PT))</f>
        <v>0</v>
      </c>
      <c r="I39" s="26">
        <f>IF(TRUE,0,_xll.PSFx2BAL(CN,"*","GLCode",$B39,"COSTCENTRE",I$3,PF,PT))</f>
        <v>0</v>
      </c>
      <c r="J39" s="26">
        <f>IF(TRUE,0,_xll.PSFx2BAL(CN,"*","GLCode",$B39,"COSTCENTRE",J$3,PF,PT))</f>
        <v>0</v>
      </c>
      <c r="K39" s="26">
        <f>IF(TRUE,75.28,_xll.PSFx2BAL(CN,"*","GLCode",$B39,"COSTCENTRE",K$3,PF,PT))</f>
        <v>75.28</v>
      </c>
      <c r="L39" s="26">
        <f>IF(TRUE,0,_xll.PSFx2BAL(CN,"*","GLCode",$B39,"COSTCENTRE",L$3,PF,PT))</f>
        <v>0</v>
      </c>
      <c r="M39" s="26">
        <f>IF(TRUE,0,_xll.PSFx2BAL(CN,"*","GLCode",$B39,"COSTCENTRE",M$3,PF,PT))</f>
        <v>0</v>
      </c>
      <c r="N39" s="26">
        <f>IF(TRUE,0,_xll.PSFx2BAL(CN,"*","GLCode",$B39,"COSTCENTRE",N$3,PF,PT))</f>
        <v>0</v>
      </c>
      <c r="O39" s="18">
        <f t="shared" si="3"/>
        <v>75.28</v>
      </c>
      <c r="Q39" s="67">
        <f t="shared" si="4"/>
        <v>75.28</v>
      </c>
      <c r="S39" s="26"/>
      <c r="T39" s="26">
        <f>$O39</f>
        <v>75.28</v>
      </c>
      <c r="U39" s="26"/>
      <c r="V39" s="26"/>
      <c r="W39" s="26"/>
      <c r="X39" s="26"/>
      <c r="Y39" s="26"/>
      <c r="Z39" s="26"/>
      <c r="AA39" s="26"/>
      <c r="AB39" s="26"/>
      <c r="AC39" s="460">
        <f t="shared" si="9"/>
        <v>0</v>
      </c>
      <c r="AD39" s="26"/>
      <c r="AE39" s="26">
        <f>VLOOKUP(A39,'P&amp;L by Award'!$A$5:$AM$101,'P&amp;L by Award'!$AM$3,FALSE)</f>
        <v>0</v>
      </c>
      <c r="AF39" s="26"/>
    </row>
    <row r="40" spans="1:32" hidden="1" x14ac:dyDescent="0.2">
      <c r="A40" s="1">
        <f t="shared" si="5"/>
        <v>7162</v>
      </c>
      <c r="B40" t="s">
        <v>90</v>
      </c>
      <c r="C40" t="s">
        <v>91</v>
      </c>
      <c r="D40" s="26">
        <f>IF(TRUE,0,_xll.PSFx2BAL(CN,"*","GLCode",$B40,"COSTCENTRE",D$3,PF,PT))</f>
        <v>0</v>
      </c>
      <c r="E40" s="26">
        <f>IF(TRUE,0,_xll.PSFx2BAL(CN,"*","GLCode",$B40,"COSTCENTRE",E$3,PF,PT))</f>
        <v>0</v>
      </c>
      <c r="F40" s="26">
        <f>IF(TRUE,0,_xll.PSFx2BAL(CN,"*","GLCode",$B40,"COSTCENTRE",F$3,PF,PT))</f>
        <v>0</v>
      </c>
      <c r="G40" s="26">
        <f>IF(TRUE,0,_xll.PSFx2BAL(CN,"*","GLCode",$B40,"COSTCENTRE",G$3,PF,PT))</f>
        <v>0</v>
      </c>
      <c r="H40" s="26">
        <f>IF(TRUE,0,_xll.PSFx2BAL(CN,"*","GLCode",$B40,"COSTCENTRE",H$3,PF,PT))</f>
        <v>0</v>
      </c>
      <c r="I40" s="26">
        <f>IF(TRUE,0,_xll.PSFx2BAL(CN,"*","GLCode",$B40,"COSTCENTRE",I$3,PF,PT))</f>
        <v>0</v>
      </c>
      <c r="J40" s="26">
        <f>IF(TRUE,0,_xll.PSFx2BAL(CN,"*","GLCode",$B40,"COSTCENTRE",J$3,PF,PT))</f>
        <v>0</v>
      </c>
      <c r="K40" s="26">
        <f>IF(TRUE,0,_xll.PSFx2BAL(CN,"*","GLCode",$B40,"COSTCENTRE",K$3,PF,PT))</f>
        <v>0</v>
      </c>
      <c r="L40" s="26">
        <f>IF(TRUE,0,_xll.PSFx2BAL(CN,"*","GLCode",$B40,"COSTCENTRE",L$3,PF,PT))</f>
        <v>0</v>
      </c>
      <c r="M40" s="26">
        <f>IF(TRUE,0,_xll.PSFx2BAL(CN,"*","GLCode",$B40,"COSTCENTRE",M$3,PF,PT))</f>
        <v>0</v>
      </c>
      <c r="N40" s="26">
        <f>IF(TRUE,0,_xll.PSFx2BAL(CN,"*","GLCode",$B40,"COSTCENTRE",N$3,PF,PT))</f>
        <v>0</v>
      </c>
      <c r="O40" s="18">
        <f t="shared" ref="O40:O71" si="13">SUM(D40:N40)</f>
        <v>0</v>
      </c>
      <c r="Q40" s="19">
        <f t="shared" ref="Q40:Q71" si="14">O40-SUM(L40:M40)</f>
        <v>0</v>
      </c>
      <c r="S40" s="26">
        <f>$O40</f>
        <v>0</v>
      </c>
      <c r="T40" s="26"/>
      <c r="U40" s="26"/>
      <c r="V40" s="26"/>
      <c r="W40" s="26"/>
      <c r="X40" s="26"/>
      <c r="Y40" s="26"/>
      <c r="Z40" s="26"/>
      <c r="AA40" s="26"/>
      <c r="AB40" s="26"/>
      <c r="AC40" s="460">
        <f t="shared" si="9"/>
        <v>0</v>
      </c>
      <c r="AD40" s="26"/>
      <c r="AE40" s="26">
        <f>VLOOKUP(A40,'P&amp;L by Award'!$A$5:$AM$101,'P&amp;L by Award'!$AM$3,FALSE)</f>
        <v>0</v>
      </c>
      <c r="AF40" s="26"/>
    </row>
    <row r="41" spans="1:32" x14ac:dyDescent="0.2">
      <c r="A41" s="1">
        <f t="shared" si="5"/>
        <v>7163</v>
      </c>
      <c r="B41" t="s">
        <v>92</v>
      </c>
      <c r="C41" t="s">
        <v>93</v>
      </c>
      <c r="D41" s="26">
        <f>IF(TRUE,0,_xll.PSFx2BAL(CN,"*","GLCode",$B41,"COSTCENTRE",D$3,PF,PT))</f>
        <v>0</v>
      </c>
      <c r="E41" s="26">
        <f>IF(TRUE,0,_xll.PSFx2BAL(CN,"*","GLCode",$B41,"COSTCENTRE",E$3,PF,PT))</f>
        <v>0</v>
      </c>
      <c r="F41" s="26">
        <f>IF(TRUE,0,_xll.PSFx2BAL(CN,"*","GLCode",$B41,"COSTCENTRE",F$3,PF,PT))</f>
        <v>0</v>
      </c>
      <c r="G41" s="26">
        <f>IF(TRUE,0,_xll.PSFx2BAL(CN,"*","GLCode",$B41,"COSTCENTRE",G$3,PF,PT))</f>
        <v>0</v>
      </c>
      <c r="H41" s="26">
        <f>IF(TRUE,0,_xll.PSFx2BAL(CN,"*","GLCode",$B41,"COSTCENTRE",H$3,PF,PT))</f>
        <v>0</v>
      </c>
      <c r="I41" s="26">
        <f>IF(TRUE,36,_xll.PSFx2BAL(CN,"*","GLCode",$B41,"COSTCENTRE",I$3,PF,PT))</f>
        <v>36</v>
      </c>
      <c r="J41" s="26">
        <f>IF(TRUE,0,_xll.PSFx2BAL(CN,"*","GLCode",$B41,"COSTCENTRE",J$3,PF,PT))</f>
        <v>0</v>
      </c>
      <c r="K41" s="26">
        <f>IF(TRUE,98.29,_xll.PSFx2BAL(CN,"*","GLCode",$B41,"COSTCENTRE",K$3,PF,PT))</f>
        <v>98.29</v>
      </c>
      <c r="L41" s="26">
        <f>IF(TRUE,0,_xll.PSFx2BAL(CN,"*","GLCode",$B41,"COSTCENTRE",L$3,PF,PT))</f>
        <v>0</v>
      </c>
      <c r="M41" s="26">
        <f>IF(TRUE,0,_xll.PSFx2BAL(CN,"*","GLCode",$B41,"COSTCENTRE",M$3,PF,PT))</f>
        <v>0</v>
      </c>
      <c r="N41" s="26">
        <f>IF(TRUE,0,_xll.PSFx2BAL(CN,"*","GLCode",$B41,"COSTCENTRE",N$3,PF,PT))</f>
        <v>0</v>
      </c>
      <c r="O41" s="18">
        <f t="shared" si="13"/>
        <v>134.29000000000002</v>
      </c>
      <c r="Q41" s="19">
        <f t="shared" si="14"/>
        <v>134.29000000000002</v>
      </c>
      <c r="S41" s="26">
        <f>$O41</f>
        <v>134.29000000000002</v>
      </c>
      <c r="T41" s="26"/>
      <c r="U41" s="26"/>
      <c r="V41" s="26"/>
      <c r="W41" s="26"/>
      <c r="X41" s="26"/>
      <c r="Y41" s="26"/>
      <c r="Z41" s="26"/>
      <c r="AA41" s="26"/>
      <c r="AB41" s="26"/>
      <c r="AC41" s="460">
        <f t="shared" si="9"/>
        <v>0</v>
      </c>
      <c r="AD41" s="26"/>
      <c r="AE41" s="26">
        <f>VLOOKUP(A41,'P&amp;L by Award'!$A$5:$AM$101,'P&amp;L by Award'!$AM$3,FALSE)</f>
        <v>0</v>
      </c>
      <c r="AF41" s="26"/>
    </row>
    <row r="42" spans="1:32" x14ac:dyDescent="0.2">
      <c r="A42" s="1">
        <f t="shared" si="5"/>
        <v>7200</v>
      </c>
      <c r="B42" t="s">
        <v>94</v>
      </c>
      <c r="C42" t="s">
        <v>95</v>
      </c>
      <c r="D42" s="26">
        <f>IF(TRUE,0,_xll.PSFx2BAL(CN,"*","GLCode",$B42,"COSTCENTRE",D$3,PF,PT))</f>
        <v>0</v>
      </c>
      <c r="E42" s="26">
        <f>IF(TRUE,755.84,_xll.PSFx2BAL(CN,"*","GLCode",$B42,"COSTCENTRE",E$3,PF,PT))</f>
        <v>755.84</v>
      </c>
      <c r="F42" s="26">
        <f>IF(TRUE,0,_xll.PSFx2BAL(CN,"*","GLCode",$B42,"COSTCENTRE",F$3,PF,PT))</f>
        <v>0</v>
      </c>
      <c r="G42" s="26">
        <f>IF(TRUE,0,_xll.PSFx2BAL(CN,"*","GLCode",$B42,"COSTCENTRE",G$3,PF,PT))</f>
        <v>0</v>
      </c>
      <c r="H42" s="26">
        <f>IF(TRUE,0,_xll.PSFx2BAL(CN,"*","GLCode",$B42,"COSTCENTRE",H$3,PF,PT))</f>
        <v>0</v>
      </c>
      <c r="I42" s="26">
        <f>IF(TRUE,0,_xll.PSFx2BAL(CN,"*","GLCode",$B42,"COSTCENTRE",I$3,PF,PT))</f>
        <v>0</v>
      </c>
      <c r="J42" s="26">
        <f>IF(TRUE,0,_xll.PSFx2BAL(CN,"*","GLCode",$B42,"COSTCENTRE",J$3,PF,PT))</f>
        <v>0</v>
      </c>
      <c r="K42" s="26">
        <f>IF(TRUE,0,_xll.PSFx2BAL(CN,"*","GLCode",$B42,"COSTCENTRE",K$3,PF,PT))</f>
        <v>0</v>
      </c>
      <c r="L42" s="26">
        <f>IF(TRUE,0,_xll.PSFx2BAL(CN,"*","GLCode",$B42,"COSTCENTRE",L$3,PF,PT))</f>
        <v>0</v>
      </c>
      <c r="M42" s="26">
        <f>IF(TRUE,0,_xll.PSFx2BAL(CN,"*","GLCode",$B42,"COSTCENTRE",M$3,PF,PT))</f>
        <v>0</v>
      </c>
      <c r="N42" s="26">
        <f>IF(TRUE,0,_xll.PSFx2BAL(CN,"*","GLCode",$B42,"COSTCENTRE",N$3,PF,PT))</f>
        <v>0</v>
      </c>
      <c r="O42" s="18">
        <f t="shared" si="13"/>
        <v>755.84</v>
      </c>
      <c r="Q42" s="19">
        <f t="shared" si="14"/>
        <v>755.84</v>
      </c>
      <c r="S42" s="26"/>
      <c r="T42" s="26"/>
      <c r="U42" s="26"/>
      <c r="V42" s="26"/>
      <c r="W42" s="26"/>
      <c r="X42" s="26"/>
      <c r="Y42" s="26"/>
      <c r="Z42" s="26"/>
      <c r="AA42" s="26"/>
      <c r="AB42" s="26">
        <f>$O42</f>
        <v>755.84</v>
      </c>
      <c r="AC42" s="460">
        <f t="shared" si="9"/>
        <v>0</v>
      </c>
      <c r="AD42" s="26"/>
      <c r="AE42" s="26">
        <f>VLOOKUP(A42,'P&amp;L by Award'!$A$5:$AM$101,'P&amp;L by Award'!$AM$3,FALSE)</f>
        <v>0</v>
      </c>
      <c r="AF42" s="26"/>
    </row>
    <row r="43" spans="1:32" x14ac:dyDescent="0.2">
      <c r="A43" s="1">
        <f t="shared" si="5"/>
        <v>7210</v>
      </c>
      <c r="B43" t="s">
        <v>96</v>
      </c>
      <c r="C43" t="s">
        <v>97</v>
      </c>
      <c r="D43" s="26">
        <f>IF(TRUE,0,_xll.PSFx2BAL(CN,"*","GLCode",$B43,"COSTCENTRE",D$3,PF,PT))</f>
        <v>0</v>
      </c>
      <c r="E43" s="26">
        <f>IF(TRUE,20.71,_xll.PSFx2BAL(CN,"*","GLCode",$B43,"COSTCENTRE",E$3,PF,PT))</f>
        <v>20.71</v>
      </c>
      <c r="F43" s="26">
        <f>IF(TRUE,0,_xll.PSFx2BAL(CN,"*","GLCode",$B43,"COSTCENTRE",F$3,PF,PT))</f>
        <v>0</v>
      </c>
      <c r="G43" s="26">
        <f>IF(TRUE,0,_xll.PSFx2BAL(CN,"*","GLCode",$B43,"COSTCENTRE",G$3,PF,PT))</f>
        <v>0</v>
      </c>
      <c r="H43" s="26">
        <f>IF(TRUE,103.72,_xll.PSFx2BAL(CN,"*","GLCode",$B43,"COSTCENTRE",H$3,PF,PT))</f>
        <v>103.72</v>
      </c>
      <c r="I43" s="26">
        <f>IF(TRUE,42.56,_xll.PSFx2BAL(CN,"*","GLCode",$B43,"COSTCENTRE",I$3,PF,PT))</f>
        <v>42.56</v>
      </c>
      <c r="J43" s="26">
        <f>IF(TRUE,0,_xll.PSFx2BAL(CN,"*","GLCode",$B43,"COSTCENTRE",J$3,PF,PT))</f>
        <v>0</v>
      </c>
      <c r="K43" s="26">
        <f>IF(TRUE,22.61,_xll.PSFx2BAL(CN,"*","GLCode",$B43,"COSTCENTRE",K$3,PF,PT))</f>
        <v>22.61</v>
      </c>
      <c r="L43" s="26">
        <f>IF(TRUE,0,_xll.PSFx2BAL(CN,"*","GLCode",$B43,"COSTCENTRE",L$3,PF,PT))</f>
        <v>0</v>
      </c>
      <c r="M43" s="26">
        <f>IF(TRUE,0,_xll.PSFx2BAL(CN,"*","GLCode",$B43,"COSTCENTRE",M$3,PF,PT))</f>
        <v>0</v>
      </c>
      <c r="N43" s="26">
        <f>IF(TRUE,0,_xll.PSFx2BAL(CN,"*","GLCode",$B43,"COSTCENTRE",N$3,PF,PT))</f>
        <v>0</v>
      </c>
      <c r="O43" s="18">
        <f t="shared" si="13"/>
        <v>189.60000000000002</v>
      </c>
      <c r="Q43" s="67">
        <f t="shared" si="14"/>
        <v>189.60000000000002</v>
      </c>
      <c r="S43" s="26">
        <f t="shared" ref="S43:S50" si="15">$O43</f>
        <v>189.60000000000002</v>
      </c>
      <c r="T43" s="26"/>
      <c r="U43" s="26"/>
      <c r="V43" s="26"/>
      <c r="W43" s="26"/>
      <c r="X43" s="26"/>
      <c r="Y43" s="26"/>
      <c r="Z43" s="26"/>
      <c r="AA43" s="26"/>
      <c r="AB43" s="26"/>
      <c r="AC43" s="460">
        <f t="shared" si="9"/>
        <v>0</v>
      </c>
      <c r="AD43" s="26"/>
      <c r="AE43" s="26">
        <f>VLOOKUP(A43,'P&amp;L by Award'!$A$5:$AM$101,'P&amp;L by Award'!$AM$3,FALSE)</f>
        <v>0</v>
      </c>
      <c r="AF43" s="26"/>
    </row>
    <row r="44" spans="1:32" x14ac:dyDescent="0.2">
      <c r="A44" s="1">
        <f t="shared" si="5"/>
        <v>7211</v>
      </c>
      <c r="B44" t="s">
        <v>98</v>
      </c>
      <c r="C44" t="s">
        <v>99</v>
      </c>
      <c r="D44" s="26">
        <f>IF(TRUE,0,_xll.PSFx2BAL(CN,"*","GLCode",$B44,"COSTCENTRE",D$3,PF,PT))</f>
        <v>0</v>
      </c>
      <c r="E44" s="26">
        <f>IF(TRUE,1224.12,_xll.PSFx2BAL(CN,"*","GLCode",$B44,"COSTCENTRE",E$3,PF,PT))</f>
        <v>1224.1199999999999</v>
      </c>
      <c r="F44" s="26">
        <f>IF(TRUE,0,_xll.PSFx2BAL(CN,"*","GLCode",$B44,"COSTCENTRE",F$3,PF,PT))</f>
        <v>0</v>
      </c>
      <c r="G44" s="26">
        <f>IF(TRUE,0,_xll.PSFx2BAL(CN,"*","GLCode",$B44,"COSTCENTRE",G$3,PF,PT))</f>
        <v>0</v>
      </c>
      <c r="H44" s="26">
        <f>IF(TRUE,0,_xll.PSFx2BAL(CN,"*","GLCode",$B44,"COSTCENTRE",H$3,PF,PT))</f>
        <v>0</v>
      </c>
      <c r="I44" s="26">
        <f>IF(TRUE,150.78,_xll.PSFx2BAL(CN,"*","GLCode",$B44,"COSTCENTRE",I$3,PF,PT))</f>
        <v>150.78</v>
      </c>
      <c r="J44" s="26">
        <f>IF(TRUE,0,_xll.PSFx2BAL(CN,"*","GLCode",$B44,"COSTCENTRE",J$3,PF,PT))</f>
        <v>0</v>
      </c>
      <c r="K44" s="26">
        <f>IF(TRUE,142.57,_xll.PSFx2BAL(CN,"*","GLCode",$B44,"COSTCENTRE",K$3,PF,PT))</f>
        <v>142.57</v>
      </c>
      <c r="L44" s="26">
        <f>IF(TRUE,0,_xll.PSFx2BAL(CN,"*","GLCode",$B44,"COSTCENTRE",L$3,PF,PT))</f>
        <v>0</v>
      </c>
      <c r="M44" s="26">
        <f>IF(TRUE,0,_xll.PSFx2BAL(CN,"*","GLCode",$B44,"COSTCENTRE",M$3,PF,PT))</f>
        <v>0</v>
      </c>
      <c r="N44" s="26">
        <f>IF(TRUE,0,_xll.PSFx2BAL(CN,"*","GLCode",$B44,"COSTCENTRE",N$3,PF,PT))</f>
        <v>0</v>
      </c>
      <c r="O44" s="18">
        <f t="shared" si="13"/>
        <v>1517.4699999999998</v>
      </c>
      <c r="Q44" s="67">
        <f t="shared" si="14"/>
        <v>1517.4699999999998</v>
      </c>
      <c r="S44" s="26">
        <f t="shared" si="15"/>
        <v>1517.4699999999998</v>
      </c>
      <c r="T44" s="26"/>
      <c r="U44" s="26"/>
      <c r="V44" s="26"/>
      <c r="W44" s="26"/>
      <c r="X44" s="26"/>
      <c r="Y44" s="26"/>
      <c r="Z44" s="26"/>
      <c r="AA44" s="26"/>
      <c r="AB44" s="26"/>
      <c r="AC44" s="460">
        <f t="shared" si="9"/>
        <v>0</v>
      </c>
      <c r="AD44" s="26"/>
      <c r="AE44" s="26">
        <f>VLOOKUP(A44,'P&amp;L by Award'!$A$5:$AM$101,'P&amp;L by Award'!$AM$3,FALSE)</f>
        <v>0</v>
      </c>
      <c r="AF44" s="26"/>
    </row>
    <row r="45" spans="1:32" x14ac:dyDescent="0.2">
      <c r="A45" s="1">
        <f t="shared" si="5"/>
        <v>7220</v>
      </c>
      <c r="B45" t="s">
        <v>100</v>
      </c>
      <c r="C45" t="s">
        <v>101</v>
      </c>
      <c r="D45" s="26">
        <f>IF(TRUE,0,_xll.PSFx2BAL(CN,"*","GLCode",$B45,"COSTCENTRE",D$3,PF,PT))</f>
        <v>0</v>
      </c>
      <c r="E45" s="26">
        <f>IF(TRUE,0,_xll.PSFx2BAL(CN,"*","GLCode",$B45,"COSTCENTRE",E$3,PF,PT))</f>
        <v>0</v>
      </c>
      <c r="F45" s="26">
        <f>IF(TRUE,0,_xll.PSFx2BAL(CN,"*","GLCode",$B45,"COSTCENTRE",F$3,PF,PT))</f>
        <v>0</v>
      </c>
      <c r="G45" s="26">
        <f>IF(TRUE,0,_xll.PSFx2BAL(CN,"*","GLCode",$B45,"COSTCENTRE",G$3,PF,PT))</f>
        <v>0</v>
      </c>
      <c r="H45" s="26">
        <f>IF(TRUE,0,_xll.PSFx2BAL(CN,"*","GLCode",$B45,"COSTCENTRE",H$3,PF,PT))</f>
        <v>0</v>
      </c>
      <c r="I45" s="26">
        <f>IF(TRUE,0,_xll.PSFx2BAL(CN,"*","GLCode",$B45,"COSTCENTRE",I$3,PF,PT))</f>
        <v>0</v>
      </c>
      <c r="J45" s="26">
        <f>IF(TRUE,0,_xll.PSFx2BAL(CN,"*","GLCode",$B45,"COSTCENTRE",J$3,PF,PT))</f>
        <v>0</v>
      </c>
      <c r="K45" s="26">
        <f>IF(TRUE,77.15,_xll.PSFx2BAL(CN,"*","GLCode",$B45,"COSTCENTRE",K$3,PF,PT))</f>
        <v>77.150000000000006</v>
      </c>
      <c r="L45" s="26">
        <f>IF(TRUE,0,_xll.PSFx2BAL(CN,"*","GLCode",$B45,"COSTCENTRE",L$3,PF,PT))</f>
        <v>0</v>
      </c>
      <c r="M45" s="26">
        <f>IF(TRUE,0,_xll.PSFx2BAL(CN,"*","GLCode",$B45,"COSTCENTRE",M$3,PF,PT))</f>
        <v>0</v>
      </c>
      <c r="N45" s="26">
        <f>IF(TRUE,0,_xll.PSFx2BAL(CN,"*","GLCode",$B45,"COSTCENTRE",N$3,PF,PT))</f>
        <v>0</v>
      </c>
      <c r="O45" s="18">
        <f t="shared" si="13"/>
        <v>77.150000000000006</v>
      </c>
      <c r="Q45" s="66">
        <f t="shared" si="14"/>
        <v>77.150000000000006</v>
      </c>
      <c r="S45" s="26">
        <f t="shared" si="15"/>
        <v>77.150000000000006</v>
      </c>
      <c r="T45" s="26"/>
      <c r="U45" s="26"/>
      <c r="V45" s="26"/>
      <c r="W45" s="26"/>
      <c r="X45" s="26"/>
      <c r="Y45" s="26"/>
      <c r="Z45" s="26"/>
      <c r="AA45" s="26"/>
      <c r="AB45" s="26"/>
      <c r="AC45" s="460">
        <f t="shared" si="9"/>
        <v>0</v>
      </c>
      <c r="AD45" s="26"/>
      <c r="AE45" s="26">
        <f>VLOOKUP(A45,'P&amp;L by Award'!$A$5:$AM$101,'P&amp;L by Award'!$AM$3,FALSE)</f>
        <v>0</v>
      </c>
      <c r="AF45" s="26"/>
    </row>
    <row r="46" spans="1:32" x14ac:dyDescent="0.2">
      <c r="A46" s="1">
        <f t="shared" si="5"/>
        <v>7230</v>
      </c>
      <c r="B46" t="s">
        <v>102</v>
      </c>
      <c r="C46" t="s">
        <v>103</v>
      </c>
      <c r="D46" s="26">
        <f>IF(TRUE,0,_xll.PSFx2BAL(CN,"*","GLCode",$B46,"COSTCENTRE",D$3,PF,PT))</f>
        <v>0</v>
      </c>
      <c r="E46" s="26">
        <f>IF(TRUE,0,_xll.PSFx2BAL(CN,"*","GLCode",$B46,"COSTCENTRE",E$3,PF,PT))</f>
        <v>0</v>
      </c>
      <c r="F46" s="26">
        <f>IF(TRUE,0,_xll.PSFx2BAL(CN,"*","GLCode",$B46,"COSTCENTRE",F$3,PF,PT))</f>
        <v>0</v>
      </c>
      <c r="G46" s="26">
        <f>IF(TRUE,0,_xll.PSFx2BAL(CN,"*","GLCode",$B46,"COSTCENTRE",G$3,PF,PT))</f>
        <v>0</v>
      </c>
      <c r="H46" s="26">
        <f>IF(TRUE,0,_xll.PSFx2BAL(CN,"*","GLCode",$B46,"COSTCENTRE",H$3,PF,PT))</f>
        <v>0</v>
      </c>
      <c r="I46" s="26">
        <f>IF(TRUE,0,_xll.PSFx2BAL(CN,"*","GLCode",$B46,"COSTCENTRE",I$3,PF,PT))</f>
        <v>0</v>
      </c>
      <c r="J46" s="26">
        <f>IF(TRUE,0,_xll.PSFx2BAL(CN,"*","GLCode",$B46,"COSTCENTRE",J$3,PF,PT))</f>
        <v>0</v>
      </c>
      <c r="K46" s="26">
        <f>IF(TRUE,13435.9,_xll.PSFx2BAL(CN,"*","GLCode",$B46,"COSTCENTRE",K$3,PF,PT))</f>
        <v>13435.9</v>
      </c>
      <c r="L46" s="26">
        <f>IF(TRUE,0,_xll.PSFx2BAL(CN,"*","GLCode",$B46,"COSTCENTRE",L$3,PF,PT))</f>
        <v>0</v>
      </c>
      <c r="M46" s="26">
        <f>IF(TRUE,0,_xll.PSFx2BAL(CN,"*","GLCode",$B46,"COSTCENTRE",M$3,PF,PT))</f>
        <v>0</v>
      </c>
      <c r="N46" s="26">
        <f>IF(TRUE,0,_xll.PSFx2BAL(CN,"*","GLCode",$B46,"COSTCENTRE",N$3,PF,PT))</f>
        <v>0</v>
      </c>
      <c r="O46" s="18">
        <f t="shared" si="13"/>
        <v>13435.9</v>
      </c>
      <c r="Q46" s="67">
        <f t="shared" si="14"/>
        <v>13435.9</v>
      </c>
      <c r="S46" s="26">
        <f t="shared" si="15"/>
        <v>13435.9</v>
      </c>
      <c r="T46" s="26"/>
      <c r="U46" s="26"/>
      <c r="V46" s="26"/>
      <c r="W46" s="26"/>
      <c r="X46" s="26"/>
      <c r="Y46" s="26"/>
      <c r="Z46" s="26"/>
      <c r="AA46" s="26"/>
      <c r="AB46" s="26"/>
      <c r="AC46" s="460">
        <f t="shared" si="9"/>
        <v>0</v>
      </c>
      <c r="AD46" s="26"/>
      <c r="AE46" s="26">
        <f>VLOOKUP(A46,'P&amp;L by Award'!$A$5:$AM$101,'P&amp;L by Award'!$AM$3,FALSE)</f>
        <v>0</v>
      </c>
      <c r="AF46" s="26"/>
    </row>
    <row r="47" spans="1:32" x14ac:dyDescent="0.2">
      <c r="A47" s="1">
        <f t="shared" si="5"/>
        <v>7231</v>
      </c>
      <c r="B47" t="s">
        <v>104</v>
      </c>
      <c r="C47" t="s">
        <v>105</v>
      </c>
      <c r="D47" s="26">
        <f>IF(TRUE,0,_xll.PSFx2BAL(CN,"*","GLCode",$B47,"COSTCENTRE",D$3,PF,PT))</f>
        <v>0</v>
      </c>
      <c r="E47" s="26">
        <f>IF(TRUE,0,_xll.PSFx2BAL(CN,"*","GLCode",$B47,"COSTCENTRE",E$3,PF,PT))</f>
        <v>0</v>
      </c>
      <c r="F47" s="26">
        <f>IF(TRUE,0,_xll.PSFx2BAL(CN,"*","GLCode",$B47,"COSTCENTRE",F$3,PF,PT))</f>
        <v>0</v>
      </c>
      <c r="G47" s="26">
        <f>IF(TRUE,0,_xll.PSFx2BAL(CN,"*","GLCode",$B47,"COSTCENTRE",G$3,PF,PT))</f>
        <v>0</v>
      </c>
      <c r="H47" s="26">
        <f>IF(TRUE,0,_xll.PSFx2BAL(CN,"*","GLCode",$B47,"COSTCENTRE",H$3,PF,PT))</f>
        <v>0</v>
      </c>
      <c r="I47" s="26">
        <f>IF(TRUE,0,_xll.PSFx2BAL(CN,"*","GLCode",$B47,"COSTCENTRE",I$3,PF,PT))</f>
        <v>0</v>
      </c>
      <c r="J47" s="26">
        <f>IF(TRUE,0,_xll.PSFx2BAL(CN,"*","GLCode",$B47,"COSTCENTRE",J$3,PF,PT))</f>
        <v>0</v>
      </c>
      <c r="K47" s="26">
        <f>IF(TRUE,8181.17,_xll.PSFx2BAL(CN,"*","GLCode",$B47,"COSTCENTRE",K$3,PF,PT))</f>
        <v>8181.17</v>
      </c>
      <c r="L47" s="26">
        <f>IF(TRUE,0,_xll.PSFx2BAL(CN,"*","GLCode",$B47,"COSTCENTRE",L$3,PF,PT))</f>
        <v>0</v>
      </c>
      <c r="M47" s="26">
        <f>IF(TRUE,0,_xll.PSFx2BAL(CN,"*","GLCode",$B47,"COSTCENTRE",M$3,PF,PT))</f>
        <v>0</v>
      </c>
      <c r="N47" s="26">
        <f>IF(TRUE,0,_xll.PSFx2BAL(CN,"*","GLCode",$B47,"COSTCENTRE",N$3,PF,PT))</f>
        <v>0</v>
      </c>
      <c r="O47" s="18">
        <f t="shared" si="13"/>
        <v>8181.17</v>
      </c>
      <c r="Q47" s="67">
        <f t="shared" si="14"/>
        <v>8181.17</v>
      </c>
      <c r="S47" s="26">
        <f t="shared" si="15"/>
        <v>8181.17</v>
      </c>
      <c r="T47" s="26"/>
      <c r="U47" s="26"/>
      <c r="V47" s="26"/>
      <c r="W47" s="26"/>
      <c r="X47" s="26"/>
      <c r="Y47" s="26"/>
      <c r="Z47" s="26"/>
      <c r="AA47" s="26"/>
      <c r="AB47" s="26"/>
      <c r="AC47" s="460">
        <f t="shared" si="9"/>
        <v>0</v>
      </c>
      <c r="AD47" s="26"/>
      <c r="AE47" s="26">
        <f>VLOOKUP(A47,'P&amp;L by Award'!$A$5:$AM$101,'P&amp;L by Award'!$AM$3,FALSE)</f>
        <v>0</v>
      </c>
      <c r="AF47" s="26"/>
    </row>
    <row r="48" spans="1:32" hidden="1" x14ac:dyDescent="0.2">
      <c r="A48" s="1">
        <f t="shared" si="5"/>
        <v>7232</v>
      </c>
      <c r="B48" t="s">
        <v>106</v>
      </c>
      <c r="C48" t="s">
        <v>107</v>
      </c>
      <c r="D48" s="26">
        <f>IF(TRUE,0,_xll.PSFx2BAL(CN,"*","GLCode",$B48,"COSTCENTRE",D$3,PF,PT))</f>
        <v>0</v>
      </c>
      <c r="E48" s="26">
        <f>IF(TRUE,0,_xll.PSFx2BAL(CN,"*","GLCode",$B48,"COSTCENTRE",E$3,PF,PT))</f>
        <v>0</v>
      </c>
      <c r="F48" s="26">
        <f>IF(TRUE,0,_xll.PSFx2BAL(CN,"*","GLCode",$B48,"COSTCENTRE",F$3,PF,PT))</f>
        <v>0</v>
      </c>
      <c r="G48" s="26">
        <f>IF(TRUE,0,_xll.PSFx2BAL(CN,"*","GLCode",$B48,"COSTCENTRE",G$3,PF,PT))</f>
        <v>0</v>
      </c>
      <c r="H48" s="26">
        <f>IF(TRUE,0,_xll.PSFx2BAL(CN,"*","GLCode",$B48,"COSTCENTRE",H$3,PF,PT))</f>
        <v>0</v>
      </c>
      <c r="I48" s="26">
        <f>IF(TRUE,0,_xll.PSFx2BAL(CN,"*","GLCode",$B48,"COSTCENTRE",I$3,PF,PT))</f>
        <v>0</v>
      </c>
      <c r="J48" s="26">
        <f>IF(TRUE,0,_xll.PSFx2BAL(CN,"*","GLCode",$B48,"COSTCENTRE",J$3,PF,PT))</f>
        <v>0</v>
      </c>
      <c r="K48" s="26">
        <f>IF(TRUE,0,_xll.PSFx2BAL(CN,"*","GLCode",$B48,"COSTCENTRE",K$3,PF,PT))</f>
        <v>0</v>
      </c>
      <c r="L48" s="26">
        <f>IF(TRUE,0,_xll.PSFx2BAL(CN,"*","GLCode",$B48,"COSTCENTRE",L$3,PF,PT))</f>
        <v>0</v>
      </c>
      <c r="M48" s="26">
        <f>IF(TRUE,0,_xll.PSFx2BAL(CN,"*","GLCode",$B48,"COSTCENTRE",M$3,PF,PT))</f>
        <v>0</v>
      </c>
      <c r="N48" s="26">
        <f>IF(TRUE,0,_xll.PSFx2BAL(CN,"*","GLCode",$B48,"COSTCENTRE",N$3,PF,PT))</f>
        <v>0</v>
      </c>
      <c r="O48" s="18">
        <f t="shared" si="13"/>
        <v>0</v>
      </c>
      <c r="Q48" s="19">
        <f t="shared" si="14"/>
        <v>0</v>
      </c>
      <c r="S48" s="26">
        <f t="shared" si="15"/>
        <v>0</v>
      </c>
      <c r="T48" s="26"/>
      <c r="U48" s="26"/>
      <c r="V48" s="26"/>
      <c r="W48" s="26"/>
      <c r="X48" s="26"/>
      <c r="Y48" s="26"/>
      <c r="Z48" s="26"/>
      <c r="AA48" s="26"/>
      <c r="AB48" s="26"/>
      <c r="AC48" s="460">
        <f t="shared" si="9"/>
        <v>0</v>
      </c>
      <c r="AD48" s="26"/>
      <c r="AE48" s="26">
        <f>VLOOKUP(A48,'P&amp;L by Award'!$A$5:$AM$101,'P&amp;L by Award'!$AM$3,FALSE)</f>
        <v>0</v>
      </c>
      <c r="AF48" s="26"/>
    </row>
    <row r="49" spans="1:32" x14ac:dyDescent="0.2">
      <c r="A49" s="1">
        <f t="shared" si="5"/>
        <v>7240</v>
      </c>
      <c r="B49" t="s">
        <v>108</v>
      </c>
      <c r="C49" t="s">
        <v>109</v>
      </c>
      <c r="D49" s="26">
        <f>IF(TRUE,0,_xll.PSFx2BAL(CN,"*","GLCode",$B49,"COSTCENTRE",D$3,PF,PT))</f>
        <v>0</v>
      </c>
      <c r="E49" s="26">
        <f>IF(TRUE,0,_xll.PSFx2BAL(CN,"*","GLCode",$B49,"COSTCENTRE",E$3,PF,PT))</f>
        <v>0</v>
      </c>
      <c r="F49" s="26">
        <f>IF(TRUE,0,_xll.PSFx2BAL(CN,"*","GLCode",$B49,"COSTCENTRE",F$3,PF,PT))</f>
        <v>0</v>
      </c>
      <c r="G49" s="26">
        <f>IF(TRUE,0,_xll.PSFx2BAL(CN,"*","GLCode",$B49,"COSTCENTRE",G$3,PF,PT))</f>
        <v>0</v>
      </c>
      <c r="H49" s="26">
        <f>IF(TRUE,0,_xll.PSFx2BAL(CN,"*","GLCode",$B49,"COSTCENTRE",H$3,PF,PT))</f>
        <v>0</v>
      </c>
      <c r="I49" s="26">
        <f>IF(TRUE,0,_xll.PSFx2BAL(CN,"*","GLCode",$B49,"COSTCENTRE",I$3,PF,PT))</f>
        <v>0</v>
      </c>
      <c r="J49" s="26">
        <f>IF(TRUE,0,_xll.PSFx2BAL(CN,"*","GLCode",$B49,"COSTCENTRE",J$3,PF,PT))</f>
        <v>0</v>
      </c>
      <c r="K49" s="26">
        <f>IF(TRUE,6505.8,_xll.PSFx2BAL(CN,"*","GLCode",$B49,"COSTCENTRE",K$3,PF,PT))</f>
        <v>6505.8</v>
      </c>
      <c r="L49" s="26">
        <f>IF(TRUE,0,_xll.PSFx2BAL(CN,"*","GLCode",$B49,"COSTCENTRE",L$3,PF,PT))</f>
        <v>0</v>
      </c>
      <c r="M49" s="26">
        <f>IF(TRUE,0,_xll.PSFx2BAL(CN,"*","GLCode",$B49,"COSTCENTRE",M$3,PF,PT))</f>
        <v>0</v>
      </c>
      <c r="N49" s="26">
        <f>IF(TRUE,0,_xll.PSFx2BAL(CN,"*","GLCode",$B49,"COSTCENTRE",N$3,PF,PT))</f>
        <v>0</v>
      </c>
      <c r="O49" s="18">
        <f t="shared" si="13"/>
        <v>6505.8</v>
      </c>
      <c r="Q49" s="19">
        <f t="shared" si="14"/>
        <v>6505.8</v>
      </c>
      <c r="S49" s="26">
        <f t="shared" si="15"/>
        <v>6505.8</v>
      </c>
      <c r="T49" s="26"/>
      <c r="U49" s="26"/>
      <c r="V49" s="26"/>
      <c r="W49" s="26"/>
      <c r="X49" s="26"/>
      <c r="Y49" s="26"/>
      <c r="Z49" s="26"/>
      <c r="AA49" s="26"/>
      <c r="AB49" s="26"/>
      <c r="AC49" s="460">
        <f t="shared" si="9"/>
        <v>0</v>
      </c>
      <c r="AD49" s="26"/>
      <c r="AE49" s="26">
        <f>VLOOKUP(A49,'P&amp;L by Award'!$A$5:$AM$101,'P&amp;L by Award'!$AM$3,FALSE)</f>
        <v>0</v>
      </c>
      <c r="AF49" s="26"/>
    </row>
    <row r="50" spans="1:32" x14ac:dyDescent="0.2">
      <c r="A50" s="1">
        <f t="shared" si="5"/>
        <v>7241</v>
      </c>
      <c r="B50" t="s">
        <v>110</v>
      </c>
      <c r="C50" t="s">
        <v>111</v>
      </c>
      <c r="D50" s="26">
        <f>IF(TRUE,0,_xll.PSFx2BAL(CN,"*","GLCode",$B50,"COSTCENTRE",D$3,PF,PT))</f>
        <v>0</v>
      </c>
      <c r="E50" s="26">
        <f>IF(TRUE,0,_xll.PSFx2BAL(CN,"*","GLCode",$B50,"COSTCENTRE",E$3,PF,PT))</f>
        <v>0</v>
      </c>
      <c r="F50" s="26">
        <f>IF(TRUE,0,_xll.PSFx2BAL(CN,"*","GLCode",$B50,"COSTCENTRE",F$3,PF,PT))</f>
        <v>0</v>
      </c>
      <c r="G50" s="26">
        <f>IF(TRUE,0,_xll.PSFx2BAL(CN,"*","GLCode",$B50,"COSTCENTRE",G$3,PF,PT))</f>
        <v>0</v>
      </c>
      <c r="H50" s="26">
        <f>IF(TRUE,0,_xll.PSFx2BAL(CN,"*","GLCode",$B50,"COSTCENTRE",H$3,PF,PT))</f>
        <v>0</v>
      </c>
      <c r="I50" s="26">
        <f>IF(TRUE,0,_xll.PSFx2BAL(CN,"*","GLCode",$B50,"COSTCENTRE",I$3,PF,PT))</f>
        <v>0</v>
      </c>
      <c r="J50" s="26">
        <f>IF(TRUE,0,_xll.PSFx2BAL(CN,"*","GLCode",$B50,"COSTCENTRE",J$3,PF,PT))</f>
        <v>0</v>
      </c>
      <c r="K50" s="26">
        <f>IF(TRUE,98.63,_xll.PSFx2BAL(CN,"*","GLCode",$B50,"COSTCENTRE",K$3,PF,PT))</f>
        <v>98.63</v>
      </c>
      <c r="L50" s="26">
        <f>IF(TRUE,0,_xll.PSFx2BAL(CN,"*","GLCode",$B50,"COSTCENTRE",L$3,PF,PT))</f>
        <v>0</v>
      </c>
      <c r="M50" s="26">
        <f>IF(TRUE,0,_xll.PSFx2BAL(CN,"*","GLCode",$B50,"COSTCENTRE",M$3,PF,PT))</f>
        <v>0</v>
      </c>
      <c r="N50" s="26">
        <f>IF(TRUE,0,_xll.PSFx2BAL(CN,"*","GLCode",$B50,"COSTCENTRE",N$3,PF,PT))</f>
        <v>0</v>
      </c>
      <c r="O50" s="18">
        <f t="shared" si="13"/>
        <v>98.63</v>
      </c>
      <c r="Q50" s="19">
        <f t="shared" si="14"/>
        <v>98.63</v>
      </c>
      <c r="S50" s="26">
        <f t="shared" si="15"/>
        <v>98.63</v>
      </c>
      <c r="T50" s="26"/>
      <c r="U50" s="26"/>
      <c r="V50" s="26"/>
      <c r="W50" s="26"/>
      <c r="X50" s="26"/>
      <c r="Y50" s="26"/>
      <c r="Z50" s="26"/>
      <c r="AA50" s="26"/>
      <c r="AB50" s="26"/>
      <c r="AC50" s="460">
        <f t="shared" ref="AC50:AC81" si="16">O50-SUM(S50:AB50)</f>
        <v>0</v>
      </c>
      <c r="AD50" s="26"/>
      <c r="AE50" s="26">
        <f>VLOOKUP(A50,'P&amp;L by Award'!$A$5:$AM$101,'P&amp;L by Award'!$AM$3,FALSE)</f>
        <v>0</v>
      </c>
      <c r="AF50" s="26"/>
    </row>
    <row r="51" spans="1:32" x14ac:dyDescent="0.2">
      <c r="A51" s="1">
        <f t="shared" si="5"/>
        <v>7242</v>
      </c>
      <c r="B51" t="s">
        <v>112</v>
      </c>
      <c r="C51" t="s">
        <v>113</v>
      </c>
      <c r="D51" s="26">
        <f>IF(TRUE,0,_xll.PSFx2BAL(CN,"*","GLCode",$B51,"COSTCENTRE",D$3,PF,PT))</f>
        <v>0</v>
      </c>
      <c r="E51" s="26">
        <f>IF(TRUE,0,_xll.PSFx2BAL(CN,"*","GLCode",$B51,"COSTCENTRE",E$3,PF,PT))</f>
        <v>0</v>
      </c>
      <c r="F51" s="26">
        <f>IF(TRUE,0,_xll.PSFx2BAL(CN,"*","GLCode",$B51,"COSTCENTRE",F$3,PF,PT))</f>
        <v>0</v>
      </c>
      <c r="G51" s="26">
        <f>IF(TRUE,1606.36,_xll.PSFx2BAL(CN,"*","GLCode",$B51,"COSTCENTRE",G$3,PF,PT))</f>
        <v>1606.36</v>
      </c>
      <c r="H51" s="26">
        <f>IF(TRUE,0,_xll.PSFx2BAL(CN,"*","GLCode",$B51,"COSTCENTRE",H$3,PF,PT))</f>
        <v>0</v>
      </c>
      <c r="I51" s="26">
        <f>IF(TRUE,37132.67,_xll.PSFx2BAL(CN,"*","GLCode",$B51,"COSTCENTRE",I$3,PF,PT))</f>
        <v>37132.67</v>
      </c>
      <c r="J51" s="26">
        <f>IF(TRUE,228,_xll.PSFx2BAL(CN,"*","GLCode",$B51,"COSTCENTRE",J$3,PF,PT))</f>
        <v>228</v>
      </c>
      <c r="K51" s="26">
        <f>IF(TRUE,5678.66,_xll.PSFx2BAL(CN,"*","GLCode",$B51,"COSTCENTRE",K$3,PF,PT))</f>
        <v>5678.66</v>
      </c>
      <c r="L51" s="26">
        <f>IF(TRUE,0,_xll.PSFx2BAL(CN,"*","GLCode",$B51,"COSTCENTRE",L$3,PF,PT))</f>
        <v>0</v>
      </c>
      <c r="M51" s="26">
        <f>IF(TRUE,0,_xll.PSFx2BAL(CN,"*","GLCode",$B51,"COSTCENTRE",M$3,PF,PT))</f>
        <v>0</v>
      </c>
      <c r="N51" s="26">
        <f>IF(TRUE,0,_xll.PSFx2BAL(CN,"*","GLCode",$B51,"COSTCENTRE",N$3,PF,PT))</f>
        <v>0</v>
      </c>
      <c r="O51" s="18">
        <f t="shared" si="13"/>
        <v>44645.69</v>
      </c>
      <c r="Q51" s="67">
        <f t="shared" si="14"/>
        <v>44645.69</v>
      </c>
      <c r="S51" s="26"/>
      <c r="T51" s="26"/>
      <c r="U51" s="26">
        <f>$O51</f>
        <v>44645.69</v>
      </c>
      <c r="V51" s="26"/>
      <c r="W51" s="26"/>
      <c r="X51" s="26"/>
      <c r="Y51" s="26"/>
      <c r="Z51" s="26"/>
      <c r="AA51" s="26"/>
      <c r="AB51" s="26"/>
      <c r="AC51" s="460">
        <f t="shared" si="16"/>
        <v>0</v>
      </c>
      <c r="AD51" s="26"/>
      <c r="AE51" s="26">
        <f>VLOOKUP(A51,'P&amp;L by Award'!$A$5:$AM$101,'P&amp;L by Award'!$AM$3,FALSE)</f>
        <v>0</v>
      </c>
      <c r="AF51" s="26"/>
    </row>
    <row r="52" spans="1:32" x14ac:dyDescent="0.2">
      <c r="A52" s="1">
        <f t="shared" si="5"/>
        <v>7243</v>
      </c>
      <c r="B52" t="s">
        <v>114</v>
      </c>
      <c r="C52" t="s">
        <v>115</v>
      </c>
      <c r="D52" s="26">
        <f>IF(TRUE,0,_xll.PSFx2BAL(CN,"*","GLCode",$B52,"COSTCENTRE",D$3,PF,PT))</f>
        <v>0</v>
      </c>
      <c r="E52" s="26">
        <f>IF(TRUE,0,_xll.PSFx2BAL(CN,"*","GLCode",$B52,"COSTCENTRE",E$3,PF,PT))</f>
        <v>0</v>
      </c>
      <c r="F52" s="26">
        <f>IF(TRUE,0,_xll.PSFx2BAL(CN,"*","GLCode",$B52,"COSTCENTRE",F$3,PF,PT))</f>
        <v>0</v>
      </c>
      <c r="G52" s="26">
        <f>IF(TRUE,0,_xll.PSFx2BAL(CN,"*","GLCode",$B52,"COSTCENTRE",G$3,PF,PT))</f>
        <v>0</v>
      </c>
      <c r="H52" s="26">
        <f>IF(TRUE,2012.5,_xll.PSFx2BAL(CN,"*","GLCode",$B52,"COSTCENTRE",H$3,PF,PT))</f>
        <v>2012.5</v>
      </c>
      <c r="I52" s="26">
        <f>IF(TRUE,0,_xll.PSFx2BAL(CN,"*","GLCode",$B52,"COSTCENTRE",I$3,PF,PT))</f>
        <v>0</v>
      </c>
      <c r="J52" s="26">
        <f>IF(TRUE,0,_xll.PSFx2BAL(CN,"*","GLCode",$B52,"COSTCENTRE",J$3,PF,PT))</f>
        <v>0</v>
      </c>
      <c r="K52" s="26">
        <f>IF(TRUE,9738.23,_xll.PSFx2BAL(CN,"*","GLCode",$B52,"COSTCENTRE",K$3,PF,PT))</f>
        <v>9738.23</v>
      </c>
      <c r="L52" s="26">
        <f>IF(TRUE,0,_xll.PSFx2BAL(CN,"*","GLCode",$B52,"COSTCENTRE",L$3,PF,PT))</f>
        <v>0</v>
      </c>
      <c r="M52" s="26">
        <f>IF(TRUE,0,_xll.PSFx2BAL(CN,"*","GLCode",$B52,"COSTCENTRE",M$3,PF,PT))</f>
        <v>0</v>
      </c>
      <c r="N52" s="26">
        <f>IF(TRUE,0,_xll.PSFx2BAL(CN,"*","GLCode",$B52,"COSTCENTRE",N$3,PF,PT))</f>
        <v>0</v>
      </c>
      <c r="O52" s="18">
        <f t="shared" si="13"/>
        <v>11750.73</v>
      </c>
      <c r="Q52" s="67">
        <f t="shared" si="14"/>
        <v>11750.73</v>
      </c>
      <c r="S52" s="26"/>
      <c r="T52" s="26"/>
      <c r="U52" s="26">
        <f>$O52</f>
        <v>11750.73</v>
      </c>
      <c r="V52" s="26"/>
      <c r="W52" s="26"/>
      <c r="X52" s="26"/>
      <c r="Y52" s="26"/>
      <c r="Z52" s="26"/>
      <c r="AA52" s="26"/>
      <c r="AB52" s="26"/>
      <c r="AC52" s="460">
        <f t="shared" si="16"/>
        <v>0</v>
      </c>
      <c r="AD52" s="26"/>
      <c r="AE52" s="26">
        <f>VLOOKUP(A52,'P&amp;L by Award'!$A$5:$AM$101,'P&amp;L by Award'!$AM$3,FALSE)</f>
        <v>0</v>
      </c>
      <c r="AF52" s="26"/>
    </row>
    <row r="53" spans="1:32" hidden="1" x14ac:dyDescent="0.2">
      <c r="A53" s="1">
        <f t="shared" si="5"/>
        <v>7244</v>
      </c>
      <c r="B53" t="s">
        <v>116</v>
      </c>
      <c r="C53" t="s">
        <v>117</v>
      </c>
      <c r="D53" s="26">
        <f>IF(TRUE,0,_xll.PSFx2BAL(CN,"*","GLCode",$B53,"COSTCENTRE",D$3,PF,PT))</f>
        <v>0</v>
      </c>
      <c r="E53" s="26">
        <f>IF(TRUE,0,_xll.PSFx2BAL(CN,"*","GLCode",$B53,"COSTCENTRE",E$3,PF,PT))</f>
        <v>0</v>
      </c>
      <c r="F53" s="26">
        <f>IF(TRUE,0,_xll.PSFx2BAL(CN,"*","GLCode",$B53,"COSTCENTRE",F$3,PF,PT))</f>
        <v>0</v>
      </c>
      <c r="G53" s="26">
        <f>IF(TRUE,0,_xll.PSFx2BAL(CN,"*","GLCode",$B53,"COSTCENTRE",G$3,PF,PT))</f>
        <v>0</v>
      </c>
      <c r="H53" s="26">
        <f>IF(TRUE,0,_xll.PSFx2BAL(CN,"*","GLCode",$B53,"COSTCENTRE",H$3,PF,PT))</f>
        <v>0</v>
      </c>
      <c r="I53" s="26">
        <f>IF(TRUE,0,_xll.PSFx2BAL(CN,"*","GLCode",$B53,"COSTCENTRE",I$3,PF,PT))</f>
        <v>0</v>
      </c>
      <c r="J53" s="26">
        <f>IF(TRUE,0,_xll.PSFx2BAL(CN,"*","GLCode",$B53,"COSTCENTRE",J$3,PF,PT))</f>
        <v>0</v>
      </c>
      <c r="K53" s="26">
        <f>IF(TRUE,0,_xll.PSFx2BAL(CN,"*","GLCode",$B53,"COSTCENTRE",K$3,PF,PT))</f>
        <v>0</v>
      </c>
      <c r="L53" s="26">
        <f>IF(TRUE,0,_xll.PSFx2BAL(CN,"*","GLCode",$B53,"COSTCENTRE",L$3,PF,PT))</f>
        <v>0</v>
      </c>
      <c r="M53" s="26">
        <f>IF(TRUE,0,_xll.PSFx2BAL(CN,"*","GLCode",$B53,"COSTCENTRE",M$3,PF,PT))</f>
        <v>0</v>
      </c>
      <c r="N53" s="26">
        <f>IF(TRUE,0,_xll.PSFx2BAL(CN,"*","GLCode",$B53,"COSTCENTRE",N$3,PF,PT))</f>
        <v>0</v>
      </c>
      <c r="O53" s="18">
        <f t="shared" si="13"/>
        <v>0</v>
      </c>
      <c r="Q53" s="66">
        <f t="shared" si="14"/>
        <v>0</v>
      </c>
      <c r="S53" s="26"/>
      <c r="T53" s="26"/>
      <c r="U53" s="26">
        <f>$O53</f>
        <v>0</v>
      </c>
      <c r="V53" s="26"/>
      <c r="W53" s="26"/>
      <c r="X53" s="26"/>
      <c r="Y53" s="26"/>
      <c r="Z53" s="26"/>
      <c r="AA53" s="26"/>
      <c r="AB53" s="26"/>
      <c r="AC53" s="460">
        <f t="shared" si="16"/>
        <v>0</v>
      </c>
      <c r="AD53" s="26"/>
      <c r="AE53" s="26">
        <f>VLOOKUP(A53,'P&amp;L by Award'!$A$5:$AM$101,'P&amp;L by Award'!$AM$3,FALSE)</f>
        <v>0</v>
      </c>
      <c r="AF53" s="26"/>
    </row>
    <row r="54" spans="1:32" x14ac:dyDescent="0.2">
      <c r="A54" s="1">
        <f t="shared" si="5"/>
        <v>7250</v>
      </c>
      <c r="B54" t="s">
        <v>118</v>
      </c>
      <c r="C54" t="s">
        <v>119</v>
      </c>
      <c r="D54" s="26">
        <f>IF(TRUE,0,_xll.PSFx2BAL(CN,"*","GLCode",$B54,"COSTCENTRE",D$3,PF,PT))</f>
        <v>0</v>
      </c>
      <c r="E54" s="26">
        <f>IF(TRUE,0,_xll.PSFx2BAL(CN,"*","GLCode",$B54,"COSTCENTRE",E$3,PF,PT))</f>
        <v>0</v>
      </c>
      <c r="F54" s="26">
        <f>IF(TRUE,0,_xll.PSFx2BAL(CN,"*","GLCode",$B54,"COSTCENTRE",F$3,PF,PT))</f>
        <v>0</v>
      </c>
      <c r="G54" s="26">
        <f>IF(TRUE,0,_xll.PSFx2BAL(CN,"*","GLCode",$B54,"COSTCENTRE",G$3,PF,PT))</f>
        <v>0</v>
      </c>
      <c r="H54" s="26">
        <f>IF(TRUE,2837.02,_xll.PSFx2BAL(CN,"*","GLCode",$B54,"COSTCENTRE",H$3,PF,PT))</f>
        <v>2837.02</v>
      </c>
      <c r="I54" s="26">
        <f>IF(TRUE,900,_xll.PSFx2BAL(CN,"*","GLCode",$B54,"COSTCENTRE",I$3,PF,PT))</f>
        <v>900</v>
      </c>
      <c r="J54" s="26">
        <f>IF(TRUE,0,_xll.PSFx2BAL(CN,"*","GLCode",$B54,"COSTCENTRE",J$3,PF,PT))</f>
        <v>0</v>
      </c>
      <c r="K54" s="26">
        <f>IF(TRUE,41.84,_xll.PSFx2BAL(CN,"*","GLCode",$B54,"COSTCENTRE",K$3,PF,PT))</f>
        <v>41.84</v>
      </c>
      <c r="L54" s="26">
        <f>IF(TRUE,0,_xll.PSFx2BAL(CN,"*","GLCode",$B54,"COSTCENTRE",L$3,PF,PT))</f>
        <v>0</v>
      </c>
      <c r="M54" s="26">
        <f>IF(TRUE,0,_xll.PSFx2BAL(CN,"*","GLCode",$B54,"COSTCENTRE",M$3,PF,PT))</f>
        <v>0</v>
      </c>
      <c r="N54" s="26">
        <f>IF(TRUE,0,_xll.PSFx2BAL(CN,"*","GLCode",$B54,"COSTCENTRE",N$3,PF,PT))</f>
        <v>0</v>
      </c>
      <c r="O54" s="18">
        <f t="shared" si="13"/>
        <v>3778.86</v>
      </c>
      <c r="Q54" s="19">
        <f t="shared" si="14"/>
        <v>3778.86</v>
      </c>
      <c r="S54" s="26"/>
      <c r="T54" s="26"/>
      <c r="U54" s="26">
        <f>$O54</f>
        <v>3778.86</v>
      </c>
      <c r="V54" s="26"/>
      <c r="W54" s="26"/>
      <c r="X54" s="26"/>
      <c r="Y54" s="26"/>
      <c r="Z54" s="26"/>
      <c r="AA54" s="26"/>
      <c r="AB54" s="26"/>
      <c r="AC54" s="460">
        <f t="shared" si="16"/>
        <v>0</v>
      </c>
      <c r="AD54" s="26"/>
      <c r="AE54" s="26">
        <f>VLOOKUP(A54,'P&amp;L by Award'!$A$5:$AM$101,'P&amp;L by Award'!$AM$3,FALSE)</f>
        <v>0</v>
      </c>
      <c r="AF54" s="26"/>
    </row>
    <row r="55" spans="1:32" hidden="1" x14ac:dyDescent="0.2">
      <c r="A55" s="1">
        <f t="shared" si="5"/>
        <v>7251</v>
      </c>
      <c r="B55" t="s">
        <v>120</v>
      </c>
      <c r="C55" t="s">
        <v>121</v>
      </c>
      <c r="D55" s="26">
        <f>IF(TRUE,0,_xll.PSFx2BAL(CN,"*","GLCode",$B55,"COSTCENTRE",D$3,PF,PT))</f>
        <v>0</v>
      </c>
      <c r="E55" s="26">
        <f>IF(TRUE,0,_xll.PSFx2BAL(CN,"*","GLCode",$B55,"COSTCENTRE",E$3,PF,PT))</f>
        <v>0</v>
      </c>
      <c r="F55" s="26">
        <f>IF(TRUE,0,_xll.PSFx2BAL(CN,"*","GLCode",$B55,"COSTCENTRE",F$3,PF,PT))</f>
        <v>0</v>
      </c>
      <c r="G55" s="26">
        <f>IF(TRUE,0,_xll.PSFx2BAL(CN,"*","GLCode",$B55,"COSTCENTRE",G$3,PF,PT))</f>
        <v>0</v>
      </c>
      <c r="H55" s="26">
        <f>IF(TRUE,0,_xll.PSFx2BAL(CN,"*","GLCode",$B55,"COSTCENTRE",H$3,PF,PT))</f>
        <v>0</v>
      </c>
      <c r="I55" s="26">
        <f>IF(TRUE,0,_xll.PSFx2BAL(CN,"*","GLCode",$B55,"COSTCENTRE",I$3,PF,PT))</f>
        <v>0</v>
      </c>
      <c r="J55" s="26">
        <f>IF(TRUE,0,_xll.PSFx2BAL(CN,"*","GLCode",$B55,"COSTCENTRE",J$3,PF,PT))</f>
        <v>0</v>
      </c>
      <c r="K55" s="26">
        <f>IF(TRUE,0,_xll.PSFx2BAL(CN,"*","GLCode",$B55,"COSTCENTRE",K$3,PF,PT))</f>
        <v>0</v>
      </c>
      <c r="L55" s="26">
        <f>IF(TRUE,0,_xll.PSFx2BAL(CN,"*","GLCode",$B55,"COSTCENTRE",L$3,PF,PT))</f>
        <v>0</v>
      </c>
      <c r="M55" s="26">
        <f>IF(TRUE,0,_xll.PSFx2BAL(CN,"*","GLCode",$B55,"COSTCENTRE",M$3,PF,PT))</f>
        <v>0</v>
      </c>
      <c r="N55" s="26">
        <f>IF(TRUE,0,_xll.PSFx2BAL(CN,"*","GLCode",$B55,"COSTCENTRE",N$3,PF,PT))</f>
        <v>0</v>
      </c>
      <c r="O55" s="18">
        <f t="shared" si="13"/>
        <v>0</v>
      </c>
      <c r="Q55" s="19">
        <f t="shared" si="14"/>
        <v>0</v>
      </c>
      <c r="S55" s="26"/>
      <c r="T55" s="26"/>
      <c r="U55" s="26">
        <f>$O55</f>
        <v>0</v>
      </c>
      <c r="V55" s="26"/>
      <c r="W55" s="26"/>
      <c r="X55" s="26"/>
      <c r="Y55" s="26"/>
      <c r="Z55" s="26"/>
      <c r="AA55" s="26"/>
      <c r="AB55" s="26"/>
      <c r="AC55" s="460">
        <f t="shared" si="16"/>
        <v>0</v>
      </c>
      <c r="AD55" s="26"/>
      <c r="AE55" s="26">
        <f>VLOOKUP(A55,'P&amp;L by Award'!$A$5:$AM$101,'P&amp;L by Award'!$AM$3,FALSE)</f>
        <v>0</v>
      </c>
      <c r="AF55" s="26"/>
    </row>
    <row r="56" spans="1:32" x14ac:dyDescent="0.2">
      <c r="A56" s="1">
        <f t="shared" si="5"/>
        <v>7260</v>
      </c>
      <c r="B56" t="s">
        <v>122</v>
      </c>
      <c r="C56" t="s">
        <v>123</v>
      </c>
      <c r="D56" s="26">
        <f>IF(TRUE,0,_xll.PSFx2BAL(CN,"*","GLCode",$B56,"COSTCENTRE",D$3,PF,PT))</f>
        <v>0</v>
      </c>
      <c r="E56" s="26">
        <f>IF(TRUE,0,_xll.PSFx2BAL(CN,"*","GLCode",$B56,"COSTCENTRE",E$3,PF,PT))</f>
        <v>0</v>
      </c>
      <c r="F56" s="26">
        <f>IF(TRUE,0,_xll.PSFx2BAL(CN,"*","GLCode",$B56,"COSTCENTRE",F$3,PF,PT))</f>
        <v>0</v>
      </c>
      <c r="G56" s="26">
        <f>IF(TRUE,0,_xll.PSFx2BAL(CN,"*","GLCode",$B56,"COSTCENTRE",G$3,PF,PT))</f>
        <v>0</v>
      </c>
      <c r="H56" s="26">
        <f>IF(TRUE,0,_xll.PSFx2BAL(CN,"*","GLCode",$B56,"COSTCENTRE",H$3,PF,PT))</f>
        <v>0</v>
      </c>
      <c r="I56" s="26">
        <f>IF(TRUE,0,_xll.PSFx2BAL(CN,"*","GLCode",$B56,"COSTCENTRE",I$3,PF,PT))</f>
        <v>0</v>
      </c>
      <c r="J56" s="26">
        <f>IF(TRUE,0,_xll.PSFx2BAL(CN,"*","GLCode",$B56,"COSTCENTRE",J$3,PF,PT))</f>
        <v>0</v>
      </c>
      <c r="K56" s="26">
        <f>IF(TRUE,720,_xll.PSFx2BAL(CN,"*","GLCode",$B56,"COSTCENTRE",K$3,PF,PT))</f>
        <v>720</v>
      </c>
      <c r="L56" s="26">
        <f>IF(TRUE,0,_xll.PSFx2BAL(CN,"*","GLCode",$B56,"COSTCENTRE",L$3,PF,PT))</f>
        <v>0</v>
      </c>
      <c r="M56" s="26">
        <f>IF(TRUE,0,_xll.PSFx2BAL(CN,"*","GLCode",$B56,"COSTCENTRE",M$3,PF,PT))</f>
        <v>0</v>
      </c>
      <c r="N56" s="26">
        <f>IF(TRUE,0,_xll.PSFx2BAL(CN,"*","GLCode",$B56,"COSTCENTRE",N$3,PF,PT))</f>
        <v>0</v>
      </c>
      <c r="O56" s="18">
        <f t="shared" si="13"/>
        <v>720</v>
      </c>
      <c r="Q56" s="19">
        <f t="shared" si="14"/>
        <v>720</v>
      </c>
      <c r="S56" s="26">
        <f>$O56</f>
        <v>720</v>
      </c>
      <c r="T56" s="26"/>
      <c r="U56" s="26"/>
      <c r="V56" s="26"/>
      <c r="W56" s="26"/>
      <c r="X56" s="26"/>
      <c r="Y56" s="26"/>
      <c r="Z56" s="26"/>
      <c r="AA56" s="26"/>
      <c r="AB56" s="26"/>
      <c r="AC56" s="460">
        <f t="shared" si="16"/>
        <v>0</v>
      </c>
      <c r="AD56" s="26"/>
      <c r="AE56" s="26">
        <f>VLOOKUP(A56,'P&amp;L by Award'!$A$5:$AM$101,'P&amp;L by Award'!$AM$3,FALSE)</f>
        <v>0</v>
      </c>
      <c r="AF56" s="26"/>
    </row>
    <row r="57" spans="1:32" x14ac:dyDescent="0.2">
      <c r="A57" s="1">
        <f t="shared" si="5"/>
        <v>7300</v>
      </c>
      <c r="B57" t="s">
        <v>124</v>
      </c>
      <c r="C57" t="s">
        <v>125</v>
      </c>
      <c r="D57" s="26">
        <f>IF(TRUE,0,_xll.PSFx2BAL(CN,"*","GLCode",$B57,"COSTCENTRE",D$3,PF,PT))</f>
        <v>0</v>
      </c>
      <c r="E57" s="26">
        <f>IF(TRUE,0,_xll.PSFx2BAL(CN,"*","GLCode",$B57,"COSTCENTRE",E$3,PF,PT))</f>
        <v>0</v>
      </c>
      <c r="F57" s="26">
        <f>IF(TRUE,1690.34,_xll.PSFx2BAL(CN,"*","GLCode",$B57,"COSTCENTRE",F$3,PF,PT))</f>
        <v>1690.34</v>
      </c>
      <c r="G57" s="26">
        <f>IF(TRUE,0,_xll.PSFx2BAL(CN,"*","GLCode",$B57,"COSTCENTRE",G$3,PF,PT))</f>
        <v>0</v>
      </c>
      <c r="H57" s="26">
        <f>IF(TRUE,0,_xll.PSFx2BAL(CN,"*","GLCode",$B57,"COSTCENTRE",H$3,PF,PT))</f>
        <v>0</v>
      </c>
      <c r="I57" s="26">
        <f>IF(TRUE,0,_xll.PSFx2BAL(CN,"*","GLCode",$B57,"COSTCENTRE",I$3,PF,PT))</f>
        <v>0</v>
      </c>
      <c r="J57" s="26">
        <f>IF(TRUE,0,_xll.PSFx2BAL(CN,"*","GLCode",$B57,"COSTCENTRE",J$3,PF,PT))</f>
        <v>0</v>
      </c>
      <c r="K57" s="26">
        <f>IF(TRUE,0,_xll.PSFx2BAL(CN,"*","GLCode",$B57,"COSTCENTRE",K$3,PF,PT))</f>
        <v>0</v>
      </c>
      <c r="L57" s="26">
        <f>IF(TRUE,0,_xll.PSFx2BAL(CN,"*","GLCode",$B57,"COSTCENTRE",L$3,PF,PT))</f>
        <v>0</v>
      </c>
      <c r="M57" s="26">
        <f>IF(TRUE,0,_xll.PSFx2BAL(CN,"*","GLCode",$B57,"COSTCENTRE",M$3,PF,PT))</f>
        <v>0</v>
      </c>
      <c r="N57" s="26">
        <f>IF(TRUE,0,_xll.PSFx2BAL(CN,"*","GLCode",$B57,"COSTCENTRE",N$3,PF,PT))</f>
        <v>0</v>
      </c>
      <c r="O57" s="18">
        <f t="shared" si="13"/>
        <v>1690.34</v>
      </c>
      <c r="Q57" s="67">
        <f t="shared" si="14"/>
        <v>1690.34</v>
      </c>
      <c r="S57" s="26"/>
      <c r="T57" s="26"/>
      <c r="U57" s="26"/>
      <c r="V57" s="26"/>
      <c r="W57" s="26"/>
      <c r="X57" s="26">
        <f t="shared" ref="X57:X71" si="17">$O57</f>
        <v>1690.34</v>
      </c>
      <c r="Y57" s="26"/>
      <c r="Z57" s="26"/>
      <c r="AA57" s="26"/>
      <c r="AB57" s="26"/>
      <c r="AC57" s="460">
        <f t="shared" si="16"/>
        <v>0</v>
      </c>
      <c r="AD57" s="26"/>
      <c r="AE57" s="26">
        <f>VLOOKUP(A57,'P&amp;L by Award'!$A$5:$AM$101,'P&amp;L by Award'!$AM$3,FALSE)</f>
        <v>674.00999999999988</v>
      </c>
      <c r="AF57" s="26"/>
    </row>
    <row r="58" spans="1:32" x14ac:dyDescent="0.2">
      <c r="A58" s="1">
        <f t="shared" si="5"/>
        <v>7301</v>
      </c>
      <c r="B58" t="s">
        <v>126</v>
      </c>
      <c r="C58" t="s">
        <v>127</v>
      </c>
      <c r="D58" s="26">
        <f>IF(TRUE,0,_xll.PSFx2BAL(CN,"*","GLCode",$B58,"COSTCENTRE",D$3,PF,PT))</f>
        <v>0</v>
      </c>
      <c r="E58" s="26">
        <f>IF(TRUE,0,_xll.PSFx2BAL(CN,"*","GLCode",$B58,"COSTCENTRE",E$3,PF,PT))</f>
        <v>0</v>
      </c>
      <c r="F58" s="26">
        <f>IF(TRUE,0,_xll.PSFx2BAL(CN,"*","GLCode",$B58,"COSTCENTRE",F$3,PF,PT))</f>
        <v>0</v>
      </c>
      <c r="G58" s="26">
        <f>IF(TRUE,0,_xll.PSFx2BAL(CN,"*","GLCode",$B58,"COSTCENTRE",G$3,PF,PT))</f>
        <v>0</v>
      </c>
      <c r="H58" s="26">
        <f>IF(TRUE,0,_xll.PSFx2BAL(CN,"*","GLCode",$B58,"COSTCENTRE",H$3,PF,PT))</f>
        <v>0</v>
      </c>
      <c r="I58" s="26">
        <f>IF(TRUE,0,_xll.PSFx2BAL(CN,"*","GLCode",$B58,"COSTCENTRE",I$3,PF,PT))</f>
        <v>0</v>
      </c>
      <c r="J58" s="26">
        <f>IF(TRUE,0,_xll.PSFx2BAL(CN,"*","GLCode",$B58,"COSTCENTRE",J$3,PF,PT))</f>
        <v>0</v>
      </c>
      <c r="K58" s="26">
        <f>IF(TRUE,0,_xll.PSFx2BAL(CN,"*","GLCode",$B58,"COSTCENTRE",K$3,PF,PT))</f>
        <v>0</v>
      </c>
      <c r="L58" s="26">
        <f>IF(TRUE,0,_xll.PSFx2BAL(CN,"*","GLCode",$B58,"COSTCENTRE",L$3,PF,PT))</f>
        <v>0</v>
      </c>
      <c r="M58" s="26">
        <f>IF(TRUE,92.2,_xll.PSFx2BAL(CN,"*","GLCode",$B58,"COSTCENTRE",M$3,PF,PT))</f>
        <v>92.2</v>
      </c>
      <c r="N58" s="26">
        <f>IF(TRUE,0,_xll.PSFx2BAL(CN,"*","GLCode",$B58,"COSTCENTRE",N$3,PF,PT))</f>
        <v>0</v>
      </c>
      <c r="O58" s="18">
        <f t="shared" si="13"/>
        <v>92.2</v>
      </c>
      <c r="Q58" s="67">
        <f t="shared" si="14"/>
        <v>0</v>
      </c>
      <c r="S58" s="26"/>
      <c r="T58" s="26"/>
      <c r="U58" s="26"/>
      <c r="V58" s="26"/>
      <c r="W58" s="26"/>
      <c r="X58" s="26">
        <f t="shared" si="17"/>
        <v>92.2</v>
      </c>
      <c r="Y58" s="26"/>
      <c r="Z58" s="26"/>
      <c r="AA58" s="26"/>
      <c r="AB58" s="26"/>
      <c r="AC58" s="460">
        <f t="shared" si="16"/>
        <v>0</v>
      </c>
      <c r="AD58" s="26"/>
      <c r="AE58" s="26">
        <f>VLOOKUP(A58,'P&amp;L by Award'!$A$5:$AM$101,'P&amp;L by Award'!$AM$3,FALSE)</f>
        <v>0</v>
      </c>
      <c r="AF58" s="26"/>
    </row>
    <row r="59" spans="1:32" x14ac:dyDescent="0.2">
      <c r="A59" s="1">
        <f t="shared" si="5"/>
        <v>7302</v>
      </c>
      <c r="B59" t="s">
        <v>128</v>
      </c>
      <c r="C59" t="s">
        <v>129</v>
      </c>
      <c r="D59" s="26">
        <f>IF(TRUE,0,_xll.PSFx2BAL(CN,"*","GLCode",$B59,"COSTCENTRE",D$3,PF,PT))</f>
        <v>0</v>
      </c>
      <c r="E59" s="26">
        <f>IF(TRUE,0,_xll.PSFx2BAL(CN,"*","GLCode",$B59,"COSTCENTRE",E$3,PF,PT))</f>
        <v>0</v>
      </c>
      <c r="F59" s="26">
        <f>IF(TRUE,25.29,_xll.PSFx2BAL(CN,"*","GLCode",$B59,"COSTCENTRE",F$3,PF,PT))</f>
        <v>25.29</v>
      </c>
      <c r="G59" s="26">
        <f>IF(TRUE,0,_xll.PSFx2BAL(CN,"*","GLCode",$B59,"COSTCENTRE",G$3,PF,PT))</f>
        <v>0</v>
      </c>
      <c r="H59" s="26">
        <f>IF(TRUE,12.9,_xll.PSFx2BAL(CN,"*","GLCode",$B59,"COSTCENTRE",H$3,PF,PT))</f>
        <v>12.9</v>
      </c>
      <c r="I59" s="26">
        <f>IF(TRUE,53.8,_xll.PSFx2BAL(CN,"*","GLCode",$B59,"COSTCENTRE",I$3,PF,PT))</f>
        <v>53.8</v>
      </c>
      <c r="J59" s="26">
        <f>IF(TRUE,0,_xll.PSFx2BAL(CN,"*","GLCode",$B59,"COSTCENTRE",J$3,PF,PT))</f>
        <v>0</v>
      </c>
      <c r="K59" s="26">
        <f>IF(TRUE,0,_xll.PSFx2BAL(CN,"*","GLCode",$B59,"COSTCENTRE",K$3,PF,PT))</f>
        <v>0</v>
      </c>
      <c r="L59" s="26">
        <f>IF(TRUE,0,_xll.PSFx2BAL(CN,"*","GLCode",$B59,"COSTCENTRE",L$3,PF,PT))</f>
        <v>0</v>
      </c>
      <c r="M59" s="26">
        <f>IF(TRUE,0,_xll.PSFx2BAL(CN,"*","GLCode",$B59,"COSTCENTRE",M$3,PF,PT))</f>
        <v>0</v>
      </c>
      <c r="N59" s="26">
        <f>IF(TRUE,0,_xll.PSFx2BAL(CN,"*","GLCode",$B59,"COSTCENTRE",N$3,PF,PT))</f>
        <v>0</v>
      </c>
      <c r="O59" s="18">
        <f t="shared" si="13"/>
        <v>91.99</v>
      </c>
      <c r="Q59" s="67">
        <f t="shared" si="14"/>
        <v>91.99</v>
      </c>
      <c r="S59" s="26"/>
      <c r="T59" s="26"/>
      <c r="U59" s="26"/>
      <c r="V59" s="26"/>
      <c r="W59" s="26"/>
      <c r="X59" s="26">
        <f t="shared" si="17"/>
        <v>91.99</v>
      </c>
      <c r="Y59" s="26"/>
      <c r="Z59" s="26"/>
      <c r="AA59" s="26"/>
      <c r="AB59" s="26"/>
      <c r="AC59" s="460">
        <f t="shared" si="16"/>
        <v>0</v>
      </c>
      <c r="AD59" s="26"/>
      <c r="AE59" s="26">
        <f>VLOOKUP(A59,'P&amp;L by Award'!$A$5:$AM$101,'P&amp;L by Award'!$AM$3,FALSE)</f>
        <v>0</v>
      </c>
      <c r="AF59" s="26"/>
    </row>
    <row r="60" spans="1:32" hidden="1" x14ac:dyDescent="0.2">
      <c r="A60" s="1">
        <f t="shared" si="5"/>
        <v>7303</v>
      </c>
      <c r="B60" t="s">
        <v>130</v>
      </c>
      <c r="C60" t="s">
        <v>131</v>
      </c>
      <c r="D60" s="26">
        <f>IF(TRUE,0,_xll.PSFx2BAL(CN,"*","GLCode",$B60,"COSTCENTRE",D$3,PF,PT))</f>
        <v>0</v>
      </c>
      <c r="E60" s="26">
        <f>IF(TRUE,0,_xll.PSFx2BAL(CN,"*","GLCode",$B60,"COSTCENTRE",E$3,PF,PT))</f>
        <v>0</v>
      </c>
      <c r="F60" s="26">
        <f>IF(TRUE,0,_xll.PSFx2BAL(CN,"*","GLCode",$B60,"COSTCENTRE",F$3,PF,PT))</f>
        <v>0</v>
      </c>
      <c r="G60" s="26">
        <f>IF(TRUE,0,_xll.PSFx2BAL(CN,"*","GLCode",$B60,"COSTCENTRE",G$3,PF,PT))</f>
        <v>0</v>
      </c>
      <c r="H60" s="26">
        <f>IF(TRUE,0,_xll.PSFx2BAL(CN,"*","GLCode",$B60,"COSTCENTRE",H$3,PF,PT))</f>
        <v>0</v>
      </c>
      <c r="I60" s="26">
        <f>IF(TRUE,0,_xll.PSFx2BAL(CN,"*","GLCode",$B60,"COSTCENTRE",I$3,PF,PT))</f>
        <v>0</v>
      </c>
      <c r="J60" s="26">
        <f>IF(TRUE,0,_xll.PSFx2BAL(CN,"*","GLCode",$B60,"COSTCENTRE",J$3,PF,PT))</f>
        <v>0</v>
      </c>
      <c r="K60" s="26">
        <f>IF(TRUE,0,_xll.PSFx2BAL(CN,"*","GLCode",$B60,"COSTCENTRE",K$3,PF,PT))</f>
        <v>0</v>
      </c>
      <c r="L60" s="26">
        <f>IF(TRUE,0,_xll.PSFx2BAL(CN,"*","GLCode",$B60,"COSTCENTRE",L$3,PF,PT))</f>
        <v>0</v>
      </c>
      <c r="M60" s="26">
        <f>IF(TRUE,0,_xll.PSFx2BAL(CN,"*","GLCode",$B60,"COSTCENTRE",M$3,PF,PT))</f>
        <v>0</v>
      </c>
      <c r="N60" s="26">
        <f>IF(TRUE,0,_xll.PSFx2BAL(CN,"*","GLCode",$B60,"COSTCENTRE",N$3,PF,PT))</f>
        <v>0</v>
      </c>
      <c r="O60" s="18">
        <f t="shared" si="13"/>
        <v>0</v>
      </c>
      <c r="Q60" s="67">
        <f t="shared" si="14"/>
        <v>0</v>
      </c>
      <c r="S60" s="26"/>
      <c r="T60" s="26"/>
      <c r="U60" s="26"/>
      <c r="V60" s="26"/>
      <c r="W60" s="26"/>
      <c r="X60" s="26">
        <f t="shared" si="17"/>
        <v>0</v>
      </c>
      <c r="Y60" s="26"/>
      <c r="Z60" s="26"/>
      <c r="AA60" s="26"/>
      <c r="AB60" s="26"/>
      <c r="AC60" s="460">
        <f t="shared" si="16"/>
        <v>0</v>
      </c>
      <c r="AD60" s="26"/>
      <c r="AE60" s="26">
        <f>VLOOKUP(A60,'P&amp;L by Award'!$A$5:$AM$101,'P&amp;L by Award'!$AM$3,FALSE)</f>
        <v>0</v>
      </c>
      <c r="AF60" s="26"/>
    </row>
    <row r="61" spans="1:32" hidden="1" x14ac:dyDescent="0.2">
      <c r="A61" s="1">
        <f t="shared" si="5"/>
        <v>7304</v>
      </c>
      <c r="B61" t="s">
        <v>132</v>
      </c>
      <c r="C61" t="s">
        <v>133</v>
      </c>
      <c r="D61" s="26">
        <f>IF(TRUE,0,_xll.PSFx2BAL(CN,"*","GLCode",$B61,"COSTCENTRE",D$3,PF,PT))</f>
        <v>0</v>
      </c>
      <c r="E61" s="26">
        <f>IF(TRUE,0,_xll.PSFx2BAL(CN,"*","GLCode",$B61,"COSTCENTRE",E$3,PF,PT))</f>
        <v>0</v>
      </c>
      <c r="F61" s="26">
        <f>IF(TRUE,0,_xll.PSFx2BAL(CN,"*","GLCode",$B61,"COSTCENTRE",F$3,PF,PT))</f>
        <v>0</v>
      </c>
      <c r="G61" s="26">
        <f>IF(TRUE,0,_xll.PSFx2BAL(CN,"*","GLCode",$B61,"COSTCENTRE",G$3,PF,PT))</f>
        <v>0</v>
      </c>
      <c r="H61" s="26">
        <f>IF(TRUE,0,_xll.PSFx2BAL(CN,"*","GLCode",$B61,"COSTCENTRE",H$3,PF,PT))</f>
        <v>0</v>
      </c>
      <c r="I61" s="26">
        <f>IF(TRUE,0,_xll.PSFx2BAL(CN,"*","GLCode",$B61,"COSTCENTRE",I$3,PF,PT))</f>
        <v>0</v>
      </c>
      <c r="J61" s="26">
        <f>IF(TRUE,0,_xll.PSFx2BAL(CN,"*","GLCode",$B61,"COSTCENTRE",J$3,PF,PT))</f>
        <v>0</v>
      </c>
      <c r="K61" s="26">
        <f>IF(TRUE,0,_xll.PSFx2BAL(CN,"*","GLCode",$B61,"COSTCENTRE",K$3,PF,PT))</f>
        <v>0</v>
      </c>
      <c r="L61" s="26">
        <f>IF(TRUE,0,_xll.PSFx2BAL(CN,"*","GLCode",$B61,"COSTCENTRE",L$3,PF,PT))</f>
        <v>0</v>
      </c>
      <c r="M61" s="26">
        <f>IF(TRUE,0,_xll.PSFx2BAL(CN,"*","GLCode",$B61,"COSTCENTRE",M$3,PF,PT))</f>
        <v>0</v>
      </c>
      <c r="N61" s="26">
        <f>IF(TRUE,0,_xll.PSFx2BAL(CN,"*","GLCode",$B61,"COSTCENTRE",N$3,PF,PT))</f>
        <v>0</v>
      </c>
      <c r="O61" s="18">
        <f t="shared" si="13"/>
        <v>0</v>
      </c>
      <c r="Q61" s="67">
        <f t="shared" si="14"/>
        <v>0</v>
      </c>
      <c r="S61" s="26"/>
      <c r="T61" s="26"/>
      <c r="U61" s="26"/>
      <c r="V61" s="26"/>
      <c r="W61" s="26"/>
      <c r="X61" s="26">
        <f t="shared" si="17"/>
        <v>0</v>
      </c>
      <c r="Y61" s="26"/>
      <c r="Z61" s="26"/>
      <c r="AA61" s="26"/>
      <c r="AB61" s="26"/>
      <c r="AC61" s="460">
        <f t="shared" si="16"/>
        <v>0</v>
      </c>
      <c r="AD61" s="26"/>
      <c r="AE61" s="26">
        <f>VLOOKUP(A61,'P&amp;L by Award'!$A$5:$AM$101,'P&amp;L by Award'!$AM$3,FALSE)</f>
        <v>0</v>
      </c>
      <c r="AF61" s="26"/>
    </row>
    <row r="62" spans="1:32" hidden="1" x14ac:dyDescent="0.2">
      <c r="A62" s="1">
        <f t="shared" si="5"/>
        <v>7305</v>
      </c>
      <c r="B62" t="s">
        <v>134</v>
      </c>
      <c r="C62" t="s">
        <v>135</v>
      </c>
      <c r="D62" s="26">
        <f>IF(TRUE,0,_xll.PSFx2BAL(CN,"*","GLCode",$B62,"COSTCENTRE",D$3,PF,PT))</f>
        <v>0</v>
      </c>
      <c r="E62" s="26">
        <f>IF(TRUE,0,_xll.PSFx2BAL(CN,"*","GLCode",$B62,"COSTCENTRE",E$3,PF,PT))</f>
        <v>0</v>
      </c>
      <c r="F62" s="26">
        <f>IF(TRUE,0,_xll.PSFx2BAL(CN,"*","GLCode",$B62,"COSTCENTRE",F$3,PF,PT))</f>
        <v>0</v>
      </c>
      <c r="G62" s="26">
        <f>IF(TRUE,0,_xll.PSFx2BAL(CN,"*","GLCode",$B62,"COSTCENTRE",G$3,PF,PT))</f>
        <v>0</v>
      </c>
      <c r="H62" s="26">
        <f>IF(TRUE,0,_xll.PSFx2BAL(CN,"*","GLCode",$B62,"COSTCENTRE",H$3,PF,PT))</f>
        <v>0</v>
      </c>
      <c r="I62" s="26">
        <f>IF(TRUE,0,_xll.PSFx2BAL(CN,"*","GLCode",$B62,"COSTCENTRE",I$3,PF,PT))</f>
        <v>0</v>
      </c>
      <c r="J62" s="26">
        <f>IF(TRUE,0,_xll.PSFx2BAL(CN,"*","GLCode",$B62,"COSTCENTRE",J$3,PF,PT))</f>
        <v>0</v>
      </c>
      <c r="K62" s="26">
        <f>IF(TRUE,0,_xll.PSFx2BAL(CN,"*","GLCode",$B62,"COSTCENTRE",K$3,PF,PT))</f>
        <v>0</v>
      </c>
      <c r="L62" s="26">
        <f>IF(TRUE,0,_xll.PSFx2BAL(CN,"*","GLCode",$B62,"COSTCENTRE",L$3,PF,PT))</f>
        <v>0</v>
      </c>
      <c r="M62" s="26">
        <f>IF(TRUE,0,_xll.PSFx2BAL(CN,"*","GLCode",$B62,"COSTCENTRE",M$3,PF,PT))</f>
        <v>0</v>
      </c>
      <c r="N62" s="26">
        <f>IF(TRUE,0,_xll.PSFx2BAL(CN,"*","GLCode",$B62,"COSTCENTRE",N$3,PF,PT))</f>
        <v>0</v>
      </c>
      <c r="O62" s="18">
        <f t="shared" si="13"/>
        <v>0</v>
      </c>
      <c r="Q62" s="67">
        <f t="shared" si="14"/>
        <v>0</v>
      </c>
      <c r="S62" s="26"/>
      <c r="T62" s="26"/>
      <c r="U62" s="26"/>
      <c r="V62" s="26"/>
      <c r="W62" s="26"/>
      <c r="X62" s="26">
        <f t="shared" si="17"/>
        <v>0</v>
      </c>
      <c r="Y62" s="26"/>
      <c r="Z62" s="26"/>
      <c r="AA62" s="26"/>
      <c r="AB62" s="26"/>
      <c r="AC62" s="460">
        <f t="shared" si="16"/>
        <v>0</v>
      </c>
      <c r="AD62" s="26"/>
      <c r="AE62" s="26">
        <f>VLOOKUP(A62,'P&amp;L by Award'!$A$5:$AM$101,'P&amp;L by Award'!$AM$3,FALSE)</f>
        <v>0</v>
      </c>
      <c r="AF62" s="26"/>
    </row>
    <row r="63" spans="1:32" x14ac:dyDescent="0.2">
      <c r="A63" s="1">
        <f t="shared" si="5"/>
        <v>7306</v>
      </c>
      <c r="B63" t="s">
        <v>136</v>
      </c>
      <c r="C63" t="s">
        <v>137</v>
      </c>
      <c r="D63" s="26">
        <f>IF(TRUE,0,_xll.PSFx2BAL(CN,"*","GLCode",$B63,"COSTCENTRE",D$3,PF,PT))</f>
        <v>0</v>
      </c>
      <c r="E63" s="26">
        <f>IF(TRUE,0,_xll.PSFx2BAL(CN,"*","GLCode",$B63,"COSTCENTRE",E$3,PF,PT))</f>
        <v>0</v>
      </c>
      <c r="F63" s="26">
        <f>IF(TRUE,160,_xll.PSFx2BAL(CN,"*","GLCode",$B63,"COSTCENTRE",F$3,PF,PT))</f>
        <v>160</v>
      </c>
      <c r="G63" s="26">
        <f>IF(TRUE,0,_xll.PSFx2BAL(CN,"*","GLCode",$B63,"COSTCENTRE",G$3,PF,PT))</f>
        <v>0</v>
      </c>
      <c r="H63" s="26">
        <f>IF(TRUE,0,_xll.PSFx2BAL(CN,"*","GLCode",$B63,"COSTCENTRE",H$3,PF,PT))</f>
        <v>0</v>
      </c>
      <c r="I63" s="26">
        <f>IF(TRUE,0,_xll.PSFx2BAL(CN,"*","GLCode",$B63,"COSTCENTRE",I$3,PF,PT))</f>
        <v>0</v>
      </c>
      <c r="J63" s="26">
        <f>IF(TRUE,0,_xll.PSFx2BAL(CN,"*","GLCode",$B63,"COSTCENTRE",J$3,PF,PT))</f>
        <v>0</v>
      </c>
      <c r="K63" s="26">
        <f>IF(TRUE,0,_xll.PSFx2BAL(CN,"*","GLCode",$B63,"COSTCENTRE",K$3,PF,PT))</f>
        <v>0</v>
      </c>
      <c r="L63" s="26">
        <f>IF(TRUE,0,_xll.PSFx2BAL(CN,"*","GLCode",$B63,"COSTCENTRE",L$3,PF,PT))</f>
        <v>0</v>
      </c>
      <c r="M63" s="26">
        <f>IF(TRUE,0,_xll.PSFx2BAL(CN,"*","GLCode",$B63,"COSTCENTRE",M$3,PF,PT))</f>
        <v>0</v>
      </c>
      <c r="N63" s="26">
        <f>IF(TRUE,0,_xll.PSFx2BAL(CN,"*","GLCode",$B63,"COSTCENTRE",N$3,PF,PT))</f>
        <v>0</v>
      </c>
      <c r="O63" s="18">
        <f t="shared" si="13"/>
        <v>160</v>
      </c>
      <c r="Q63" s="67">
        <f t="shared" si="14"/>
        <v>160</v>
      </c>
      <c r="S63" s="26"/>
      <c r="T63" s="26"/>
      <c r="U63" s="26"/>
      <c r="V63" s="26"/>
      <c r="W63" s="26"/>
      <c r="X63" s="26">
        <f t="shared" si="17"/>
        <v>160</v>
      </c>
      <c r="Y63" s="26"/>
      <c r="Z63" s="26"/>
      <c r="AA63" s="26"/>
      <c r="AB63" s="26"/>
      <c r="AC63" s="460">
        <f t="shared" si="16"/>
        <v>0</v>
      </c>
      <c r="AD63" s="26"/>
      <c r="AE63" s="26">
        <f>VLOOKUP(A63,'P&amp;L by Award'!$A$5:$AM$101,'P&amp;L by Award'!$AM$3,FALSE)</f>
        <v>0</v>
      </c>
      <c r="AF63" s="26"/>
    </row>
    <row r="64" spans="1:32" x14ac:dyDescent="0.2">
      <c r="A64" s="1">
        <f t="shared" si="5"/>
        <v>7310</v>
      </c>
      <c r="B64" t="s">
        <v>138</v>
      </c>
      <c r="C64" t="s">
        <v>139</v>
      </c>
      <c r="D64" s="26">
        <f>IF(TRUE,0,_xll.PSFx2BAL(CN,"*","GLCode",$B64,"COSTCENTRE",D$3,PF,PT))</f>
        <v>0</v>
      </c>
      <c r="E64" s="26">
        <f>IF(TRUE,0,_xll.PSFx2BAL(CN,"*","GLCode",$B64,"COSTCENTRE",E$3,PF,PT))</f>
        <v>0</v>
      </c>
      <c r="F64" s="26">
        <f>IF(TRUE,-2759.34,_xll.PSFx2BAL(CN,"*","GLCode",$B64,"COSTCENTRE",F$3,PF,PT))</f>
        <v>-2759.34</v>
      </c>
      <c r="G64" s="26">
        <f>IF(TRUE,0,_xll.PSFx2BAL(CN,"*","GLCode",$B64,"COSTCENTRE",G$3,PF,PT))</f>
        <v>0</v>
      </c>
      <c r="H64" s="26">
        <f>IF(TRUE,0,_xll.PSFx2BAL(CN,"*","GLCode",$B64,"COSTCENTRE",H$3,PF,PT))</f>
        <v>0</v>
      </c>
      <c r="I64" s="26">
        <f>IF(TRUE,0,_xll.PSFx2BAL(CN,"*","GLCode",$B64,"COSTCENTRE",I$3,PF,PT))</f>
        <v>0</v>
      </c>
      <c r="J64" s="26">
        <f>IF(TRUE,0,_xll.PSFx2BAL(CN,"*","GLCode",$B64,"COSTCENTRE",J$3,PF,PT))</f>
        <v>0</v>
      </c>
      <c r="K64" s="26">
        <f>IF(TRUE,0,_xll.PSFx2BAL(CN,"*","GLCode",$B64,"COSTCENTRE",K$3,PF,PT))</f>
        <v>0</v>
      </c>
      <c r="L64" s="26">
        <f>IF(TRUE,0,_xll.PSFx2BAL(CN,"*","GLCode",$B64,"COSTCENTRE",L$3,PF,PT))</f>
        <v>0</v>
      </c>
      <c r="M64" s="26">
        <f>IF(TRUE,0,_xll.PSFx2BAL(CN,"*","GLCode",$B64,"COSTCENTRE",M$3,PF,PT))</f>
        <v>0</v>
      </c>
      <c r="N64" s="26">
        <f>IF(TRUE,0,_xll.PSFx2BAL(CN,"*","GLCode",$B64,"COSTCENTRE",N$3,PF,PT))</f>
        <v>0</v>
      </c>
      <c r="O64" s="18">
        <f t="shared" si="13"/>
        <v>-2759.34</v>
      </c>
      <c r="Q64" s="67">
        <f t="shared" si="14"/>
        <v>-2759.34</v>
      </c>
      <c r="S64" s="26"/>
      <c r="T64" s="26"/>
      <c r="U64" s="26"/>
      <c r="V64" s="26"/>
      <c r="W64" s="26"/>
      <c r="X64" s="26">
        <f t="shared" si="17"/>
        <v>-2759.34</v>
      </c>
      <c r="Y64" s="26"/>
      <c r="Z64" s="26"/>
      <c r="AA64" s="26"/>
      <c r="AB64" s="26"/>
      <c r="AC64" s="460">
        <f t="shared" si="16"/>
        <v>0</v>
      </c>
      <c r="AD64" s="26"/>
      <c r="AE64" s="26">
        <f>VLOOKUP(A64,'P&amp;L by Award'!$A$5:$AM$101,'P&amp;L by Award'!$AM$3,FALSE)</f>
        <v>-2759.34</v>
      </c>
      <c r="AF64" s="26"/>
    </row>
    <row r="65" spans="1:32" hidden="1" x14ac:dyDescent="0.2">
      <c r="A65" s="1">
        <f t="shared" si="5"/>
        <v>7311</v>
      </c>
      <c r="B65" t="s">
        <v>140</v>
      </c>
      <c r="C65" t="s">
        <v>141</v>
      </c>
      <c r="D65" s="26">
        <f>IF(TRUE,0,_xll.PSFx2BAL(CN,"*","GLCode",$B65,"COSTCENTRE",D$3,PF,PT))</f>
        <v>0</v>
      </c>
      <c r="E65" s="26">
        <f>IF(TRUE,0,_xll.PSFx2BAL(CN,"*","GLCode",$B65,"COSTCENTRE",E$3,PF,PT))</f>
        <v>0</v>
      </c>
      <c r="F65" s="26">
        <f>IF(TRUE,0,_xll.PSFx2BAL(CN,"*","GLCode",$B65,"COSTCENTRE",F$3,PF,PT))</f>
        <v>0</v>
      </c>
      <c r="G65" s="26">
        <f>IF(TRUE,0,_xll.PSFx2BAL(CN,"*","GLCode",$B65,"COSTCENTRE",G$3,PF,PT))</f>
        <v>0</v>
      </c>
      <c r="H65" s="26">
        <f>IF(TRUE,0,_xll.PSFx2BAL(CN,"*","GLCode",$B65,"COSTCENTRE",H$3,PF,PT))</f>
        <v>0</v>
      </c>
      <c r="I65" s="26">
        <f>IF(TRUE,0,_xll.PSFx2BAL(CN,"*","GLCode",$B65,"COSTCENTRE",I$3,PF,PT))</f>
        <v>0</v>
      </c>
      <c r="J65" s="26">
        <f>IF(TRUE,0,_xll.PSFx2BAL(CN,"*","GLCode",$B65,"COSTCENTRE",J$3,PF,PT))</f>
        <v>0</v>
      </c>
      <c r="K65" s="26">
        <f>IF(TRUE,0,_xll.PSFx2BAL(CN,"*","GLCode",$B65,"COSTCENTRE",K$3,PF,PT))</f>
        <v>0</v>
      </c>
      <c r="L65" s="26">
        <f>IF(TRUE,0,_xll.PSFx2BAL(CN,"*","GLCode",$B65,"COSTCENTRE",L$3,PF,PT))</f>
        <v>0</v>
      </c>
      <c r="M65" s="26">
        <f>IF(TRUE,0,_xll.PSFx2BAL(CN,"*","GLCode",$B65,"COSTCENTRE",M$3,PF,PT))</f>
        <v>0</v>
      </c>
      <c r="N65" s="26">
        <f>IF(TRUE,0,_xll.PSFx2BAL(CN,"*","GLCode",$B65,"COSTCENTRE",N$3,PF,PT))</f>
        <v>0</v>
      </c>
      <c r="O65" s="18">
        <f t="shared" si="13"/>
        <v>0</v>
      </c>
      <c r="Q65" s="67">
        <f t="shared" si="14"/>
        <v>0</v>
      </c>
      <c r="S65" s="26"/>
      <c r="T65" s="26"/>
      <c r="U65" s="26"/>
      <c r="V65" s="26"/>
      <c r="W65" s="26"/>
      <c r="X65" s="26">
        <f t="shared" si="17"/>
        <v>0</v>
      </c>
      <c r="Y65" s="26"/>
      <c r="Z65" s="26"/>
      <c r="AA65" s="26"/>
      <c r="AB65" s="26"/>
      <c r="AC65" s="460">
        <f t="shared" si="16"/>
        <v>0</v>
      </c>
      <c r="AD65" s="26"/>
      <c r="AE65" s="26">
        <f>VLOOKUP(A65,'P&amp;L by Award'!$A$5:$AM$101,'P&amp;L by Award'!$AM$3,FALSE)</f>
        <v>0</v>
      </c>
      <c r="AF65" s="26"/>
    </row>
    <row r="66" spans="1:32" x14ac:dyDescent="0.2">
      <c r="A66" s="1">
        <f t="shared" si="5"/>
        <v>7320</v>
      </c>
      <c r="B66" t="s">
        <v>142</v>
      </c>
      <c r="C66" t="s">
        <v>143</v>
      </c>
      <c r="D66" s="26">
        <f>IF(TRUE,0,_xll.PSFx2BAL(CN,"*","GLCode",$B66,"COSTCENTRE",D$3,PF,PT))</f>
        <v>0</v>
      </c>
      <c r="E66" s="26">
        <f>IF(TRUE,0,_xll.PSFx2BAL(CN,"*","GLCode",$B66,"COSTCENTRE",E$3,PF,PT))</f>
        <v>0</v>
      </c>
      <c r="F66" s="26">
        <f>IF(TRUE,1.69,_xll.PSFx2BAL(CN,"*","GLCode",$B66,"COSTCENTRE",F$3,PF,PT))</f>
        <v>1.69</v>
      </c>
      <c r="G66" s="26">
        <f>IF(TRUE,0,_xll.PSFx2BAL(CN,"*","GLCode",$B66,"COSTCENTRE",G$3,PF,PT))</f>
        <v>0</v>
      </c>
      <c r="H66" s="26">
        <f>IF(TRUE,0,_xll.PSFx2BAL(CN,"*","GLCode",$B66,"COSTCENTRE",H$3,PF,PT))</f>
        <v>0</v>
      </c>
      <c r="I66" s="26">
        <f>IF(TRUE,0,_xll.PSFx2BAL(CN,"*","GLCode",$B66,"COSTCENTRE",I$3,PF,PT))</f>
        <v>0</v>
      </c>
      <c r="J66" s="26">
        <f>IF(TRUE,0,_xll.PSFx2BAL(CN,"*","GLCode",$B66,"COSTCENTRE",J$3,PF,PT))</f>
        <v>0</v>
      </c>
      <c r="K66" s="26">
        <f>IF(TRUE,0,_xll.PSFx2BAL(CN,"*","GLCode",$B66,"COSTCENTRE",K$3,PF,PT))</f>
        <v>0</v>
      </c>
      <c r="L66" s="26">
        <f>IF(TRUE,0,_xll.PSFx2BAL(CN,"*","GLCode",$B66,"COSTCENTRE",L$3,PF,PT))</f>
        <v>0</v>
      </c>
      <c r="M66" s="26">
        <f>IF(TRUE,0,_xll.PSFx2BAL(CN,"*","GLCode",$B66,"COSTCENTRE",M$3,PF,PT))</f>
        <v>0</v>
      </c>
      <c r="N66" s="26">
        <f>IF(TRUE,0,_xll.PSFx2BAL(CN,"*","GLCode",$B66,"COSTCENTRE",N$3,PF,PT))</f>
        <v>0</v>
      </c>
      <c r="O66" s="18">
        <f t="shared" si="13"/>
        <v>1.69</v>
      </c>
      <c r="Q66" s="67">
        <f t="shared" si="14"/>
        <v>1.69</v>
      </c>
      <c r="S66" s="26"/>
      <c r="T66" s="26"/>
      <c r="U66" s="26"/>
      <c r="V66" s="26"/>
      <c r="W66" s="26"/>
      <c r="X66" s="26">
        <f t="shared" si="17"/>
        <v>1.69</v>
      </c>
      <c r="Y66" s="26"/>
      <c r="Z66" s="26"/>
      <c r="AA66" s="26"/>
      <c r="AB66" s="26"/>
      <c r="AC66" s="460">
        <f t="shared" si="16"/>
        <v>0</v>
      </c>
      <c r="AD66" s="26"/>
      <c r="AE66" s="26">
        <f>VLOOKUP(A66,'P&amp;L by Award'!$A$5:$AM$101,'P&amp;L by Award'!$AM$3,FALSE)</f>
        <v>0</v>
      </c>
      <c r="AF66" s="26"/>
    </row>
    <row r="67" spans="1:32" hidden="1" x14ac:dyDescent="0.2">
      <c r="A67" s="1">
        <f t="shared" si="5"/>
        <v>7321</v>
      </c>
      <c r="B67" t="s">
        <v>144</v>
      </c>
      <c r="C67" t="s">
        <v>145</v>
      </c>
      <c r="D67" s="26">
        <f>IF(TRUE,0,_xll.PSFx2BAL(CN,"*","GLCode",$B67,"COSTCENTRE",D$3,PF,PT))</f>
        <v>0</v>
      </c>
      <c r="E67" s="26">
        <f>IF(TRUE,0,_xll.PSFx2BAL(CN,"*","GLCode",$B67,"COSTCENTRE",E$3,PF,PT))</f>
        <v>0</v>
      </c>
      <c r="F67" s="26">
        <f>IF(TRUE,0,_xll.PSFx2BAL(CN,"*","GLCode",$B67,"COSTCENTRE",F$3,PF,PT))</f>
        <v>0</v>
      </c>
      <c r="G67" s="26">
        <f>IF(TRUE,0,_xll.PSFx2BAL(CN,"*","GLCode",$B67,"COSTCENTRE",G$3,PF,PT))</f>
        <v>0</v>
      </c>
      <c r="H67" s="26">
        <f>IF(TRUE,0,_xll.PSFx2BAL(CN,"*","GLCode",$B67,"COSTCENTRE",H$3,PF,PT))</f>
        <v>0</v>
      </c>
      <c r="I67" s="26">
        <f>IF(TRUE,0,_xll.PSFx2BAL(CN,"*","GLCode",$B67,"COSTCENTRE",I$3,PF,PT))</f>
        <v>0</v>
      </c>
      <c r="J67" s="26">
        <f>IF(TRUE,0,_xll.PSFx2BAL(CN,"*","GLCode",$B67,"COSTCENTRE",J$3,PF,PT))</f>
        <v>0</v>
      </c>
      <c r="K67" s="26">
        <f>IF(TRUE,0,_xll.PSFx2BAL(CN,"*","GLCode",$B67,"COSTCENTRE",K$3,PF,PT))</f>
        <v>0</v>
      </c>
      <c r="L67" s="26">
        <f>IF(TRUE,0,_xll.PSFx2BAL(CN,"*","GLCode",$B67,"COSTCENTRE",L$3,PF,PT))</f>
        <v>0</v>
      </c>
      <c r="M67" s="26">
        <f>IF(TRUE,0,_xll.PSFx2BAL(CN,"*","GLCode",$B67,"COSTCENTRE",M$3,PF,PT))</f>
        <v>0</v>
      </c>
      <c r="N67" s="26">
        <f>IF(TRUE,0,_xll.PSFx2BAL(CN,"*","GLCode",$B67,"COSTCENTRE",N$3,PF,PT))</f>
        <v>0</v>
      </c>
      <c r="O67" s="18">
        <f t="shared" si="13"/>
        <v>0</v>
      </c>
      <c r="Q67" s="67">
        <f t="shared" si="14"/>
        <v>0</v>
      </c>
      <c r="S67" s="26"/>
      <c r="T67" s="26"/>
      <c r="U67" s="26"/>
      <c r="V67" s="26"/>
      <c r="W67" s="26"/>
      <c r="X67" s="26">
        <f t="shared" si="17"/>
        <v>0</v>
      </c>
      <c r="Y67" s="26"/>
      <c r="Z67" s="26"/>
      <c r="AA67" s="26"/>
      <c r="AB67" s="26"/>
      <c r="AC67" s="460">
        <f t="shared" si="16"/>
        <v>0</v>
      </c>
      <c r="AD67" s="26"/>
      <c r="AE67" s="26">
        <f>VLOOKUP(A67,'P&amp;L by Award'!$A$5:$AM$101,'P&amp;L by Award'!$AM$3,FALSE)</f>
        <v>0</v>
      </c>
      <c r="AF67" s="26"/>
    </row>
    <row r="68" spans="1:32" hidden="1" x14ac:dyDescent="0.2">
      <c r="A68" s="1">
        <f t="shared" si="5"/>
        <v>7322</v>
      </c>
      <c r="B68" t="s">
        <v>146</v>
      </c>
      <c r="C68" t="s">
        <v>147</v>
      </c>
      <c r="D68" s="26">
        <f>IF(TRUE,0,_xll.PSFx2BAL(CN,"*","GLCode",$B68,"COSTCENTRE",D$3,PF,PT))</f>
        <v>0</v>
      </c>
      <c r="E68" s="26">
        <f>IF(TRUE,0,_xll.PSFx2BAL(CN,"*","GLCode",$B68,"COSTCENTRE",E$3,PF,PT))</f>
        <v>0</v>
      </c>
      <c r="F68" s="26">
        <f>IF(TRUE,0,_xll.PSFx2BAL(CN,"*","GLCode",$B68,"COSTCENTRE",F$3,PF,PT))</f>
        <v>0</v>
      </c>
      <c r="G68" s="26">
        <f>IF(TRUE,0,_xll.PSFx2BAL(CN,"*","GLCode",$B68,"COSTCENTRE",G$3,PF,PT))</f>
        <v>0</v>
      </c>
      <c r="H68" s="26">
        <f>IF(TRUE,0,_xll.PSFx2BAL(CN,"*","GLCode",$B68,"COSTCENTRE",H$3,PF,PT))</f>
        <v>0</v>
      </c>
      <c r="I68" s="26">
        <f>IF(TRUE,0,_xll.PSFx2BAL(CN,"*","GLCode",$B68,"COSTCENTRE",I$3,PF,PT))</f>
        <v>0</v>
      </c>
      <c r="J68" s="26">
        <f>IF(TRUE,0,_xll.PSFx2BAL(CN,"*","GLCode",$B68,"COSTCENTRE",J$3,PF,PT))</f>
        <v>0</v>
      </c>
      <c r="K68" s="26">
        <f>IF(TRUE,0,_xll.PSFx2BAL(CN,"*","GLCode",$B68,"COSTCENTRE",K$3,PF,PT))</f>
        <v>0</v>
      </c>
      <c r="L68" s="26">
        <f>IF(TRUE,0,_xll.PSFx2BAL(CN,"*","GLCode",$B68,"COSTCENTRE",L$3,PF,PT))</f>
        <v>0</v>
      </c>
      <c r="M68" s="26">
        <f>IF(TRUE,0,_xll.PSFx2BAL(CN,"*","GLCode",$B68,"COSTCENTRE",M$3,PF,PT))</f>
        <v>0</v>
      </c>
      <c r="N68" s="26">
        <f>IF(TRUE,0,_xll.PSFx2BAL(CN,"*","GLCode",$B68,"COSTCENTRE",N$3,PF,PT))</f>
        <v>0</v>
      </c>
      <c r="O68" s="18">
        <f t="shared" si="13"/>
        <v>0</v>
      </c>
      <c r="Q68" s="67">
        <f t="shared" si="14"/>
        <v>0</v>
      </c>
      <c r="S68" s="26"/>
      <c r="T68" s="26"/>
      <c r="U68" s="26"/>
      <c r="V68" s="26"/>
      <c r="W68" s="26"/>
      <c r="X68" s="26">
        <f t="shared" si="17"/>
        <v>0</v>
      </c>
      <c r="Y68" s="26"/>
      <c r="Z68" s="26"/>
      <c r="AA68" s="26"/>
      <c r="AB68" s="26"/>
      <c r="AC68" s="460">
        <f t="shared" si="16"/>
        <v>0</v>
      </c>
      <c r="AD68" s="26"/>
      <c r="AE68" s="26">
        <f>VLOOKUP(A68,'P&amp;L by Award'!$A$5:$AM$101,'P&amp;L by Award'!$AM$3,FALSE)</f>
        <v>0</v>
      </c>
      <c r="AF68" s="26"/>
    </row>
    <row r="69" spans="1:32" x14ac:dyDescent="0.2">
      <c r="A69" s="1">
        <f t="shared" si="5"/>
        <v>7323</v>
      </c>
      <c r="B69" t="s">
        <v>148</v>
      </c>
      <c r="C69" t="s">
        <v>149</v>
      </c>
      <c r="D69" s="26">
        <f>IF(TRUE,0,_xll.PSFx2BAL(CN,"*","GLCode",$B69,"COSTCENTRE",D$3,PF,PT))</f>
        <v>0</v>
      </c>
      <c r="E69" s="26">
        <f>IF(TRUE,0,_xll.PSFx2BAL(CN,"*","GLCode",$B69,"COSTCENTRE",E$3,PF,PT))</f>
        <v>0</v>
      </c>
      <c r="F69" s="26">
        <f>IF(TRUE,305.73,_xll.PSFx2BAL(CN,"*","GLCode",$B69,"COSTCENTRE",F$3,PF,PT))</f>
        <v>305.73</v>
      </c>
      <c r="G69" s="26">
        <f>IF(TRUE,0,_xll.PSFx2BAL(CN,"*","GLCode",$B69,"COSTCENTRE",G$3,PF,PT))</f>
        <v>0</v>
      </c>
      <c r="H69" s="26">
        <f>IF(TRUE,0,_xll.PSFx2BAL(CN,"*","GLCode",$B69,"COSTCENTRE",H$3,PF,PT))</f>
        <v>0</v>
      </c>
      <c r="I69" s="26">
        <f>IF(TRUE,0,_xll.PSFx2BAL(CN,"*","GLCode",$B69,"COSTCENTRE",I$3,PF,PT))</f>
        <v>0</v>
      </c>
      <c r="J69" s="26">
        <f>IF(TRUE,0,_xll.PSFx2BAL(CN,"*","GLCode",$B69,"COSTCENTRE",J$3,PF,PT))</f>
        <v>0</v>
      </c>
      <c r="K69" s="26">
        <f>IF(TRUE,0,_xll.PSFx2BAL(CN,"*","GLCode",$B69,"COSTCENTRE",K$3,PF,PT))</f>
        <v>0</v>
      </c>
      <c r="L69" s="26">
        <f>IF(TRUE,0,_xll.PSFx2BAL(CN,"*","GLCode",$B69,"COSTCENTRE",L$3,PF,PT))</f>
        <v>0</v>
      </c>
      <c r="M69" s="26">
        <f>IF(TRUE,0,_xll.PSFx2BAL(CN,"*","GLCode",$B69,"COSTCENTRE",M$3,PF,PT))</f>
        <v>0</v>
      </c>
      <c r="N69" s="26">
        <f>IF(TRUE,0,_xll.PSFx2BAL(CN,"*","GLCode",$B69,"COSTCENTRE",N$3,PF,PT))</f>
        <v>0</v>
      </c>
      <c r="O69" s="18">
        <f t="shared" si="13"/>
        <v>305.73</v>
      </c>
      <c r="Q69" s="67">
        <f t="shared" si="14"/>
        <v>305.73</v>
      </c>
      <c r="S69" s="26"/>
      <c r="T69" s="26"/>
      <c r="U69" s="26"/>
      <c r="V69" s="26"/>
      <c r="W69" s="26"/>
      <c r="X69" s="26">
        <f t="shared" si="17"/>
        <v>305.73</v>
      </c>
      <c r="Y69" s="26"/>
      <c r="Z69" s="26"/>
      <c r="AA69" s="26"/>
      <c r="AB69" s="26"/>
      <c r="AC69" s="460">
        <f t="shared" si="16"/>
        <v>0</v>
      </c>
      <c r="AD69" s="26"/>
      <c r="AE69" s="26">
        <f>VLOOKUP(A69,'P&amp;L by Award'!$A$5:$AM$101,'P&amp;L by Award'!$AM$3,FALSE)</f>
        <v>222.41000000000003</v>
      </c>
      <c r="AF69" s="26"/>
    </row>
    <row r="70" spans="1:32" hidden="1" x14ac:dyDescent="0.2">
      <c r="A70" s="1">
        <f t="shared" si="5"/>
        <v>7324</v>
      </c>
      <c r="B70" t="s">
        <v>150</v>
      </c>
      <c r="C70" t="s">
        <v>151</v>
      </c>
      <c r="D70" s="26">
        <f>IF(TRUE,0,_xll.PSFx2BAL(CN,"*","GLCode",$B70,"COSTCENTRE",D$3,PF,PT))</f>
        <v>0</v>
      </c>
      <c r="E70" s="26">
        <f>IF(TRUE,0,_xll.PSFx2BAL(CN,"*","GLCode",$B70,"COSTCENTRE",E$3,PF,PT))</f>
        <v>0</v>
      </c>
      <c r="F70" s="26">
        <f>IF(TRUE,0,_xll.PSFx2BAL(CN,"*","GLCode",$B70,"COSTCENTRE",F$3,PF,PT))</f>
        <v>0</v>
      </c>
      <c r="G70" s="26">
        <f>IF(TRUE,0,_xll.PSFx2BAL(CN,"*","GLCode",$B70,"COSTCENTRE",G$3,PF,PT))</f>
        <v>0</v>
      </c>
      <c r="H70" s="26">
        <f>IF(TRUE,0,_xll.PSFx2BAL(CN,"*","GLCode",$B70,"COSTCENTRE",H$3,PF,PT))</f>
        <v>0</v>
      </c>
      <c r="I70" s="26">
        <f>IF(TRUE,0,_xll.PSFx2BAL(CN,"*","GLCode",$B70,"COSTCENTRE",I$3,PF,PT))</f>
        <v>0</v>
      </c>
      <c r="J70" s="26">
        <f>IF(TRUE,0,_xll.PSFx2BAL(CN,"*","GLCode",$B70,"COSTCENTRE",J$3,PF,PT))</f>
        <v>0</v>
      </c>
      <c r="K70" s="26">
        <f>IF(TRUE,0,_xll.PSFx2BAL(CN,"*","GLCode",$B70,"COSTCENTRE",K$3,PF,PT))</f>
        <v>0</v>
      </c>
      <c r="L70" s="26">
        <f>IF(TRUE,0,_xll.PSFx2BAL(CN,"*","GLCode",$B70,"COSTCENTRE",L$3,PF,PT))</f>
        <v>0</v>
      </c>
      <c r="M70" s="26">
        <f>IF(TRUE,0,_xll.PSFx2BAL(CN,"*","GLCode",$B70,"COSTCENTRE",M$3,PF,PT))</f>
        <v>0</v>
      </c>
      <c r="N70" s="26">
        <f>IF(TRUE,0,_xll.PSFx2BAL(CN,"*","GLCode",$B70,"COSTCENTRE",N$3,PF,PT))</f>
        <v>0</v>
      </c>
      <c r="O70" s="18">
        <f t="shared" si="13"/>
        <v>0</v>
      </c>
      <c r="Q70" s="67">
        <f t="shared" si="14"/>
        <v>0</v>
      </c>
      <c r="S70" s="26"/>
      <c r="T70" s="26"/>
      <c r="U70" s="26"/>
      <c r="V70" s="26"/>
      <c r="W70" s="26"/>
      <c r="X70" s="26">
        <f t="shared" si="17"/>
        <v>0</v>
      </c>
      <c r="Y70" s="26"/>
      <c r="Z70" s="26"/>
      <c r="AA70" s="26"/>
      <c r="AB70" s="26"/>
      <c r="AC70" s="460">
        <f t="shared" si="16"/>
        <v>0</v>
      </c>
      <c r="AD70" s="26"/>
      <c r="AE70" s="26">
        <f>VLOOKUP(A70,'P&amp;L by Award'!$A$5:$AM$101,'P&amp;L by Award'!$AM$3,FALSE)</f>
        <v>0</v>
      </c>
      <c r="AF70" s="26"/>
    </row>
    <row r="71" spans="1:32" hidden="1" x14ac:dyDescent="0.2">
      <c r="A71" s="1">
        <f t="shared" si="5"/>
        <v>7330</v>
      </c>
      <c r="B71" t="s">
        <v>152</v>
      </c>
      <c r="C71" t="s">
        <v>153</v>
      </c>
      <c r="D71" s="26">
        <f>IF(TRUE,0,_xll.PSFx2BAL(CN,"*","GLCode",$B71,"COSTCENTRE",D$3,PF,PT))</f>
        <v>0</v>
      </c>
      <c r="E71" s="26">
        <f>IF(TRUE,0,_xll.PSFx2BAL(CN,"*","GLCode",$B71,"COSTCENTRE",E$3,PF,PT))</f>
        <v>0</v>
      </c>
      <c r="F71" s="26">
        <f>IF(TRUE,0,_xll.PSFx2BAL(CN,"*","GLCode",$B71,"COSTCENTRE",F$3,PF,PT))</f>
        <v>0</v>
      </c>
      <c r="G71" s="26">
        <f>IF(TRUE,0,_xll.PSFx2BAL(CN,"*","GLCode",$B71,"COSTCENTRE",G$3,PF,PT))</f>
        <v>0</v>
      </c>
      <c r="H71" s="26">
        <f>IF(TRUE,0,_xll.PSFx2BAL(CN,"*","GLCode",$B71,"COSTCENTRE",H$3,PF,PT))</f>
        <v>0</v>
      </c>
      <c r="I71" s="26">
        <f>IF(TRUE,0,_xll.PSFx2BAL(CN,"*","GLCode",$B71,"COSTCENTRE",I$3,PF,PT))</f>
        <v>0</v>
      </c>
      <c r="J71" s="26">
        <f>IF(TRUE,0,_xll.PSFx2BAL(CN,"*","GLCode",$B71,"COSTCENTRE",J$3,PF,PT))</f>
        <v>0</v>
      </c>
      <c r="K71" s="26">
        <f>IF(TRUE,0,_xll.PSFx2BAL(CN,"*","GLCode",$B71,"COSTCENTRE",K$3,PF,PT))</f>
        <v>0</v>
      </c>
      <c r="L71" s="26">
        <f>IF(TRUE,0,_xll.PSFx2BAL(CN,"*","GLCode",$B71,"COSTCENTRE",L$3,PF,PT))</f>
        <v>0</v>
      </c>
      <c r="M71" s="26">
        <f>IF(TRUE,0,_xll.PSFx2BAL(CN,"*","GLCode",$B71,"COSTCENTRE",M$3,PF,PT))</f>
        <v>0</v>
      </c>
      <c r="N71" s="26">
        <f>IF(TRUE,0,_xll.PSFx2BAL(CN,"*","GLCode",$B71,"COSTCENTRE",N$3,PF,PT))</f>
        <v>0</v>
      </c>
      <c r="O71" s="18">
        <f t="shared" si="13"/>
        <v>0</v>
      </c>
      <c r="Q71" s="67">
        <f t="shared" si="14"/>
        <v>0</v>
      </c>
      <c r="S71" s="26"/>
      <c r="T71" s="26"/>
      <c r="U71" s="26"/>
      <c r="V71" s="26"/>
      <c r="W71" s="26"/>
      <c r="X71" s="26">
        <f t="shared" si="17"/>
        <v>0</v>
      </c>
      <c r="Y71" s="26"/>
      <c r="Z71" s="26"/>
      <c r="AA71" s="26"/>
      <c r="AB71" s="26"/>
      <c r="AC71" s="460">
        <f t="shared" si="16"/>
        <v>0</v>
      </c>
      <c r="AD71" s="26"/>
      <c r="AE71" s="26">
        <f>VLOOKUP(A71,'P&amp;L by Award'!$A$5:$AM$101,'P&amp;L by Award'!$AM$3,FALSE)</f>
        <v>0</v>
      </c>
      <c r="AF71" s="26"/>
    </row>
    <row r="72" spans="1:32" x14ac:dyDescent="0.2">
      <c r="A72" s="1">
        <f t="shared" si="5"/>
        <v>7331</v>
      </c>
      <c r="B72" t="s">
        <v>154</v>
      </c>
      <c r="C72" t="s">
        <v>155</v>
      </c>
      <c r="D72" s="26">
        <f>IF(TRUE,0,_xll.PSFx2BAL(CN,"*","GLCode",$B72,"COSTCENTRE",D$3,PF,PT))</f>
        <v>0</v>
      </c>
      <c r="E72" s="26">
        <f>IF(TRUE,0,_xll.PSFx2BAL(CN,"*","GLCode",$B72,"COSTCENTRE",E$3,PF,PT))</f>
        <v>0</v>
      </c>
      <c r="F72" s="26">
        <f>IF(TRUE,0,_xll.PSFx2BAL(CN,"*","GLCode",$B72,"COSTCENTRE",F$3,PF,PT))</f>
        <v>0</v>
      </c>
      <c r="G72" s="26">
        <f>IF(TRUE,0,_xll.PSFx2BAL(CN,"*","GLCode",$B72,"COSTCENTRE",G$3,PF,PT))</f>
        <v>0</v>
      </c>
      <c r="H72" s="26">
        <f>IF(TRUE,0,_xll.PSFx2BAL(CN,"*","GLCode",$B72,"COSTCENTRE",H$3,PF,PT))</f>
        <v>0</v>
      </c>
      <c r="I72" s="26">
        <f>IF(TRUE,0,_xll.PSFx2BAL(CN,"*","GLCode",$B72,"COSTCENTRE",I$3,PF,PT))</f>
        <v>0</v>
      </c>
      <c r="J72" s="26">
        <f>IF(TRUE,900,_xll.PSFx2BAL(CN,"*","GLCode",$B72,"COSTCENTRE",J$3,PF,PT))</f>
        <v>900</v>
      </c>
      <c r="K72" s="26">
        <f>IF(TRUE,0,_xll.PSFx2BAL(CN,"*","GLCode",$B72,"COSTCENTRE",K$3,PF,PT))</f>
        <v>0</v>
      </c>
      <c r="L72" s="26">
        <f>IF(TRUE,0,_xll.PSFx2BAL(CN,"*","GLCode",$B72,"COSTCENTRE",L$3,PF,PT))</f>
        <v>0</v>
      </c>
      <c r="M72" s="26">
        <f>IF(TRUE,0,_xll.PSFx2BAL(CN,"*","GLCode",$B72,"COSTCENTRE",M$3,PF,PT))</f>
        <v>0</v>
      </c>
      <c r="N72" s="26">
        <f>IF(TRUE,0,_xll.PSFx2BAL(CN,"*","GLCode",$B72,"COSTCENTRE",N$3,PF,PT))</f>
        <v>0</v>
      </c>
      <c r="O72" s="18">
        <f t="shared" ref="O72:O96" si="18">SUM(D72:N72)</f>
        <v>900</v>
      </c>
      <c r="Q72" s="19">
        <f t="shared" ref="Q72:Q92" si="19">O72-SUM(L72:M72)</f>
        <v>900</v>
      </c>
      <c r="S72" s="26"/>
      <c r="T72" s="26"/>
      <c r="U72" s="26"/>
      <c r="V72" s="26"/>
      <c r="W72" s="26">
        <f>$O72</f>
        <v>900</v>
      </c>
      <c r="X72" s="26"/>
      <c r="Y72" s="26"/>
      <c r="Z72" s="26"/>
      <c r="AA72" s="26"/>
      <c r="AB72" s="26"/>
      <c r="AC72" s="460">
        <f t="shared" si="16"/>
        <v>0</v>
      </c>
      <c r="AD72" s="26"/>
      <c r="AE72" s="26">
        <f>VLOOKUP(A72,'P&amp;L by Award'!$A$5:$AM$101,'P&amp;L by Award'!$AM$3,FALSE)</f>
        <v>0</v>
      </c>
      <c r="AF72" s="26"/>
    </row>
    <row r="73" spans="1:32" hidden="1" x14ac:dyDescent="0.2">
      <c r="A73" s="1">
        <f t="shared" ref="A73:A96" si="20">VALUE(B73)</f>
        <v>7332</v>
      </c>
      <c r="B73" t="s">
        <v>156</v>
      </c>
      <c r="C73" t="s">
        <v>157</v>
      </c>
      <c r="D73" s="26">
        <f>IF(TRUE,0,_xll.PSFx2BAL(CN,"*","GLCode",$B73,"COSTCENTRE",D$3,PF,PT))</f>
        <v>0</v>
      </c>
      <c r="E73" s="26">
        <f>IF(TRUE,0,_xll.PSFx2BAL(CN,"*","GLCode",$B73,"COSTCENTRE",E$3,PF,PT))</f>
        <v>0</v>
      </c>
      <c r="F73" s="26">
        <f>IF(TRUE,0,_xll.PSFx2BAL(CN,"*","GLCode",$B73,"COSTCENTRE",F$3,PF,PT))</f>
        <v>0</v>
      </c>
      <c r="G73" s="26">
        <f>IF(TRUE,0,_xll.PSFx2BAL(CN,"*","GLCode",$B73,"COSTCENTRE",G$3,PF,PT))</f>
        <v>0</v>
      </c>
      <c r="H73" s="26">
        <f>IF(TRUE,0,_xll.PSFx2BAL(CN,"*","GLCode",$B73,"COSTCENTRE",H$3,PF,PT))</f>
        <v>0</v>
      </c>
      <c r="I73" s="26">
        <f>IF(TRUE,0,_xll.PSFx2BAL(CN,"*","GLCode",$B73,"COSTCENTRE",I$3,PF,PT))</f>
        <v>0</v>
      </c>
      <c r="J73" s="26">
        <f>IF(TRUE,0,_xll.PSFx2BAL(CN,"*","GLCode",$B73,"COSTCENTRE",J$3,PF,PT))</f>
        <v>0</v>
      </c>
      <c r="K73" s="26">
        <f>IF(TRUE,0,_xll.PSFx2BAL(CN,"*","GLCode",$B73,"COSTCENTRE",K$3,PF,PT))</f>
        <v>0</v>
      </c>
      <c r="L73" s="26">
        <f>IF(TRUE,0,_xll.PSFx2BAL(CN,"*","GLCode",$B73,"COSTCENTRE",L$3,PF,PT))</f>
        <v>0</v>
      </c>
      <c r="M73" s="26">
        <f>IF(TRUE,0,_xll.PSFx2BAL(CN,"*","GLCode",$B73,"COSTCENTRE",M$3,PF,PT))</f>
        <v>0</v>
      </c>
      <c r="N73" s="26">
        <f>IF(TRUE,0,_xll.PSFx2BAL(CN,"*","GLCode",$B73,"COSTCENTRE",N$3,PF,PT))</f>
        <v>0</v>
      </c>
      <c r="O73" s="18">
        <f t="shared" si="18"/>
        <v>0</v>
      </c>
      <c r="Q73" s="19">
        <f t="shared" si="19"/>
        <v>0</v>
      </c>
      <c r="S73" s="26"/>
      <c r="T73" s="26"/>
      <c r="U73" s="26"/>
      <c r="V73" s="26"/>
      <c r="W73" s="26"/>
      <c r="X73" s="26"/>
      <c r="Y73" s="26"/>
      <c r="Z73" s="26"/>
      <c r="AA73" s="26"/>
      <c r="AB73" s="26"/>
      <c r="AC73" s="460">
        <f t="shared" si="16"/>
        <v>0</v>
      </c>
      <c r="AD73" s="26"/>
      <c r="AE73" s="26">
        <f>VLOOKUP(A73,'P&amp;L by Award'!$A$5:$AM$101,'P&amp;L by Award'!$AM$3,FALSE)</f>
        <v>0</v>
      </c>
      <c r="AF73" s="26"/>
    </row>
    <row r="74" spans="1:32" hidden="1" x14ac:dyDescent="0.2">
      <c r="A74" s="1">
        <f t="shared" si="20"/>
        <v>7334</v>
      </c>
      <c r="B74" t="s">
        <v>158</v>
      </c>
      <c r="C74" t="s">
        <v>159</v>
      </c>
      <c r="D74" s="26">
        <f>IF(TRUE,0,_xll.PSFx2BAL(CN,"*","GLCode",$B74,"COSTCENTRE",D$3,PF,PT))</f>
        <v>0</v>
      </c>
      <c r="E74" s="26">
        <f>IF(TRUE,0,_xll.PSFx2BAL(CN,"*","GLCode",$B74,"COSTCENTRE",E$3,PF,PT))</f>
        <v>0</v>
      </c>
      <c r="F74" s="26">
        <f>IF(TRUE,0,_xll.PSFx2BAL(CN,"*","GLCode",$B74,"COSTCENTRE",F$3,PF,PT))</f>
        <v>0</v>
      </c>
      <c r="G74" s="26">
        <f>IF(TRUE,0,_xll.PSFx2BAL(CN,"*","GLCode",$B74,"COSTCENTRE",G$3,PF,PT))</f>
        <v>0</v>
      </c>
      <c r="H74" s="26">
        <f>IF(TRUE,0,_xll.PSFx2BAL(CN,"*","GLCode",$B74,"COSTCENTRE",H$3,PF,PT))</f>
        <v>0</v>
      </c>
      <c r="I74" s="26">
        <f>IF(TRUE,0,_xll.PSFx2BAL(CN,"*","GLCode",$B74,"COSTCENTRE",I$3,PF,PT))</f>
        <v>0</v>
      </c>
      <c r="J74" s="26">
        <f>IF(TRUE,0,_xll.PSFx2BAL(CN,"*","GLCode",$B74,"COSTCENTRE",J$3,PF,PT))</f>
        <v>0</v>
      </c>
      <c r="K74" s="26">
        <f>IF(TRUE,0,_xll.PSFx2BAL(CN,"*","GLCode",$B74,"COSTCENTRE",K$3,PF,PT))</f>
        <v>0</v>
      </c>
      <c r="L74" s="26">
        <f>IF(TRUE,0,_xll.PSFx2BAL(CN,"*","GLCode",$B74,"COSTCENTRE",L$3,PF,PT))</f>
        <v>0</v>
      </c>
      <c r="M74" s="26">
        <f>IF(TRUE,0,_xll.PSFx2BAL(CN,"*","GLCode",$B74,"COSTCENTRE",M$3,PF,PT))</f>
        <v>0</v>
      </c>
      <c r="N74" s="26">
        <f>IF(TRUE,0,_xll.PSFx2BAL(CN,"*","GLCode",$B74,"COSTCENTRE",N$3,PF,PT))</f>
        <v>0</v>
      </c>
      <c r="O74" s="18">
        <f t="shared" si="18"/>
        <v>0</v>
      </c>
      <c r="Q74" s="19">
        <f t="shared" si="19"/>
        <v>0</v>
      </c>
      <c r="S74" s="26"/>
      <c r="T74" s="26"/>
      <c r="U74" s="26"/>
      <c r="V74" s="26"/>
      <c r="W74" s="26"/>
      <c r="X74" s="26">
        <f>$O74</f>
        <v>0</v>
      </c>
      <c r="Y74" s="26"/>
      <c r="Z74" s="26"/>
      <c r="AA74" s="26"/>
      <c r="AB74" s="26"/>
      <c r="AC74" s="460">
        <f t="shared" si="16"/>
        <v>0</v>
      </c>
      <c r="AD74" s="26"/>
      <c r="AE74" s="26">
        <f>VLOOKUP(A74,'P&amp;L by Award'!$A$5:$AM$101,'P&amp;L by Award'!$AM$3,FALSE)</f>
        <v>0</v>
      </c>
      <c r="AF74" s="26"/>
    </row>
    <row r="75" spans="1:32" x14ac:dyDescent="0.2">
      <c r="A75" s="1">
        <f t="shared" si="20"/>
        <v>7400</v>
      </c>
      <c r="B75" t="s">
        <v>160</v>
      </c>
      <c r="C75" t="s">
        <v>161</v>
      </c>
      <c r="D75" s="26">
        <f>IF(TRUE,0,_xll.PSFx2BAL(CN,"*","GLCode",$B75,"COSTCENTRE",D$3,PF,PT))</f>
        <v>0</v>
      </c>
      <c r="E75" s="26">
        <f>IF(TRUE,0,_xll.PSFx2BAL(CN,"*","GLCode",$B75,"COSTCENTRE",E$3,PF,PT))</f>
        <v>0</v>
      </c>
      <c r="F75" s="26">
        <f>IF(TRUE,2086.8,_xll.PSFx2BAL(CN,"*","GLCode",$B75,"COSTCENTRE",F$3,PF,PT))</f>
        <v>2086.8000000000002</v>
      </c>
      <c r="G75" s="26">
        <f>IF(TRUE,517.26,_xll.PSFx2BAL(CN,"*","GLCode",$B75,"COSTCENTRE",G$3,PF,PT))</f>
        <v>517.26</v>
      </c>
      <c r="H75" s="26">
        <f>IF(TRUE,0,_xll.PSFx2BAL(CN,"*","GLCode",$B75,"COSTCENTRE",H$3,PF,PT))</f>
        <v>0</v>
      </c>
      <c r="I75" s="26">
        <f>IF(TRUE,21090.32,_xll.PSFx2BAL(CN,"*","GLCode",$B75,"COSTCENTRE",I$3,PF,PT))</f>
        <v>21090.32</v>
      </c>
      <c r="J75" s="26">
        <f>IF(TRUE,0,_xll.PSFx2BAL(CN,"*","GLCode",$B75,"COSTCENTRE",J$3,PF,PT))</f>
        <v>0</v>
      </c>
      <c r="K75" s="26">
        <f>IF(TRUE,0,_xll.PSFx2BAL(CN,"*","GLCode",$B75,"COSTCENTRE",K$3,PF,PT))</f>
        <v>0</v>
      </c>
      <c r="L75" s="26">
        <f>IF(TRUE,0,_xll.PSFx2BAL(CN,"*","GLCode",$B75,"COSTCENTRE",L$3,PF,PT))</f>
        <v>0</v>
      </c>
      <c r="M75" s="26">
        <f>IF(TRUE,0,_xll.PSFx2BAL(CN,"*","GLCode",$B75,"COSTCENTRE",M$3,PF,PT))</f>
        <v>0</v>
      </c>
      <c r="N75" s="26">
        <f>IF(TRUE,546,_xll.PSFx2BAL(CN,"*","GLCode",$B75,"COSTCENTRE",N$3,PF,PT))</f>
        <v>546</v>
      </c>
      <c r="O75" s="18">
        <f t="shared" si="18"/>
        <v>24240.38</v>
      </c>
      <c r="Q75" s="67">
        <f t="shared" si="19"/>
        <v>24240.38</v>
      </c>
      <c r="S75" s="26"/>
      <c r="T75" s="26"/>
      <c r="U75" s="26"/>
      <c r="V75" s="26">
        <f>$O75</f>
        <v>24240.38</v>
      </c>
      <c r="W75" s="26"/>
      <c r="X75" s="26"/>
      <c r="Y75" s="26"/>
      <c r="Z75" s="26"/>
      <c r="AA75" s="26"/>
      <c r="AB75" s="26"/>
      <c r="AC75" s="460">
        <f t="shared" si="16"/>
        <v>0</v>
      </c>
      <c r="AD75" s="26"/>
      <c r="AE75" s="26">
        <f>VLOOKUP(A75,'P&amp;L by Award'!$A$5:$AM$101,'P&amp;L by Award'!$AM$3,FALSE)</f>
        <v>0</v>
      </c>
      <c r="AF75" s="26"/>
    </row>
    <row r="76" spans="1:32" x14ac:dyDescent="0.2">
      <c r="A76" s="1">
        <f t="shared" si="20"/>
        <v>7410</v>
      </c>
      <c r="B76" t="s">
        <v>162</v>
      </c>
      <c r="C76" t="s">
        <v>163</v>
      </c>
      <c r="D76" s="26">
        <f>IF(TRUE,0,_xll.PSFx2BAL(CN,"*","GLCode",$B76,"COSTCENTRE",D$3,PF,PT))</f>
        <v>0</v>
      </c>
      <c r="E76" s="26">
        <f>IF(TRUE,0,_xll.PSFx2BAL(CN,"*","GLCode",$B76,"COSTCENTRE",E$3,PF,PT))</f>
        <v>0</v>
      </c>
      <c r="F76" s="26">
        <f>IF(TRUE,0,_xll.PSFx2BAL(CN,"*","GLCode",$B76,"COSTCENTRE",F$3,PF,PT))</f>
        <v>0</v>
      </c>
      <c r="G76" s="26">
        <f>IF(TRUE,732,_xll.PSFx2BAL(CN,"*","GLCode",$B76,"COSTCENTRE",G$3,PF,PT))</f>
        <v>732</v>
      </c>
      <c r="H76" s="26">
        <f>IF(TRUE,0,_xll.PSFx2BAL(CN,"*","GLCode",$B76,"COSTCENTRE",H$3,PF,PT))</f>
        <v>0</v>
      </c>
      <c r="I76" s="26">
        <f>IF(TRUE,2922,_xll.PSFx2BAL(CN,"*","GLCode",$B76,"COSTCENTRE",I$3,PF,PT))</f>
        <v>2922</v>
      </c>
      <c r="J76" s="26">
        <f>IF(TRUE,0,_xll.PSFx2BAL(CN,"*","GLCode",$B76,"COSTCENTRE",J$3,PF,PT))</f>
        <v>0</v>
      </c>
      <c r="K76" s="26">
        <f>IF(TRUE,0,_xll.PSFx2BAL(CN,"*","GLCode",$B76,"COSTCENTRE",K$3,PF,PT))</f>
        <v>0</v>
      </c>
      <c r="L76" s="26">
        <f>IF(TRUE,0,_xll.PSFx2BAL(CN,"*","GLCode",$B76,"COSTCENTRE",L$3,PF,PT))</f>
        <v>0</v>
      </c>
      <c r="M76" s="26">
        <f>IF(TRUE,0,_xll.PSFx2BAL(CN,"*","GLCode",$B76,"COSTCENTRE",M$3,PF,PT))</f>
        <v>0</v>
      </c>
      <c r="N76" s="26">
        <f>IF(TRUE,0,_xll.PSFx2BAL(CN,"*","GLCode",$B76,"COSTCENTRE",N$3,PF,PT))</f>
        <v>0</v>
      </c>
      <c r="O76" s="18">
        <f t="shared" si="18"/>
        <v>3654</v>
      </c>
      <c r="Q76" s="19">
        <f t="shared" si="19"/>
        <v>3654</v>
      </c>
      <c r="S76" s="26"/>
      <c r="T76" s="26"/>
      <c r="U76" s="26"/>
      <c r="V76" s="26">
        <f>$O76</f>
        <v>3654</v>
      </c>
      <c r="W76" s="26"/>
      <c r="X76" s="26"/>
      <c r="Y76" s="26"/>
      <c r="Z76" s="26"/>
      <c r="AA76" s="26"/>
      <c r="AB76" s="26"/>
      <c r="AC76" s="460">
        <f t="shared" si="16"/>
        <v>0</v>
      </c>
      <c r="AD76" s="26"/>
      <c r="AE76" s="26">
        <f>VLOOKUP(A76,'P&amp;L by Award'!$A$5:$AM$101,'P&amp;L by Award'!$AM$3,FALSE)</f>
        <v>0</v>
      </c>
      <c r="AF76" s="26"/>
    </row>
    <row r="77" spans="1:32" x14ac:dyDescent="0.2">
      <c r="A77" s="1">
        <f t="shared" si="20"/>
        <v>7420</v>
      </c>
      <c r="B77" t="s">
        <v>164</v>
      </c>
      <c r="C77" t="s">
        <v>165</v>
      </c>
      <c r="D77" s="26">
        <f>IF(TRUE,0,_xll.PSFx2BAL(CN,"*","GLCode",$B77,"COSTCENTRE",D$3,PF,PT))</f>
        <v>0</v>
      </c>
      <c r="E77" s="26">
        <f>IF(TRUE,0,_xll.PSFx2BAL(CN,"*","GLCode",$B77,"COSTCENTRE",E$3,PF,PT))</f>
        <v>0</v>
      </c>
      <c r="F77" s="26">
        <f>IF(TRUE,0,_xll.PSFx2BAL(CN,"*","GLCode",$B77,"COSTCENTRE",F$3,PF,PT))</f>
        <v>0</v>
      </c>
      <c r="G77" s="26">
        <f>IF(TRUE,0,_xll.PSFx2BAL(CN,"*","GLCode",$B77,"COSTCENTRE",G$3,PF,PT))</f>
        <v>0</v>
      </c>
      <c r="H77" s="26">
        <f>IF(TRUE,0,_xll.PSFx2BAL(CN,"*","GLCode",$B77,"COSTCENTRE",H$3,PF,PT))</f>
        <v>0</v>
      </c>
      <c r="I77" s="26">
        <f>IF(TRUE,18540.01,_xll.PSFx2BAL(CN,"*","GLCode",$B77,"COSTCENTRE",I$3,PF,PT))</f>
        <v>18540.009999999998</v>
      </c>
      <c r="J77" s="26">
        <f>IF(TRUE,0,_xll.PSFx2BAL(CN,"*","GLCode",$B77,"COSTCENTRE",J$3,PF,PT))</f>
        <v>0</v>
      </c>
      <c r="K77" s="26">
        <f>IF(TRUE,0,_xll.PSFx2BAL(CN,"*","GLCode",$B77,"COSTCENTRE",K$3,PF,PT))</f>
        <v>0</v>
      </c>
      <c r="L77" s="26">
        <f>IF(TRUE,0,_xll.PSFx2BAL(CN,"*","GLCode",$B77,"COSTCENTRE",L$3,PF,PT))</f>
        <v>0</v>
      </c>
      <c r="M77" s="26">
        <f>IF(TRUE,0,_xll.PSFx2BAL(CN,"*","GLCode",$B77,"COSTCENTRE",M$3,PF,PT))</f>
        <v>0</v>
      </c>
      <c r="N77" s="26">
        <f>IF(TRUE,0,_xll.PSFx2BAL(CN,"*","GLCode",$B77,"COSTCENTRE",N$3,PF,PT))</f>
        <v>0</v>
      </c>
      <c r="O77" s="18">
        <f t="shared" si="18"/>
        <v>18540.009999999998</v>
      </c>
      <c r="Q77" s="19">
        <f t="shared" si="19"/>
        <v>18540.009999999998</v>
      </c>
      <c r="S77" s="26"/>
      <c r="T77" s="26"/>
      <c r="U77" s="26"/>
      <c r="V77" s="26">
        <f>$O77-X77</f>
        <v>18540.009999999998</v>
      </c>
      <c r="W77" s="26"/>
      <c r="X77" s="135"/>
      <c r="Y77" s="26"/>
      <c r="Z77" s="26"/>
      <c r="AA77" s="26"/>
      <c r="AB77" s="26"/>
      <c r="AC77" s="460">
        <f t="shared" si="16"/>
        <v>0</v>
      </c>
      <c r="AD77" s="26"/>
      <c r="AE77" s="26">
        <f>VLOOKUP(A77,'P&amp;L by Award'!$A$5:$AM$101,'P&amp;L by Award'!$AM$3,FALSE)</f>
        <v>0</v>
      </c>
      <c r="AF77" s="26"/>
    </row>
    <row r="78" spans="1:32" x14ac:dyDescent="0.2">
      <c r="A78" s="1">
        <f t="shared" si="20"/>
        <v>7430</v>
      </c>
      <c r="B78" t="s">
        <v>166</v>
      </c>
      <c r="C78" t="s">
        <v>167</v>
      </c>
      <c r="D78" s="26">
        <f>IF(TRUE,0,_xll.PSFx2BAL(CN,"*","GLCode",$B78,"COSTCENTRE",D$3,PF,PT))</f>
        <v>0</v>
      </c>
      <c r="E78" s="26">
        <f>IF(TRUE,2954.94,_xll.PSFx2BAL(CN,"*","GLCode",$B78,"COSTCENTRE",E$3,PF,PT))</f>
        <v>2954.94</v>
      </c>
      <c r="F78" s="26">
        <f>IF(TRUE,0,_xll.PSFx2BAL(CN,"*","GLCode",$B78,"COSTCENTRE",F$3,PF,PT))</f>
        <v>0</v>
      </c>
      <c r="G78" s="26">
        <f>IF(TRUE,0,_xll.PSFx2BAL(CN,"*","GLCode",$B78,"COSTCENTRE",G$3,PF,PT))</f>
        <v>0</v>
      </c>
      <c r="H78" s="26">
        <f>IF(TRUE,333,_xll.PSFx2BAL(CN,"*","GLCode",$B78,"COSTCENTRE",H$3,PF,PT))</f>
        <v>333</v>
      </c>
      <c r="I78" s="26">
        <f>IF(TRUE,565,_xll.PSFx2BAL(CN,"*","GLCode",$B78,"COSTCENTRE",I$3,PF,PT))</f>
        <v>565</v>
      </c>
      <c r="J78" s="26">
        <f>IF(TRUE,0,_xll.PSFx2BAL(CN,"*","GLCode",$B78,"COSTCENTRE",J$3,PF,PT))</f>
        <v>0</v>
      </c>
      <c r="K78" s="26">
        <f>IF(TRUE,0,_xll.PSFx2BAL(CN,"*","GLCode",$B78,"COSTCENTRE",K$3,PF,PT))</f>
        <v>0</v>
      </c>
      <c r="L78" s="26">
        <f>IF(TRUE,0,_xll.PSFx2BAL(CN,"*","GLCode",$B78,"COSTCENTRE",L$3,PF,PT))</f>
        <v>0</v>
      </c>
      <c r="M78" s="26">
        <f>IF(TRUE,0,_xll.PSFx2BAL(CN,"*","GLCode",$B78,"COSTCENTRE",M$3,PF,PT))</f>
        <v>0</v>
      </c>
      <c r="N78" s="26">
        <f>IF(TRUE,0,_xll.PSFx2BAL(CN,"*","GLCode",$B78,"COSTCENTRE",N$3,PF,PT))</f>
        <v>0</v>
      </c>
      <c r="O78" s="18">
        <f t="shared" si="18"/>
        <v>3852.94</v>
      </c>
      <c r="Q78" s="67">
        <f t="shared" si="19"/>
        <v>3852.94</v>
      </c>
      <c r="S78" s="26"/>
      <c r="T78" s="26"/>
      <c r="U78" s="32">
        <f>G156</f>
        <v>35</v>
      </c>
      <c r="V78" s="26"/>
      <c r="W78" s="26"/>
      <c r="X78" s="26">
        <f>G155</f>
        <v>3817.94</v>
      </c>
      <c r="Y78" s="26"/>
      <c r="Z78" s="26"/>
      <c r="AA78" s="26"/>
      <c r="AB78" s="26"/>
      <c r="AC78" s="460">
        <f t="shared" si="16"/>
        <v>0</v>
      </c>
      <c r="AD78" s="26"/>
      <c r="AE78" s="26">
        <f>VLOOKUP(A78,'P&amp;L by Award'!$A$5:$AM$101,'P&amp;L by Award'!$AM$3,FALSE)</f>
        <v>2199.81</v>
      </c>
      <c r="AF78" s="26"/>
    </row>
    <row r="79" spans="1:32" x14ac:dyDescent="0.2">
      <c r="A79" s="1">
        <f t="shared" si="20"/>
        <v>7500</v>
      </c>
      <c r="B79" t="s">
        <v>168</v>
      </c>
      <c r="C79" t="s">
        <v>169</v>
      </c>
      <c r="D79" s="26">
        <f>IF(TRUE,0,_xll.PSFx2BAL(CN,"*","GLCode",$B79,"COSTCENTRE",D$3,PF,PT))</f>
        <v>0</v>
      </c>
      <c r="E79" s="26">
        <f>IF(TRUE,0,_xll.PSFx2BAL(CN,"*","GLCode",$B79,"COSTCENTRE",E$3,PF,PT))</f>
        <v>0</v>
      </c>
      <c r="F79" s="26">
        <f>IF(TRUE,0,_xll.PSFx2BAL(CN,"*","GLCode",$B79,"COSTCENTRE",F$3,PF,PT))</f>
        <v>0</v>
      </c>
      <c r="G79" s="26">
        <f>IF(TRUE,0,_xll.PSFx2BAL(CN,"*","GLCode",$B79,"COSTCENTRE",G$3,PF,PT))</f>
        <v>0</v>
      </c>
      <c r="H79" s="26">
        <f>IF(TRUE,0,_xll.PSFx2BAL(CN,"*","GLCode",$B79,"COSTCENTRE",H$3,PF,PT))</f>
        <v>0</v>
      </c>
      <c r="I79" s="26">
        <f>IF(TRUE,3352.32,_xll.PSFx2BAL(CN,"*","GLCode",$B79,"COSTCENTRE",I$3,PF,PT))</f>
        <v>3352.32</v>
      </c>
      <c r="J79" s="26">
        <f>IF(TRUE,0,_xll.PSFx2BAL(CN,"*","GLCode",$B79,"COSTCENTRE",J$3,PF,PT))</f>
        <v>0</v>
      </c>
      <c r="K79" s="26">
        <f>IF(TRUE,0,_xll.PSFx2BAL(CN,"*","GLCode",$B79,"COSTCENTRE",K$3,PF,PT))</f>
        <v>0</v>
      </c>
      <c r="L79" s="26">
        <f>IF(TRUE,0,_xll.PSFx2BAL(CN,"*","GLCode",$B79,"COSTCENTRE",L$3,PF,PT))</f>
        <v>0</v>
      </c>
      <c r="M79" s="26">
        <f>IF(TRUE,0,_xll.PSFx2BAL(CN,"*","GLCode",$B79,"COSTCENTRE",M$3,PF,PT))</f>
        <v>0</v>
      </c>
      <c r="N79" s="26">
        <f>IF(TRUE,0,_xll.PSFx2BAL(CN,"*","GLCode",$B79,"COSTCENTRE",N$3,PF,PT))</f>
        <v>0</v>
      </c>
      <c r="O79" s="18">
        <f t="shared" si="18"/>
        <v>3352.32</v>
      </c>
      <c r="Q79" s="67">
        <f t="shared" si="19"/>
        <v>3352.32</v>
      </c>
      <c r="S79" s="26"/>
      <c r="T79" s="26"/>
      <c r="U79" s="26"/>
      <c r="V79" s="26"/>
      <c r="W79" s="26"/>
      <c r="X79" s="26">
        <f>$O79</f>
        <v>3352.32</v>
      </c>
      <c r="Y79" s="26"/>
      <c r="Z79" s="26"/>
      <c r="AA79" s="26"/>
      <c r="AB79" s="26"/>
      <c r="AC79" s="460">
        <f t="shared" si="16"/>
        <v>0</v>
      </c>
      <c r="AD79" s="26"/>
      <c r="AE79" s="26">
        <f>VLOOKUP(A79,'P&amp;L by Award'!$A$5:$AM$101,'P&amp;L by Award'!$AM$3,FALSE)</f>
        <v>0</v>
      </c>
      <c r="AF79" s="26"/>
    </row>
    <row r="80" spans="1:32" hidden="1" x14ac:dyDescent="0.2">
      <c r="A80" s="1">
        <f t="shared" si="20"/>
        <v>7501</v>
      </c>
      <c r="B80" t="s">
        <v>170</v>
      </c>
      <c r="C80" t="s">
        <v>171</v>
      </c>
      <c r="D80" s="26">
        <f>IF(TRUE,0,_xll.PSFx2BAL(CN,"*","GLCode",$B80,"COSTCENTRE",D$3,PF,PT))</f>
        <v>0</v>
      </c>
      <c r="E80" s="26">
        <f>IF(TRUE,0,_xll.PSFx2BAL(CN,"*","GLCode",$B80,"COSTCENTRE",E$3,PF,PT))</f>
        <v>0</v>
      </c>
      <c r="F80" s="26">
        <f>IF(TRUE,0,_xll.PSFx2BAL(CN,"*","GLCode",$B80,"COSTCENTRE",F$3,PF,PT))</f>
        <v>0</v>
      </c>
      <c r="G80" s="26">
        <f>IF(TRUE,0,_xll.PSFx2BAL(CN,"*","GLCode",$B80,"COSTCENTRE",G$3,PF,PT))</f>
        <v>0</v>
      </c>
      <c r="H80" s="26">
        <f>IF(TRUE,0,_xll.PSFx2BAL(CN,"*","GLCode",$B80,"COSTCENTRE",H$3,PF,PT))</f>
        <v>0</v>
      </c>
      <c r="I80" s="26">
        <f>IF(TRUE,0,_xll.PSFx2BAL(CN,"*","GLCode",$B80,"COSTCENTRE",I$3,PF,PT))</f>
        <v>0</v>
      </c>
      <c r="J80" s="26">
        <f>IF(TRUE,0,_xll.PSFx2BAL(CN,"*","GLCode",$B80,"COSTCENTRE",J$3,PF,PT))</f>
        <v>0</v>
      </c>
      <c r="K80" s="26">
        <f>IF(TRUE,0,_xll.PSFx2BAL(CN,"*","GLCode",$B80,"COSTCENTRE",K$3,PF,PT))</f>
        <v>0</v>
      </c>
      <c r="L80" s="26">
        <f>IF(TRUE,0,_xll.PSFx2BAL(CN,"*","GLCode",$B80,"COSTCENTRE",L$3,PF,PT))</f>
        <v>0</v>
      </c>
      <c r="M80" s="26">
        <f>IF(TRUE,0,_xll.PSFx2BAL(CN,"*","GLCode",$B80,"COSTCENTRE",M$3,PF,PT))</f>
        <v>0</v>
      </c>
      <c r="N80" s="26">
        <f>IF(TRUE,0,_xll.PSFx2BAL(CN,"*","GLCode",$B80,"COSTCENTRE",N$3,PF,PT))</f>
        <v>0</v>
      </c>
      <c r="O80" s="18">
        <f t="shared" si="18"/>
        <v>0</v>
      </c>
      <c r="Q80" s="19">
        <f t="shared" si="19"/>
        <v>0</v>
      </c>
      <c r="S80" s="26"/>
      <c r="T80" s="26"/>
      <c r="U80" s="26"/>
      <c r="V80" s="26"/>
      <c r="W80" s="26"/>
      <c r="X80" s="26"/>
      <c r="Y80" s="26"/>
      <c r="Z80" s="26"/>
      <c r="AA80" s="26"/>
      <c r="AB80" s="26"/>
      <c r="AC80" s="460">
        <f t="shared" si="16"/>
        <v>0</v>
      </c>
      <c r="AD80" s="26"/>
      <c r="AE80" s="26">
        <f>VLOOKUP(A80,'P&amp;L by Award'!$A$5:$AM$101,'P&amp;L by Award'!$AM$3,FALSE)</f>
        <v>0</v>
      </c>
      <c r="AF80" s="26"/>
    </row>
    <row r="81" spans="1:33" x14ac:dyDescent="0.2">
      <c r="A81" s="1">
        <f t="shared" si="20"/>
        <v>7510</v>
      </c>
      <c r="B81" t="s">
        <v>172</v>
      </c>
      <c r="C81" t="s">
        <v>173</v>
      </c>
      <c r="D81" s="26">
        <f>IF(TRUE,0,_xll.PSFx2BAL(CN,"*","GLCode",$B81,"COSTCENTRE",D$3,PF,PT))</f>
        <v>0</v>
      </c>
      <c r="E81" s="26">
        <f>IF(TRUE,0,_xll.PSFx2BAL(CN,"*","GLCode",$B81,"COSTCENTRE",E$3,PF,PT))</f>
        <v>0</v>
      </c>
      <c r="F81" s="26">
        <f>IF(TRUE,0,_xll.PSFx2BAL(CN,"*","GLCode",$B81,"COSTCENTRE",F$3,PF,PT))</f>
        <v>0</v>
      </c>
      <c r="G81" s="26">
        <f>IF(TRUE,0,_xll.PSFx2BAL(CN,"*","GLCode",$B81,"COSTCENTRE",G$3,PF,PT))</f>
        <v>0</v>
      </c>
      <c r="H81" s="26">
        <f>IF(TRUE,27120,_xll.PSFx2BAL(CN,"*","GLCode",$B81,"COSTCENTRE",H$3,PF,PT))</f>
        <v>27120</v>
      </c>
      <c r="I81" s="26">
        <f>IF(TRUE,0,_xll.PSFx2BAL(CN,"*","GLCode",$B81,"COSTCENTRE",I$3,PF,PT))</f>
        <v>0</v>
      </c>
      <c r="J81" s="26">
        <f>IF(TRUE,0,_xll.PSFx2BAL(CN,"*","GLCode",$B81,"COSTCENTRE",J$3,PF,PT))</f>
        <v>0</v>
      </c>
      <c r="K81" s="26">
        <f>IF(TRUE,0,_xll.PSFx2BAL(CN,"*","GLCode",$B81,"COSTCENTRE",K$3,PF,PT))</f>
        <v>0</v>
      </c>
      <c r="L81" s="26">
        <f>IF(TRUE,0,_xll.PSFx2BAL(CN,"*","GLCode",$B81,"COSTCENTRE",L$3,PF,PT))</f>
        <v>0</v>
      </c>
      <c r="M81" s="26">
        <f>IF(TRUE,0,_xll.PSFx2BAL(CN,"*","GLCode",$B81,"COSTCENTRE",M$3,PF,PT))</f>
        <v>0</v>
      </c>
      <c r="N81" s="26">
        <f>IF(TRUE,0,_xll.PSFx2BAL(CN,"*","GLCode",$B81,"COSTCENTRE",N$3,PF,PT))</f>
        <v>0</v>
      </c>
      <c r="O81" s="18">
        <f t="shared" si="18"/>
        <v>27120</v>
      </c>
      <c r="Q81" s="67">
        <f t="shared" si="19"/>
        <v>27120</v>
      </c>
      <c r="S81" s="26"/>
      <c r="T81" s="26"/>
      <c r="U81" s="26"/>
      <c r="V81" s="26"/>
      <c r="W81" s="26"/>
      <c r="X81" s="26"/>
      <c r="Y81" s="26"/>
      <c r="Z81" s="26"/>
      <c r="AA81" s="26"/>
      <c r="AB81" s="26">
        <f>$O81</f>
        <v>27120</v>
      </c>
      <c r="AC81" s="460">
        <f t="shared" si="16"/>
        <v>0</v>
      </c>
      <c r="AD81" s="26"/>
      <c r="AE81" s="26">
        <f>VLOOKUP(A81,'P&amp;L by Award'!$A$5:$AM$101,'P&amp;L by Award'!$AM$3,FALSE)</f>
        <v>0</v>
      </c>
      <c r="AF81" s="26"/>
    </row>
    <row r="82" spans="1:33" hidden="1" x14ac:dyDescent="0.2">
      <c r="A82" s="1">
        <f t="shared" si="20"/>
        <v>7511</v>
      </c>
      <c r="B82" t="s">
        <v>174</v>
      </c>
      <c r="C82" t="s">
        <v>175</v>
      </c>
      <c r="D82" s="26">
        <f>IF(TRUE,0,_xll.PSFx2BAL(CN,"*","GLCode",$B82,"COSTCENTRE",D$3,PF,PT))</f>
        <v>0</v>
      </c>
      <c r="E82" s="26">
        <f>IF(TRUE,0,_xll.PSFx2BAL(CN,"*","GLCode",$B82,"COSTCENTRE",E$3,PF,PT))</f>
        <v>0</v>
      </c>
      <c r="F82" s="26">
        <f>IF(TRUE,0,_xll.PSFx2BAL(CN,"*","GLCode",$B82,"COSTCENTRE",F$3,PF,PT))</f>
        <v>0</v>
      </c>
      <c r="G82" s="26">
        <f>IF(TRUE,0,_xll.PSFx2BAL(CN,"*","GLCode",$B82,"COSTCENTRE",G$3,PF,PT))</f>
        <v>0</v>
      </c>
      <c r="H82" s="26">
        <f>IF(TRUE,0,_xll.PSFx2BAL(CN,"*","GLCode",$B82,"COSTCENTRE",H$3,PF,PT))</f>
        <v>0</v>
      </c>
      <c r="I82" s="26">
        <f>IF(TRUE,0,_xll.PSFx2BAL(CN,"*","GLCode",$B82,"COSTCENTRE",I$3,PF,PT))</f>
        <v>0</v>
      </c>
      <c r="J82" s="26">
        <f>IF(TRUE,0,_xll.PSFx2BAL(CN,"*","GLCode",$B82,"COSTCENTRE",J$3,PF,PT))</f>
        <v>0</v>
      </c>
      <c r="K82" s="26">
        <f>IF(TRUE,0,_xll.PSFx2BAL(CN,"*","GLCode",$B82,"COSTCENTRE",K$3,PF,PT))</f>
        <v>0</v>
      </c>
      <c r="L82" s="26">
        <f>IF(TRUE,0,_xll.PSFx2BAL(CN,"*","GLCode",$B82,"COSTCENTRE",L$3,PF,PT))</f>
        <v>0</v>
      </c>
      <c r="M82" s="26">
        <f>IF(TRUE,0,_xll.PSFx2BAL(CN,"*","GLCode",$B82,"COSTCENTRE",M$3,PF,PT))</f>
        <v>0</v>
      </c>
      <c r="N82" s="26">
        <f>IF(TRUE,0,_xll.PSFx2BAL(CN,"*","GLCode",$B82,"COSTCENTRE",N$3,PF,PT))</f>
        <v>0</v>
      </c>
      <c r="O82" s="18">
        <f t="shared" si="18"/>
        <v>0</v>
      </c>
      <c r="Q82" s="67">
        <f t="shared" si="19"/>
        <v>0</v>
      </c>
      <c r="S82" s="26"/>
      <c r="T82" s="26"/>
      <c r="U82" s="26"/>
      <c r="V82" s="26"/>
      <c r="W82" s="26"/>
      <c r="X82" s="26"/>
      <c r="Y82" s="26"/>
      <c r="Z82" s="26"/>
      <c r="AA82" s="26"/>
      <c r="AB82" s="26">
        <f>$O82</f>
        <v>0</v>
      </c>
      <c r="AC82" s="460">
        <f t="shared" ref="AC82:AC90" si="21">O82-SUM(S82:AB82)</f>
        <v>0</v>
      </c>
      <c r="AD82" s="26"/>
      <c r="AE82" s="26">
        <f>VLOOKUP(A82,'P&amp;L by Award'!$A$5:$AM$101,'P&amp;L by Award'!$AM$3,FALSE)</f>
        <v>0</v>
      </c>
      <c r="AF82" s="26"/>
    </row>
    <row r="83" spans="1:33" x14ac:dyDescent="0.2">
      <c r="A83" s="1">
        <f t="shared" si="20"/>
        <v>7515</v>
      </c>
      <c r="B83" t="s">
        <v>176</v>
      </c>
      <c r="C83" t="s">
        <v>177</v>
      </c>
      <c r="D83" s="26">
        <f>IF(TRUE,0,_xll.PSFx2BAL(CN,"*","GLCode",$B83,"COSTCENTRE",D$3,PF,PT))</f>
        <v>0</v>
      </c>
      <c r="E83" s="26">
        <f>IF(TRUE,0,_xll.PSFx2BAL(CN,"*","GLCode",$B83,"COSTCENTRE",E$3,PF,PT))</f>
        <v>0</v>
      </c>
      <c r="F83" s="26">
        <f>IF(TRUE,0,_xll.PSFx2BAL(CN,"*","GLCode",$B83,"COSTCENTRE",F$3,PF,PT))</f>
        <v>0</v>
      </c>
      <c r="G83" s="26">
        <f>IF(TRUE,0,_xll.PSFx2BAL(CN,"*","GLCode",$B83,"COSTCENTRE",G$3,PF,PT))</f>
        <v>0</v>
      </c>
      <c r="H83" s="26">
        <f>IF(TRUE,0,_xll.PSFx2BAL(CN,"*","GLCode",$B83,"COSTCENTRE",H$3,PF,PT))</f>
        <v>0</v>
      </c>
      <c r="I83" s="26">
        <f>IF(TRUE,3489.22,_xll.PSFx2BAL(CN,"*","GLCode",$B83,"COSTCENTRE",I$3,PF,PT))</f>
        <v>3489.22</v>
      </c>
      <c r="J83" s="26">
        <f>IF(TRUE,0,_xll.PSFx2BAL(CN,"*","GLCode",$B83,"COSTCENTRE",J$3,PF,PT))</f>
        <v>0</v>
      </c>
      <c r="K83" s="26">
        <f>IF(TRUE,0,_xll.PSFx2BAL(CN,"*","GLCode",$B83,"COSTCENTRE",K$3,PF,PT))</f>
        <v>0</v>
      </c>
      <c r="L83" s="26">
        <f>IF(TRUE,0,_xll.PSFx2BAL(CN,"*","GLCode",$B83,"COSTCENTRE",L$3,PF,PT))</f>
        <v>0</v>
      </c>
      <c r="M83" s="26">
        <f>IF(TRUE,0,_xll.PSFx2BAL(CN,"*","GLCode",$B83,"COSTCENTRE",M$3,PF,PT))</f>
        <v>0</v>
      </c>
      <c r="N83" s="26">
        <f>IF(TRUE,0,_xll.PSFx2BAL(CN,"*","GLCode",$B83,"COSTCENTRE",N$3,PF,PT))</f>
        <v>0</v>
      </c>
      <c r="O83" s="18">
        <f t="shared" si="18"/>
        <v>3489.22</v>
      </c>
      <c r="Q83" s="67">
        <f t="shared" si="19"/>
        <v>3489.22</v>
      </c>
      <c r="S83" s="26"/>
      <c r="T83" s="26"/>
      <c r="U83" s="26"/>
      <c r="V83" s="26"/>
      <c r="W83" s="26"/>
      <c r="X83" s="26"/>
      <c r="Y83" s="26"/>
      <c r="Z83" s="26"/>
      <c r="AA83" s="26"/>
      <c r="AB83" s="26">
        <f>$O83</f>
        <v>3489.22</v>
      </c>
      <c r="AC83" s="460">
        <f t="shared" si="21"/>
        <v>0</v>
      </c>
      <c r="AD83" s="26"/>
      <c r="AE83" s="26">
        <f>VLOOKUP(A83,'P&amp;L by Award'!$A$5:$AM$101,'P&amp;L by Award'!$AM$3,FALSE)</f>
        <v>0</v>
      </c>
      <c r="AF83" s="26"/>
    </row>
    <row r="84" spans="1:33" x14ac:dyDescent="0.2">
      <c r="A84" s="1">
        <f t="shared" si="20"/>
        <v>7520</v>
      </c>
      <c r="B84" t="s">
        <v>178</v>
      </c>
      <c r="C84" t="s">
        <v>179</v>
      </c>
      <c r="D84" s="26">
        <f>IF(TRUE,0,_xll.PSFx2BAL(CN,"*","GLCode",$B84,"COSTCENTRE",D$3,PF,PT))</f>
        <v>0</v>
      </c>
      <c r="E84" s="26">
        <f>IF(TRUE,0,_xll.PSFx2BAL(CN,"*","GLCode",$B84,"COSTCENTRE",E$3,PF,PT))</f>
        <v>0</v>
      </c>
      <c r="F84" s="26">
        <f>IF(TRUE,40.2,_xll.PSFx2BAL(CN,"*","GLCode",$B84,"COSTCENTRE",F$3,PF,PT))</f>
        <v>40.200000000000003</v>
      </c>
      <c r="G84" s="26">
        <f>IF(TRUE,0,_xll.PSFx2BAL(CN,"*","GLCode",$B84,"COSTCENTRE",G$3,PF,PT))</f>
        <v>0</v>
      </c>
      <c r="H84" s="26">
        <f>IF(TRUE,0,_xll.PSFx2BAL(CN,"*","GLCode",$B84,"COSTCENTRE",H$3,PF,PT))</f>
        <v>0</v>
      </c>
      <c r="I84" s="26">
        <f>IF(TRUE,0,_xll.PSFx2BAL(CN,"*","GLCode",$B84,"COSTCENTRE",I$3,PF,PT))</f>
        <v>0</v>
      </c>
      <c r="J84" s="26">
        <f>IF(TRUE,0,_xll.PSFx2BAL(CN,"*","GLCode",$B84,"COSTCENTRE",J$3,PF,PT))</f>
        <v>0</v>
      </c>
      <c r="K84" s="26">
        <f>IF(TRUE,0,_xll.PSFx2BAL(CN,"*","GLCode",$B84,"COSTCENTRE",K$3,PF,PT))</f>
        <v>0</v>
      </c>
      <c r="L84" s="26">
        <f>IF(TRUE,0,_xll.PSFx2BAL(CN,"*","GLCode",$B84,"COSTCENTRE",L$3,PF,PT))</f>
        <v>0</v>
      </c>
      <c r="M84" s="26">
        <f>IF(TRUE,0,_xll.PSFx2BAL(CN,"*","GLCode",$B84,"COSTCENTRE",M$3,PF,PT))</f>
        <v>0</v>
      </c>
      <c r="N84" s="26">
        <f>IF(TRUE,0,_xll.PSFx2BAL(CN,"*","GLCode",$B84,"COSTCENTRE",N$3,PF,PT))</f>
        <v>0</v>
      </c>
      <c r="O84" s="18">
        <f t="shared" si="18"/>
        <v>40.200000000000003</v>
      </c>
      <c r="Q84" s="67">
        <f t="shared" si="19"/>
        <v>40.200000000000003</v>
      </c>
      <c r="S84" s="26"/>
      <c r="T84" s="26"/>
      <c r="U84" s="26"/>
      <c r="V84" s="26"/>
      <c r="W84" s="26"/>
      <c r="X84" s="26">
        <f>$O84</f>
        <v>40.200000000000003</v>
      </c>
      <c r="Y84" s="26"/>
      <c r="Z84" s="26"/>
      <c r="AA84" s="26"/>
      <c r="AB84" s="26"/>
      <c r="AC84" s="460">
        <f t="shared" si="21"/>
        <v>0</v>
      </c>
      <c r="AD84" s="26"/>
      <c r="AE84" s="26">
        <f>VLOOKUP(A84,'P&amp;L by Award'!$A$5:$AM$101,'P&amp;L by Award'!$AM$3,FALSE)</f>
        <v>0</v>
      </c>
      <c r="AF84" s="26"/>
    </row>
    <row r="85" spans="1:33" x14ac:dyDescent="0.2">
      <c r="A85" s="1">
        <f t="shared" si="20"/>
        <v>7530</v>
      </c>
      <c r="B85" t="s">
        <v>180</v>
      </c>
      <c r="C85" t="s">
        <v>181</v>
      </c>
      <c r="D85" s="26">
        <f>IF(TRUE,0,_xll.PSFx2BAL(CN,"*","GLCode",$B85,"COSTCENTRE",D$3,PF,PT))</f>
        <v>0</v>
      </c>
      <c r="E85" s="26">
        <f>IF(TRUE,0,_xll.PSFx2BAL(CN,"*","GLCode",$B85,"COSTCENTRE",E$3,PF,PT))</f>
        <v>0</v>
      </c>
      <c r="F85" s="26">
        <f>IF(TRUE,0,_xll.PSFx2BAL(CN,"*","GLCode",$B85,"COSTCENTRE",F$3,PF,PT))</f>
        <v>0</v>
      </c>
      <c r="G85" s="26">
        <f>IF(TRUE,0,_xll.PSFx2BAL(CN,"*","GLCode",$B85,"COSTCENTRE",G$3,PF,PT))</f>
        <v>0</v>
      </c>
      <c r="H85" s="26">
        <f>IF(TRUE,5100,_xll.PSFx2BAL(CN,"*","GLCode",$B85,"COSTCENTRE",H$3,PF,PT))</f>
        <v>5100</v>
      </c>
      <c r="I85" s="26">
        <f>IF(TRUE,0,_xll.PSFx2BAL(CN,"*","GLCode",$B85,"COSTCENTRE",I$3,PF,PT))</f>
        <v>0</v>
      </c>
      <c r="J85" s="26">
        <f>IF(TRUE,0,_xll.PSFx2BAL(CN,"*","GLCode",$B85,"COSTCENTRE",J$3,PF,PT))</f>
        <v>0</v>
      </c>
      <c r="K85" s="26">
        <f>IF(TRUE,0,_xll.PSFx2BAL(CN,"*","GLCode",$B85,"COSTCENTRE",K$3,PF,PT))</f>
        <v>0</v>
      </c>
      <c r="L85" s="26">
        <f>IF(TRUE,0,_xll.PSFx2BAL(CN,"*","GLCode",$B85,"COSTCENTRE",L$3,PF,PT))</f>
        <v>0</v>
      </c>
      <c r="M85" s="26">
        <f>IF(TRUE,0,_xll.PSFx2BAL(CN,"*","GLCode",$B85,"COSTCENTRE",M$3,PF,PT))</f>
        <v>0</v>
      </c>
      <c r="N85" s="26">
        <f>IF(TRUE,0,_xll.PSFx2BAL(CN,"*","GLCode",$B85,"COSTCENTRE",N$3,PF,PT))</f>
        <v>0</v>
      </c>
      <c r="O85" s="18">
        <f t="shared" si="18"/>
        <v>5100</v>
      </c>
      <c r="Q85" s="67">
        <f t="shared" si="19"/>
        <v>5100</v>
      </c>
      <c r="S85" s="26"/>
      <c r="T85" s="26"/>
      <c r="U85" s="26"/>
      <c r="V85" s="26"/>
      <c r="W85" s="26"/>
      <c r="X85" s="26">
        <f>$O85</f>
        <v>5100</v>
      </c>
      <c r="Y85" s="26"/>
      <c r="Z85" s="26"/>
      <c r="AA85" s="26"/>
      <c r="AB85" s="26"/>
      <c r="AC85" s="460">
        <f t="shared" si="21"/>
        <v>0</v>
      </c>
      <c r="AD85" s="26"/>
      <c r="AE85" s="26">
        <f>VLOOKUP(A85,'P&amp;L by Award'!$A$5:$AM$101,'P&amp;L by Award'!$AM$3,FALSE)</f>
        <v>0</v>
      </c>
      <c r="AF85" s="26"/>
    </row>
    <row r="86" spans="1:33" x14ac:dyDescent="0.2">
      <c r="A86" s="1">
        <f t="shared" si="20"/>
        <v>7535</v>
      </c>
      <c r="B86" t="s">
        <v>182</v>
      </c>
      <c r="C86" t="s">
        <v>183</v>
      </c>
      <c r="D86" s="26">
        <f>IF(TRUE,0,_xll.PSFx2BAL(CN,"*","GLCode",$B86,"COSTCENTRE",D$3,PF,PT))</f>
        <v>0</v>
      </c>
      <c r="E86" s="26">
        <f>IF(TRUE,0,_xll.PSFx2BAL(CN,"*","GLCode",$B86,"COSTCENTRE",E$3,PF,PT))</f>
        <v>0</v>
      </c>
      <c r="F86" s="26">
        <f>IF(TRUE,0,_xll.PSFx2BAL(CN,"*","GLCode",$B86,"COSTCENTRE",F$3,PF,PT))</f>
        <v>0</v>
      </c>
      <c r="G86" s="26">
        <f>IF(TRUE,0,_xll.PSFx2BAL(CN,"*","GLCode",$B86,"COSTCENTRE",G$3,PF,PT))</f>
        <v>0</v>
      </c>
      <c r="H86" s="26">
        <f>IF(TRUE,0,_xll.PSFx2BAL(CN,"*","GLCode",$B86,"COSTCENTRE",H$3,PF,PT))</f>
        <v>0</v>
      </c>
      <c r="I86" s="26">
        <f>IF(TRUE,28342.31,_xll.PSFx2BAL(CN,"*","GLCode",$B86,"COSTCENTRE",I$3,PF,PT))</f>
        <v>28342.31</v>
      </c>
      <c r="J86" s="26">
        <f>IF(TRUE,0,_xll.PSFx2BAL(CN,"*","GLCode",$B86,"COSTCENTRE",J$3,PF,PT))</f>
        <v>0</v>
      </c>
      <c r="K86" s="26">
        <f>IF(TRUE,0,_xll.PSFx2BAL(CN,"*","GLCode",$B86,"COSTCENTRE",K$3,PF,PT))</f>
        <v>0</v>
      </c>
      <c r="L86" s="26">
        <f>IF(TRUE,0,_xll.PSFx2BAL(CN,"*","GLCode",$B86,"COSTCENTRE",L$3,PF,PT))</f>
        <v>0</v>
      </c>
      <c r="M86" s="26">
        <f>IF(TRUE,0,_xll.PSFx2BAL(CN,"*","GLCode",$B86,"COSTCENTRE",M$3,PF,PT))</f>
        <v>0</v>
      </c>
      <c r="N86" s="26">
        <f>IF(TRUE,0,_xll.PSFx2BAL(CN,"*","GLCode",$B86,"COSTCENTRE",N$3,PF,PT))</f>
        <v>0</v>
      </c>
      <c r="O86" s="18">
        <f t="shared" si="18"/>
        <v>28342.31</v>
      </c>
      <c r="Q86" s="67">
        <f t="shared" si="19"/>
        <v>28342.31</v>
      </c>
      <c r="S86" s="26"/>
      <c r="T86" s="26"/>
      <c r="U86" s="26">
        <f>$O86</f>
        <v>28342.31</v>
      </c>
      <c r="V86" s="26"/>
      <c r="W86" s="26"/>
      <c r="X86" s="26"/>
      <c r="Y86" s="26"/>
      <c r="Z86" s="26"/>
      <c r="AA86" s="26"/>
      <c r="AB86" s="26"/>
      <c r="AC86" s="460">
        <f t="shared" si="21"/>
        <v>0</v>
      </c>
      <c r="AD86" s="26"/>
      <c r="AE86" s="26">
        <f>VLOOKUP(A86,'P&amp;L by Award'!$A$5:$AM$101,'P&amp;L by Award'!$AM$3,FALSE)</f>
        <v>0</v>
      </c>
      <c r="AF86" s="26"/>
    </row>
    <row r="87" spans="1:33" x14ac:dyDescent="0.2">
      <c r="A87" s="1">
        <f t="shared" si="20"/>
        <v>7540</v>
      </c>
      <c r="B87" t="s">
        <v>184</v>
      </c>
      <c r="C87" t="s">
        <v>185</v>
      </c>
      <c r="D87" s="26">
        <f>IF(TRUE,0,_xll.PSFx2BAL(CN,"*","GLCode",$B87,"COSTCENTRE",D$3,PF,PT))</f>
        <v>0</v>
      </c>
      <c r="E87" s="26">
        <f>IF(TRUE,0,_xll.PSFx2BAL(CN,"*","GLCode",$B87,"COSTCENTRE",E$3,PF,PT))</f>
        <v>0</v>
      </c>
      <c r="F87" s="26">
        <f>IF(TRUE,887.91,_xll.PSFx2BAL(CN,"*","GLCode",$B87,"COSTCENTRE",F$3,PF,PT))</f>
        <v>887.91</v>
      </c>
      <c r="G87" s="26">
        <f>IF(TRUE,115,_xll.PSFx2BAL(CN,"*","GLCode",$B87,"COSTCENTRE",G$3,PF,PT))</f>
        <v>115</v>
      </c>
      <c r="H87" s="26">
        <f>IF(TRUE,105.51,_xll.PSFx2BAL(CN,"*","GLCode",$B87,"COSTCENTRE",H$3,PF,PT))</f>
        <v>105.51</v>
      </c>
      <c r="I87" s="26">
        <f>IF(TRUE,-7629.51,_xll.PSFx2BAL(CN,"*","GLCode",$B87,"COSTCENTRE",I$3,PF,PT))</f>
        <v>-7629.51</v>
      </c>
      <c r="J87" s="26">
        <f>IF(TRUE,0,_xll.PSFx2BAL(CN,"*","GLCode",$B87,"COSTCENTRE",J$3,PF,PT))</f>
        <v>0</v>
      </c>
      <c r="K87" s="26">
        <f>IF(TRUE,0,_xll.PSFx2BAL(CN,"*","GLCode",$B87,"COSTCENTRE",K$3,PF,PT))</f>
        <v>0</v>
      </c>
      <c r="L87" s="26">
        <f>IF(TRUE,0,_xll.PSFx2BAL(CN,"*","GLCode",$B87,"COSTCENTRE",L$3,PF,PT))</f>
        <v>0</v>
      </c>
      <c r="M87" s="26">
        <f>IF(TRUE,88.39,_xll.PSFx2BAL(CN,"*","GLCode",$B87,"COSTCENTRE",M$3,PF,PT))</f>
        <v>88.39</v>
      </c>
      <c r="N87" s="26">
        <f>IF(TRUE,0,_xll.PSFx2BAL(CN,"*","GLCode",$B87,"COSTCENTRE",N$3,PF,PT))</f>
        <v>0</v>
      </c>
      <c r="O87" s="18">
        <f t="shared" si="18"/>
        <v>-6432.7</v>
      </c>
      <c r="Q87" s="67">
        <f t="shared" si="19"/>
        <v>-6521.09</v>
      </c>
      <c r="S87" s="26"/>
      <c r="T87" s="26"/>
      <c r="U87" s="26">
        <f>G169</f>
        <v>-6432.7</v>
      </c>
      <c r="V87" s="26"/>
      <c r="W87" s="26"/>
      <c r="X87" s="26"/>
      <c r="Y87" s="26"/>
      <c r="Z87" s="26"/>
      <c r="AA87" s="26"/>
      <c r="AB87" s="26"/>
      <c r="AC87" s="460">
        <f t="shared" si="21"/>
        <v>0</v>
      </c>
      <c r="AD87" s="26"/>
      <c r="AE87" s="32">
        <f>VLOOKUP(A87,'P&amp;L by Award'!$A$5:$AM$101,'P&amp;L by Award'!$AM$3,FALSE)</f>
        <v>0</v>
      </c>
      <c r="AF87" s="26"/>
      <c r="AG87" s="26"/>
    </row>
    <row r="88" spans="1:33" x14ac:dyDescent="0.2">
      <c r="A88" s="1">
        <f t="shared" si="20"/>
        <v>7550</v>
      </c>
      <c r="B88" t="s">
        <v>186</v>
      </c>
      <c r="C88" t="s">
        <v>187</v>
      </c>
      <c r="D88" s="26">
        <f>IF(TRUE,0,_xll.PSFx2BAL(CN,"*","GLCode",$B88,"COSTCENTRE",D$3,PF,PT))</f>
        <v>0</v>
      </c>
      <c r="E88" s="26">
        <f>IF(TRUE,0,_xll.PSFx2BAL(CN,"*","GLCode",$B88,"COSTCENTRE",E$3,PF,PT))</f>
        <v>0</v>
      </c>
      <c r="F88" s="26">
        <f>IF(TRUE,0,_xll.PSFx2BAL(CN,"*","GLCode",$B88,"COSTCENTRE",F$3,PF,PT))</f>
        <v>0</v>
      </c>
      <c r="G88" s="26">
        <f>IF(TRUE,0,_xll.PSFx2BAL(CN,"*","GLCode",$B88,"COSTCENTRE",G$3,PF,PT))</f>
        <v>0</v>
      </c>
      <c r="H88" s="26">
        <f>IF(TRUE,0,_xll.PSFx2BAL(CN,"*","GLCode",$B88,"COSTCENTRE",H$3,PF,PT))</f>
        <v>0</v>
      </c>
      <c r="I88" s="26">
        <f>IF(TRUE,46.1,_xll.PSFx2BAL(CN,"*","GLCode",$B88,"COSTCENTRE",I$3,PF,PT))</f>
        <v>46.1</v>
      </c>
      <c r="J88" s="26">
        <f>IF(TRUE,0,_xll.PSFx2BAL(CN,"*","GLCode",$B88,"COSTCENTRE",J$3,PF,PT))</f>
        <v>0</v>
      </c>
      <c r="K88" s="26">
        <f>IF(TRUE,0,_xll.PSFx2BAL(CN,"*","GLCode",$B88,"COSTCENTRE",K$3,PF,PT))</f>
        <v>0</v>
      </c>
      <c r="L88" s="26">
        <f>IF(TRUE,0,_xll.PSFx2BAL(CN,"*","GLCode",$B88,"COSTCENTRE",L$3,PF,PT))</f>
        <v>0</v>
      </c>
      <c r="M88" s="26">
        <f>IF(TRUE,0,_xll.PSFx2BAL(CN,"*","GLCode",$B88,"COSTCENTRE",M$3,PF,PT))</f>
        <v>0</v>
      </c>
      <c r="N88" s="26">
        <f>IF(TRUE,0,_xll.PSFx2BAL(CN,"*","GLCode",$B88,"COSTCENTRE",N$3,PF,PT))</f>
        <v>0</v>
      </c>
      <c r="O88" s="18">
        <f t="shared" si="18"/>
        <v>46.1</v>
      </c>
      <c r="Q88" s="19">
        <f t="shared" si="19"/>
        <v>46.1</v>
      </c>
      <c r="S88" s="26"/>
      <c r="T88" s="26"/>
      <c r="U88" s="26"/>
      <c r="V88" s="26"/>
      <c r="W88" s="26"/>
      <c r="X88" s="26">
        <f>$O88</f>
        <v>46.1</v>
      </c>
      <c r="Y88" s="26"/>
      <c r="Z88" s="26"/>
      <c r="AA88" s="26"/>
      <c r="AB88" s="26"/>
      <c r="AC88" s="460">
        <f t="shared" si="21"/>
        <v>0</v>
      </c>
      <c r="AD88" s="26"/>
      <c r="AE88" s="26">
        <f>VLOOKUP(A88,'P&amp;L by Award'!$A$5:$AM$101,'P&amp;L by Award'!$AM$3,FALSE)</f>
        <v>0</v>
      </c>
      <c r="AF88" s="26"/>
    </row>
    <row r="89" spans="1:33" hidden="1" x14ac:dyDescent="0.2">
      <c r="A89" s="1">
        <f t="shared" si="20"/>
        <v>7600</v>
      </c>
      <c r="B89" t="s">
        <v>188</v>
      </c>
      <c r="C89" t="s">
        <v>189</v>
      </c>
      <c r="D89" s="26">
        <f>IF(TRUE,0,_xll.PSFx2BAL(CN,"*","GLCode",$B89,"COSTCENTRE",D$3,PF,PT))</f>
        <v>0</v>
      </c>
      <c r="E89" s="26">
        <f>IF(TRUE,0,_xll.PSFx2BAL(CN,"*","GLCode",$B89,"COSTCENTRE",E$3,PF,PT))</f>
        <v>0</v>
      </c>
      <c r="F89" s="26">
        <f>IF(TRUE,0,_xll.PSFx2BAL(CN,"*","GLCode",$B89,"COSTCENTRE",F$3,PF,PT))</f>
        <v>0</v>
      </c>
      <c r="G89" s="26">
        <f>IF(TRUE,0,_xll.PSFx2BAL(CN,"*","GLCode",$B89,"COSTCENTRE",G$3,PF,PT))</f>
        <v>0</v>
      </c>
      <c r="H89" s="26">
        <f>IF(TRUE,0,_xll.PSFx2BAL(CN,"*","GLCode",$B89,"COSTCENTRE",H$3,PF,PT))</f>
        <v>0</v>
      </c>
      <c r="I89" s="26">
        <f>IF(TRUE,0,_xll.PSFx2BAL(CN,"*","GLCode",$B89,"COSTCENTRE",I$3,PF,PT))</f>
        <v>0</v>
      </c>
      <c r="J89" s="26">
        <f>IF(TRUE,0,_xll.PSFx2BAL(CN,"*","GLCode",$B89,"COSTCENTRE",J$3,PF,PT))</f>
        <v>0</v>
      </c>
      <c r="K89" s="26">
        <f>IF(TRUE,0,_xll.PSFx2BAL(CN,"*","GLCode",$B89,"COSTCENTRE",K$3,PF,PT))</f>
        <v>0</v>
      </c>
      <c r="L89" s="26">
        <f>IF(TRUE,0,_xll.PSFx2BAL(CN,"*","GLCode",$B89,"COSTCENTRE",L$3,PF,PT))</f>
        <v>0</v>
      </c>
      <c r="M89" s="26">
        <f>IF(TRUE,0,_xll.PSFx2BAL(CN,"*","GLCode",$B89,"COSTCENTRE",M$3,PF,PT))</f>
        <v>0</v>
      </c>
      <c r="N89" s="26">
        <f>IF(TRUE,0,_xll.PSFx2BAL(CN,"*","GLCode",$B89,"COSTCENTRE",N$3,PF,PT))</f>
        <v>0</v>
      </c>
      <c r="O89" s="18">
        <f t="shared" si="18"/>
        <v>0</v>
      </c>
      <c r="Q89" s="19">
        <f t="shared" si="19"/>
        <v>0</v>
      </c>
      <c r="S89" s="26"/>
      <c r="T89" s="26"/>
      <c r="U89" s="26"/>
      <c r="V89" s="26"/>
      <c r="W89" s="26"/>
      <c r="X89" s="26">
        <f>$O89</f>
        <v>0</v>
      </c>
      <c r="Y89" s="26"/>
      <c r="Z89" s="26"/>
      <c r="AA89" s="26"/>
      <c r="AB89" s="26"/>
      <c r="AC89" s="460">
        <f t="shared" si="21"/>
        <v>0</v>
      </c>
      <c r="AD89" s="26"/>
      <c r="AE89" s="26">
        <f>VLOOKUP(A89,'P&amp;L by Award'!$A$5:$AM$101,'P&amp;L by Award'!$AM$3,FALSE)</f>
        <v>0</v>
      </c>
      <c r="AF89" s="26"/>
    </row>
    <row r="90" spans="1:33" x14ac:dyDescent="0.2">
      <c r="A90" s="1">
        <f t="shared" si="20"/>
        <v>7800</v>
      </c>
      <c r="B90" t="s">
        <v>190</v>
      </c>
      <c r="C90" t="s">
        <v>191</v>
      </c>
      <c r="D90" s="26">
        <f>IF(TRUE,0,_xll.PSFx2BAL(CN,"*","GLCode",$B90,"COSTCENTRE",D$3,PF,PT))</f>
        <v>0</v>
      </c>
      <c r="E90" s="26">
        <f>IF(TRUE,0,_xll.PSFx2BAL(CN,"*","GLCode",$B90,"COSTCENTRE",E$3,PF,PT))</f>
        <v>0</v>
      </c>
      <c r="F90" s="26">
        <f>IF(TRUE,0,_xll.PSFx2BAL(CN,"*","GLCode",$B90,"COSTCENTRE",F$3,PF,PT))</f>
        <v>0</v>
      </c>
      <c r="G90" s="26">
        <f>IF(TRUE,0,_xll.PSFx2BAL(CN,"*","GLCode",$B90,"COSTCENTRE",G$3,PF,PT))</f>
        <v>0</v>
      </c>
      <c r="H90" s="26">
        <f>IF(TRUE,0,_xll.PSFx2BAL(CN,"*","GLCode",$B90,"COSTCENTRE",H$3,PF,PT))</f>
        <v>0</v>
      </c>
      <c r="I90" s="26">
        <f>IF(TRUE,83923.16,_xll.PSFx2BAL(CN,"*","GLCode",$B90,"COSTCENTRE",I$3,PF,PT))</f>
        <v>83923.16</v>
      </c>
      <c r="J90" s="26">
        <f>IF(TRUE,0,_xll.PSFx2BAL(CN,"*","GLCode",$B90,"COSTCENTRE",J$3,PF,PT))</f>
        <v>0</v>
      </c>
      <c r="K90" s="26">
        <f>IF(TRUE,0,_xll.PSFx2BAL(CN,"*","GLCode",$B90,"COSTCENTRE",K$3,PF,PT))</f>
        <v>0</v>
      </c>
      <c r="L90" s="26">
        <f>IF(TRUE,0,_xll.PSFx2BAL(CN,"*","GLCode",$B90,"COSTCENTRE",L$3,PF,PT))</f>
        <v>0</v>
      </c>
      <c r="M90" s="26">
        <f>IF(TRUE,0,_xll.PSFx2BAL(CN,"*","GLCode",$B90,"COSTCENTRE",M$3,PF,PT))</f>
        <v>0</v>
      </c>
      <c r="N90" s="26">
        <f>IF(TRUE,0,_xll.PSFx2BAL(CN,"*","GLCode",$B90,"COSTCENTRE",N$3,PF,PT))</f>
        <v>0</v>
      </c>
      <c r="O90" s="18">
        <f t="shared" si="18"/>
        <v>83923.16</v>
      </c>
      <c r="Q90" s="67">
        <f t="shared" si="19"/>
        <v>83923.16</v>
      </c>
      <c r="S90" s="26"/>
      <c r="T90" s="26"/>
      <c r="U90" s="26"/>
      <c r="V90" s="26"/>
      <c r="W90" s="26"/>
      <c r="X90" s="26">
        <f>$O90</f>
        <v>83923.16</v>
      </c>
      <c r="Y90" s="26"/>
      <c r="Z90" s="26"/>
      <c r="AA90" s="26"/>
      <c r="AB90" s="26"/>
      <c r="AC90" s="460">
        <f t="shared" si="21"/>
        <v>0</v>
      </c>
      <c r="AD90" s="26"/>
      <c r="AE90" s="26">
        <f>VLOOKUP(A90,'P&amp;L by Award'!$A$5:$AM$101,'P&amp;L by Award'!$AM$3,FALSE)</f>
        <v>0</v>
      </c>
      <c r="AF90" s="26"/>
    </row>
    <row r="91" spans="1:33" hidden="1" x14ac:dyDescent="0.2">
      <c r="A91" s="1">
        <f t="shared" ref="A91" si="22">VALUE(B91)</f>
        <v>7801</v>
      </c>
      <c r="B91" s="202" t="s">
        <v>492</v>
      </c>
      <c r="C91" s="5" t="s">
        <v>493</v>
      </c>
      <c r="D91" s="26">
        <f>IF(TRUE,0,_xll.PSFx2BAL(CN,"*","GLCode",$B91,"COSTCENTRE",D$3,PF,PT))</f>
        <v>0</v>
      </c>
      <c r="E91" s="26">
        <f>IF(TRUE,0,_xll.PSFx2BAL(CN,"*","GLCode",$B91,"COSTCENTRE",E$3,PF,PT))</f>
        <v>0</v>
      </c>
      <c r="F91" s="26">
        <f>IF(TRUE,0,_xll.PSFx2BAL(CN,"*","GLCode",$B91,"COSTCENTRE",F$3,PF,PT))</f>
        <v>0</v>
      </c>
      <c r="G91" s="26">
        <f>IF(TRUE,0,_xll.PSFx2BAL(CN,"*","GLCode",$B91,"COSTCENTRE",G$3,PF,PT))</f>
        <v>0</v>
      </c>
      <c r="H91" s="26">
        <f>IF(TRUE,0,_xll.PSFx2BAL(CN,"*","GLCode",$B91,"COSTCENTRE",H$3,PF,PT))</f>
        <v>0</v>
      </c>
      <c r="I91" s="26">
        <f>IF(TRUE,0,_xll.PSFx2BAL(CN,"*","GLCode",$B91,"COSTCENTRE",I$3,PF,PT))</f>
        <v>0</v>
      </c>
      <c r="J91" s="26">
        <f>IF(TRUE,0,_xll.PSFx2BAL(CN,"*","GLCode",$B91,"COSTCENTRE",J$3,PF,PT))</f>
        <v>0</v>
      </c>
      <c r="K91" s="26">
        <f>IF(TRUE,0,_xll.PSFx2BAL(CN,"*","GLCode",$B91,"COSTCENTRE",K$3,PF,PT))</f>
        <v>0</v>
      </c>
      <c r="L91" s="26">
        <f>IF(TRUE,0,_xll.PSFx2BAL(CN,"*","GLCode",$B91,"COSTCENTRE",L$3,PF,PT))</f>
        <v>0</v>
      </c>
      <c r="M91" s="26">
        <f>IF(TRUE,0,_xll.PSFx2BAL(CN,"*","GLCode",$B91,"COSTCENTRE",M$3,PF,PT))</f>
        <v>0</v>
      </c>
      <c r="N91" s="26">
        <f>IF(TRUE,0,_xll.PSFx2BAL(CN,"*","GLCode",$B91,"COSTCENTRE",N$3,PF,PT))</f>
        <v>0</v>
      </c>
      <c r="O91" s="18">
        <f t="shared" ref="O91" si="23">SUM(D91:N91)</f>
        <v>0</v>
      </c>
      <c r="Q91" s="19">
        <f t="shared" ref="Q91" si="24">O91-SUM(L91:M91)</f>
        <v>0</v>
      </c>
      <c r="S91" s="26"/>
      <c r="T91" s="26"/>
      <c r="U91" s="26"/>
      <c r="V91" s="26"/>
      <c r="W91" s="26"/>
      <c r="X91" s="26">
        <f>$O91</f>
        <v>0</v>
      </c>
      <c r="Y91" s="26"/>
      <c r="Z91" s="26"/>
      <c r="AA91" s="26"/>
      <c r="AB91" s="26"/>
      <c r="AC91" s="26">
        <f t="shared" ref="AC91" si="25">O91-SUM(S91:AB91)</f>
        <v>0</v>
      </c>
      <c r="AD91" s="26"/>
      <c r="AE91" s="26">
        <f>VLOOKUP(A91,'P&amp;L by Award'!$A$5:$AM$101,'P&amp;L by Award'!$AM$3,FALSE)</f>
        <v>0</v>
      </c>
      <c r="AF91" s="26"/>
    </row>
    <row r="92" spans="1:33" x14ac:dyDescent="0.2">
      <c r="A92" s="1">
        <f t="shared" si="20"/>
        <v>7900</v>
      </c>
      <c r="B92" t="s">
        <v>192</v>
      </c>
      <c r="C92" t="s">
        <v>193</v>
      </c>
      <c r="D92" s="26">
        <f>IF(TRUE,-0.08,_xll.PSFx2BAL(CN,"*","GLCode",$B92,"COSTCENTRE",D$3,PF,PT))</f>
        <v>-0.08</v>
      </c>
      <c r="E92" s="26">
        <f>IF(TRUE,0,_xll.PSFx2BAL(CN,"*","GLCode",$B92,"COSTCENTRE",E$3,PF,PT))</f>
        <v>0</v>
      </c>
      <c r="F92" s="26">
        <f>IF(TRUE,0,_xll.PSFx2BAL(CN,"*","GLCode",$B92,"COSTCENTRE",F$3,PF,PT))</f>
        <v>0</v>
      </c>
      <c r="G92" s="26">
        <f>IF(TRUE,0,_xll.PSFx2BAL(CN,"*","GLCode",$B92,"COSTCENTRE",G$3,PF,PT))</f>
        <v>0</v>
      </c>
      <c r="H92" s="26">
        <f>IF(TRUE,0,_xll.PSFx2BAL(CN,"*","GLCode",$B92,"COSTCENTRE",H$3,PF,PT))</f>
        <v>0</v>
      </c>
      <c r="I92" s="26">
        <f>IF(TRUE,0,_xll.PSFx2BAL(CN,"*","GLCode",$B92,"COSTCENTRE",I$3,PF,PT))</f>
        <v>0</v>
      </c>
      <c r="J92" s="26">
        <f>IF(TRUE,0,_xll.PSFx2BAL(CN,"*","GLCode",$B92,"COSTCENTRE",J$3,PF,PT))</f>
        <v>0</v>
      </c>
      <c r="K92" s="26">
        <f>IF(TRUE,0,_xll.PSFx2BAL(CN,"*","GLCode",$B92,"COSTCENTRE",K$3,PF,PT))</f>
        <v>0</v>
      </c>
      <c r="L92" s="26">
        <f>IF(TRUE,0,_xll.PSFx2BAL(CN,"*","GLCode",$B92,"COSTCENTRE",L$3,PF,PT))</f>
        <v>0</v>
      </c>
      <c r="M92" s="26">
        <f>IF(TRUE,0,_xll.PSFx2BAL(CN,"*","GLCode",$B92,"COSTCENTRE",M$3,PF,PT))</f>
        <v>0</v>
      </c>
      <c r="N92" s="26">
        <f>IF(TRUE,0,_xll.PSFx2BAL(CN,"*","GLCode",$B92,"COSTCENTRE",N$3,PF,PT))</f>
        <v>0</v>
      </c>
      <c r="O92" s="18">
        <f t="shared" si="18"/>
        <v>-0.08</v>
      </c>
      <c r="Q92" s="19">
        <f t="shared" si="19"/>
        <v>-0.08</v>
      </c>
      <c r="S92" s="26"/>
      <c r="T92" s="26"/>
      <c r="U92" s="26"/>
      <c r="V92" s="26"/>
      <c r="W92" s="26"/>
      <c r="X92" s="26">
        <f>$O92</f>
        <v>-0.08</v>
      </c>
      <c r="Y92" s="26"/>
      <c r="Z92" s="26"/>
      <c r="AA92" s="26"/>
      <c r="AB92" s="26"/>
      <c r="AC92" s="460">
        <f t="shared" ref="AC92" si="26">O92-SUM(S92:AB92)</f>
        <v>0</v>
      </c>
      <c r="AD92" s="26"/>
      <c r="AE92" s="26">
        <f>VLOOKUP(A92,'P&amp;L by Award'!$A$5:$AM$101,'P&amp;L by Award'!$AM$3,FALSE)</f>
        <v>0</v>
      </c>
      <c r="AF92" s="26"/>
    </row>
    <row r="93" spans="1:33" hidden="1" x14ac:dyDescent="0.2">
      <c r="A93" s="1">
        <f t="shared" si="20"/>
        <v>7950</v>
      </c>
      <c r="B93" t="s">
        <v>194</v>
      </c>
      <c r="C93" t="s">
        <v>195</v>
      </c>
      <c r="D93" s="26">
        <f>IF(TRUE,0,_xll.PSFx2BAL(CN,"*","GLCode",$B93,"COSTCENTRE",D$3,PF,PT))</f>
        <v>0</v>
      </c>
      <c r="E93" s="26">
        <f>IF(TRUE,0,_xll.PSFx2BAL(CN,"*","GLCode",$B93,"COSTCENTRE",E$3,PF,PT))</f>
        <v>0</v>
      </c>
      <c r="F93" s="26">
        <f>IF(TRUE,0,_xll.PSFx2BAL(CN,"*","GLCode",$B93,"COSTCENTRE",F$3,PF,PT))</f>
        <v>0</v>
      </c>
      <c r="G93" s="26">
        <f>IF(TRUE,0,_xll.PSFx2BAL(CN,"*","GLCode",$B93,"COSTCENTRE",G$3,PF,PT))</f>
        <v>0</v>
      </c>
      <c r="H93" s="26">
        <f>IF(TRUE,0,_xll.PSFx2BAL(CN,"*","GLCode",$B93,"COSTCENTRE",H$3,PF,PT))</f>
        <v>0</v>
      </c>
      <c r="I93" s="26">
        <f>IF(TRUE,0,_xll.PSFx2BAL(CN,"*","GLCode",$B93,"COSTCENTRE",I$3,PF,PT))</f>
        <v>0</v>
      </c>
      <c r="J93" s="26">
        <f>IF(TRUE,0,_xll.PSFx2BAL(CN,"*","GLCode",$B93,"COSTCENTRE",J$3,PF,PT))</f>
        <v>0</v>
      </c>
      <c r="K93" s="26">
        <f>IF(TRUE,0,_xll.PSFx2BAL(CN,"*","GLCode",$B93,"COSTCENTRE",K$3,PF,PT))</f>
        <v>0</v>
      </c>
      <c r="L93" s="26">
        <f>IF(TRUE,0,_xll.PSFx2BAL(CN,"*","GLCode",$B93,"COSTCENTRE",L$3,PF,PT))</f>
        <v>0</v>
      </c>
      <c r="M93" s="26">
        <f>IF(TRUE,0,_xll.PSFx2BAL(CN,"*","GLCode",$B93,"COSTCENTRE",M$3,PF,PT))</f>
        <v>0</v>
      </c>
      <c r="N93" s="26">
        <f>IF(TRUE,0,_xll.PSFx2BAL(CN,"*","GLCode",$B93,"COSTCENTRE",N$3,PF,PT))</f>
        <v>0</v>
      </c>
      <c r="O93" s="18">
        <f t="shared" si="18"/>
        <v>0</v>
      </c>
      <c r="Q93" s="19">
        <f>O93-SUM(L93:N93)</f>
        <v>0</v>
      </c>
    </row>
    <row r="94" spans="1:33" hidden="1" x14ac:dyDescent="0.2">
      <c r="A94" s="1">
        <f t="shared" si="20"/>
        <v>8101</v>
      </c>
      <c r="B94" t="s">
        <v>196</v>
      </c>
      <c r="C94" t="s">
        <v>197</v>
      </c>
      <c r="D94" s="26">
        <f>IF(TRUE,0,_xll.PSFx2BAL(CN,"*","GLCode",$B94,"COSTCENTRE",D$3,PF,PT))</f>
        <v>0</v>
      </c>
      <c r="E94" s="26">
        <f>IF(TRUE,0,_xll.PSFx2BAL(CN,"*","GLCode",$B94,"COSTCENTRE",E$3,PF,PT))</f>
        <v>0</v>
      </c>
      <c r="F94" s="26">
        <f>IF(TRUE,0,_xll.PSFx2BAL(CN,"*","GLCode",$B94,"COSTCENTRE",F$3,PF,PT))</f>
        <v>0</v>
      </c>
      <c r="G94" s="26">
        <f>IF(TRUE,0,_xll.PSFx2BAL(CN,"*","GLCode",$B94,"COSTCENTRE",G$3,PF,PT))</f>
        <v>0</v>
      </c>
      <c r="H94" s="26">
        <f>IF(TRUE,0,_xll.PSFx2BAL(CN,"*","GLCode",$B94,"COSTCENTRE",H$3,PF,PT))</f>
        <v>0</v>
      </c>
      <c r="I94" s="26">
        <f>IF(TRUE,0,_xll.PSFx2BAL(CN,"*","GLCode",$B94,"COSTCENTRE",I$3,PF,PT))</f>
        <v>0</v>
      </c>
      <c r="J94" s="26">
        <f>IF(TRUE,0,_xll.PSFx2BAL(CN,"*","GLCode",$B94,"COSTCENTRE",J$3,PF,PT))</f>
        <v>0</v>
      </c>
      <c r="K94" s="26">
        <f>IF(TRUE,0,_xll.PSFx2BAL(CN,"*","GLCode",$B94,"COSTCENTRE",K$3,PF,PT))</f>
        <v>0</v>
      </c>
      <c r="L94" s="26">
        <f>IF(TRUE,0,_xll.PSFx2BAL(CN,"*","GLCode",$B94,"COSTCENTRE",L$3,PF,PT))</f>
        <v>0</v>
      </c>
      <c r="M94" s="26">
        <f>IF(TRUE,0,_xll.PSFx2BAL(CN,"*","GLCode",$B94,"COSTCENTRE",M$3,PF,PT))</f>
        <v>0</v>
      </c>
      <c r="N94" s="26">
        <f>IF(TRUE,0,_xll.PSFx2BAL(CN,"*","GLCode",$B94,"COSTCENTRE",N$3,PF,PT))</f>
        <v>0</v>
      </c>
      <c r="O94" s="18">
        <f t="shared" si="18"/>
        <v>0</v>
      </c>
      <c r="Q94" s="19">
        <f>O94-SUM(L94:N94)</f>
        <v>0</v>
      </c>
    </row>
    <row r="95" spans="1:33" hidden="1" x14ac:dyDescent="0.2">
      <c r="A95" s="1">
        <f t="shared" si="20"/>
        <v>8102</v>
      </c>
      <c r="B95" t="s">
        <v>198</v>
      </c>
      <c r="C95" t="s">
        <v>199</v>
      </c>
      <c r="D95" s="26">
        <f>IF(TRUE,0,_xll.PSFx2BAL(CN,"*","GLCode",$B95,"COSTCENTRE",D$3,PF,PT))</f>
        <v>0</v>
      </c>
      <c r="E95" s="26">
        <f>IF(TRUE,0,_xll.PSFx2BAL(CN,"*","GLCode",$B95,"COSTCENTRE",E$3,PF,PT))</f>
        <v>0</v>
      </c>
      <c r="F95" s="26">
        <f>IF(TRUE,0,_xll.PSFx2BAL(CN,"*","GLCode",$B95,"COSTCENTRE",F$3,PF,PT))</f>
        <v>0</v>
      </c>
      <c r="G95" s="26">
        <f>IF(TRUE,0,_xll.PSFx2BAL(CN,"*","GLCode",$B95,"COSTCENTRE",G$3,PF,PT))</f>
        <v>0</v>
      </c>
      <c r="H95" s="26">
        <f>IF(TRUE,0,_xll.PSFx2BAL(CN,"*","GLCode",$B95,"COSTCENTRE",H$3,PF,PT))</f>
        <v>0</v>
      </c>
      <c r="I95" s="26">
        <f>IF(TRUE,0,_xll.PSFx2BAL(CN,"*","GLCode",$B95,"COSTCENTRE",I$3,PF,PT))</f>
        <v>0</v>
      </c>
      <c r="J95" s="26">
        <f>IF(TRUE,0,_xll.PSFx2BAL(CN,"*","GLCode",$B95,"COSTCENTRE",J$3,PF,PT))</f>
        <v>0</v>
      </c>
      <c r="K95" s="26">
        <f>IF(TRUE,0,_xll.PSFx2BAL(CN,"*","GLCode",$B95,"COSTCENTRE",K$3,PF,PT))</f>
        <v>0</v>
      </c>
      <c r="L95" s="26">
        <f>IF(TRUE,0,_xll.PSFx2BAL(CN,"*","GLCode",$B95,"COSTCENTRE",L$3,PF,PT))</f>
        <v>0</v>
      </c>
      <c r="M95" s="26">
        <f>IF(TRUE,0,_xll.PSFx2BAL(CN,"*","GLCode",$B95,"COSTCENTRE",M$3,PF,PT))</f>
        <v>0</v>
      </c>
      <c r="N95" s="26">
        <f>IF(TRUE,0,_xll.PSFx2BAL(CN,"*","GLCode",$B95,"COSTCENTRE",N$3,PF,PT))</f>
        <v>0</v>
      </c>
      <c r="O95" s="18">
        <f t="shared" si="18"/>
        <v>0</v>
      </c>
      <c r="Q95" s="19">
        <f>O95-SUM(L95:N95)</f>
        <v>0</v>
      </c>
    </row>
    <row r="96" spans="1:33" hidden="1" x14ac:dyDescent="0.2">
      <c r="A96" s="1">
        <f t="shared" si="20"/>
        <v>9999</v>
      </c>
      <c r="B96" t="s">
        <v>200</v>
      </c>
      <c r="C96" t="s">
        <v>201</v>
      </c>
      <c r="D96" s="26">
        <f>IF(TRUE,0,_xll.PSFx2BAL(CN,"*","GLCode",$B96,"COSTCENTRE",D$3,PF,PT))</f>
        <v>0</v>
      </c>
      <c r="E96" s="26">
        <f>IF(TRUE,0,_xll.PSFx2BAL(CN,"*","GLCode",$B96,"COSTCENTRE",E$3,PF,PT))</f>
        <v>0</v>
      </c>
      <c r="F96" s="26">
        <f>IF(TRUE,0,_xll.PSFx2BAL(CN,"*","GLCode",$B96,"COSTCENTRE",F$3,PF,PT))</f>
        <v>0</v>
      </c>
      <c r="G96" s="26">
        <f>IF(TRUE,0,_xll.PSFx2BAL(CN,"*","GLCode",$B96,"COSTCENTRE",G$3,PF,PT))</f>
        <v>0</v>
      </c>
      <c r="H96" s="26">
        <f>IF(TRUE,0,_xll.PSFx2BAL(CN,"*","GLCode",$B96,"COSTCENTRE",H$3,PF,PT))</f>
        <v>0</v>
      </c>
      <c r="I96" s="26">
        <f>IF(TRUE,0,_xll.PSFx2BAL(CN,"*","GLCode",$B96,"COSTCENTRE",I$3,PF,PT))</f>
        <v>0</v>
      </c>
      <c r="J96" s="26">
        <f>IF(TRUE,0,_xll.PSFx2BAL(CN,"*","GLCode",$B96,"COSTCENTRE",J$3,PF,PT))</f>
        <v>0</v>
      </c>
      <c r="K96" s="26">
        <f>IF(TRUE,0,_xll.PSFx2BAL(CN,"*","GLCode",$B96,"COSTCENTRE",K$3,PF,PT))</f>
        <v>0</v>
      </c>
      <c r="L96" s="26">
        <f>IF(TRUE,0,_xll.PSFx2BAL(CN,"*","GLCode",$B96,"COSTCENTRE",L$3,PF,PT))</f>
        <v>0</v>
      </c>
      <c r="M96" s="26">
        <f>IF(TRUE,0,_xll.PSFx2BAL(CN,"*","GLCode",$B96,"COSTCENTRE",M$3,PF,PT))</f>
        <v>0</v>
      </c>
      <c r="N96" s="26">
        <f>IF(TRUE,0,_xll.PSFx2BAL(CN,"*","GLCode",$B96,"COSTCENTRE",N$3,PF,PT))</f>
        <v>0</v>
      </c>
      <c r="O96" s="18">
        <f t="shared" si="18"/>
        <v>0</v>
      </c>
      <c r="Q96" s="19">
        <f>O96-SUM(L96:N96)</f>
        <v>0</v>
      </c>
    </row>
    <row r="97" spans="1:32" x14ac:dyDescent="0.2">
      <c r="A97" s="1" t="s">
        <v>284</v>
      </c>
      <c r="C97" t="s">
        <v>284</v>
      </c>
      <c r="D97" s="16">
        <f t="shared" ref="D97:O97" si="27">SUM(D5:D96)</f>
        <v>-8632211.2599999998</v>
      </c>
      <c r="E97" s="16">
        <f t="shared" si="27"/>
        <v>6696132.3800000008</v>
      </c>
      <c r="F97" s="16">
        <f t="shared" si="27"/>
        <v>506699.97999999992</v>
      </c>
      <c r="G97" s="16">
        <f t="shared" si="27"/>
        <v>506787.82</v>
      </c>
      <c r="H97" s="16">
        <f t="shared" si="27"/>
        <v>268528.68999999994</v>
      </c>
      <c r="I97" s="16">
        <f t="shared" si="27"/>
        <v>791124.57000000007</v>
      </c>
      <c r="J97" s="16">
        <f t="shared" si="27"/>
        <v>47279.82</v>
      </c>
      <c r="K97" s="16">
        <f t="shared" si="27"/>
        <v>172378.22000000003</v>
      </c>
      <c r="L97" s="68">
        <f t="shared" si="27"/>
        <v>12140.57</v>
      </c>
      <c r="M97" s="68">
        <f t="shared" si="27"/>
        <v>180.59</v>
      </c>
      <c r="N97" s="68">
        <f t="shared" si="27"/>
        <v>546</v>
      </c>
      <c r="O97" s="16">
        <f t="shared" si="27"/>
        <v>369587.38000000099</v>
      </c>
      <c r="Q97" s="16">
        <f>SUM(Q5:Q96)</f>
        <v>357266.22000000096</v>
      </c>
      <c r="S97" s="16">
        <f t="shared" ref="S97:X97" si="28">SUM(S5:S96)</f>
        <v>30860.010000000002</v>
      </c>
      <c r="T97" s="16">
        <f t="shared" si="28"/>
        <v>128712.62</v>
      </c>
      <c r="U97" s="16">
        <f t="shared" si="28"/>
        <v>126897.05</v>
      </c>
      <c r="V97" s="16">
        <f t="shared" si="28"/>
        <v>46434.39</v>
      </c>
      <c r="W97" s="16">
        <f t="shared" si="28"/>
        <v>1487785.8</v>
      </c>
      <c r="X97" s="16">
        <f t="shared" si="28"/>
        <v>371988.71999999991</v>
      </c>
      <c r="Z97" s="16">
        <f t="shared" ref="Z97:AA97" si="29">SUM(Z5:Z96)</f>
        <v>0</v>
      </c>
      <c r="AA97" s="16">
        <f t="shared" si="29"/>
        <v>153552.02000000002</v>
      </c>
      <c r="AB97" s="16">
        <f>SUM(AB5:AB96)</f>
        <v>76928.509999999995</v>
      </c>
      <c r="AC97" s="459">
        <f>SUM(AC5:AC92)</f>
        <v>0</v>
      </c>
      <c r="AE97" s="16">
        <f>SUM(AE5:AE96)</f>
        <v>912272.89</v>
      </c>
      <c r="AF97" s="16">
        <f>SUM(AF5:AF96)</f>
        <v>23900.270000000004</v>
      </c>
    </row>
    <row r="98" spans="1:32" x14ac:dyDescent="0.2">
      <c r="N98" s="204"/>
      <c r="O98" s="203"/>
      <c r="AA98" s="13" t="s">
        <v>417</v>
      </c>
      <c r="AB98" s="16">
        <f>SUM(S97:AB97)</f>
        <v>2423159.1199999996</v>
      </c>
      <c r="AE98" s="455">
        <f>SUM('P&amp;L by Award'!AM19:AM93)-AE97</f>
        <v>0</v>
      </c>
    </row>
    <row r="99" spans="1:32" x14ac:dyDescent="0.2">
      <c r="C99" s="13" t="s">
        <v>342</v>
      </c>
      <c r="D99" s="26">
        <f>IF(TRUE,-8632211.26,_xll.PSFx1BAL(CN,"*","COSTCENTRE",D$3,PF,PT))</f>
        <v>-8632211.2599999998</v>
      </c>
      <c r="E99" s="26">
        <f>IF(TRUE,6696132.38,_xll.PSFx1BAL(CN,"*","COSTCENTRE",E$3,PF,PT))</f>
        <v>6696132.3799999999</v>
      </c>
      <c r="F99" s="26">
        <f>IF(TRUE,506699.98,_xll.PSFx1BAL(CN,"*","COSTCENTRE",F$3,PF,PT))</f>
        <v>506699.98</v>
      </c>
      <c r="G99" s="26">
        <f>IF(TRUE,506787.82,_xll.PSFx1BAL(CN,"*","COSTCENTRE",G$3,PF,PT))</f>
        <v>506787.82</v>
      </c>
      <c r="H99" s="26">
        <f>IF(TRUE,268528.69,_xll.PSFx1BAL(CN,"*","COSTCENTRE",H$3,PF,PT))</f>
        <v>268528.69</v>
      </c>
      <c r="I99" s="26">
        <f>IF(TRUE,791124.57,_xll.PSFx1BAL(CN,"*","COSTCENTRE",I$3,PF,PT))</f>
        <v>791124.57</v>
      </c>
      <c r="J99" s="26">
        <f>IF(TRUE,47279.82,_xll.PSFx1BAL(CN,"*","COSTCENTRE",J$3,PF,PT))</f>
        <v>47279.82</v>
      </c>
      <c r="K99" s="26">
        <f>IF(TRUE,172378.22,_xll.PSFx1BAL(CN,"*","COSTCENTRE",K$3,PF,PT))</f>
        <v>172378.22</v>
      </c>
      <c r="L99" s="26">
        <f>IF(TRUE,12140.57,_xll.PSFx1BAL(CN,"*","COSTCENTRE",L$3,PF,PT))</f>
        <v>12140.57</v>
      </c>
      <c r="M99" s="26">
        <f>IF(TRUE,180.59,_xll.PSFx1BAL(CN,"*","COSTCENTRE",M$3,PF,PT))</f>
        <v>180.59</v>
      </c>
      <c r="N99" s="26">
        <f>IF(TRUE,546,_xll.PSFx1BAL(CN,"*","COSTCENTRE",N$3,PF,PT))</f>
        <v>546</v>
      </c>
      <c r="O99" s="26">
        <f>TB!L31</f>
        <v>369587.37999999896</v>
      </c>
      <c r="Q99" s="9">
        <f>O97-M97-L97</f>
        <v>357266.22000000096</v>
      </c>
      <c r="AB99" s="454">
        <f>SUM(O17:O96)-AB98</f>
        <v>0</v>
      </c>
    </row>
    <row r="100" spans="1:32" x14ac:dyDescent="0.2">
      <c r="C100" s="13" t="s">
        <v>338</v>
      </c>
      <c r="D100" s="9">
        <f t="shared" ref="D100:N100" si="30">D97-D99</f>
        <v>0</v>
      </c>
      <c r="E100" s="9">
        <f t="shared" si="30"/>
        <v>0</v>
      </c>
      <c r="F100" s="9">
        <f t="shared" si="30"/>
        <v>0</v>
      </c>
      <c r="G100" s="9">
        <f t="shared" si="30"/>
        <v>0</v>
      </c>
      <c r="H100" s="9">
        <f t="shared" si="30"/>
        <v>0</v>
      </c>
      <c r="I100" s="9">
        <f t="shared" si="30"/>
        <v>0</v>
      </c>
      <c r="J100" s="9">
        <f t="shared" si="30"/>
        <v>0</v>
      </c>
      <c r="K100" s="9">
        <f t="shared" si="30"/>
        <v>0</v>
      </c>
      <c r="L100" s="9">
        <f t="shared" si="30"/>
        <v>0</v>
      </c>
      <c r="M100" s="9">
        <f t="shared" si="30"/>
        <v>0</v>
      </c>
      <c r="N100" s="9">
        <f t="shared" si="30"/>
        <v>0</v>
      </c>
      <c r="O100" s="9">
        <f>O97-O99</f>
        <v>2.0372681319713593E-9</v>
      </c>
      <c r="Q100" s="9">
        <f>Q97-Q99</f>
        <v>0</v>
      </c>
    </row>
    <row r="103" spans="1:32" ht="16" x14ac:dyDescent="0.2">
      <c r="C103" s="30" t="s">
        <v>388</v>
      </c>
      <c r="D103" s="25" t="s">
        <v>284</v>
      </c>
    </row>
    <row r="104" spans="1:32" x14ac:dyDescent="0.2">
      <c r="B104" t="s">
        <v>390</v>
      </c>
      <c r="C104" t="s">
        <v>289</v>
      </c>
      <c r="D104" s="26">
        <f>IF(TRUE,132868.53,_xll.PSFx1BAL(CN,"*","DAF_Salary Category",$B104,PF,PT))</f>
        <v>132868.53</v>
      </c>
    </row>
    <row r="105" spans="1:32" x14ac:dyDescent="0.2">
      <c r="B105" t="s">
        <v>244</v>
      </c>
      <c r="C105" t="s">
        <v>391</v>
      </c>
      <c r="D105" s="26">
        <f>IF(TRUE,0,_xll.PSFx1BAL(CN,"*","DAF_Salary Category",$B105,PF,PT))</f>
        <v>0</v>
      </c>
    </row>
    <row r="106" spans="1:32" x14ac:dyDescent="0.2">
      <c r="B106" t="s">
        <v>392</v>
      </c>
      <c r="C106" t="s">
        <v>393</v>
      </c>
      <c r="D106" s="26">
        <f>IF(TRUE,75256.71,_xll.PSFx1BAL(CN,"*","DAF_Salary Category",$B106,PF,PT))</f>
        <v>75256.710000000006</v>
      </c>
    </row>
    <row r="107" spans="1:32" x14ac:dyDescent="0.2">
      <c r="B107" t="s">
        <v>394</v>
      </c>
      <c r="C107" t="s">
        <v>57</v>
      </c>
      <c r="D107" s="26">
        <f>IF(TRUE,1373023.16,_xll.PSFx1BAL(CN,"*","DAF_Salary Category",$B107,PF,PT))</f>
        <v>1373023.16</v>
      </c>
    </row>
    <row r="108" spans="1:32" x14ac:dyDescent="0.2">
      <c r="D108" s="16">
        <f>SUM(D104:D107)</f>
        <v>1581148.4</v>
      </c>
    </row>
    <row r="109" spans="1:32" x14ac:dyDescent="0.2">
      <c r="B109" s="1">
        <v>7000</v>
      </c>
      <c r="C109" s="134" t="s">
        <v>342</v>
      </c>
      <c r="D109" s="26">
        <f>VLOOKUP(B109,$A:$Q,$O$2,FALSE)</f>
        <v>1581148.4000000001</v>
      </c>
    </row>
    <row r="110" spans="1:32" x14ac:dyDescent="0.2">
      <c r="C110" s="134" t="s">
        <v>395</v>
      </c>
      <c r="D110" s="26">
        <f>D108-D109</f>
        <v>0</v>
      </c>
    </row>
    <row r="112" spans="1:32" x14ac:dyDescent="0.2">
      <c r="C112" s="30" t="s">
        <v>396</v>
      </c>
    </row>
    <row r="113" spans="3:8" x14ac:dyDescent="0.2">
      <c r="C113" t="s">
        <v>397</v>
      </c>
      <c r="D113" s="135">
        <f>92.2</f>
        <v>92.2</v>
      </c>
    </row>
    <row r="114" spans="3:8" x14ac:dyDescent="0.2">
      <c r="C114" t="s">
        <v>398</v>
      </c>
      <c r="D114" s="135">
        <v>0</v>
      </c>
    </row>
    <row r="115" spans="3:8" x14ac:dyDescent="0.2">
      <c r="D115" s="16">
        <f>SUM(D113:D114)</f>
        <v>92.2</v>
      </c>
    </row>
    <row r="116" spans="3:8" x14ac:dyDescent="0.2">
      <c r="H116" t="s">
        <v>400</v>
      </c>
    </row>
    <row r="117" spans="3:8" x14ac:dyDescent="0.2">
      <c r="C117" s="30" t="s">
        <v>399</v>
      </c>
      <c r="E117" s="33" t="s">
        <v>422</v>
      </c>
      <c r="F117" s="33" t="s">
        <v>423</v>
      </c>
    </row>
    <row r="118" spans="3:8" x14ac:dyDescent="0.2">
      <c r="C118" t="s">
        <v>696</v>
      </c>
      <c r="D118" s="136">
        <f>(19-4)*120</f>
        <v>1800</v>
      </c>
      <c r="E118" s="136">
        <f>4*120</f>
        <v>480</v>
      </c>
      <c r="F118" s="136">
        <f>D118-E118</f>
        <v>1320</v>
      </c>
    </row>
    <row r="119" spans="3:8" x14ac:dyDescent="0.2">
      <c r="C119" t="s">
        <v>401</v>
      </c>
      <c r="D119" s="135"/>
    </row>
    <row r="120" spans="3:8" x14ac:dyDescent="0.2">
      <c r="C120" t="s">
        <v>402</v>
      </c>
      <c r="D120" s="135">
        <f>110728.08/12</f>
        <v>9227.34</v>
      </c>
      <c r="E120" s="135">
        <f>D120</f>
        <v>9227.34</v>
      </c>
      <c r="F120" s="135">
        <f>D120-E120</f>
        <v>0</v>
      </c>
    </row>
    <row r="121" spans="3:8" x14ac:dyDescent="0.2">
      <c r="C121" t="s">
        <v>403</v>
      </c>
      <c r="D121" s="135">
        <f>114049.92</f>
        <v>114049.92</v>
      </c>
      <c r="E121" s="135">
        <f>D121*11/12</f>
        <v>104545.76</v>
      </c>
      <c r="F121" s="135">
        <f t="shared" ref="F121" si="31">D121-E121</f>
        <v>9504.1600000000035</v>
      </c>
    </row>
    <row r="122" spans="3:8" x14ac:dyDescent="0.2">
      <c r="D122" s="16">
        <f>ROUND(SUM(D120:D121),2)</f>
        <v>123277.26</v>
      </c>
      <c r="E122" s="16">
        <f>ROUND(SUM(E120:E121),2)</f>
        <v>113773.1</v>
      </c>
      <c r="F122" s="16">
        <f>ROUND(SUM(F120:F121),2)</f>
        <v>9504.16</v>
      </c>
    </row>
    <row r="133" spans="3:13" x14ac:dyDescent="0.2">
      <c r="C133" s="451" t="s">
        <v>414</v>
      </c>
      <c r="D133" s="145" t="s">
        <v>362</v>
      </c>
      <c r="E133" s="145" t="s">
        <v>280</v>
      </c>
      <c r="F133" s="145" t="s">
        <v>284</v>
      </c>
    </row>
    <row r="134" spans="3:13" x14ac:dyDescent="0.2">
      <c r="C134" t="s">
        <v>409</v>
      </c>
      <c r="D134" s="144">
        <v>13707.87</v>
      </c>
      <c r="E134" s="144"/>
      <c r="F134" s="9">
        <f>SUM(D134:E134)</f>
        <v>13707.87</v>
      </c>
      <c r="M134" s="144"/>
    </row>
    <row r="135" spans="3:13" x14ac:dyDescent="0.2">
      <c r="C135" t="s">
        <v>410</v>
      </c>
      <c r="D135" s="144">
        <f>5978+5674.95</f>
        <v>11652.95</v>
      </c>
      <c r="E135" s="144">
        <f>24038.49-163.95</f>
        <v>23874.54</v>
      </c>
      <c r="F135" s="9">
        <f t="shared" ref="F135:F150" si="32">SUM(D135:E135)</f>
        <v>35527.490000000005</v>
      </c>
      <c r="M135" s="144"/>
    </row>
    <row r="136" spans="3:13" x14ac:dyDescent="0.2">
      <c r="C136" t="s">
        <v>736</v>
      </c>
      <c r="D136" s="144">
        <f>36972.26+7394.44</f>
        <v>44366.700000000004</v>
      </c>
      <c r="E136" s="144">
        <f>36972.26+7394.44</f>
        <v>44366.700000000004</v>
      </c>
      <c r="F136" s="9">
        <f t="shared" si="32"/>
        <v>88733.400000000009</v>
      </c>
      <c r="M136" s="144"/>
    </row>
    <row r="137" spans="3:13" x14ac:dyDescent="0.2">
      <c r="C137" t="s">
        <v>411</v>
      </c>
      <c r="D137" s="144"/>
      <c r="E137" s="144">
        <v>13528.86</v>
      </c>
      <c r="F137" s="9">
        <f t="shared" si="32"/>
        <v>13528.86</v>
      </c>
      <c r="M137" s="144"/>
    </row>
    <row r="138" spans="3:13" x14ac:dyDescent="0.2">
      <c r="C138" t="s">
        <v>746</v>
      </c>
      <c r="D138" s="144">
        <v>2065.96</v>
      </c>
      <c r="E138" s="144"/>
      <c r="F138" s="9">
        <f t="shared" si="32"/>
        <v>2065.96</v>
      </c>
      <c r="M138" s="144"/>
    </row>
    <row r="139" spans="3:13" x14ac:dyDescent="0.2">
      <c r="C139" t="s">
        <v>737</v>
      </c>
      <c r="D139" s="144"/>
      <c r="E139" s="144">
        <v>27300</v>
      </c>
      <c r="F139" s="9">
        <f t="shared" si="32"/>
        <v>27300</v>
      </c>
      <c r="G139" s="9">
        <f>SUM(F134:F139)</f>
        <v>180863.58</v>
      </c>
      <c r="H139" t="s">
        <v>412</v>
      </c>
      <c r="M139" s="144"/>
    </row>
    <row r="140" spans="3:13" x14ac:dyDescent="0.2">
      <c r="C140" t="s">
        <v>742</v>
      </c>
      <c r="D140" s="144"/>
      <c r="E140" s="144">
        <v>6000</v>
      </c>
      <c r="F140" s="9">
        <f t="shared" si="32"/>
        <v>6000</v>
      </c>
      <c r="M140" s="144"/>
    </row>
    <row r="141" spans="3:13" x14ac:dyDescent="0.2">
      <c r="C141" t="s">
        <v>738</v>
      </c>
      <c r="D141" s="144"/>
      <c r="E141" s="144">
        <v>37650</v>
      </c>
      <c r="F141" s="9">
        <f t="shared" si="32"/>
        <v>37650</v>
      </c>
      <c r="M141" s="144"/>
    </row>
    <row r="142" spans="3:13" x14ac:dyDescent="0.2">
      <c r="C142" t="s">
        <v>743</v>
      </c>
      <c r="D142" s="144"/>
      <c r="E142" s="144">
        <v>773.45</v>
      </c>
      <c r="F142" s="9">
        <f t="shared" si="32"/>
        <v>773.45</v>
      </c>
      <c r="M142" s="144"/>
    </row>
    <row r="143" spans="3:13" x14ac:dyDescent="0.2">
      <c r="C143" t="s">
        <v>744</v>
      </c>
      <c r="D143" s="144"/>
      <c r="E143" s="144">
        <v>360</v>
      </c>
      <c r="F143" s="9">
        <f t="shared" si="32"/>
        <v>360</v>
      </c>
      <c r="M143" s="144"/>
    </row>
    <row r="144" spans="3:13" x14ac:dyDescent="0.2">
      <c r="C144" t="s">
        <v>745</v>
      </c>
      <c r="D144" s="144"/>
      <c r="E144" s="144">
        <v>420</v>
      </c>
      <c r="F144" s="9">
        <f t="shared" si="32"/>
        <v>420</v>
      </c>
      <c r="M144" s="144"/>
    </row>
    <row r="145" spans="2:13" x14ac:dyDescent="0.2">
      <c r="C145" t="s">
        <v>747</v>
      </c>
      <c r="D145" s="144"/>
      <c r="E145" s="144">
        <v>360</v>
      </c>
      <c r="F145" s="9">
        <f t="shared" ref="F145" si="33">SUM(D145:E145)</f>
        <v>360</v>
      </c>
      <c r="G145" s="9">
        <f>SUM(F140:F145)</f>
        <v>45563.45</v>
      </c>
      <c r="H145" t="s">
        <v>413</v>
      </c>
      <c r="M145" s="144"/>
    </row>
    <row r="146" spans="2:13" x14ac:dyDescent="0.2">
      <c r="C146" t="s">
        <v>739</v>
      </c>
      <c r="D146" s="144"/>
      <c r="E146" s="144">
        <v>1050</v>
      </c>
      <c r="F146" s="9">
        <f t="shared" si="32"/>
        <v>1050</v>
      </c>
      <c r="M146" s="144"/>
    </row>
    <row r="147" spans="2:13" x14ac:dyDescent="0.2">
      <c r="C147" t="s">
        <v>741</v>
      </c>
      <c r="D147" s="144"/>
      <c r="E147" s="144">
        <v>82.55</v>
      </c>
      <c r="F147" s="9">
        <f t="shared" si="32"/>
        <v>82.55</v>
      </c>
      <c r="M147" s="144"/>
    </row>
    <row r="148" spans="2:13" x14ac:dyDescent="0.2">
      <c r="C148" t="s">
        <v>748</v>
      </c>
      <c r="D148" s="144"/>
      <c r="E148" s="144">
        <v>1029</v>
      </c>
      <c r="F148" s="9">
        <f t="shared" si="32"/>
        <v>1029</v>
      </c>
      <c r="M148" s="144"/>
    </row>
    <row r="149" spans="2:13" x14ac:dyDescent="0.2">
      <c r="C149" t="s">
        <v>740</v>
      </c>
      <c r="D149" s="144"/>
      <c r="E149" s="144">
        <v>360</v>
      </c>
      <c r="F149" s="9">
        <f t="shared" si="32"/>
        <v>360</v>
      </c>
      <c r="G149" s="9">
        <f>SUM(F146:F149)</f>
        <v>2521.5500000000002</v>
      </c>
      <c r="H149" t="s">
        <v>371</v>
      </c>
      <c r="M149" s="144"/>
    </row>
    <row r="150" spans="2:13" x14ac:dyDescent="0.2">
      <c r="D150" s="144"/>
      <c r="E150" s="144"/>
      <c r="F150" s="9">
        <f t="shared" si="32"/>
        <v>0</v>
      </c>
      <c r="G150" s="9">
        <f>SUM(F150:F150)</f>
        <v>0</v>
      </c>
      <c r="H150" t="s">
        <v>29</v>
      </c>
      <c r="M150" s="144"/>
    </row>
    <row r="151" spans="2:13" ht="16" thickBot="1" x14ac:dyDescent="0.25">
      <c r="D151" s="143">
        <f>SUM(D134:D150)</f>
        <v>71793.48000000001</v>
      </c>
      <c r="E151" s="143">
        <f>SUM(E134:E150)</f>
        <v>157155.1</v>
      </c>
      <c r="F151" s="143">
        <f>SUM(F134:F150)</f>
        <v>228948.58</v>
      </c>
      <c r="G151" s="143">
        <f>SUM(G134:G150)</f>
        <v>228948.57999999996</v>
      </c>
    </row>
    <row r="152" spans="2:13" x14ac:dyDescent="0.2">
      <c r="B152" s="1">
        <v>7010</v>
      </c>
      <c r="E152" s="134" t="s">
        <v>342</v>
      </c>
      <c r="F152" s="26">
        <f>VLOOKUP(B152,$A:$Q,$O$2,FALSE)</f>
        <v>228948.57999999996</v>
      </c>
    </row>
    <row r="153" spans="2:13" x14ac:dyDescent="0.2">
      <c r="E153" s="134" t="s">
        <v>395</v>
      </c>
      <c r="F153" s="26">
        <f>F151-F152</f>
        <v>0</v>
      </c>
    </row>
    <row r="154" spans="2:13" x14ac:dyDescent="0.2">
      <c r="C154" s="452" t="s">
        <v>167</v>
      </c>
      <c r="E154" s="144"/>
    </row>
    <row r="155" spans="2:13" x14ac:dyDescent="0.2">
      <c r="C155" t="s">
        <v>750</v>
      </c>
      <c r="D155" s="144">
        <v>2199.81</v>
      </c>
      <c r="E155" s="144">
        <v>1618.13</v>
      </c>
      <c r="F155" s="144">
        <f t="shared" ref="F155:F156" si="34">SUM(D155:E155)</f>
        <v>3817.94</v>
      </c>
      <c r="G155" s="9">
        <f>F155</f>
        <v>3817.94</v>
      </c>
      <c r="H155" t="s">
        <v>412</v>
      </c>
    </row>
    <row r="156" spans="2:13" x14ac:dyDescent="0.2">
      <c r="C156" t="s">
        <v>751</v>
      </c>
      <c r="D156" s="144"/>
      <c r="E156" s="144">
        <v>35</v>
      </c>
      <c r="F156" s="144">
        <f t="shared" si="34"/>
        <v>35</v>
      </c>
      <c r="G156" s="9">
        <f>F156</f>
        <v>35</v>
      </c>
      <c r="H156" t="s">
        <v>371</v>
      </c>
    </row>
    <row r="157" spans="2:13" ht="16" thickBot="1" x14ac:dyDescent="0.25">
      <c r="D157" s="143">
        <f>SUM(D155:D156)</f>
        <v>2199.81</v>
      </c>
      <c r="E157" s="143">
        <f>SUM(E155:E156)</f>
        <v>1653.13</v>
      </c>
      <c r="F157" s="143">
        <f>SUM(F155:F156)</f>
        <v>3852.94</v>
      </c>
      <c r="G157" s="143">
        <f>SUM(G155:G156)</f>
        <v>3852.94</v>
      </c>
    </row>
    <row r="158" spans="2:13" x14ac:dyDescent="0.2">
      <c r="B158" s="1">
        <v>7430</v>
      </c>
      <c r="E158" s="134" t="s">
        <v>342</v>
      </c>
      <c r="F158" s="26">
        <f>VLOOKUP(B158,$A:$Q,$O$2,FALSE)</f>
        <v>3852.94</v>
      </c>
    </row>
    <row r="159" spans="2:13" x14ac:dyDescent="0.2">
      <c r="E159" s="134" t="s">
        <v>395</v>
      </c>
      <c r="F159" s="26">
        <f>F157-F158</f>
        <v>0</v>
      </c>
    </row>
    <row r="160" spans="2:13" x14ac:dyDescent="0.2">
      <c r="C160" s="452" t="s">
        <v>61</v>
      </c>
      <c r="E160" s="144"/>
    </row>
    <row r="161" spans="2:13" x14ac:dyDescent="0.2">
      <c r="C161" t="s">
        <v>415</v>
      </c>
      <c r="D161" s="144"/>
      <c r="E161" s="144">
        <v>8608.68</v>
      </c>
      <c r="F161" s="144">
        <f t="shared" ref="F161:F162" si="35">SUM(D161:E161)</f>
        <v>8608.68</v>
      </c>
      <c r="G161" s="9"/>
      <c r="J161" s="144"/>
      <c r="K161" s="144"/>
      <c r="L161" s="144"/>
    </row>
    <row r="162" spans="2:13" x14ac:dyDescent="0.2">
      <c r="C162" t="s">
        <v>416</v>
      </c>
      <c r="D162" s="144">
        <v>1421.9699999999998</v>
      </c>
      <c r="E162" s="144">
        <v>9435.9000000000015</v>
      </c>
      <c r="F162" s="144">
        <f t="shared" si="35"/>
        <v>10857.87</v>
      </c>
      <c r="G162" s="9">
        <f>SUM(F161:F162)</f>
        <v>19466.550000000003</v>
      </c>
      <c r="H162" t="s">
        <v>413</v>
      </c>
      <c r="J162" s="144"/>
      <c r="K162" s="144"/>
      <c r="L162" s="144"/>
      <c r="M162" s="144"/>
    </row>
    <row r="163" spans="2:13" ht="16" thickBot="1" x14ac:dyDescent="0.25">
      <c r="D163" s="143">
        <f t="shared" ref="D163:E163" si="36">SUM(D161:D162)</f>
        <v>1421.9699999999998</v>
      </c>
      <c r="E163" s="143">
        <f t="shared" si="36"/>
        <v>18044.580000000002</v>
      </c>
      <c r="F163" s="143">
        <f>SUM(F161:F162)</f>
        <v>19466.550000000003</v>
      </c>
      <c r="G163" s="143">
        <f>SUM(G161:G162)</f>
        <v>19466.550000000003</v>
      </c>
    </row>
    <row r="164" spans="2:13" x14ac:dyDescent="0.2">
      <c r="B164" s="1">
        <v>7011</v>
      </c>
      <c r="E164" s="134" t="s">
        <v>342</v>
      </c>
      <c r="F164" s="26">
        <f>VLOOKUP(B164,$A:$Q,$O$2,FALSE)</f>
        <v>19466.55</v>
      </c>
    </row>
    <row r="165" spans="2:13" x14ac:dyDescent="0.2">
      <c r="E165" s="134" t="s">
        <v>395</v>
      </c>
      <c r="F165" s="26">
        <f>F163-F164</f>
        <v>0</v>
      </c>
    </row>
    <row r="166" spans="2:13" x14ac:dyDescent="0.2">
      <c r="C166" s="452" t="s">
        <v>185</v>
      </c>
      <c r="E166" s="144"/>
    </row>
    <row r="167" spans="2:13" x14ac:dyDescent="0.2">
      <c r="C167" t="s">
        <v>752</v>
      </c>
      <c r="D167" s="144"/>
      <c r="E167" s="144">
        <v>-8600.81</v>
      </c>
      <c r="F167" s="144">
        <f t="shared" ref="F167:F169" si="37">SUM(D167:E167)</f>
        <v>-8600.81</v>
      </c>
      <c r="G167" s="9"/>
    </row>
    <row r="168" spans="2:13" x14ac:dyDescent="0.2">
      <c r="C168" t="s">
        <v>753</v>
      </c>
      <c r="D168" s="144"/>
      <c r="E168" s="144">
        <v>2079.7199999999998</v>
      </c>
      <c r="F168" s="144">
        <f t="shared" si="37"/>
        <v>2079.7199999999998</v>
      </c>
      <c r="G168" s="9"/>
    </row>
    <row r="169" spans="2:13" x14ac:dyDescent="0.2">
      <c r="C169" t="s">
        <v>754</v>
      </c>
      <c r="D169" s="144"/>
      <c r="E169" s="144">
        <v>88.39</v>
      </c>
      <c r="F169" s="144">
        <f t="shared" si="37"/>
        <v>88.39</v>
      </c>
      <c r="G169" s="9">
        <f>SUM(F167:F169)</f>
        <v>-6432.7</v>
      </c>
      <c r="H169" t="s">
        <v>755</v>
      </c>
    </row>
    <row r="170" spans="2:13" ht="16" thickBot="1" x14ac:dyDescent="0.25">
      <c r="D170" s="143">
        <f t="shared" ref="D170:E170" si="38">SUM(D167:D169)</f>
        <v>0</v>
      </c>
      <c r="E170" s="143">
        <f t="shared" si="38"/>
        <v>-6432.7</v>
      </c>
      <c r="F170" s="143">
        <f>SUM(F167:F169)</f>
        <v>-6432.7</v>
      </c>
      <c r="G170" s="143">
        <f>SUM(G167:G169)</f>
        <v>-6432.7</v>
      </c>
    </row>
    <row r="171" spans="2:13" x14ac:dyDescent="0.2">
      <c r="B171" s="1">
        <v>7011</v>
      </c>
      <c r="E171" s="134" t="s">
        <v>342</v>
      </c>
      <c r="F171" s="26">
        <f>VLOOKUP(B171,$A:$Q,$O$2,FALSE)</f>
        <v>19466.55</v>
      </c>
    </row>
    <row r="172" spans="2:13" x14ac:dyDescent="0.2">
      <c r="E172" s="134" t="s">
        <v>395</v>
      </c>
      <c r="F172" s="26">
        <f>F170-F171</f>
        <v>-25899.25</v>
      </c>
    </row>
    <row r="175" spans="2:13" x14ac:dyDescent="0.2">
      <c r="C175" s="30" t="s">
        <v>699</v>
      </c>
    </row>
    <row r="176" spans="2:13" x14ac:dyDescent="0.2">
      <c r="C176" t="s">
        <v>700</v>
      </c>
      <c r="D176" s="437">
        <f>-O90</f>
        <v>-83923.16</v>
      </c>
    </row>
    <row r="177" spans="3:4" x14ac:dyDescent="0.2">
      <c r="C177" t="s">
        <v>701</v>
      </c>
      <c r="D177" s="437">
        <v>-97945.5</v>
      </c>
    </row>
  </sheetData>
  <autoFilter ref="A4:O97" xr:uid="{00000000-0009-0000-0000-000013000000}"/>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M60"/>
  <sheetViews>
    <sheetView topLeftCell="B1" zoomScaleNormal="100" zoomScaleSheetLayoutView="100" workbookViewId="0">
      <selection activeCell="J21" sqref="J21"/>
    </sheetView>
  </sheetViews>
  <sheetFormatPr baseColWidth="10" defaultColWidth="9.1640625" defaultRowHeight="15" outlineLevelRow="1" outlineLevelCol="1" x14ac:dyDescent="0.2"/>
  <cols>
    <col min="1" max="1" width="9.1640625" style="1" hidden="1" customWidth="1" outlineLevel="1"/>
    <col min="2" max="2" width="6.5" style="1" customWidth="1" collapsed="1"/>
    <col min="3" max="3" width="21.5" style="1" customWidth="1"/>
    <col min="4" max="5" width="9.1640625" style="33" customWidth="1"/>
    <col min="6" max="6" width="11.6640625" style="1" customWidth="1"/>
    <col min="7" max="7" width="1.6640625" style="324" customWidth="1"/>
    <col min="8" max="8" width="11.6640625" style="1" customWidth="1"/>
    <col min="9" max="9" width="2.6640625" style="324" customWidth="1"/>
    <col min="10" max="10" width="11.6640625" style="1" customWidth="1"/>
    <col min="11" max="11" width="1.6640625" style="324" customWidth="1"/>
    <col min="12" max="12" width="11.6640625" style="1" customWidth="1"/>
    <col min="13" max="13" width="2.6640625" style="324" customWidth="1"/>
    <col min="14" max="16384" width="9.1640625" style="1"/>
  </cols>
  <sheetData>
    <row r="1" spans="2:13" ht="15" customHeight="1" x14ac:dyDescent="0.2">
      <c r="B1" s="279" t="str">
        <f>'Consolidated SOFA'!B1</f>
        <v>SCI FOUNDATION</v>
      </c>
      <c r="C1" s="279"/>
      <c r="D1" s="280"/>
      <c r="E1" s="280"/>
      <c r="F1" s="279"/>
      <c r="G1" s="321"/>
      <c r="H1" s="322"/>
      <c r="I1" s="323"/>
      <c r="J1" s="279"/>
      <c r="K1" s="321"/>
      <c r="L1" s="322"/>
      <c r="M1" s="323"/>
    </row>
    <row r="2" spans="2:13" ht="15" customHeight="1" x14ac:dyDescent="0.2">
      <c r="B2" s="279"/>
      <c r="C2" s="279"/>
    </row>
    <row r="3" spans="2:13" ht="15" customHeight="1" x14ac:dyDescent="0.2">
      <c r="B3" s="279" t="s">
        <v>557</v>
      </c>
      <c r="C3" s="279"/>
      <c r="D3" s="280"/>
      <c r="E3" s="280"/>
      <c r="F3" s="279"/>
      <c r="G3" s="323"/>
      <c r="H3" s="279"/>
      <c r="I3" s="323"/>
      <c r="J3" s="279"/>
      <c r="K3" s="323"/>
      <c r="L3" s="279"/>
      <c r="M3" s="323"/>
    </row>
    <row r="4" spans="2:13" ht="15" customHeight="1" x14ac:dyDescent="0.2">
      <c r="B4" s="279"/>
      <c r="C4" s="279"/>
    </row>
    <row r="5" spans="2:13" ht="15" customHeight="1" x14ac:dyDescent="0.2">
      <c r="B5" s="279" t="s">
        <v>691</v>
      </c>
      <c r="C5" s="279"/>
      <c r="D5" s="280"/>
      <c r="E5" s="280"/>
      <c r="F5" s="279"/>
      <c r="G5" s="323"/>
      <c r="H5" s="279"/>
      <c r="I5" s="323"/>
      <c r="J5" s="279"/>
      <c r="K5" s="323"/>
      <c r="L5" s="279"/>
      <c r="M5" s="323"/>
    </row>
    <row r="6" spans="2:13" ht="15" customHeight="1" x14ac:dyDescent="0.2">
      <c r="B6" s="325"/>
      <c r="C6" s="325"/>
      <c r="D6" s="326"/>
      <c r="E6" s="326"/>
      <c r="F6" s="324"/>
      <c r="H6" s="324"/>
      <c r="J6" s="324"/>
      <c r="L6" s="324"/>
    </row>
    <row r="7" spans="2:13" ht="15" customHeight="1" x14ac:dyDescent="0.2">
      <c r="B7" s="287"/>
      <c r="C7" s="287"/>
      <c r="D7" s="35"/>
      <c r="E7" s="35"/>
      <c r="F7" s="327"/>
      <c r="G7" s="327"/>
      <c r="H7" s="327"/>
      <c r="I7" s="327"/>
      <c r="J7" s="327"/>
      <c r="K7" s="327"/>
      <c r="L7" s="327"/>
      <c r="M7" s="327"/>
    </row>
    <row r="8" spans="2:13" ht="15" customHeight="1" x14ac:dyDescent="0.2">
      <c r="B8" s="279"/>
      <c r="C8" s="279"/>
      <c r="D8" s="280"/>
      <c r="E8" s="280"/>
      <c r="F8" s="472">
        <v>2021</v>
      </c>
      <c r="G8" s="472"/>
      <c r="H8" s="472"/>
      <c r="I8" s="328"/>
      <c r="J8" s="472">
        <v>2020</v>
      </c>
      <c r="K8" s="472"/>
      <c r="L8" s="472"/>
      <c r="M8" s="328"/>
    </row>
    <row r="9" spans="2:13" ht="15" customHeight="1" x14ac:dyDescent="0.2">
      <c r="B9" s="283"/>
      <c r="C9" s="283"/>
      <c r="D9" s="280" t="s">
        <v>532</v>
      </c>
      <c r="E9" s="280"/>
      <c r="F9" s="280" t="s">
        <v>363</v>
      </c>
      <c r="G9" s="328"/>
      <c r="H9" s="280" t="s">
        <v>363</v>
      </c>
      <c r="I9" s="328"/>
      <c r="J9" s="280" t="s">
        <v>363</v>
      </c>
      <c r="K9" s="328"/>
      <c r="L9" s="280" t="s">
        <v>363</v>
      </c>
      <c r="M9" s="328"/>
    </row>
    <row r="10" spans="2:13" ht="15" customHeight="1" x14ac:dyDescent="0.2">
      <c r="B10" s="446" t="s">
        <v>732</v>
      </c>
      <c r="C10" s="283"/>
      <c r="D10" s="435"/>
      <c r="E10" s="435"/>
      <c r="F10" s="435"/>
      <c r="G10" s="434"/>
      <c r="H10" s="435"/>
      <c r="I10" s="434"/>
      <c r="J10" s="435"/>
      <c r="K10" s="434"/>
      <c r="L10" s="435"/>
      <c r="M10" s="434"/>
    </row>
    <row r="11" spans="2:13" ht="4.5" customHeight="1" x14ac:dyDescent="0.2">
      <c r="B11" s="279"/>
      <c r="C11" s="279"/>
      <c r="D11" s="329"/>
      <c r="E11" s="284"/>
      <c r="F11" s="276"/>
      <c r="G11" s="330"/>
      <c r="H11" s="276"/>
      <c r="I11" s="330"/>
      <c r="J11" s="276"/>
      <c r="K11" s="330"/>
      <c r="L11" s="276"/>
      <c r="M11" s="330"/>
    </row>
    <row r="12" spans="2:13" ht="15" customHeight="1" x14ac:dyDescent="0.2">
      <c r="B12" s="283" t="s">
        <v>500</v>
      </c>
      <c r="C12" s="283"/>
      <c r="D12" s="284">
        <v>9</v>
      </c>
      <c r="E12" s="435"/>
      <c r="F12" s="331"/>
      <c r="G12" s="434"/>
      <c r="H12" s="331">
        <f>'Note 7, 8, 9, 10, 11'!D41</f>
        <v>2980938</v>
      </c>
      <c r="I12" s="434"/>
      <c r="J12" s="435"/>
      <c r="K12" s="434"/>
      <c r="L12" s="331">
        <f>'Note 7, 8, 9, 10, 11'!F41</f>
        <v>0</v>
      </c>
      <c r="M12" s="434"/>
    </row>
    <row r="13" spans="2:13" ht="15" customHeight="1" x14ac:dyDescent="0.2">
      <c r="B13" s="283"/>
      <c r="C13" s="283"/>
      <c r="D13" s="435"/>
      <c r="E13" s="435"/>
      <c r="F13" s="435"/>
      <c r="G13" s="434"/>
      <c r="H13" s="435"/>
      <c r="I13" s="434"/>
      <c r="J13" s="435"/>
      <c r="K13" s="434"/>
      <c r="L13" s="435"/>
      <c r="M13" s="434"/>
    </row>
    <row r="14" spans="2:13" ht="15" customHeight="1" x14ac:dyDescent="0.2">
      <c r="B14" s="279" t="s">
        <v>558</v>
      </c>
      <c r="C14" s="279"/>
      <c r="D14" s="329"/>
      <c r="E14" s="284"/>
      <c r="F14" s="276"/>
      <c r="G14" s="330"/>
      <c r="H14" s="330"/>
      <c r="I14" s="330"/>
      <c r="J14" s="276"/>
      <c r="K14" s="330"/>
      <c r="L14" s="330"/>
      <c r="M14" s="330"/>
    </row>
    <row r="15" spans="2:13" ht="4.5" customHeight="1" x14ac:dyDescent="0.2">
      <c r="B15" s="279"/>
      <c r="C15" s="279"/>
      <c r="D15" s="329"/>
      <c r="E15" s="284"/>
      <c r="F15" s="276"/>
      <c r="G15" s="330"/>
      <c r="H15" s="276"/>
      <c r="I15" s="330"/>
      <c r="J15" s="276"/>
      <c r="K15" s="330"/>
      <c r="L15" s="276"/>
      <c r="M15" s="330"/>
    </row>
    <row r="16" spans="2:13" ht="15" customHeight="1" x14ac:dyDescent="0.2">
      <c r="B16" s="283" t="s">
        <v>559</v>
      </c>
      <c r="C16" s="283"/>
      <c r="D16" s="329">
        <v>12</v>
      </c>
      <c r="E16" s="284"/>
      <c r="F16" s="331">
        <f>'Note 12, 13, 14, 15'!L22</f>
        <v>2291983.9099999997</v>
      </c>
      <c r="G16" s="330"/>
      <c r="H16" s="276"/>
      <c r="I16" s="330"/>
      <c r="J16" s="331">
        <f>'Note 12, 13, 14, 15'!N22</f>
        <v>7298055.5000000009</v>
      </c>
      <c r="K16" s="330"/>
      <c r="L16" s="276"/>
      <c r="M16" s="330"/>
    </row>
    <row r="17" spans="1:13" ht="15" hidden="1" customHeight="1" outlineLevel="1" x14ac:dyDescent="0.2">
      <c r="A17" s="305">
        <v>1700</v>
      </c>
      <c r="B17" s="306" t="str">
        <f>VLOOKUP($A17,TB!$A:$E,3,FALSE)</f>
        <v>Current Account GBP</v>
      </c>
      <c r="C17" s="306"/>
      <c r="D17" s="307"/>
      <c r="E17" s="306"/>
      <c r="F17" s="308">
        <f>VLOOKUP($A17,TB!$A:$E,5,FALSE)</f>
        <v>3043415.25</v>
      </c>
      <c r="G17" s="332"/>
      <c r="H17" s="332"/>
      <c r="I17" s="332"/>
      <c r="J17" s="308">
        <v>559312.59</v>
      </c>
      <c r="K17" s="332"/>
      <c r="L17" s="332"/>
      <c r="M17" s="332"/>
    </row>
    <row r="18" spans="1:13" ht="15" hidden="1" customHeight="1" outlineLevel="1" x14ac:dyDescent="0.2">
      <c r="A18" s="305">
        <v>1701</v>
      </c>
      <c r="B18" s="306" t="str">
        <f>VLOOKUP($A18,TB!$A:$E,3,FALSE)</f>
        <v>Current Account USD</v>
      </c>
      <c r="C18" s="306"/>
      <c r="D18" s="307"/>
      <c r="E18" s="306"/>
      <c r="F18" s="308">
        <f>VLOOKUP($A18,TB!$A:$E,5,FALSE)</f>
        <v>25774.86</v>
      </c>
      <c r="G18" s="332"/>
      <c r="H18" s="332"/>
      <c r="I18" s="332"/>
      <c r="J18" s="308">
        <v>818357.4</v>
      </c>
      <c r="K18" s="332"/>
      <c r="L18" s="332"/>
      <c r="M18" s="332"/>
    </row>
    <row r="19" spans="1:13" ht="15" hidden="1" customHeight="1" outlineLevel="1" x14ac:dyDescent="0.2">
      <c r="A19" s="305">
        <v>1702</v>
      </c>
      <c r="B19" s="306" t="str">
        <f>VLOOKUP($A19,TB!$A:$E,3,FALSE)</f>
        <v>Debit Card Bank Account</v>
      </c>
      <c r="C19" s="306"/>
      <c r="D19" s="307"/>
      <c r="E19" s="306"/>
      <c r="F19" s="308">
        <f>VLOOKUP($A19,TB!$A:$E,5,FALSE)</f>
        <v>1364.93</v>
      </c>
      <c r="G19" s="332"/>
      <c r="H19" s="332"/>
      <c r="I19" s="332"/>
      <c r="J19" s="308">
        <v>0</v>
      </c>
      <c r="K19" s="332"/>
      <c r="L19" s="332"/>
      <c r="M19" s="332"/>
    </row>
    <row r="20" spans="1:13" ht="15" hidden="1" customHeight="1" outlineLevel="1" x14ac:dyDescent="0.2">
      <c r="A20" s="305">
        <v>1703</v>
      </c>
      <c r="B20" s="306" t="str">
        <f>VLOOKUP($A20,TB!$A:$E,3,FALSE)</f>
        <v>Current Account EUR</v>
      </c>
      <c r="C20" s="306"/>
      <c r="D20" s="307"/>
      <c r="E20" s="306"/>
      <c r="F20" s="308">
        <f>VLOOKUP($A20,TB!$A:$E,5,FALSE)</f>
        <v>0</v>
      </c>
      <c r="G20" s="332"/>
      <c r="H20" s="332"/>
      <c r="I20" s="332"/>
      <c r="J20" s="308">
        <v>0</v>
      </c>
      <c r="K20" s="332"/>
      <c r="L20" s="332"/>
      <c r="M20" s="332"/>
    </row>
    <row r="21" spans="1:13" ht="15" hidden="1" customHeight="1" outlineLevel="1" x14ac:dyDescent="0.2">
      <c r="A21" s="305">
        <v>1705</v>
      </c>
      <c r="B21" s="306" t="str">
        <f>VLOOKUP($A21,TB!$A:$E,3,FALSE)</f>
        <v>Bank Deposit Account BPA</v>
      </c>
      <c r="C21" s="306"/>
      <c r="D21" s="307"/>
      <c r="E21" s="306"/>
      <c r="F21" s="308">
        <f>VLOOKUP($A21,TB!$A:$E,5,FALSE)</f>
        <v>12512196.779999999</v>
      </c>
      <c r="G21" s="332"/>
      <c r="H21" s="332"/>
      <c r="I21" s="332"/>
      <c r="J21" s="308">
        <v>12509534.25</v>
      </c>
      <c r="K21" s="332"/>
      <c r="L21" s="332"/>
      <c r="M21" s="332"/>
    </row>
    <row r="22" spans="1:13" ht="15" customHeight="1" collapsed="1" x14ac:dyDescent="0.2">
      <c r="B22" s="283" t="s">
        <v>560</v>
      </c>
      <c r="C22" s="283"/>
      <c r="D22" s="329"/>
      <c r="E22" s="284"/>
      <c r="F22" s="331">
        <f>SUM(F17:F21)</f>
        <v>15582751.82</v>
      </c>
      <c r="G22" s="330"/>
      <c r="H22" s="276"/>
      <c r="I22" s="330"/>
      <c r="J22" s="331">
        <f>SUM(J17:J21)</f>
        <v>13887204.24</v>
      </c>
      <c r="K22" s="330"/>
      <c r="L22" s="276"/>
      <c r="M22" s="330"/>
    </row>
    <row r="23" spans="1:13" ht="15" customHeight="1" x14ac:dyDescent="0.2">
      <c r="B23" s="283"/>
      <c r="C23" s="283"/>
      <c r="D23" s="293"/>
      <c r="E23" s="280"/>
      <c r="F23" s="277">
        <f>SUM(F16:F16,F22)</f>
        <v>17874735.73</v>
      </c>
      <c r="G23" s="330"/>
      <c r="H23" s="276"/>
      <c r="I23" s="330"/>
      <c r="J23" s="277">
        <f>SUM(J16:J16,J22)</f>
        <v>21185259.740000002</v>
      </c>
      <c r="K23" s="330"/>
      <c r="L23" s="276"/>
      <c r="M23" s="330"/>
    </row>
    <row r="24" spans="1:13" ht="15" customHeight="1" x14ac:dyDescent="0.2">
      <c r="B24" s="283"/>
      <c r="C24" s="283"/>
      <c r="D24" s="293"/>
      <c r="E24" s="280"/>
      <c r="F24" s="330"/>
      <c r="G24" s="330"/>
      <c r="H24" s="276"/>
      <c r="I24" s="330"/>
      <c r="J24" s="330"/>
      <c r="K24" s="330"/>
      <c r="L24" s="276"/>
      <c r="M24" s="330"/>
    </row>
    <row r="25" spans="1:13" ht="15" customHeight="1" x14ac:dyDescent="0.2">
      <c r="B25" s="279" t="s">
        <v>561</v>
      </c>
      <c r="C25" s="335"/>
      <c r="D25" s="329">
        <v>13</v>
      </c>
      <c r="E25" s="284"/>
      <c r="F25" s="336">
        <f>-'Note 12, 13, 14, 15'!L44</f>
        <v>-401353.1</v>
      </c>
      <c r="G25" s="330"/>
      <c r="H25" s="276"/>
      <c r="I25" s="330"/>
      <c r="J25" s="336">
        <f>-'Note 12, 13, 14, 15'!N44</f>
        <v>-361351.73</v>
      </c>
      <c r="K25" s="330"/>
      <c r="L25" s="276"/>
      <c r="M25" s="330"/>
    </row>
    <row r="26" spans="1:13" ht="15" customHeight="1" x14ac:dyDescent="0.2">
      <c r="B26" s="279" t="s">
        <v>562</v>
      </c>
      <c r="C26" s="335"/>
      <c r="D26" s="329"/>
      <c r="E26" s="284"/>
      <c r="F26" s="276"/>
      <c r="G26" s="330"/>
      <c r="H26" s="337"/>
      <c r="I26" s="330"/>
      <c r="J26" s="276"/>
      <c r="K26" s="330"/>
      <c r="L26" s="337"/>
      <c r="M26" s="330"/>
    </row>
    <row r="27" spans="1:13" ht="5.25" customHeight="1" x14ac:dyDescent="0.2">
      <c r="B27" s="279"/>
      <c r="C27" s="279"/>
      <c r="D27" s="329"/>
      <c r="E27" s="284"/>
      <c r="F27" s="276"/>
      <c r="G27" s="330"/>
      <c r="H27" s="276"/>
      <c r="I27" s="330"/>
      <c r="J27" s="276"/>
      <c r="K27" s="330"/>
      <c r="L27" s="276"/>
      <c r="M27" s="330"/>
    </row>
    <row r="28" spans="1:13" ht="15" customHeight="1" x14ac:dyDescent="0.2">
      <c r="B28" s="279" t="s">
        <v>563</v>
      </c>
      <c r="C28" s="279"/>
      <c r="D28" s="293"/>
      <c r="E28" s="280"/>
      <c r="F28" s="338"/>
      <c r="G28" s="339"/>
      <c r="H28" s="336">
        <f>F23+F25</f>
        <v>17473382.629999999</v>
      </c>
      <c r="I28" s="330"/>
      <c r="J28" s="338"/>
      <c r="K28" s="339"/>
      <c r="L28" s="336">
        <f>J23+J25</f>
        <v>20823908.010000002</v>
      </c>
      <c r="M28" s="330"/>
    </row>
    <row r="29" spans="1:13" ht="15" customHeight="1" x14ac:dyDescent="0.2">
      <c r="B29" s="279"/>
      <c r="C29" s="279"/>
      <c r="D29" s="293"/>
      <c r="E29" s="280"/>
      <c r="F29" s="338"/>
      <c r="G29" s="339"/>
      <c r="H29" s="330"/>
      <c r="I29" s="330"/>
      <c r="J29" s="338"/>
      <c r="K29" s="339"/>
      <c r="L29" s="330"/>
      <c r="M29" s="330"/>
    </row>
    <row r="30" spans="1:13" ht="15" customHeight="1" x14ac:dyDescent="0.2">
      <c r="B30" s="279" t="s">
        <v>564</v>
      </c>
      <c r="C30" s="335"/>
      <c r="D30" s="293"/>
      <c r="E30" s="280"/>
      <c r="F30" s="276"/>
      <c r="G30" s="330"/>
      <c r="H30" s="276"/>
      <c r="I30" s="330"/>
      <c r="J30" s="276"/>
      <c r="K30" s="330"/>
      <c r="L30" s="276"/>
      <c r="M30" s="330"/>
    </row>
    <row r="31" spans="1:13" ht="15" customHeight="1" x14ac:dyDescent="0.2">
      <c r="B31" s="279" t="s">
        <v>565</v>
      </c>
      <c r="C31" s="335"/>
      <c r="D31" s="293"/>
      <c r="E31" s="280"/>
      <c r="F31" s="276"/>
      <c r="G31" s="330"/>
      <c r="H31" s="276">
        <f>H12+H28</f>
        <v>20454320.629999999</v>
      </c>
      <c r="I31" s="330"/>
      <c r="J31" s="276"/>
      <c r="K31" s="330"/>
      <c r="L31" s="276">
        <f>L12+L28</f>
        <v>20823908.010000002</v>
      </c>
      <c r="M31" s="330"/>
    </row>
    <row r="32" spans="1:13" ht="15" customHeight="1" x14ac:dyDescent="0.2">
      <c r="B32" s="279"/>
      <c r="C32" s="279"/>
      <c r="D32" s="329"/>
      <c r="E32" s="284"/>
      <c r="F32" s="276"/>
      <c r="G32" s="330"/>
      <c r="H32" s="276"/>
      <c r="I32" s="330"/>
      <c r="J32" s="276"/>
      <c r="K32" s="330"/>
      <c r="L32" s="276"/>
      <c r="M32" s="330"/>
    </row>
    <row r="33" spans="2:13" ht="15" customHeight="1" thickBot="1" x14ac:dyDescent="0.25">
      <c r="B33" s="279" t="s">
        <v>566</v>
      </c>
      <c r="C33" s="279"/>
      <c r="D33" s="293"/>
      <c r="E33" s="280"/>
      <c r="F33" s="276"/>
      <c r="G33" s="330"/>
      <c r="H33" s="340">
        <f>H31</f>
        <v>20454320.629999999</v>
      </c>
      <c r="I33" s="330"/>
      <c r="J33" s="276"/>
      <c r="K33" s="330"/>
      <c r="L33" s="340">
        <f>L31</f>
        <v>20823908.010000002</v>
      </c>
      <c r="M33" s="330"/>
    </row>
    <row r="34" spans="2:13" ht="15" customHeight="1" thickTop="1" x14ac:dyDescent="0.2">
      <c r="B34" s="279"/>
      <c r="C34" s="279"/>
      <c r="D34" s="293"/>
      <c r="E34" s="280"/>
      <c r="F34" s="276"/>
      <c r="G34" s="330"/>
      <c r="H34" s="330"/>
      <c r="I34" s="330"/>
      <c r="J34" s="276"/>
      <c r="K34" s="330"/>
      <c r="L34" s="330"/>
      <c r="M34" s="330"/>
    </row>
    <row r="35" spans="2:13" ht="15" customHeight="1" x14ac:dyDescent="0.2">
      <c r="B35" s="279" t="s">
        <v>567</v>
      </c>
      <c r="C35" s="279"/>
      <c r="D35" s="329">
        <v>14</v>
      </c>
      <c r="E35" s="284"/>
      <c r="F35" s="276"/>
      <c r="G35" s="330"/>
      <c r="H35" s="276"/>
      <c r="I35" s="330"/>
      <c r="J35" s="276"/>
      <c r="K35" s="330"/>
      <c r="L35" s="276"/>
      <c r="M35" s="330"/>
    </row>
    <row r="36" spans="2:13" ht="6" customHeight="1" x14ac:dyDescent="0.2">
      <c r="B36" s="279"/>
      <c r="C36" s="279"/>
      <c r="D36" s="293"/>
      <c r="E36" s="280"/>
      <c r="F36" s="276"/>
      <c r="G36" s="330"/>
      <c r="H36" s="276"/>
      <c r="I36" s="330"/>
      <c r="J36" s="276"/>
      <c r="K36" s="330"/>
      <c r="L36" s="276"/>
      <c r="M36" s="330"/>
    </row>
    <row r="37" spans="2:13" ht="15" customHeight="1" x14ac:dyDescent="0.2">
      <c r="B37" s="283" t="s">
        <v>568</v>
      </c>
      <c r="C37" s="283"/>
      <c r="D37" s="328"/>
      <c r="E37" s="280"/>
      <c r="F37" s="276"/>
      <c r="G37" s="330"/>
      <c r="H37" s="276">
        <f>'Consolidated SOFA'!H52</f>
        <v>0</v>
      </c>
      <c r="I37" s="330"/>
      <c r="J37" s="276"/>
      <c r="K37" s="330"/>
      <c r="L37" s="331">
        <f>'Consolidated SOFA'!N52</f>
        <v>0</v>
      </c>
      <c r="M37" s="330"/>
    </row>
    <row r="38" spans="2:13" ht="5.25" customHeight="1" x14ac:dyDescent="0.2">
      <c r="B38" s="279"/>
      <c r="C38" s="279"/>
      <c r="D38" s="280"/>
      <c r="E38" s="280"/>
      <c r="F38" s="276"/>
      <c r="G38" s="330"/>
      <c r="H38" s="276"/>
      <c r="I38" s="330"/>
      <c r="J38" s="276"/>
      <c r="K38" s="330"/>
      <c r="L38" s="276"/>
      <c r="M38" s="330"/>
    </row>
    <row r="39" spans="2:13" ht="15" customHeight="1" x14ac:dyDescent="0.2">
      <c r="B39" s="283" t="s">
        <v>569</v>
      </c>
      <c r="C39" s="283"/>
      <c r="D39" s="280"/>
      <c r="E39" s="280"/>
      <c r="F39" s="276"/>
      <c r="G39" s="330"/>
      <c r="H39" s="276"/>
      <c r="I39" s="330"/>
      <c r="J39" s="276"/>
      <c r="K39" s="330"/>
      <c r="L39" s="276"/>
      <c r="M39" s="330"/>
    </row>
    <row r="40" spans="2:13" ht="15" customHeight="1" x14ac:dyDescent="0.2">
      <c r="C40" s="283" t="s">
        <v>527</v>
      </c>
      <c r="D40" s="284"/>
      <c r="E40" s="284"/>
      <c r="F40" s="276"/>
      <c r="G40" s="330"/>
      <c r="H40" s="331">
        <f>'Note 12, 13, 14, 15'!N49</f>
        <v>17671179.93</v>
      </c>
      <c r="I40" s="330"/>
      <c r="J40" s="276"/>
      <c r="K40" s="330"/>
      <c r="L40" s="331">
        <f>'Note 12, 13, 14, 15'!N60</f>
        <v>17671179.93</v>
      </c>
      <c r="M40" s="330"/>
    </row>
    <row r="41" spans="2:13" ht="15" customHeight="1" x14ac:dyDescent="0.2">
      <c r="C41" s="283" t="s">
        <v>570</v>
      </c>
      <c r="D41" s="284"/>
      <c r="E41" s="284"/>
      <c r="F41" s="276"/>
      <c r="G41" s="330"/>
      <c r="H41" s="276">
        <f>'Note 12, 13, 14, 15'!N50</f>
        <v>2783140.7000000007</v>
      </c>
      <c r="I41" s="330"/>
      <c r="J41" s="276"/>
      <c r="K41" s="330"/>
      <c r="L41" s="276">
        <f>'Note 12, 13, 14, 15'!N61</f>
        <v>3152728.08</v>
      </c>
      <c r="M41" s="330"/>
    </row>
    <row r="42" spans="2:13" ht="15" customHeight="1" x14ac:dyDescent="0.2">
      <c r="B42" s="279"/>
      <c r="C42" s="279"/>
      <c r="D42" s="280"/>
      <c r="E42" s="280"/>
      <c r="F42" s="276"/>
      <c r="G42" s="330"/>
      <c r="H42" s="278">
        <f>SUM(H40:H41)</f>
        <v>20454320.629999999</v>
      </c>
      <c r="I42" s="330"/>
      <c r="J42" s="276"/>
      <c r="K42" s="330"/>
      <c r="L42" s="278">
        <f>SUM(L40:L41)</f>
        <v>20823908.009999998</v>
      </c>
      <c r="M42" s="330"/>
    </row>
    <row r="43" spans="2:13" ht="15" customHeight="1" x14ac:dyDescent="0.2">
      <c r="B43" s="279"/>
      <c r="C43" s="279"/>
      <c r="D43" s="280"/>
      <c r="E43" s="280"/>
      <c r="F43" s="276"/>
      <c r="G43" s="330"/>
      <c r="H43" s="330"/>
      <c r="I43" s="330"/>
      <c r="J43" s="276"/>
      <c r="K43" s="330"/>
      <c r="L43" s="330"/>
      <c r="M43" s="330"/>
    </row>
    <row r="44" spans="2:13" ht="15" customHeight="1" thickBot="1" x14ac:dyDescent="0.25">
      <c r="B44" s="279"/>
      <c r="C44" s="279"/>
      <c r="D44" s="280"/>
      <c r="E44" s="280"/>
      <c r="F44" s="276"/>
      <c r="G44" s="330"/>
      <c r="H44" s="340">
        <f>H42+H37</f>
        <v>20454320.629999999</v>
      </c>
      <c r="I44" s="330"/>
      <c r="J44" s="276"/>
      <c r="K44" s="330"/>
      <c r="L44" s="340">
        <f>L42+L37</f>
        <v>20823908.009999998</v>
      </c>
      <c r="M44" s="330"/>
    </row>
    <row r="45" spans="2:13" ht="15" customHeight="1" thickTop="1" x14ac:dyDescent="0.2">
      <c r="B45" s="283"/>
      <c r="C45" s="283"/>
    </row>
    <row r="46" spans="2:13" ht="15" customHeight="1" x14ac:dyDescent="0.2">
      <c r="B46" s="283"/>
      <c r="C46" s="283"/>
    </row>
    <row r="47" spans="2:13" ht="15" customHeight="1" x14ac:dyDescent="0.2">
      <c r="B47" s="283"/>
      <c r="C47" s="283"/>
    </row>
    <row r="48" spans="2:13" ht="15" customHeight="1" x14ac:dyDescent="0.2">
      <c r="B48" s="473" t="s">
        <v>571</v>
      </c>
      <c r="C48" s="473"/>
      <c r="D48" s="473"/>
      <c r="E48" s="473"/>
      <c r="F48" s="473"/>
      <c r="G48" s="473"/>
      <c r="H48" s="473"/>
      <c r="I48" s="473"/>
      <c r="K48" s="1"/>
      <c r="M48" s="1"/>
    </row>
    <row r="49" spans="2:13" ht="24.75" customHeight="1" x14ac:dyDescent="0.2">
      <c r="B49" s="473"/>
      <c r="C49" s="473"/>
      <c r="D49" s="473"/>
      <c r="E49" s="473"/>
      <c r="F49" s="473"/>
      <c r="G49" s="473"/>
      <c r="H49" s="473"/>
      <c r="I49" s="473"/>
      <c r="K49" s="1"/>
      <c r="M49" s="1"/>
    </row>
    <row r="50" spans="2:13" ht="15" customHeight="1" x14ac:dyDescent="0.2">
      <c r="B50" s="283"/>
      <c r="C50" s="283"/>
    </row>
    <row r="51" spans="2:13" ht="15" customHeight="1" x14ac:dyDescent="0.2">
      <c r="B51" s="283"/>
      <c r="C51" s="283"/>
    </row>
    <row r="52" spans="2:13" ht="15" customHeight="1" x14ac:dyDescent="0.2">
      <c r="B52" s="283"/>
      <c r="C52" s="283"/>
    </row>
    <row r="53" spans="2:13" ht="15" customHeight="1" x14ac:dyDescent="0.2">
      <c r="B53" s="283"/>
      <c r="C53" s="283"/>
      <c r="I53" s="287"/>
      <c r="M53" s="287"/>
    </row>
    <row r="54" spans="2:13" ht="15" customHeight="1" x14ac:dyDescent="0.2">
      <c r="B54" s="283" t="s">
        <v>572</v>
      </c>
      <c r="C54" s="283"/>
      <c r="H54" s="283"/>
      <c r="I54" s="287"/>
      <c r="L54" s="283"/>
      <c r="M54" s="287"/>
    </row>
    <row r="55" spans="2:13" ht="15" customHeight="1" x14ac:dyDescent="0.2">
      <c r="C55" s="283"/>
    </row>
    <row r="56" spans="2:13" ht="15" customHeight="1" x14ac:dyDescent="0.2">
      <c r="C56" s="283"/>
    </row>
    <row r="57" spans="2:13" ht="15" customHeight="1" x14ac:dyDescent="0.2"/>
    <row r="58" spans="2:13" x14ac:dyDescent="0.2">
      <c r="G58" s="453" t="s">
        <v>749</v>
      </c>
      <c r="H58" s="299">
        <f>H33-H44</f>
        <v>0</v>
      </c>
      <c r="I58" s="456"/>
      <c r="J58" s="457"/>
      <c r="K58" s="456"/>
      <c r="L58" s="299">
        <f>L33-L44</f>
        <v>0</v>
      </c>
    </row>
    <row r="59" spans="2:13" x14ac:dyDescent="0.2">
      <c r="G59" s="316" t="s">
        <v>556</v>
      </c>
      <c r="H59" s="319">
        <v>20454320.630000003</v>
      </c>
      <c r="K59" s="316"/>
      <c r="L59" s="319">
        <f>20807908.01+16000</f>
        <v>20823908.010000002</v>
      </c>
    </row>
    <row r="60" spans="2:13" x14ac:dyDescent="0.2">
      <c r="G60" s="318" t="s">
        <v>395</v>
      </c>
      <c r="H60" s="299">
        <f>H44-H59</f>
        <v>0</v>
      </c>
      <c r="I60" s="456"/>
      <c r="J60" s="457"/>
      <c r="K60" s="461"/>
      <c r="L60" s="299">
        <f>L44-L59</f>
        <v>0</v>
      </c>
    </row>
  </sheetData>
  <mergeCells count="3">
    <mergeCell ref="F8:H8"/>
    <mergeCell ref="B48:I49"/>
    <mergeCell ref="J8:L8"/>
  </mergeCells>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J40"/>
  <sheetViews>
    <sheetView zoomScaleNormal="100" workbookViewId="0">
      <selection activeCell="J21" sqref="J21"/>
    </sheetView>
  </sheetViews>
  <sheetFormatPr baseColWidth="10" defaultColWidth="9.1640625" defaultRowHeight="12" x14ac:dyDescent="0.15"/>
  <cols>
    <col min="1" max="1" width="35.6640625" style="283" customWidth="1"/>
    <col min="2" max="2" width="5.83203125" style="284" customWidth="1"/>
    <col min="3" max="3" width="10.6640625" style="284" customWidth="1"/>
    <col min="4" max="4" width="1.6640625" style="329" customWidth="1"/>
    <col min="5" max="5" width="11.6640625" style="284" customWidth="1"/>
    <col min="6" max="6" width="1.6640625" style="329" customWidth="1"/>
    <col min="7" max="7" width="10.6640625" style="284" customWidth="1"/>
    <col min="8" max="8" width="1.6640625" style="329" customWidth="1"/>
    <col min="9" max="9" width="11.6640625" style="284" customWidth="1"/>
    <col min="10" max="10" width="1.6640625" style="329" customWidth="1"/>
    <col min="11" max="16384" width="9.1640625" style="283"/>
  </cols>
  <sheetData>
    <row r="1" spans="1:10" ht="15" customHeight="1" x14ac:dyDescent="0.15">
      <c r="A1" s="279" t="str">
        <f>'Consolidated SOFA'!B1</f>
        <v>SCI FOUNDATION</v>
      </c>
      <c r="B1" s="280"/>
      <c r="C1" s="280"/>
      <c r="D1" s="293"/>
      <c r="E1" s="341"/>
      <c r="F1" s="293"/>
      <c r="G1" s="280"/>
      <c r="H1" s="293"/>
      <c r="I1" s="341"/>
      <c r="J1" s="293"/>
    </row>
    <row r="2" spans="1:10" ht="15" customHeight="1" x14ac:dyDescent="0.15">
      <c r="A2" s="279"/>
    </row>
    <row r="3" spans="1:10" ht="15" customHeight="1" x14ac:dyDescent="0.15">
      <c r="A3" s="279" t="s">
        <v>573</v>
      </c>
      <c r="B3" s="280"/>
      <c r="C3" s="280"/>
      <c r="D3" s="293"/>
      <c r="E3" s="280"/>
      <c r="F3" s="293"/>
      <c r="G3" s="280"/>
      <c r="H3" s="293"/>
      <c r="I3" s="280"/>
      <c r="J3" s="293"/>
    </row>
    <row r="4" spans="1:10" ht="15" customHeight="1" x14ac:dyDescent="0.15">
      <c r="A4" s="279"/>
    </row>
    <row r="5" spans="1:10" ht="15" customHeight="1" x14ac:dyDescent="0.15">
      <c r="A5" s="279" t="s">
        <v>692</v>
      </c>
      <c r="B5" s="280"/>
      <c r="C5" s="280"/>
      <c r="D5" s="293"/>
      <c r="E5" s="280"/>
      <c r="F5" s="293"/>
      <c r="G5" s="280"/>
      <c r="H5" s="293"/>
      <c r="I5" s="280"/>
      <c r="J5" s="293"/>
    </row>
    <row r="6" spans="1:10" ht="15" customHeight="1" x14ac:dyDescent="0.15">
      <c r="A6" s="325"/>
      <c r="B6" s="342"/>
      <c r="C6" s="288"/>
      <c r="E6" s="288"/>
      <c r="G6" s="288"/>
      <c r="I6" s="288"/>
    </row>
    <row r="7" spans="1:10" ht="15" customHeight="1" x14ac:dyDescent="0.15">
      <c r="A7" s="287"/>
      <c r="B7" s="288"/>
      <c r="C7" s="290"/>
      <c r="D7" s="343"/>
      <c r="E7" s="290"/>
      <c r="F7" s="343"/>
      <c r="G7" s="290"/>
      <c r="H7" s="343"/>
      <c r="I7" s="290"/>
      <c r="J7" s="343"/>
    </row>
    <row r="8" spans="1:10" ht="15" customHeight="1" x14ac:dyDescent="0.15">
      <c r="A8" s="279"/>
      <c r="B8" s="280" t="s">
        <v>532</v>
      </c>
      <c r="C8" s="474">
        <v>2021</v>
      </c>
      <c r="D8" s="474"/>
      <c r="E8" s="474"/>
      <c r="F8" s="293"/>
      <c r="G8" s="474">
        <v>2020</v>
      </c>
      <c r="H8" s="474"/>
      <c r="I8" s="474"/>
      <c r="J8" s="293"/>
    </row>
    <row r="9" spans="1:10" ht="15" customHeight="1" x14ac:dyDescent="0.15">
      <c r="B9" s="292"/>
      <c r="C9" s="292" t="s">
        <v>363</v>
      </c>
      <c r="D9" s="293"/>
      <c r="E9" s="292" t="s">
        <v>363</v>
      </c>
      <c r="F9" s="293"/>
      <c r="G9" s="292" t="s">
        <v>363</v>
      </c>
      <c r="H9" s="293"/>
      <c r="I9" s="292" t="s">
        <v>363</v>
      </c>
      <c r="J9" s="293"/>
    </row>
    <row r="10" spans="1:10" ht="15" customHeight="1" x14ac:dyDescent="0.15">
      <c r="A10" s="279" t="s">
        <v>574</v>
      </c>
      <c r="B10" s="295">
        <v>20</v>
      </c>
      <c r="C10" s="333"/>
      <c r="D10" s="333"/>
      <c r="E10" s="344">
        <f>'Notes 16, 17, 18, 19, 20, 21'!G40</f>
        <v>4746572.4800000004</v>
      </c>
      <c r="F10" s="333"/>
      <c r="G10" s="333"/>
      <c r="H10" s="333"/>
      <c r="I10" s="344">
        <f>'Notes 16, 17, 18, 19, 20, 21'!I40</f>
        <v>13891069.57</v>
      </c>
      <c r="J10" s="333"/>
    </row>
    <row r="11" spans="1:10" ht="15" customHeight="1" x14ac:dyDescent="0.15">
      <c r="B11" s="295"/>
      <c r="C11" s="333"/>
      <c r="D11" s="333"/>
      <c r="E11" s="333"/>
      <c r="F11" s="333"/>
      <c r="G11" s="333"/>
      <c r="H11" s="333"/>
      <c r="I11" s="333"/>
      <c r="J11" s="333"/>
    </row>
    <row r="12" spans="1:10" ht="15" customHeight="1" x14ac:dyDescent="0.15">
      <c r="A12" s="279" t="s">
        <v>575</v>
      </c>
      <c r="B12" s="295" t="s">
        <v>319</v>
      </c>
      <c r="C12" s="333"/>
      <c r="D12" s="333"/>
      <c r="E12" s="333"/>
      <c r="F12" s="333"/>
      <c r="G12" s="333"/>
      <c r="H12" s="333"/>
      <c r="I12" s="333"/>
      <c r="J12" s="333"/>
    </row>
    <row r="13" spans="1:10" ht="15" customHeight="1" x14ac:dyDescent="0.15">
      <c r="A13" s="444" t="s">
        <v>733</v>
      </c>
      <c r="B13" s="295"/>
      <c r="C13" s="333">
        <f>'Note 2, 3, 4, 5'!H35</f>
        <v>45748.32</v>
      </c>
      <c r="D13" s="333"/>
      <c r="E13" s="333"/>
      <c r="F13" s="333"/>
      <c r="G13" s="333">
        <f>'Note 2, 3, 4, 5'!N37</f>
        <v>0</v>
      </c>
      <c r="H13" s="333"/>
      <c r="I13" s="333"/>
      <c r="J13" s="333"/>
    </row>
    <row r="14" spans="1:10" ht="15" customHeight="1" x14ac:dyDescent="0.15">
      <c r="A14" s="283" t="s">
        <v>576</v>
      </c>
      <c r="B14" s="292"/>
      <c r="C14" s="333">
        <f>'Note 2, 3, 4, 5'!H38</f>
        <v>1172.28</v>
      </c>
      <c r="D14" s="333"/>
      <c r="E14" s="333"/>
      <c r="F14" s="333"/>
      <c r="G14" s="333">
        <f>'Note 2, 3, 4, 5'!N38</f>
        <v>11024.2</v>
      </c>
      <c r="H14" s="333"/>
      <c r="I14" s="333"/>
      <c r="J14" s="333"/>
    </row>
    <row r="15" spans="1:10" ht="15" customHeight="1" x14ac:dyDescent="0.15">
      <c r="A15" s="444" t="s">
        <v>734</v>
      </c>
      <c r="B15" s="292"/>
      <c r="C15" s="345">
        <f>-'Note 7, 8, 9, 10, 11'!D39</f>
        <v>-3000000</v>
      </c>
      <c r="D15" s="333"/>
      <c r="E15" s="333"/>
      <c r="F15" s="333"/>
      <c r="G15" s="345">
        <f>-'Note 7, 8, 9, 10, 11'!F39</f>
        <v>0</v>
      </c>
      <c r="H15" s="333"/>
      <c r="I15" s="333"/>
      <c r="J15" s="333"/>
    </row>
    <row r="16" spans="1:10" ht="15" customHeight="1" x14ac:dyDescent="0.15">
      <c r="B16" s="292"/>
      <c r="C16" s="346"/>
      <c r="D16" s="346"/>
      <c r="E16" s="347"/>
      <c r="F16" s="346"/>
      <c r="G16" s="346"/>
      <c r="H16" s="346"/>
      <c r="I16" s="347"/>
      <c r="J16" s="346"/>
    </row>
    <row r="17" spans="1:10" ht="15" customHeight="1" x14ac:dyDescent="0.15">
      <c r="A17" s="279" t="s">
        <v>577</v>
      </c>
      <c r="B17" s="292"/>
      <c r="C17" s="347"/>
      <c r="D17" s="346"/>
      <c r="E17" s="345">
        <f>SUM(C13:C15)</f>
        <v>-2953079.4</v>
      </c>
      <c r="F17" s="333"/>
      <c r="G17" s="347"/>
      <c r="H17" s="346"/>
      <c r="I17" s="345">
        <f>SUM(G13:G15)</f>
        <v>11024.2</v>
      </c>
      <c r="J17" s="333"/>
    </row>
    <row r="18" spans="1:10" ht="15" customHeight="1" x14ac:dyDescent="0.15">
      <c r="A18" s="279"/>
      <c r="B18" s="292"/>
      <c r="C18" s="347"/>
      <c r="D18" s="346"/>
      <c r="E18" s="333"/>
      <c r="F18" s="333"/>
      <c r="G18" s="347"/>
      <c r="H18" s="346"/>
      <c r="I18" s="333"/>
      <c r="J18" s="333"/>
    </row>
    <row r="19" spans="1:10" ht="15" customHeight="1" x14ac:dyDescent="0.15">
      <c r="A19" s="475" t="s">
        <v>578</v>
      </c>
      <c r="B19" s="292"/>
      <c r="C19" s="347"/>
      <c r="D19" s="346"/>
      <c r="E19" s="345"/>
      <c r="F19" s="333"/>
      <c r="G19" s="347"/>
      <c r="H19" s="346"/>
      <c r="I19" s="345"/>
      <c r="J19" s="333"/>
    </row>
    <row r="20" spans="1:10" ht="15" customHeight="1" x14ac:dyDescent="0.15">
      <c r="A20" s="475"/>
      <c r="B20" s="292"/>
      <c r="C20" s="347"/>
      <c r="D20" s="346"/>
      <c r="E20" s="333">
        <f>E10+E17</f>
        <v>1793493.0800000005</v>
      </c>
      <c r="F20" s="333"/>
      <c r="G20" s="347"/>
      <c r="H20" s="346"/>
      <c r="I20" s="333">
        <f>I10+I17</f>
        <v>13902093.77</v>
      </c>
      <c r="J20" s="333"/>
    </row>
    <row r="21" spans="1:10" ht="15" customHeight="1" x14ac:dyDescent="0.15">
      <c r="A21" s="279"/>
      <c r="B21" s="292"/>
      <c r="C21" s="347"/>
      <c r="D21" s="346"/>
      <c r="E21" s="333"/>
      <c r="F21" s="333"/>
      <c r="G21" s="347"/>
      <c r="H21" s="346"/>
      <c r="I21" s="333"/>
      <c r="J21" s="333"/>
    </row>
    <row r="22" spans="1:10" ht="15" customHeight="1" x14ac:dyDescent="0.15">
      <c r="A22" s="283" t="s">
        <v>579</v>
      </c>
      <c r="B22" s="295"/>
      <c r="C22" s="347"/>
      <c r="D22" s="346"/>
      <c r="E22" s="345">
        <f>I26</f>
        <v>13887204.24</v>
      </c>
      <c r="F22" s="333"/>
      <c r="G22" s="347"/>
      <c r="H22" s="346"/>
      <c r="I22" s="345">
        <v>0</v>
      </c>
      <c r="J22" s="333"/>
    </row>
    <row r="23" spans="1:10" ht="15" customHeight="1" x14ac:dyDescent="0.15">
      <c r="B23" s="295"/>
      <c r="C23" s="347"/>
      <c r="D23" s="346"/>
      <c r="E23" s="333">
        <f>SUM(E20:E22)</f>
        <v>15680697.32</v>
      </c>
      <c r="F23" s="333"/>
      <c r="G23" s="347"/>
      <c r="H23" s="346"/>
      <c r="I23" s="333">
        <f>SUM(I20:I22)</f>
        <v>13902093.77</v>
      </c>
      <c r="J23" s="333"/>
    </row>
    <row r="24" spans="1:10" ht="15" customHeight="1" x14ac:dyDescent="0.15">
      <c r="A24" s="283" t="s">
        <v>580</v>
      </c>
      <c r="B24" s="295"/>
      <c r="C24" s="347"/>
      <c r="D24" s="346"/>
      <c r="E24" s="348">
        <f>-'Notes 16, 17, 18, 19, 20, 21'!G36</f>
        <v>-97945.5</v>
      </c>
      <c r="F24" s="333"/>
      <c r="G24" s="347"/>
      <c r="H24" s="346"/>
      <c r="I24" s="348">
        <f>-'Notes 16, 17, 18, 19, 20, 21'!I36</f>
        <v>-14889.53</v>
      </c>
      <c r="J24" s="333"/>
    </row>
    <row r="25" spans="1:10" ht="15" customHeight="1" x14ac:dyDescent="0.15">
      <c r="B25" s="295"/>
      <c r="C25" s="347"/>
      <c r="D25" s="346"/>
      <c r="E25" s="333"/>
      <c r="F25" s="333"/>
      <c r="G25" s="347"/>
      <c r="H25" s="346"/>
      <c r="I25" s="333"/>
      <c r="J25" s="333"/>
    </row>
    <row r="26" spans="1:10" ht="15" customHeight="1" thickBot="1" x14ac:dyDescent="0.2">
      <c r="A26" s="279" t="s">
        <v>581</v>
      </c>
      <c r="B26" s="295"/>
      <c r="C26" s="347"/>
      <c r="D26" s="346"/>
      <c r="E26" s="349">
        <f>SUM(E23:E25)</f>
        <v>15582751.82</v>
      </c>
      <c r="F26" s="333"/>
      <c r="G26" s="347"/>
      <c r="H26" s="346"/>
      <c r="I26" s="349">
        <f>SUM(I23:I25)</f>
        <v>13887204.24</v>
      </c>
      <c r="J26" s="333"/>
    </row>
    <row r="27" spans="1:10" ht="15" customHeight="1" thickTop="1" x14ac:dyDescent="0.15">
      <c r="B27" s="295"/>
      <c r="C27" s="295"/>
      <c r="E27" s="295"/>
      <c r="G27" s="295"/>
      <c r="I27" s="295"/>
    </row>
    <row r="28" spans="1:10" ht="15" customHeight="1" x14ac:dyDescent="0.15">
      <c r="A28" s="285"/>
      <c r="G28" s="295"/>
      <c r="I28" s="295"/>
    </row>
    <row r="29" spans="1:10" ht="15" customHeight="1" x14ac:dyDescent="0.15">
      <c r="A29" s="350" t="s">
        <v>582</v>
      </c>
      <c r="G29" s="295"/>
      <c r="I29" s="295"/>
    </row>
    <row r="30" spans="1:10" ht="15" customHeight="1" x14ac:dyDescent="0.15">
      <c r="A30" s="351" t="s">
        <v>560</v>
      </c>
      <c r="E30" s="331">
        <f>'Balance Sheet'!F22</f>
        <v>15582751.82</v>
      </c>
      <c r="G30" s="295"/>
      <c r="I30" s="331">
        <f>'Balance Sheet'!J22</f>
        <v>13887204.24</v>
      </c>
    </row>
    <row r="31" spans="1:10" ht="15" customHeight="1" x14ac:dyDescent="0.15">
      <c r="A31" s="352"/>
    </row>
    <row r="32" spans="1:10" ht="23.25" customHeight="1" thickBot="1" x14ac:dyDescent="0.2">
      <c r="A32" s="352" t="s">
        <v>583</v>
      </c>
      <c r="E32" s="353">
        <f>SUM(E30:E31)</f>
        <v>15582751.82</v>
      </c>
      <c r="I32" s="353">
        <f>SUM(I30:I31)</f>
        <v>13887204.24</v>
      </c>
    </row>
    <row r="33" spans="3:9" ht="15" customHeight="1" thickTop="1" x14ac:dyDescent="0.15"/>
    <row r="34" spans="3:9" ht="15" customHeight="1" x14ac:dyDescent="0.15"/>
    <row r="35" spans="3:9" ht="15" customHeight="1" x14ac:dyDescent="0.15"/>
    <row r="36" spans="3:9" ht="15" customHeight="1" x14ac:dyDescent="0.15"/>
    <row r="38" spans="3:9" x14ac:dyDescent="0.15">
      <c r="C38" s="318" t="s">
        <v>452</v>
      </c>
      <c r="E38" s="331">
        <f>E26-E32</f>
        <v>0</v>
      </c>
      <c r="G38" s="318" t="s">
        <v>452</v>
      </c>
      <c r="I38" s="331">
        <f>I26-I32</f>
        <v>0</v>
      </c>
    </row>
    <row r="39" spans="3:9" x14ac:dyDescent="0.15">
      <c r="E39" s="410"/>
    </row>
    <row r="40" spans="3:9" x14ac:dyDescent="0.15">
      <c r="E40" s="410"/>
    </row>
  </sheetData>
  <mergeCells count="3">
    <mergeCell ref="C8:E8"/>
    <mergeCell ref="A19:A20"/>
    <mergeCell ref="G8:I8"/>
  </mergeCell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O50"/>
  <sheetViews>
    <sheetView topLeftCell="B1" zoomScaleNormal="100" zoomScaleSheetLayoutView="100" workbookViewId="0">
      <selection activeCell="C38" sqref="C38"/>
    </sheetView>
  </sheetViews>
  <sheetFormatPr baseColWidth="10" defaultColWidth="8.83203125" defaultRowHeight="15" outlineLevelRow="1" outlineLevelCol="1" x14ac:dyDescent="0.2"/>
  <cols>
    <col min="1" max="1" width="9.1640625" style="1" hidden="1" customWidth="1" outlineLevel="1"/>
    <col min="2" max="2" width="4.1640625" style="1" customWidth="1" collapsed="1"/>
    <col min="3" max="3" width="35.6640625" style="33" customWidth="1"/>
    <col min="4" max="4" width="12.33203125" style="33" customWidth="1"/>
    <col min="5" max="5" width="1.6640625" style="33" customWidth="1"/>
    <col min="6" max="6" width="13" style="33" customWidth="1"/>
    <col min="7" max="7" width="1.6640625" style="33" customWidth="1"/>
    <col min="8" max="8" width="11.6640625" style="33" customWidth="1"/>
    <col min="9" max="9" width="2.6640625" style="35" customWidth="1"/>
    <col min="10" max="10" width="12.33203125" style="33" customWidth="1"/>
    <col min="11" max="11" width="1.6640625" style="33" customWidth="1"/>
    <col min="12" max="12" width="13" style="33" customWidth="1"/>
    <col min="13" max="13" width="1.6640625" style="33" customWidth="1"/>
    <col min="14" max="14" width="11.6640625" style="33" customWidth="1"/>
    <col min="15" max="15" width="1.6640625" style="35" customWidth="1"/>
  </cols>
  <sheetData>
    <row r="1" spans="1:15" s="355" customFormat="1" ht="15" customHeight="1" x14ac:dyDescent="0.15">
      <c r="A1" s="283"/>
      <c r="B1" s="354" t="str">
        <f>'Consolidated SOFA'!B1</f>
        <v>SCI FOUNDATION</v>
      </c>
      <c r="C1" s="354"/>
      <c r="D1" s="354"/>
      <c r="E1" s="354"/>
      <c r="F1" s="354"/>
      <c r="G1" s="354"/>
      <c r="H1" s="280"/>
      <c r="I1" s="328"/>
      <c r="J1" s="354"/>
      <c r="K1" s="354"/>
      <c r="L1" s="354"/>
      <c r="M1" s="354"/>
      <c r="N1" s="280"/>
      <c r="O1" s="328"/>
    </row>
    <row r="2" spans="1:15" s="355" customFormat="1" ht="15" customHeight="1" x14ac:dyDescent="0.15">
      <c r="A2" s="283"/>
      <c r="B2" s="354"/>
      <c r="H2" s="284"/>
      <c r="I2" s="288"/>
      <c r="N2" s="284"/>
      <c r="O2" s="288"/>
    </row>
    <row r="3" spans="1:15" s="355" customFormat="1" ht="15" customHeight="1" x14ac:dyDescent="0.15">
      <c r="A3" s="283"/>
      <c r="B3" s="354" t="s">
        <v>584</v>
      </c>
      <c r="C3" s="354"/>
      <c r="D3" s="354"/>
      <c r="E3" s="354"/>
      <c r="F3" s="354"/>
      <c r="G3" s="354"/>
      <c r="H3" s="280"/>
      <c r="I3" s="328"/>
      <c r="J3" s="354"/>
      <c r="K3" s="354"/>
      <c r="L3" s="354"/>
      <c r="M3" s="354"/>
      <c r="N3" s="280"/>
      <c r="O3" s="328"/>
    </row>
    <row r="4" spans="1:15" s="355" customFormat="1" ht="15" customHeight="1" x14ac:dyDescent="0.15">
      <c r="A4" s="283"/>
      <c r="B4" s="354"/>
      <c r="H4" s="284"/>
      <c r="I4" s="288"/>
      <c r="N4" s="284"/>
      <c r="O4" s="288"/>
    </row>
    <row r="5" spans="1:15" s="355" customFormat="1" ht="15" customHeight="1" x14ac:dyDescent="0.15">
      <c r="A5" s="283"/>
      <c r="B5" s="354" t="str">
        <f>'Consolidated SOFA'!B6</f>
        <v>FOR THE YEAR ENDED 31 MARCH 2021</v>
      </c>
      <c r="C5" s="354"/>
      <c r="D5" s="354"/>
      <c r="E5" s="354"/>
      <c r="F5" s="354"/>
      <c r="G5" s="354"/>
      <c r="H5" s="280"/>
      <c r="I5" s="328"/>
      <c r="J5" s="354"/>
      <c r="K5" s="354"/>
      <c r="L5" s="354"/>
      <c r="M5" s="354"/>
      <c r="N5" s="280"/>
      <c r="O5" s="328"/>
    </row>
    <row r="6" spans="1:15" s="355" customFormat="1" ht="15" customHeight="1" x14ac:dyDescent="0.15">
      <c r="A6" s="283"/>
      <c r="B6" s="356"/>
      <c r="C6" s="356"/>
      <c r="D6" s="356"/>
      <c r="E6" s="356"/>
      <c r="F6" s="356"/>
      <c r="G6" s="356"/>
      <c r="H6" s="342"/>
      <c r="I6" s="288"/>
      <c r="J6" s="356"/>
      <c r="K6" s="356"/>
      <c r="L6" s="356"/>
      <c r="M6" s="356"/>
      <c r="N6" s="342"/>
      <c r="O6" s="288"/>
    </row>
    <row r="7" spans="1:15" s="355" customFormat="1" ht="15" customHeight="1" x14ac:dyDescent="0.15">
      <c r="A7" s="283"/>
      <c r="I7" s="290"/>
      <c r="O7" s="290"/>
    </row>
    <row r="8" spans="1:15" s="355" customFormat="1" ht="15" customHeight="1" x14ac:dyDescent="0.15">
      <c r="A8" s="283"/>
      <c r="F8" s="292">
        <v>2021</v>
      </c>
      <c r="G8" s="286"/>
      <c r="H8" s="286"/>
      <c r="I8" s="286"/>
      <c r="J8" s="286"/>
      <c r="K8" s="286"/>
      <c r="L8" s="292">
        <v>2020</v>
      </c>
      <c r="O8" s="288"/>
    </row>
    <row r="9" spans="1:15" s="355" customFormat="1" ht="15" customHeight="1" x14ac:dyDescent="0.15">
      <c r="A9" s="283"/>
      <c r="B9" s="357" t="s">
        <v>585</v>
      </c>
      <c r="C9" s="354" t="s">
        <v>586</v>
      </c>
      <c r="G9" s="354"/>
      <c r="H9" s="280" t="s">
        <v>693</v>
      </c>
      <c r="I9" s="328"/>
      <c r="M9" s="354"/>
      <c r="N9" s="280" t="s">
        <v>587</v>
      </c>
      <c r="O9" s="328"/>
    </row>
    <row r="10" spans="1:15" s="355" customFormat="1" ht="15" customHeight="1" x14ac:dyDescent="0.15">
      <c r="A10" s="283"/>
      <c r="B10" s="354"/>
      <c r="C10" s="354"/>
      <c r="D10" s="358" t="s">
        <v>280</v>
      </c>
      <c r="E10" s="358"/>
      <c r="F10" s="358" t="s">
        <v>362</v>
      </c>
      <c r="G10" s="354"/>
      <c r="H10" s="359">
        <v>44286</v>
      </c>
      <c r="I10" s="328"/>
      <c r="J10" s="358" t="s">
        <v>280</v>
      </c>
      <c r="K10" s="358"/>
      <c r="L10" s="358" t="s">
        <v>362</v>
      </c>
      <c r="M10" s="354"/>
      <c r="N10" s="359">
        <v>43921</v>
      </c>
      <c r="O10" s="328"/>
    </row>
    <row r="11" spans="1:15" s="355" customFormat="1" ht="15" customHeight="1" x14ac:dyDescent="0.15">
      <c r="A11" s="283"/>
      <c r="B11" s="354"/>
      <c r="C11" s="360"/>
      <c r="D11" s="284" t="s">
        <v>363</v>
      </c>
      <c r="E11" s="284"/>
      <c r="F11" s="284" t="s">
        <v>363</v>
      </c>
      <c r="G11" s="360"/>
      <c r="H11" s="280" t="s">
        <v>363</v>
      </c>
      <c r="I11" s="328"/>
      <c r="J11" s="284" t="s">
        <v>363</v>
      </c>
      <c r="K11" s="284"/>
      <c r="L11" s="284" t="s">
        <v>363</v>
      </c>
      <c r="M11" s="360"/>
      <c r="N11" s="280" t="s">
        <v>363</v>
      </c>
      <c r="O11" s="328"/>
    </row>
    <row r="12" spans="1:15" s="355" customFormat="1" ht="15" hidden="1" customHeight="1" outlineLevel="1" x14ac:dyDescent="0.15">
      <c r="A12" s="305">
        <v>4000</v>
      </c>
      <c r="B12" s="306"/>
      <c r="C12" s="306" t="str">
        <f>VLOOKUP($A12,TB!$A:$E,3,FALSE)</f>
        <v>Donations</v>
      </c>
      <c r="D12" s="307">
        <f>-VLOOKUP($A12,TB!$A:$E,5,FALSE)</f>
        <v>4097805.25</v>
      </c>
      <c r="E12" s="306"/>
      <c r="F12" s="306"/>
      <c r="G12" s="306"/>
      <c r="H12" s="361">
        <f>D12+F12</f>
        <v>4097805.25</v>
      </c>
      <c r="I12" s="330"/>
      <c r="J12" s="307">
        <v>3127971.25</v>
      </c>
      <c r="K12" s="306"/>
      <c r="L12" s="306"/>
      <c r="M12" s="306"/>
      <c r="N12" s="361">
        <f>J12+L12</f>
        <v>3127971.25</v>
      </c>
      <c r="O12" s="330"/>
    </row>
    <row r="13" spans="1:15" s="363" customFormat="1" ht="15" hidden="1" customHeight="1" outlineLevel="1" x14ac:dyDescent="0.15">
      <c r="A13" s="443">
        <v>4001</v>
      </c>
      <c r="B13" s="442"/>
      <c r="C13" s="442" t="str">
        <f>VLOOKUP($A13,TB!$A:$E,3,FALSE)</f>
        <v>Gift Aid Received</v>
      </c>
      <c r="D13" s="307">
        <f>-VLOOKUP($A13,TB!$A:$E,5,FALSE)</f>
        <v>41158.449999999997</v>
      </c>
      <c r="E13" s="442"/>
      <c r="F13" s="442"/>
      <c r="G13" s="442"/>
      <c r="H13" s="332">
        <f>D13+F13</f>
        <v>41158.449999999997</v>
      </c>
      <c r="I13" s="330"/>
      <c r="J13" s="442">
        <v>13732.63</v>
      </c>
      <c r="K13" s="442"/>
      <c r="L13" s="442"/>
      <c r="M13" s="442"/>
      <c r="N13" s="332">
        <f>J13+L13</f>
        <v>13732.63</v>
      </c>
      <c r="O13" s="330"/>
    </row>
    <row r="14" spans="1:15" s="355" customFormat="1" ht="15" hidden="1" customHeight="1" outlineLevel="1" x14ac:dyDescent="0.15">
      <c r="A14" s="305">
        <v>4060</v>
      </c>
      <c r="B14" s="306"/>
      <c r="C14" s="306" t="str">
        <f>VLOOKUP($A14,TB!$A:$E,3,FALSE)</f>
        <v>Other Income</v>
      </c>
      <c r="D14" s="307">
        <f>-VLOOKUP($A14,TB!$A:$E,5,FALSE)</f>
        <v>646.51</v>
      </c>
      <c r="E14" s="306"/>
      <c r="F14" s="307"/>
      <c r="G14" s="306"/>
      <c r="H14" s="361">
        <f>D14+F14</f>
        <v>646.51</v>
      </c>
      <c r="I14" s="330"/>
      <c r="J14" s="307"/>
      <c r="K14" s="306"/>
      <c r="L14" s="307">
        <v>0</v>
      </c>
      <c r="M14" s="306"/>
      <c r="N14" s="361">
        <f>J14+L14</f>
        <v>0</v>
      </c>
      <c r="O14" s="330"/>
    </row>
    <row r="15" spans="1:15" s="355" customFormat="1" ht="15" customHeight="1" collapsed="1" thickBot="1" x14ac:dyDescent="0.2">
      <c r="A15" s="283"/>
      <c r="C15" s="355" t="s">
        <v>32</v>
      </c>
      <c r="D15" s="362">
        <f>SUM(D12:D14)</f>
        <v>4139610.21</v>
      </c>
      <c r="E15" s="363"/>
      <c r="F15" s="362">
        <f>SUM(F12:F14)</f>
        <v>0</v>
      </c>
      <c r="G15" s="363"/>
      <c r="H15" s="362">
        <f>SUM(H12:H14)</f>
        <v>4139610.21</v>
      </c>
      <c r="I15" s="330"/>
      <c r="J15" s="362">
        <f>SUM(J12:J14)</f>
        <v>3141703.88</v>
      </c>
      <c r="K15" s="363"/>
      <c r="L15" s="362">
        <f>SUM(L12:L14)</f>
        <v>0</v>
      </c>
      <c r="M15" s="363"/>
      <c r="N15" s="362">
        <f>SUM(N12:N14)</f>
        <v>3141703.88</v>
      </c>
      <c r="O15" s="330"/>
    </row>
    <row r="16" spans="1:15" s="355" customFormat="1" ht="15" customHeight="1" thickTop="1" x14ac:dyDescent="0.15">
      <c r="A16" s="283"/>
      <c r="H16" s="330"/>
      <c r="I16" s="330"/>
      <c r="N16" s="330"/>
      <c r="O16" s="330"/>
    </row>
    <row r="17" spans="1:15" s="355" customFormat="1" ht="55" customHeight="1" x14ac:dyDescent="0.2">
      <c r="A17" s="283"/>
      <c r="C17" s="476" t="s">
        <v>735</v>
      </c>
      <c r="D17" s="477"/>
      <c r="E17" s="477"/>
      <c r="F17" s="477"/>
      <c r="G17" s="477"/>
      <c r="H17" s="477"/>
      <c r="I17" s="477"/>
      <c r="J17" s="477"/>
      <c r="K17" s="477"/>
      <c r="L17" s="477"/>
      <c r="M17" s="477"/>
      <c r="N17" s="477"/>
      <c r="O17" s="330"/>
    </row>
    <row r="18" spans="1:15" s="355" customFormat="1" ht="15" customHeight="1" x14ac:dyDescent="0.15">
      <c r="A18" s="283"/>
      <c r="H18" s="330"/>
      <c r="I18" s="330"/>
      <c r="N18" s="330"/>
      <c r="O18" s="330"/>
    </row>
    <row r="19" spans="1:15" s="355" customFormat="1" ht="15" customHeight="1" x14ac:dyDescent="0.15">
      <c r="A19" s="283"/>
      <c r="B19" s="357" t="s">
        <v>588</v>
      </c>
      <c r="C19" s="354" t="s">
        <v>589</v>
      </c>
      <c r="G19" s="354"/>
      <c r="H19" s="280" t="s">
        <v>693</v>
      </c>
      <c r="I19" s="330"/>
      <c r="M19" s="354"/>
      <c r="N19" s="280" t="s">
        <v>587</v>
      </c>
      <c r="O19" s="330"/>
    </row>
    <row r="20" spans="1:15" s="355" customFormat="1" ht="15" customHeight="1" x14ac:dyDescent="0.15">
      <c r="A20" s="283"/>
      <c r="B20" s="354"/>
      <c r="C20" s="354"/>
      <c r="D20" s="358" t="s">
        <v>280</v>
      </c>
      <c r="E20" s="358"/>
      <c r="F20" s="358" t="s">
        <v>362</v>
      </c>
      <c r="G20" s="354"/>
      <c r="H20" s="359">
        <v>44286</v>
      </c>
      <c r="I20" s="330"/>
      <c r="J20" s="358" t="s">
        <v>280</v>
      </c>
      <c r="K20" s="358"/>
      <c r="L20" s="358" t="s">
        <v>362</v>
      </c>
      <c r="M20" s="354"/>
      <c r="N20" s="359">
        <v>43921</v>
      </c>
      <c r="O20" s="330"/>
    </row>
    <row r="21" spans="1:15" s="355" customFormat="1" ht="15" customHeight="1" x14ac:dyDescent="0.15">
      <c r="A21" s="283"/>
      <c r="B21" s="354"/>
      <c r="C21" s="360"/>
      <c r="D21" s="284" t="s">
        <v>363</v>
      </c>
      <c r="E21" s="284"/>
      <c r="F21" s="284" t="s">
        <v>363</v>
      </c>
      <c r="G21" s="360"/>
      <c r="H21" s="280" t="s">
        <v>363</v>
      </c>
      <c r="I21" s="330"/>
      <c r="J21" s="284" t="s">
        <v>363</v>
      </c>
      <c r="K21" s="284"/>
      <c r="L21" s="284" t="s">
        <v>363</v>
      </c>
      <c r="M21" s="360"/>
      <c r="N21" s="280" t="s">
        <v>363</v>
      </c>
      <c r="O21" s="330"/>
    </row>
    <row r="22" spans="1:15" s="355" customFormat="1" ht="15" hidden="1" customHeight="1" outlineLevel="1" x14ac:dyDescent="0.15">
      <c r="A22" s="305">
        <v>4010</v>
      </c>
      <c r="B22" s="306"/>
      <c r="C22" s="306" t="str">
        <f>VLOOKUP($A22,TB!$A:$E,3,FALSE)</f>
        <v>Grant Income</v>
      </c>
      <c r="D22" s="307"/>
      <c r="E22" s="306"/>
      <c r="F22" s="307">
        <f>-VLOOKUP($A22,TB!$A:$E,5,FALSE)</f>
        <v>4007832.31</v>
      </c>
      <c r="G22" s="306"/>
      <c r="H22" s="361">
        <f>D22+F22</f>
        <v>4007832.31</v>
      </c>
      <c r="I22" s="330"/>
      <c r="J22" s="307"/>
      <c r="K22" s="306"/>
      <c r="L22" s="307">
        <v>2822049.25</v>
      </c>
      <c r="M22" s="306"/>
      <c r="N22" s="361">
        <f>J22+L22</f>
        <v>2822049.25</v>
      </c>
      <c r="O22" s="330"/>
    </row>
    <row r="23" spans="1:15" s="355" customFormat="1" ht="15" hidden="1" customHeight="1" outlineLevel="1" x14ac:dyDescent="0.15">
      <c r="A23" s="305"/>
      <c r="B23" s="306"/>
      <c r="C23" s="306" t="s">
        <v>590</v>
      </c>
      <c r="D23" s="307"/>
      <c r="E23" s="306"/>
      <c r="F23" s="364"/>
      <c r="G23" s="306"/>
      <c r="H23" s="365">
        <f>D23+F23</f>
        <v>0</v>
      </c>
      <c r="I23" s="330"/>
      <c r="J23" s="307"/>
      <c r="K23" s="306"/>
      <c r="L23" s="364">
        <v>-0.2</v>
      </c>
      <c r="M23" s="306"/>
      <c r="N23" s="365">
        <f>J23+L23</f>
        <v>-0.2</v>
      </c>
      <c r="O23" s="330"/>
    </row>
    <row r="24" spans="1:15" s="355" customFormat="1" ht="15" hidden="1" customHeight="1" outlineLevel="1" x14ac:dyDescent="0.15">
      <c r="A24" s="305">
        <v>4011</v>
      </c>
      <c r="B24" s="306"/>
      <c r="C24" s="306" t="str">
        <f>VLOOKUP($A24,TB!$A:$E,3,FALSE)</f>
        <v>Grant Income - Central Cost Contribution</v>
      </c>
      <c r="D24" s="307"/>
      <c r="E24" s="306"/>
      <c r="F24" s="307">
        <f>-VLOOKUP($A24,TB!$A:$E,5,FALSE)</f>
        <v>299606.5</v>
      </c>
      <c r="G24" s="306"/>
      <c r="H24" s="332">
        <f>D24+F24</f>
        <v>299606.5</v>
      </c>
      <c r="I24" s="330"/>
      <c r="J24" s="307"/>
      <c r="K24" s="306"/>
      <c r="L24" s="307">
        <v>127551.32</v>
      </c>
      <c r="M24" s="306"/>
      <c r="N24" s="332">
        <f>J24+L24</f>
        <v>127551.32</v>
      </c>
      <c r="O24" s="330"/>
    </row>
    <row r="25" spans="1:15" s="355" customFormat="1" ht="15" customHeight="1" collapsed="1" x14ac:dyDescent="0.15">
      <c r="A25" s="283"/>
      <c r="C25" s="355" t="s">
        <v>314</v>
      </c>
      <c r="D25" s="330">
        <f>SUM(D22:D24)</f>
        <v>0</v>
      </c>
      <c r="E25" s="363"/>
      <c r="F25" s="330">
        <f>SUM(F22:F24)</f>
        <v>4307438.8100000005</v>
      </c>
      <c r="G25" s="366"/>
      <c r="H25" s="330">
        <f>SUM(H22:H24)</f>
        <v>4307438.8100000005</v>
      </c>
      <c r="I25" s="330"/>
      <c r="J25" s="330">
        <f>SUM(J22:J24)</f>
        <v>0</v>
      </c>
      <c r="K25" s="363"/>
      <c r="L25" s="330">
        <f>SUM(L22:L24)</f>
        <v>2949600.3699999996</v>
      </c>
      <c r="M25" s="366"/>
      <c r="N25" s="330">
        <f>SUM(N22:N24)</f>
        <v>2949600.3699999996</v>
      </c>
      <c r="O25" s="330"/>
    </row>
    <row r="26" spans="1:15" s="355" customFormat="1" ht="15" hidden="1" customHeight="1" outlineLevel="1" x14ac:dyDescent="0.15">
      <c r="A26" s="305">
        <v>4020</v>
      </c>
      <c r="B26" s="306"/>
      <c r="C26" s="306" t="str">
        <f>VLOOKUP($A26,TB!$A:$E,3,FALSE)</f>
        <v>Contract Income</v>
      </c>
      <c r="D26" s="307"/>
      <c r="E26" s="306"/>
      <c r="F26" s="307">
        <f>-VLOOKUP($A26,TB!$A:$E,5,FALSE)</f>
        <v>106070.49</v>
      </c>
      <c r="G26" s="368"/>
      <c r="H26" s="369">
        <f>D26+F26</f>
        <v>106070.49</v>
      </c>
      <c r="I26" s="330"/>
      <c r="J26" s="307"/>
      <c r="K26" s="306"/>
      <c r="L26" s="367">
        <v>484052.86</v>
      </c>
      <c r="M26" s="368"/>
      <c r="N26" s="369">
        <f>J26+L26</f>
        <v>484052.86</v>
      </c>
      <c r="O26" s="330"/>
    </row>
    <row r="27" spans="1:15" s="355" customFormat="1" ht="15" hidden="1" customHeight="1" outlineLevel="1" x14ac:dyDescent="0.15">
      <c r="A27" s="305"/>
      <c r="B27" s="306"/>
      <c r="C27" s="306" t="s">
        <v>590</v>
      </c>
      <c r="D27" s="307"/>
      <c r="E27" s="306"/>
      <c r="F27" s="370"/>
      <c r="G27" s="368"/>
      <c r="H27" s="365">
        <f>D27+F27</f>
        <v>0</v>
      </c>
      <c r="I27" s="330"/>
      <c r="J27" s="307"/>
      <c r="K27" s="306"/>
      <c r="L27" s="370">
        <v>0.2</v>
      </c>
      <c r="M27" s="368"/>
      <c r="N27" s="365">
        <f>J27+L27</f>
        <v>0.2</v>
      </c>
      <c r="O27" s="330"/>
    </row>
    <row r="28" spans="1:15" s="355" customFormat="1" ht="15" hidden="1" customHeight="1" outlineLevel="1" x14ac:dyDescent="0.15">
      <c r="A28" s="305">
        <v>4021</v>
      </c>
      <c r="B28" s="306"/>
      <c r="C28" s="306" t="str">
        <f>VLOOKUP($A28,TB!$A:$E,3,FALSE)</f>
        <v>Contract Income - Central Cost Contrib</v>
      </c>
      <c r="D28" s="307"/>
      <c r="E28" s="306"/>
      <c r="F28" s="307">
        <f>-VLOOKUP($A28,TB!$A:$E,5,FALSE)</f>
        <v>51233.07</v>
      </c>
      <c r="G28" s="368"/>
      <c r="H28" s="371">
        <f>D28+F28</f>
        <v>51233.07</v>
      </c>
      <c r="I28" s="330"/>
      <c r="J28" s="307"/>
      <c r="K28" s="306"/>
      <c r="L28" s="367">
        <v>149150.72</v>
      </c>
      <c r="M28" s="368"/>
      <c r="N28" s="371">
        <f>J28+L28</f>
        <v>149150.72</v>
      </c>
      <c r="O28" s="330"/>
    </row>
    <row r="29" spans="1:15" s="355" customFormat="1" ht="15" customHeight="1" collapsed="1" x14ac:dyDescent="0.15">
      <c r="A29" s="283"/>
      <c r="C29" s="355" t="s">
        <v>591</v>
      </c>
      <c r="D29" s="330">
        <f>SUM(D26:D28)</f>
        <v>0</v>
      </c>
      <c r="E29" s="363"/>
      <c r="F29" s="330">
        <f>SUM(F26:F28)</f>
        <v>157303.56</v>
      </c>
      <c r="G29" s="366"/>
      <c r="H29" s="330">
        <f>SUM(H26:H28)</f>
        <v>157303.56</v>
      </c>
      <c r="I29" s="330"/>
      <c r="J29" s="330">
        <f>SUM(J26:J28)</f>
        <v>0</v>
      </c>
      <c r="K29" s="363"/>
      <c r="L29" s="330">
        <f>SUM(L26:L28)</f>
        <v>633203.78</v>
      </c>
      <c r="M29" s="366"/>
      <c r="N29" s="330">
        <f>SUM(N26:N28)</f>
        <v>633203.78</v>
      </c>
      <c r="O29" s="330"/>
    </row>
    <row r="30" spans="1:15" s="355" customFormat="1" ht="15" customHeight="1" thickBot="1" x14ac:dyDescent="0.2">
      <c r="A30" s="283"/>
      <c r="D30" s="340">
        <f>D25+D29</f>
        <v>0</v>
      </c>
      <c r="E30" s="363"/>
      <c r="F30" s="340">
        <f>F25+F29</f>
        <v>4464742.37</v>
      </c>
      <c r="G30" s="363"/>
      <c r="H30" s="340">
        <f>H25+H29</f>
        <v>4464742.37</v>
      </c>
      <c r="I30" s="330"/>
      <c r="J30" s="340">
        <f>J25+J29</f>
        <v>0</v>
      </c>
      <c r="K30" s="363"/>
      <c r="L30" s="340">
        <f>L25+L29</f>
        <v>3582804.1499999994</v>
      </c>
      <c r="M30" s="363"/>
      <c r="N30" s="340">
        <f>N25+N29</f>
        <v>3582804.1499999994</v>
      </c>
      <c r="O30" s="330"/>
    </row>
    <row r="31" spans="1:15" s="355" customFormat="1" ht="15" customHeight="1" thickTop="1" x14ac:dyDescent="0.15">
      <c r="A31" s="283"/>
      <c r="H31" s="330"/>
      <c r="I31" s="330"/>
      <c r="N31" s="330"/>
      <c r="O31" s="330"/>
    </row>
    <row r="32" spans="1:15" s="355" customFormat="1" ht="15" customHeight="1" x14ac:dyDescent="0.15">
      <c r="A32" s="283"/>
      <c r="B32" s="357" t="s">
        <v>592</v>
      </c>
      <c r="C32" s="354" t="s">
        <v>593</v>
      </c>
      <c r="G32" s="354"/>
      <c r="H32" s="280" t="s">
        <v>693</v>
      </c>
      <c r="I32" s="328"/>
      <c r="M32" s="354"/>
      <c r="N32" s="280" t="s">
        <v>587</v>
      </c>
      <c r="O32" s="328"/>
    </row>
    <row r="33" spans="1:15" s="355" customFormat="1" ht="15" customHeight="1" x14ac:dyDescent="0.15">
      <c r="A33" s="283"/>
      <c r="D33" s="358" t="s">
        <v>280</v>
      </c>
      <c r="E33" s="358"/>
      <c r="F33" s="358" t="s">
        <v>362</v>
      </c>
      <c r="H33" s="359">
        <v>44286</v>
      </c>
      <c r="I33" s="328"/>
      <c r="J33" s="358" t="s">
        <v>280</v>
      </c>
      <c r="K33" s="358"/>
      <c r="L33" s="358" t="s">
        <v>362</v>
      </c>
      <c r="N33" s="359">
        <v>43921</v>
      </c>
      <c r="O33" s="328"/>
    </row>
    <row r="34" spans="1:15" s="355" customFormat="1" ht="15" customHeight="1" x14ac:dyDescent="0.15">
      <c r="A34" s="283"/>
      <c r="D34" s="284" t="s">
        <v>363</v>
      </c>
      <c r="E34" s="284"/>
      <c r="F34" s="284" t="s">
        <v>363</v>
      </c>
      <c r="H34" s="280" t="s">
        <v>363</v>
      </c>
      <c r="I34" s="328"/>
      <c r="J34" s="284" t="s">
        <v>363</v>
      </c>
      <c r="K34" s="284"/>
      <c r="L34" s="284" t="s">
        <v>363</v>
      </c>
      <c r="N34" s="280" t="s">
        <v>363</v>
      </c>
      <c r="O34" s="328"/>
    </row>
    <row r="35" spans="1:15" s="355" customFormat="1" ht="15" hidden="1" customHeight="1" outlineLevel="1" x14ac:dyDescent="0.2">
      <c r="A35" s="65">
        <v>4105</v>
      </c>
      <c r="B35" s="306"/>
      <c r="C35" s="306" t="str">
        <f>VLOOKUP($A35,TB!$A:$E,3,FALSE)</f>
        <v>Investment Distributions</v>
      </c>
      <c r="D35" s="307">
        <f>-VLOOKUP($A35,TB!$A:$E,5,FALSE)</f>
        <v>45748.32</v>
      </c>
      <c r="E35" s="306"/>
      <c r="F35" s="307">
        <v>0</v>
      </c>
      <c r="G35" s="306"/>
      <c r="H35" s="361">
        <f t="shared" ref="H35:H36" si="0">D35+F35</f>
        <v>45748.32</v>
      </c>
      <c r="I35" s="434"/>
      <c r="J35" s="284"/>
      <c r="K35" s="284"/>
      <c r="L35" s="284"/>
      <c r="N35" s="435"/>
      <c r="O35" s="434"/>
    </row>
    <row r="36" spans="1:15" s="355" customFormat="1" ht="15" hidden="1" customHeight="1" outlineLevel="1" x14ac:dyDescent="0.2">
      <c r="A36" s="65">
        <v>4106</v>
      </c>
      <c r="B36" s="306"/>
      <c r="C36" s="306" t="str">
        <f>VLOOKUP($A36,TB!$A:$E,3,FALSE)</f>
        <v>Investment Revaluations</v>
      </c>
      <c r="D36" s="307">
        <f>-VLOOKUP($A36,TB!$A:$E,5,FALSE)</f>
        <v>-19062</v>
      </c>
      <c r="E36" s="306"/>
      <c r="F36" s="307">
        <v>0</v>
      </c>
      <c r="G36" s="306"/>
      <c r="H36" s="361">
        <f t="shared" si="0"/>
        <v>-19062</v>
      </c>
      <c r="I36" s="434"/>
      <c r="J36" s="284"/>
      <c r="K36" s="284"/>
      <c r="L36" s="284"/>
      <c r="N36" s="435"/>
      <c r="O36" s="434"/>
    </row>
    <row r="37" spans="1:15" s="355" customFormat="1" ht="15" customHeight="1" collapsed="1" x14ac:dyDescent="0.15">
      <c r="A37" s="283"/>
      <c r="C37" s="355" t="s">
        <v>594</v>
      </c>
      <c r="D37" s="334">
        <f>SUM(D35:D36)</f>
        <v>26686.32</v>
      </c>
      <c r="F37" s="334">
        <f>SUM(F35:F36)</f>
        <v>0</v>
      </c>
      <c r="H37" s="334">
        <f>SUM(H35:H36)</f>
        <v>26686.32</v>
      </c>
      <c r="I37" s="330"/>
      <c r="J37" s="334">
        <f>SUM(J35:J36)</f>
        <v>0</v>
      </c>
      <c r="L37" s="334">
        <f>SUM(L35:L36)</f>
        <v>0</v>
      </c>
      <c r="N37" s="334">
        <f>SUM(N35:N36)</f>
        <v>0</v>
      </c>
      <c r="O37" s="330"/>
    </row>
    <row r="38" spans="1:15" s="355" customFormat="1" ht="15" customHeight="1" x14ac:dyDescent="0.15">
      <c r="A38" s="305">
        <v>4100</v>
      </c>
      <c r="C38" s="355" t="s">
        <v>576</v>
      </c>
      <c r="D38" s="334">
        <f>-VLOOKUP($A38,TB!$A:$E,5,FALSE)</f>
        <v>1172.28</v>
      </c>
      <c r="F38" s="334">
        <v>0</v>
      </c>
      <c r="H38" s="331">
        <f>D38+F38</f>
        <v>1172.28</v>
      </c>
      <c r="I38" s="330"/>
      <c r="J38" s="334">
        <v>11024.2</v>
      </c>
      <c r="L38" s="334">
        <v>0</v>
      </c>
      <c r="N38" s="331">
        <f>J38+L38</f>
        <v>11024.2</v>
      </c>
      <c r="O38" s="330"/>
    </row>
    <row r="39" spans="1:15" s="355" customFormat="1" ht="15" customHeight="1" thickBot="1" x14ac:dyDescent="0.2">
      <c r="A39" s="283"/>
      <c r="D39" s="340">
        <f>SUM(D37:D38)</f>
        <v>27858.6</v>
      </c>
      <c r="F39" s="340">
        <f>SUM(F37:F38)</f>
        <v>0</v>
      </c>
      <c r="H39" s="340">
        <f>SUM(H37:H38)</f>
        <v>27858.6</v>
      </c>
      <c r="I39" s="330"/>
      <c r="J39" s="340">
        <f>SUM(J37:J38)</f>
        <v>11024.2</v>
      </c>
      <c r="L39" s="340">
        <f>SUM(L37:L38)</f>
        <v>0</v>
      </c>
      <c r="N39" s="340">
        <f>SUM(N37:N38)</f>
        <v>11024.2</v>
      </c>
      <c r="O39" s="330"/>
    </row>
    <row r="40" spans="1:15" s="355" customFormat="1" ht="15" customHeight="1" thickTop="1" x14ac:dyDescent="0.15">
      <c r="A40" s="283"/>
      <c r="C40" s="360"/>
      <c r="D40" s="360"/>
      <c r="E40" s="360"/>
      <c r="F40" s="360"/>
      <c r="G40" s="360"/>
      <c r="H40" s="372"/>
      <c r="I40" s="373"/>
      <c r="J40" s="360"/>
      <c r="K40" s="360"/>
      <c r="L40" s="360"/>
      <c r="M40" s="360"/>
      <c r="N40" s="372"/>
      <c r="O40" s="373"/>
    </row>
    <row r="41" spans="1:15" s="355" customFormat="1" ht="15" customHeight="1" x14ac:dyDescent="0.15">
      <c r="A41" s="283"/>
      <c r="C41" s="360"/>
      <c r="D41" s="360"/>
      <c r="E41" s="360"/>
      <c r="F41" s="360"/>
      <c r="G41" s="360"/>
      <c r="H41" s="280" t="s">
        <v>693</v>
      </c>
      <c r="I41" s="373"/>
      <c r="J41" s="360"/>
      <c r="K41" s="360"/>
      <c r="L41" s="360"/>
      <c r="M41" s="360"/>
      <c r="N41" s="280" t="s">
        <v>587</v>
      </c>
      <c r="O41" s="373"/>
    </row>
    <row r="42" spans="1:15" s="355" customFormat="1" ht="15" customHeight="1" x14ac:dyDescent="0.15">
      <c r="A42" s="283"/>
      <c r="B42" s="357" t="s">
        <v>595</v>
      </c>
      <c r="C42" s="354" t="s">
        <v>596</v>
      </c>
      <c r="D42" s="354"/>
      <c r="E42" s="354"/>
      <c r="F42" s="354"/>
      <c r="G42" s="354"/>
      <c r="H42" s="359">
        <v>44286</v>
      </c>
      <c r="I42" s="328"/>
      <c r="J42" s="354"/>
      <c r="K42" s="354"/>
      <c r="L42" s="354"/>
      <c r="M42" s="354"/>
      <c r="N42" s="359">
        <v>43921</v>
      </c>
      <c r="O42" s="328"/>
    </row>
    <row r="43" spans="1:15" s="355" customFormat="1" ht="15" customHeight="1" x14ac:dyDescent="0.15">
      <c r="A43" s="283"/>
      <c r="H43" s="280" t="s">
        <v>363</v>
      </c>
      <c r="I43" s="328"/>
      <c r="N43" s="280" t="s">
        <v>363</v>
      </c>
      <c r="O43" s="328"/>
    </row>
    <row r="44" spans="1:15" s="355" customFormat="1" ht="15" customHeight="1" x14ac:dyDescent="0.15">
      <c r="A44" s="283"/>
      <c r="C44" s="355" t="s">
        <v>597</v>
      </c>
      <c r="H44" s="276"/>
      <c r="I44" s="330"/>
      <c r="N44" s="276"/>
      <c r="O44" s="330"/>
    </row>
    <row r="45" spans="1:15" s="355" customFormat="1" ht="15" customHeight="1" x14ac:dyDescent="0.15">
      <c r="A45" s="283"/>
      <c r="C45" s="355" t="s">
        <v>598</v>
      </c>
      <c r="H45" s="374"/>
      <c r="I45" s="375"/>
      <c r="N45" s="374"/>
      <c r="O45" s="375"/>
    </row>
    <row r="46" spans="1:15" s="355" customFormat="1" ht="15" customHeight="1" x14ac:dyDescent="0.15">
      <c r="A46" s="305">
        <v>7420</v>
      </c>
      <c r="C46" s="355" t="s">
        <v>599</v>
      </c>
      <c r="H46" s="334">
        <f>VLOOKUP($A46,TB!$A:$E,5,FALSE)</f>
        <v>18540.009999999998</v>
      </c>
      <c r="I46" s="374"/>
      <c r="N46" s="334">
        <v>18000</v>
      </c>
      <c r="O46" s="374"/>
    </row>
    <row r="47" spans="1:15" s="355" customFormat="1" ht="15" customHeight="1" x14ac:dyDescent="0.15">
      <c r="A47" s="305">
        <v>7410</v>
      </c>
      <c r="C47" s="355" t="s">
        <v>600</v>
      </c>
      <c r="H47" s="334">
        <f>VLOOKUP($A47,TB!$A:$E,5,FALSE)+360</f>
        <v>4014</v>
      </c>
      <c r="I47" s="374"/>
      <c r="N47" s="334">
        <v>6660</v>
      </c>
      <c r="O47" s="374"/>
    </row>
    <row r="48" spans="1:15" s="355" customFormat="1" ht="15" customHeight="1" thickBot="1" x14ac:dyDescent="0.2">
      <c r="A48" s="305">
        <v>7260</v>
      </c>
      <c r="B48" s="363"/>
      <c r="C48" s="363" t="s">
        <v>601</v>
      </c>
      <c r="D48" s="363"/>
      <c r="E48" s="363"/>
      <c r="F48" s="363"/>
      <c r="G48" s="363"/>
      <c r="H48" s="376">
        <f>VLOOKUP($A48,TB!$A:$E,5,FALSE)+VLOOKUP($A49,TB!$A:$E,5,FALSE)</f>
        <v>118102.08</v>
      </c>
      <c r="I48" s="375"/>
      <c r="N48" s="376">
        <v>116692.43</v>
      </c>
      <c r="O48" s="375"/>
    </row>
    <row r="49" spans="1:15" s="355" customFormat="1" ht="15" customHeight="1" thickTop="1" x14ac:dyDescent="0.15">
      <c r="A49" s="305">
        <v>7100</v>
      </c>
      <c r="B49" s="363"/>
      <c r="C49" s="363"/>
      <c r="D49" s="363"/>
      <c r="E49" s="363"/>
      <c r="F49" s="363"/>
      <c r="G49" s="363"/>
      <c r="H49" s="284"/>
      <c r="I49" s="288"/>
      <c r="N49" s="284"/>
      <c r="O49" s="288"/>
    </row>
    <row r="50" spans="1:15" s="355" customFormat="1" ht="15" customHeight="1" x14ac:dyDescent="0.15">
      <c r="A50" s="283"/>
      <c r="H50" s="284"/>
      <c r="I50" s="288"/>
      <c r="N50" s="284"/>
      <c r="O50" s="288"/>
    </row>
  </sheetData>
  <mergeCells count="1">
    <mergeCell ref="C17:N17"/>
  </mergeCells>
  <pageMargins left="0.25" right="0.25"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N52"/>
  <sheetViews>
    <sheetView topLeftCell="B1" zoomScaleNormal="100" zoomScaleSheetLayoutView="100" workbookViewId="0">
      <selection activeCell="C38" sqref="C38"/>
    </sheetView>
  </sheetViews>
  <sheetFormatPr baseColWidth="10" defaultColWidth="9.1640625" defaultRowHeight="12" outlineLevelCol="1" x14ac:dyDescent="0.15"/>
  <cols>
    <col min="1" max="1" width="9.1640625" style="283" hidden="1" customWidth="1" outlineLevel="1"/>
    <col min="2" max="2" width="4.1640625" style="355" customWidth="1" collapsed="1"/>
    <col min="3" max="3" width="29.6640625" style="355" customWidth="1"/>
    <col min="4" max="4" width="11.6640625" style="355" customWidth="1"/>
    <col min="5" max="5" width="1.6640625" style="363" customWidth="1"/>
    <col min="6" max="6" width="11.6640625" style="355" customWidth="1"/>
    <col min="7" max="7" width="1.6640625" style="363" customWidth="1"/>
    <col min="8" max="8" width="11.6640625" style="355" customWidth="1"/>
    <col min="9" max="9" width="1.6640625" style="363" customWidth="1"/>
    <col min="10" max="10" width="11.6640625" style="355" customWidth="1"/>
    <col min="11" max="11" width="1.6640625" style="363" customWidth="1"/>
    <col min="12" max="12" width="11.6640625" style="355" customWidth="1"/>
    <col min="13" max="13" width="9.1640625" style="355"/>
    <col min="14" max="14" width="11.5" style="355" bestFit="1" customWidth="1"/>
    <col min="15" max="16384" width="9.1640625" style="355"/>
  </cols>
  <sheetData>
    <row r="1" spans="2:14" ht="15" customHeight="1" x14ac:dyDescent="0.15">
      <c r="B1" s="354" t="str">
        <f>'Consolidated SOFA'!B1</f>
        <v>SCI FOUNDATION</v>
      </c>
      <c r="C1" s="354"/>
      <c r="D1" s="354"/>
      <c r="E1" s="377"/>
      <c r="F1" s="354"/>
      <c r="G1" s="377"/>
      <c r="H1" s="354"/>
      <c r="I1" s="377"/>
      <c r="J1" s="354"/>
      <c r="K1" s="377"/>
      <c r="L1" s="341"/>
      <c r="M1" s="354"/>
    </row>
    <row r="2" spans="2:14" ht="15" customHeight="1" x14ac:dyDescent="0.15">
      <c r="B2" s="354"/>
    </row>
    <row r="3" spans="2:14" ht="15" customHeight="1" x14ac:dyDescent="0.15">
      <c r="B3" s="354" t="s">
        <v>584</v>
      </c>
      <c r="C3" s="354"/>
      <c r="D3" s="354"/>
      <c r="E3" s="377"/>
      <c r="F3" s="354"/>
      <c r="G3" s="377"/>
      <c r="H3" s="354"/>
      <c r="I3" s="377"/>
      <c r="J3" s="354"/>
      <c r="K3" s="377"/>
      <c r="L3" s="354"/>
    </row>
    <row r="4" spans="2:14" ht="15" customHeight="1" x14ac:dyDescent="0.15">
      <c r="B4" s="354"/>
    </row>
    <row r="5" spans="2:14" ht="15" customHeight="1" x14ac:dyDescent="0.15">
      <c r="B5" s="354" t="str">
        <f>'Consolidated SOFA'!B6</f>
        <v>FOR THE YEAR ENDED 31 MARCH 2021</v>
      </c>
      <c r="C5" s="354"/>
      <c r="D5" s="354"/>
      <c r="E5" s="377"/>
      <c r="F5" s="354"/>
      <c r="G5" s="377"/>
      <c r="H5" s="354"/>
      <c r="I5" s="377"/>
      <c r="J5" s="354"/>
      <c r="K5" s="377"/>
      <c r="L5" s="354"/>
    </row>
    <row r="6" spans="2:14" ht="15" customHeight="1" x14ac:dyDescent="0.15">
      <c r="B6" s="356"/>
      <c r="C6" s="356"/>
      <c r="D6" s="363"/>
      <c r="F6" s="363"/>
      <c r="H6" s="363"/>
      <c r="J6" s="363"/>
      <c r="L6" s="363"/>
    </row>
    <row r="7" spans="2:14" ht="15" customHeight="1" x14ac:dyDescent="0.15">
      <c r="D7" s="378"/>
      <c r="E7" s="378"/>
      <c r="F7" s="378"/>
      <c r="G7" s="378"/>
      <c r="H7" s="378"/>
      <c r="I7" s="378"/>
      <c r="J7" s="378"/>
      <c r="K7" s="378"/>
      <c r="L7" s="378"/>
    </row>
    <row r="8" spans="2:14" ht="15" customHeight="1" x14ac:dyDescent="0.15">
      <c r="B8" s="357" t="s">
        <v>602</v>
      </c>
      <c r="C8" s="354" t="s">
        <v>603</v>
      </c>
      <c r="D8" s="354"/>
      <c r="E8" s="377"/>
      <c r="F8" s="474" t="s">
        <v>692</v>
      </c>
      <c r="G8" s="474"/>
      <c r="H8" s="474"/>
      <c r="I8" s="474"/>
      <c r="J8" s="474"/>
      <c r="K8" s="474"/>
      <c r="L8" s="474"/>
    </row>
    <row r="9" spans="2:14" ht="15" customHeight="1" x14ac:dyDescent="0.15">
      <c r="B9" s="357"/>
      <c r="C9" s="354"/>
      <c r="D9" s="354"/>
      <c r="E9" s="377"/>
      <c r="F9" s="280" t="s">
        <v>364</v>
      </c>
      <c r="G9" s="328"/>
      <c r="H9" s="280" t="s">
        <v>365</v>
      </c>
      <c r="I9" s="328"/>
      <c r="J9" s="280" t="s">
        <v>366</v>
      </c>
      <c r="K9" s="328"/>
      <c r="L9" s="280" t="s">
        <v>284</v>
      </c>
    </row>
    <row r="10" spans="2:14" ht="15" customHeight="1" x14ac:dyDescent="0.15">
      <c r="B10" s="354"/>
      <c r="C10" s="354"/>
      <c r="D10" s="354"/>
      <c r="E10" s="377"/>
      <c r="F10" s="280" t="s">
        <v>363</v>
      </c>
      <c r="G10" s="328"/>
      <c r="H10" s="280" t="s">
        <v>363</v>
      </c>
      <c r="I10" s="328"/>
      <c r="J10" s="280" t="s">
        <v>363</v>
      </c>
      <c r="K10" s="328"/>
      <c r="L10" s="280" t="s">
        <v>363</v>
      </c>
    </row>
    <row r="11" spans="2:14" ht="15" customHeight="1" x14ac:dyDescent="0.15">
      <c r="B11" s="354" t="s">
        <v>605</v>
      </c>
      <c r="C11" s="354" t="s">
        <v>606</v>
      </c>
      <c r="D11" s="354"/>
      <c r="E11" s="377"/>
      <c r="H11" s="354"/>
      <c r="I11" s="377"/>
      <c r="J11" s="354"/>
      <c r="K11" s="377"/>
      <c r="L11" s="354"/>
    </row>
    <row r="12" spans="2:14" ht="15" customHeight="1" x14ac:dyDescent="0.15">
      <c r="C12" s="354" t="s">
        <v>541</v>
      </c>
      <c r="F12" s="379">
        <v>0</v>
      </c>
      <c r="G12" s="366"/>
      <c r="H12" s="379">
        <f>'Cost Centres'!AA97</f>
        <v>153552.02000000002</v>
      </c>
      <c r="I12" s="366"/>
      <c r="J12" s="379">
        <f>'Cost Centres'!AB97</f>
        <v>76928.509999999995</v>
      </c>
      <c r="K12" s="366"/>
      <c r="L12" s="379">
        <f>SUM(F12:J12)</f>
        <v>230480.53000000003</v>
      </c>
    </row>
    <row r="13" spans="2:14" ht="15" customHeight="1" x14ac:dyDescent="0.15">
      <c r="D13" s="354"/>
      <c r="E13" s="377"/>
      <c r="F13" s="379"/>
      <c r="G13" s="366"/>
      <c r="H13" s="379"/>
      <c r="I13" s="366"/>
      <c r="J13" s="379"/>
      <c r="K13" s="366"/>
      <c r="L13" s="379"/>
    </row>
    <row r="14" spans="2:14" ht="15" customHeight="1" x14ac:dyDescent="0.15">
      <c r="C14" s="354" t="s">
        <v>607</v>
      </c>
      <c r="F14" s="379">
        <f>L33</f>
        <v>332904.07</v>
      </c>
      <c r="G14" s="366"/>
      <c r="H14" s="379">
        <f>'Cost Centres'!W97</f>
        <v>1487785.8</v>
      </c>
      <c r="I14" s="366"/>
      <c r="J14" s="379">
        <f>'Cost Centres'!X97</f>
        <v>371988.71999999991</v>
      </c>
      <c r="K14" s="366"/>
      <c r="L14" s="379">
        <f>SUM(F14:J14)</f>
        <v>2192678.59</v>
      </c>
    </row>
    <row r="15" spans="2:14" ht="15" customHeight="1" thickBot="1" x14ac:dyDescent="0.2">
      <c r="C15" s="354" t="s">
        <v>543</v>
      </c>
      <c r="D15" s="354"/>
      <c r="E15" s="377"/>
      <c r="F15" s="380">
        <f>SUM(F12:F14)</f>
        <v>332904.07</v>
      </c>
      <c r="G15" s="366"/>
      <c r="H15" s="380">
        <f>SUM(H12:H14)</f>
        <v>1641337.82</v>
      </c>
      <c r="I15" s="366"/>
      <c r="J15" s="380">
        <f>SUM(J12:J14)</f>
        <v>448917.22999999992</v>
      </c>
      <c r="K15" s="366"/>
      <c r="L15" s="380">
        <f>SUM(L12:L14)</f>
        <v>2423159.12</v>
      </c>
      <c r="N15" s="458">
        <f>SUM(TB!E60:E139)-L15</f>
        <v>0</v>
      </c>
    </row>
    <row r="16" spans="2:14" ht="15" customHeight="1" thickTop="1" x14ac:dyDescent="0.15">
      <c r="B16" s="354"/>
      <c r="C16" s="354"/>
      <c r="D16" s="354"/>
      <c r="E16" s="377"/>
      <c r="F16" s="381"/>
      <c r="G16" s="381"/>
      <c r="H16" s="381"/>
      <c r="I16" s="381"/>
      <c r="J16" s="381"/>
      <c r="K16" s="381"/>
      <c r="L16" s="381"/>
    </row>
    <row r="17" spans="1:12" ht="15" customHeight="1" x14ac:dyDescent="0.15">
      <c r="B17" s="354"/>
      <c r="C17" s="354"/>
      <c r="D17" s="354"/>
      <c r="E17" s="377"/>
      <c r="F17" s="474" t="s">
        <v>604</v>
      </c>
      <c r="G17" s="474"/>
      <c r="H17" s="474"/>
      <c r="I17" s="474"/>
      <c r="J17" s="474"/>
      <c r="K17" s="474"/>
      <c r="L17" s="474"/>
    </row>
    <row r="18" spans="1:12" ht="15" customHeight="1" x14ac:dyDescent="0.15">
      <c r="B18" s="354"/>
      <c r="C18" s="354"/>
      <c r="D18" s="354"/>
      <c r="E18" s="377"/>
      <c r="F18" s="280" t="s">
        <v>364</v>
      </c>
      <c r="G18" s="328"/>
      <c r="H18" s="280" t="s">
        <v>365</v>
      </c>
      <c r="I18" s="328"/>
      <c r="J18" s="280" t="s">
        <v>366</v>
      </c>
      <c r="K18" s="328"/>
      <c r="L18" s="280" t="s">
        <v>284</v>
      </c>
    </row>
    <row r="19" spans="1:12" ht="15" customHeight="1" x14ac:dyDescent="0.15">
      <c r="B19" s="354"/>
      <c r="C19" s="354"/>
      <c r="D19" s="354"/>
      <c r="E19" s="377"/>
      <c r="F19" s="280" t="s">
        <v>363</v>
      </c>
      <c r="G19" s="328"/>
      <c r="H19" s="280" t="s">
        <v>363</v>
      </c>
      <c r="I19" s="328"/>
      <c r="J19" s="280" t="s">
        <v>363</v>
      </c>
      <c r="K19" s="328"/>
      <c r="L19" s="280" t="s">
        <v>363</v>
      </c>
    </row>
    <row r="20" spans="1:12" ht="15" customHeight="1" x14ac:dyDescent="0.15">
      <c r="B20" s="354"/>
      <c r="C20" s="354"/>
      <c r="D20" s="354"/>
      <c r="E20" s="377"/>
      <c r="H20" s="354"/>
      <c r="I20" s="377"/>
      <c r="J20" s="354"/>
      <c r="K20" s="377"/>
      <c r="L20" s="354"/>
    </row>
    <row r="21" spans="1:12" ht="15" customHeight="1" x14ac:dyDescent="0.15">
      <c r="C21" s="354" t="s">
        <v>541</v>
      </c>
      <c r="D21" s="354"/>
      <c r="E21" s="377"/>
      <c r="F21" s="379">
        <v>0</v>
      </c>
      <c r="G21" s="366"/>
      <c r="H21" s="379">
        <v>51360.83</v>
      </c>
      <c r="I21" s="366"/>
      <c r="J21" s="379">
        <v>91910.37000000001</v>
      </c>
      <c r="K21" s="366"/>
      <c r="L21" s="379">
        <f>SUM(F21:J21)</f>
        <v>143271.20000000001</v>
      </c>
    </row>
    <row r="22" spans="1:12" ht="15" customHeight="1" x14ac:dyDescent="0.15">
      <c r="D22" s="354"/>
      <c r="E22" s="377"/>
      <c r="F22" s="379"/>
      <c r="G22" s="366"/>
      <c r="H22" s="379"/>
      <c r="I22" s="366"/>
      <c r="J22" s="379"/>
      <c r="K22" s="366"/>
      <c r="L22" s="379"/>
    </row>
    <row r="23" spans="1:12" ht="15" customHeight="1" x14ac:dyDescent="0.15">
      <c r="C23" s="354" t="s">
        <v>607</v>
      </c>
      <c r="D23" s="354"/>
      <c r="E23" s="377"/>
      <c r="F23" s="441">
        <f>L43</f>
        <v>471837.24</v>
      </c>
      <c r="G23" s="366"/>
      <c r="H23" s="379">
        <v>935130.94</v>
      </c>
      <c r="I23" s="366"/>
      <c r="J23" s="379">
        <v>272407.06000000006</v>
      </c>
      <c r="K23" s="366"/>
      <c r="L23" s="379">
        <f>SUM(F23:J23)</f>
        <v>1679375.24</v>
      </c>
    </row>
    <row r="24" spans="1:12" ht="15" customHeight="1" thickBot="1" x14ac:dyDescent="0.2">
      <c r="C24" s="354" t="s">
        <v>543</v>
      </c>
      <c r="D24" s="354"/>
      <c r="E24" s="377"/>
      <c r="F24" s="380">
        <f>SUM(F21:F23)</f>
        <v>471837.24</v>
      </c>
      <c r="G24" s="366"/>
      <c r="H24" s="380">
        <f>SUM(H21:H23)</f>
        <v>986491.7699999999</v>
      </c>
      <c r="I24" s="366"/>
      <c r="J24" s="380">
        <f>SUM(J21:J23)</f>
        <v>364317.43000000005</v>
      </c>
      <c r="K24" s="366"/>
      <c r="L24" s="380">
        <f>SUM(L21:L23)</f>
        <v>1822646.44</v>
      </c>
    </row>
    <row r="25" spans="1:12" ht="15" customHeight="1" thickTop="1" x14ac:dyDescent="0.15">
      <c r="B25" s="354"/>
      <c r="C25" s="354"/>
      <c r="D25" s="354"/>
      <c r="E25" s="377"/>
      <c r="F25" s="381"/>
      <c r="G25" s="381"/>
      <c r="H25" s="381"/>
      <c r="I25" s="381"/>
      <c r="J25" s="381"/>
      <c r="K25" s="381"/>
      <c r="L25" s="381"/>
    </row>
    <row r="26" spans="1:12" ht="15" customHeight="1" x14ac:dyDescent="0.15">
      <c r="B26" s="354" t="s">
        <v>608</v>
      </c>
      <c r="C26" s="354" t="s">
        <v>609</v>
      </c>
      <c r="D26" s="354"/>
      <c r="E26" s="377"/>
      <c r="F26" s="354"/>
      <c r="G26" s="377"/>
      <c r="H26" s="354"/>
      <c r="I26" s="377"/>
      <c r="J26" s="354"/>
      <c r="K26" s="377"/>
      <c r="L26" s="354"/>
    </row>
    <row r="27" spans="1:12" ht="15" customHeight="1" x14ac:dyDescent="0.15">
      <c r="D27" s="474" t="s">
        <v>692</v>
      </c>
      <c r="E27" s="474"/>
      <c r="F27" s="474"/>
      <c r="G27" s="474"/>
      <c r="H27" s="474"/>
      <c r="I27" s="474"/>
      <c r="J27" s="474"/>
      <c r="K27" s="474"/>
      <c r="L27" s="474"/>
    </row>
    <row r="28" spans="1:12" s="275" customFormat="1" ht="39.75" customHeight="1" x14ac:dyDescent="0.2">
      <c r="A28" s="133"/>
      <c r="B28" s="384"/>
      <c r="C28" s="384"/>
      <c r="D28" s="385" t="s">
        <v>367</v>
      </c>
      <c r="E28" s="386"/>
      <c r="F28" s="385" t="s">
        <v>368</v>
      </c>
      <c r="G28" s="386"/>
      <c r="H28" s="385" t="s">
        <v>369</v>
      </c>
      <c r="I28" s="386"/>
      <c r="J28" s="385" t="s">
        <v>370</v>
      </c>
      <c r="K28" s="386"/>
      <c r="L28" s="387" t="s">
        <v>284</v>
      </c>
    </row>
    <row r="29" spans="1:12" ht="15" customHeight="1" x14ac:dyDescent="0.15">
      <c r="B29" s="354"/>
      <c r="C29" s="354"/>
      <c r="D29" s="280" t="s">
        <v>363</v>
      </c>
      <c r="E29" s="328"/>
      <c r="F29" s="280" t="s">
        <v>363</v>
      </c>
      <c r="G29" s="328"/>
      <c r="H29" s="280" t="s">
        <v>363</v>
      </c>
      <c r="I29" s="328"/>
      <c r="J29" s="280" t="s">
        <v>363</v>
      </c>
      <c r="K29" s="328"/>
      <c r="L29" s="280" t="s">
        <v>363</v>
      </c>
    </row>
    <row r="30" spans="1:12" ht="15" customHeight="1" x14ac:dyDescent="0.15"/>
    <row r="31" spans="1:12" ht="15" customHeight="1" x14ac:dyDescent="0.15">
      <c r="C31" s="354" t="s">
        <v>541</v>
      </c>
      <c r="D31" s="379">
        <v>0</v>
      </c>
      <c r="E31" s="366"/>
      <c r="F31" s="379">
        <v>0</v>
      </c>
      <c r="G31" s="366"/>
      <c r="H31" s="379">
        <v>0</v>
      </c>
      <c r="I31" s="366"/>
      <c r="J31" s="379">
        <v>0</v>
      </c>
      <c r="K31" s="366"/>
      <c r="L31" s="379">
        <f>SUM(D31:J31)</f>
        <v>0</v>
      </c>
    </row>
    <row r="32" spans="1:12" ht="15" customHeight="1" x14ac:dyDescent="0.15">
      <c r="D32" s="388"/>
      <c r="E32" s="389"/>
      <c r="F32" s="379"/>
      <c r="G32" s="366"/>
      <c r="H32" s="379"/>
      <c r="I32" s="366"/>
      <c r="J32" s="379"/>
      <c r="K32" s="366"/>
      <c r="L32" s="379"/>
    </row>
    <row r="33" spans="2:12" ht="15" customHeight="1" x14ac:dyDescent="0.15">
      <c r="C33" s="354" t="s">
        <v>607</v>
      </c>
      <c r="D33" s="379">
        <f>'Cost Centres'!S97</f>
        <v>30860.010000000002</v>
      </c>
      <c r="E33" s="366"/>
      <c r="F33" s="379">
        <f>'Cost Centres'!T97</f>
        <v>128712.62</v>
      </c>
      <c r="G33" s="366"/>
      <c r="H33" s="379">
        <f>'Cost Centres'!U97</f>
        <v>126897.05</v>
      </c>
      <c r="I33" s="366"/>
      <c r="J33" s="379">
        <f>'Cost Centres'!V97</f>
        <v>46434.39</v>
      </c>
      <c r="K33" s="366"/>
      <c r="L33" s="379">
        <f>SUM(D33:J33)</f>
        <v>332904.07</v>
      </c>
    </row>
    <row r="34" spans="2:12" ht="15" customHeight="1" x14ac:dyDescent="0.15">
      <c r="D34" s="379"/>
      <c r="E34" s="366"/>
      <c r="F34" s="379"/>
      <c r="G34" s="366"/>
      <c r="H34" s="379"/>
      <c r="I34" s="366"/>
      <c r="J34" s="379"/>
      <c r="K34" s="366"/>
      <c r="L34" s="379"/>
    </row>
    <row r="35" spans="2:12" ht="15" customHeight="1" thickBot="1" x14ac:dyDescent="0.2">
      <c r="C35" s="354" t="s">
        <v>610</v>
      </c>
      <c r="D35" s="380">
        <f>SUM(D31:D34)</f>
        <v>30860.010000000002</v>
      </c>
      <c r="E35" s="366"/>
      <c r="F35" s="380">
        <f t="shared" ref="F35:L35" si="0">SUM(F31:F34)</f>
        <v>128712.62</v>
      </c>
      <c r="G35" s="366"/>
      <c r="H35" s="380">
        <f t="shared" si="0"/>
        <v>126897.05</v>
      </c>
      <c r="I35" s="366"/>
      <c r="J35" s="380">
        <f t="shared" si="0"/>
        <v>46434.39</v>
      </c>
      <c r="K35" s="366"/>
      <c r="L35" s="380">
        <f t="shared" si="0"/>
        <v>332904.07</v>
      </c>
    </row>
    <row r="36" spans="2:12" ht="15" customHeight="1" thickTop="1" x14ac:dyDescent="0.15"/>
    <row r="37" spans="2:12" ht="15" customHeight="1" x14ac:dyDescent="0.15">
      <c r="D37" s="474" t="s">
        <v>604</v>
      </c>
      <c r="E37" s="474"/>
      <c r="F37" s="474"/>
      <c r="G37" s="474"/>
      <c r="H37" s="474"/>
      <c r="I37" s="474"/>
      <c r="J37" s="474"/>
      <c r="K37" s="474"/>
      <c r="L37" s="474"/>
    </row>
    <row r="38" spans="2:12" ht="39.75" customHeight="1" x14ac:dyDescent="0.15">
      <c r="D38" s="385" t="s">
        <v>367</v>
      </c>
      <c r="E38" s="386"/>
      <c r="F38" s="385" t="s">
        <v>368</v>
      </c>
      <c r="G38" s="386"/>
      <c r="H38" s="385" t="s">
        <v>369</v>
      </c>
      <c r="I38" s="386"/>
      <c r="J38" s="385" t="s">
        <v>370</v>
      </c>
      <c r="K38" s="386"/>
      <c r="L38" s="387" t="s">
        <v>284</v>
      </c>
    </row>
    <row r="39" spans="2:12" ht="15" customHeight="1" x14ac:dyDescent="0.15">
      <c r="D39" s="280" t="s">
        <v>363</v>
      </c>
      <c r="E39" s="328"/>
      <c r="F39" s="280" t="s">
        <v>363</v>
      </c>
      <c r="G39" s="328"/>
      <c r="H39" s="280" t="s">
        <v>363</v>
      </c>
      <c r="I39" s="328"/>
      <c r="J39" s="280" t="s">
        <v>363</v>
      </c>
      <c r="K39" s="328"/>
      <c r="L39" s="280" t="s">
        <v>363</v>
      </c>
    </row>
    <row r="40" spans="2:12" ht="15" customHeight="1" x14ac:dyDescent="0.15"/>
    <row r="41" spans="2:12" ht="15" customHeight="1" x14ac:dyDescent="0.15">
      <c r="C41" s="354" t="s">
        <v>541</v>
      </c>
      <c r="D41" s="379">
        <v>0</v>
      </c>
      <c r="E41" s="366"/>
      <c r="F41" s="379">
        <v>0</v>
      </c>
      <c r="G41" s="366"/>
      <c r="H41" s="379">
        <v>0</v>
      </c>
      <c r="I41" s="366"/>
      <c r="J41" s="379">
        <v>0</v>
      </c>
      <c r="K41" s="366"/>
      <c r="L41" s="379">
        <f>SUM(D41:J41)</f>
        <v>0</v>
      </c>
    </row>
    <row r="42" spans="2:12" ht="15" customHeight="1" x14ac:dyDescent="0.15">
      <c r="D42" s="388"/>
      <c r="E42" s="389"/>
      <c r="F42" s="379"/>
      <c r="G42" s="366"/>
      <c r="H42" s="379"/>
      <c r="I42" s="366"/>
      <c r="J42" s="379"/>
      <c r="K42" s="366"/>
      <c r="L42" s="379"/>
    </row>
    <row r="43" spans="2:12" ht="15" customHeight="1" x14ac:dyDescent="0.15">
      <c r="C43" s="354" t="s">
        <v>607</v>
      </c>
      <c r="D43" s="379">
        <v>67805.930000000008</v>
      </c>
      <c r="E43" s="366"/>
      <c r="F43" s="379">
        <v>126813.42</v>
      </c>
      <c r="G43" s="366"/>
      <c r="H43" s="379">
        <v>195352.09</v>
      </c>
      <c r="I43" s="366"/>
      <c r="J43" s="379">
        <v>81865.8</v>
      </c>
      <c r="K43" s="366"/>
      <c r="L43" s="379">
        <f>SUM(D43:J43)</f>
        <v>471837.24</v>
      </c>
    </row>
    <row r="44" spans="2:12" ht="15" customHeight="1" x14ac:dyDescent="0.15">
      <c r="D44" s="379"/>
      <c r="E44" s="366"/>
      <c r="F44" s="379"/>
      <c r="G44" s="366"/>
      <c r="H44" s="379"/>
      <c r="I44" s="366"/>
      <c r="J44" s="379"/>
      <c r="K44" s="366"/>
      <c r="L44" s="379">
        <f>SUM(D44:J44)</f>
        <v>0</v>
      </c>
    </row>
    <row r="45" spans="2:12" ht="15" customHeight="1" thickBot="1" x14ac:dyDescent="0.2">
      <c r="C45" s="354" t="s">
        <v>610</v>
      </c>
      <c r="D45" s="380">
        <f>SUM(D41:D44)</f>
        <v>67805.930000000008</v>
      </c>
      <c r="E45" s="366"/>
      <c r="F45" s="380">
        <f t="shared" ref="F45" si="1">SUM(F41:F44)</f>
        <v>126813.42</v>
      </c>
      <c r="G45" s="366"/>
      <c r="H45" s="380">
        <f t="shared" ref="H45" si="2">SUM(H41:H44)</f>
        <v>195352.09</v>
      </c>
      <c r="I45" s="366"/>
      <c r="J45" s="380">
        <f t="shared" ref="J45" si="3">SUM(J41:J44)</f>
        <v>81865.8</v>
      </c>
      <c r="K45" s="366"/>
      <c r="L45" s="380">
        <f t="shared" ref="L45" si="4">SUM(L41:L44)</f>
        <v>471837.24</v>
      </c>
    </row>
    <row r="46" spans="2:12" ht="15" customHeight="1" thickTop="1" x14ac:dyDescent="0.15"/>
    <row r="47" spans="2:12" ht="15" customHeight="1" x14ac:dyDescent="0.15">
      <c r="C47" s="354"/>
      <c r="D47" s="354"/>
      <c r="E47" s="377"/>
      <c r="F47" s="354"/>
      <c r="G47" s="377"/>
      <c r="H47" s="354"/>
      <c r="I47" s="377"/>
      <c r="J47" s="354" t="s">
        <v>693</v>
      </c>
      <c r="K47" s="377"/>
      <c r="L47" s="354" t="s">
        <v>587</v>
      </c>
    </row>
    <row r="48" spans="2:12" ht="15" customHeight="1" x14ac:dyDescent="0.15">
      <c r="B48" s="354" t="s">
        <v>611</v>
      </c>
      <c r="C48" s="354" t="s">
        <v>612</v>
      </c>
      <c r="D48" s="354"/>
      <c r="E48" s="377"/>
      <c r="J48" s="359">
        <v>44286</v>
      </c>
      <c r="K48" s="328"/>
      <c r="L48" s="359">
        <v>43921</v>
      </c>
    </row>
    <row r="49" spans="2:12" ht="15" customHeight="1" x14ac:dyDescent="0.15">
      <c r="B49" s="354"/>
      <c r="C49" s="354"/>
      <c r="D49" s="354"/>
      <c r="E49" s="377"/>
      <c r="J49" s="280" t="s">
        <v>363</v>
      </c>
      <c r="K49" s="328"/>
      <c r="L49" s="280" t="s">
        <v>363</v>
      </c>
    </row>
    <row r="50" spans="2:12" ht="15" customHeight="1" x14ac:dyDescent="0.15">
      <c r="C50" s="355" t="s">
        <v>613</v>
      </c>
      <c r="J50" s="391">
        <f>'Cost Centres'!V97</f>
        <v>46434.39</v>
      </c>
      <c r="K50" s="390"/>
      <c r="L50" s="391">
        <v>81865.8</v>
      </c>
    </row>
    <row r="51" spans="2:12" ht="15" customHeight="1" thickBot="1" x14ac:dyDescent="0.2">
      <c r="J51" s="392">
        <f>SUM(J50:J50)</f>
        <v>46434.39</v>
      </c>
      <c r="K51" s="390"/>
      <c r="L51" s="392">
        <f>SUM(L50:L50)</f>
        <v>81865.8</v>
      </c>
    </row>
    <row r="52" spans="2:12" ht="13" thickTop="1" x14ac:dyDescent="0.15"/>
  </sheetData>
  <mergeCells count="4">
    <mergeCell ref="D37:L37"/>
    <mergeCell ref="F8:L8"/>
    <mergeCell ref="D27:L27"/>
    <mergeCell ref="F17:L17"/>
  </mergeCells>
  <printOptions horizontalCentered="1"/>
  <pageMargins left="0.23622047244094491" right="0.23622047244094491" top="0.61" bottom="0.49"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Q46"/>
  <sheetViews>
    <sheetView topLeftCell="B1" zoomScaleNormal="100" zoomScaleSheetLayoutView="100" workbookViewId="0">
      <selection activeCell="C38" sqref="C38"/>
    </sheetView>
  </sheetViews>
  <sheetFormatPr baseColWidth="10" defaultColWidth="9.1640625" defaultRowHeight="12" outlineLevelCol="1" x14ac:dyDescent="0.15"/>
  <cols>
    <col min="1" max="1" width="9.1640625" style="355" hidden="1" customWidth="1" outlineLevel="1"/>
    <col min="2" max="2" width="2.6640625" style="355" customWidth="1" collapsed="1"/>
    <col min="3" max="3" width="40.6640625" style="355" customWidth="1"/>
    <col min="4" max="4" width="10.6640625" style="355" customWidth="1"/>
    <col min="5" max="5" width="1.6640625" style="363" customWidth="1"/>
    <col min="6" max="6" width="10.6640625" style="355" customWidth="1"/>
    <col min="7" max="7" width="1.6640625" style="363" customWidth="1"/>
    <col min="8" max="8" width="10.6640625" style="355" customWidth="1"/>
    <col min="9" max="9" width="2.6640625" style="363" customWidth="1"/>
    <col min="10" max="10" width="10.6640625" style="355" customWidth="1"/>
    <col min="11" max="11" width="1.6640625" style="363" customWidth="1"/>
    <col min="12" max="12" width="10.6640625" style="355" customWidth="1"/>
    <col min="13" max="13" width="1.6640625" style="363" customWidth="1"/>
    <col min="14" max="14" width="10.6640625" style="355" customWidth="1"/>
    <col min="15" max="15" width="2.33203125" style="355" customWidth="1"/>
    <col min="16" max="16384" width="9.1640625" style="355"/>
  </cols>
  <sheetData>
    <row r="1" spans="1:16" ht="15" customHeight="1" x14ac:dyDescent="0.15">
      <c r="B1" s="354" t="s">
        <v>528</v>
      </c>
      <c r="C1" s="354"/>
      <c r="D1" s="354"/>
      <c r="E1" s="377"/>
      <c r="F1" s="354"/>
      <c r="G1" s="377"/>
      <c r="H1" s="354"/>
      <c r="I1" s="377"/>
      <c r="J1" s="354"/>
      <c r="K1" s="377"/>
      <c r="L1" s="354"/>
      <c r="M1" s="377"/>
      <c r="N1" s="354"/>
      <c r="O1" s="341"/>
      <c r="P1" s="354"/>
    </row>
    <row r="2" spans="1:16" ht="15" customHeight="1" x14ac:dyDescent="0.15">
      <c r="B2" s="354"/>
    </row>
    <row r="3" spans="1:16" ht="15" customHeight="1" x14ac:dyDescent="0.15">
      <c r="B3" s="354" t="s">
        <v>584</v>
      </c>
      <c r="C3" s="354"/>
      <c r="D3" s="354"/>
      <c r="E3" s="377"/>
      <c r="F3" s="354"/>
      <c r="G3" s="377"/>
      <c r="H3" s="354"/>
      <c r="I3" s="377"/>
      <c r="J3" s="354"/>
      <c r="K3" s="377"/>
      <c r="L3" s="354"/>
      <c r="M3" s="377"/>
      <c r="N3" s="354"/>
      <c r="O3" s="354"/>
    </row>
    <row r="4" spans="1:16" ht="15" customHeight="1" x14ac:dyDescent="0.15">
      <c r="B4" s="354"/>
    </row>
    <row r="5" spans="1:16" ht="15" customHeight="1" x14ac:dyDescent="0.15">
      <c r="B5" s="279" t="str">
        <f>'Consolidated SOFA'!$B$6</f>
        <v>FOR THE YEAR ENDED 31 MARCH 2021</v>
      </c>
      <c r="C5" s="354"/>
      <c r="D5" s="354"/>
      <c r="E5" s="377"/>
      <c r="F5" s="354"/>
      <c r="G5" s="377"/>
      <c r="H5" s="354"/>
      <c r="I5" s="377"/>
      <c r="J5" s="354"/>
      <c r="K5" s="377"/>
      <c r="L5" s="354"/>
      <c r="M5" s="377"/>
      <c r="N5" s="354"/>
      <c r="O5" s="354"/>
    </row>
    <row r="6" spans="1:16" ht="15" customHeight="1" x14ac:dyDescent="0.15">
      <c r="B6" s="356"/>
      <c r="C6" s="356"/>
      <c r="D6" s="363"/>
      <c r="F6" s="363"/>
      <c r="H6" s="363"/>
      <c r="J6" s="363"/>
      <c r="L6" s="363"/>
      <c r="N6" s="363"/>
      <c r="O6" s="363"/>
    </row>
    <row r="7" spans="1:16" ht="15" customHeight="1" x14ac:dyDescent="0.15">
      <c r="D7" s="378"/>
      <c r="E7" s="378"/>
      <c r="F7" s="378"/>
      <c r="G7" s="378"/>
      <c r="H7" s="378"/>
      <c r="I7" s="378"/>
      <c r="J7" s="378"/>
      <c r="K7" s="378"/>
      <c r="L7" s="378"/>
      <c r="M7" s="378"/>
      <c r="N7" s="378"/>
      <c r="O7" s="378"/>
    </row>
    <row r="8" spans="1:16" ht="15" customHeight="1" x14ac:dyDescent="0.15">
      <c r="B8" s="357" t="s">
        <v>602</v>
      </c>
      <c r="C8" s="354" t="s">
        <v>614</v>
      </c>
      <c r="D8" s="363"/>
      <c r="F8" s="427">
        <v>2021</v>
      </c>
      <c r="H8" s="363"/>
      <c r="J8" s="363"/>
      <c r="L8" s="427">
        <v>2020</v>
      </c>
      <c r="N8" s="363"/>
      <c r="O8" s="363"/>
    </row>
    <row r="9" spans="1:16" x14ac:dyDescent="0.15">
      <c r="D9" s="280"/>
      <c r="E9" s="280"/>
      <c r="F9" s="280"/>
      <c r="G9" s="354"/>
      <c r="H9" s="354" t="s">
        <v>693</v>
      </c>
      <c r="I9" s="354"/>
      <c r="J9" s="428"/>
      <c r="K9" s="428"/>
      <c r="L9" s="428"/>
      <c r="M9" s="354"/>
      <c r="N9" s="354" t="s">
        <v>587</v>
      </c>
      <c r="O9" s="354"/>
    </row>
    <row r="10" spans="1:16" x14ac:dyDescent="0.15">
      <c r="D10" s="358" t="s">
        <v>280</v>
      </c>
      <c r="E10" s="358"/>
      <c r="F10" s="358" t="s">
        <v>362</v>
      </c>
      <c r="H10" s="359">
        <v>44286</v>
      </c>
      <c r="J10" s="358" t="s">
        <v>280</v>
      </c>
      <c r="K10" s="358"/>
      <c r="L10" s="358" t="s">
        <v>362</v>
      </c>
      <c r="N10" s="359">
        <v>43921</v>
      </c>
    </row>
    <row r="11" spans="1:16" x14ac:dyDescent="0.15">
      <c r="C11" s="354" t="s">
        <v>542</v>
      </c>
      <c r="D11" s="284" t="s">
        <v>363</v>
      </c>
      <c r="E11" s="284"/>
      <c r="F11" s="284" t="s">
        <v>363</v>
      </c>
      <c r="G11" s="377"/>
      <c r="H11" s="280" t="s">
        <v>363</v>
      </c>
      <c r="I11" s="377"/>
      <c r="J11" s="284" t="s">
        <v>363</v>
      </c>
      <c r="K11" s="284"/>
      <c r="L11" s="284" t="s">
        <v>363</v>
      </c>
      <c r="M11" s="377"/>
      <c r="N11" s="428" t="s">
        <v>363</v>
      </c>
    </row>
    <row r="13" spans="1:16" x14ac:dyDescent="0.15">
      <c r="C13" s="355" t="s">
        <v>615</v>
      </c>
    </row>
    <row r="14" spans="1:16" ht="13" x14ac:dyDescent="0.15">
      <c r="A14" s="306" t="s">
        <v>375</v>
      </c>
      <c r="C14" s="436" t="s">
        <v>616</v>
      </c>
      <c r="D14" s="334">
        <f>VLOOKUP($A14,'Prog costs'!$A$69:$AB$88,'Prog costs'!$AA$4,FALSE)</f>
        <v>242000</v>
      </c>
      <c r="F14" s="334">
        <f>H14-D14</f>
        <v>0</v>
      </c>
      <c r="H14" s="334">
        <f>VLOOKUP($A14,'Prog costs'!$A$69:$AB$88,'Prog costs'!$AB$4,FALSE)</f>
        <v>242000</v>
      </c>
      <c r="J14" s="334">
        <v>0</v>
      </c>
      <c r="L14" s="334">
        <f>N14-J14</f>
        <v>95000</v>
      </c>
      <c r="N14" s="334">
        <v>95000</v>
      </c>
    </row>
    <row r="15" spans="1:16" x14ac:dyDescent="0.15">
      <c r="A15" s="306" t="s">
        <v>523</v>
      </c>
      <c r="C15" s="393" t="s">
        <v>704</v>
      </c>
      <c r="D15" s="334">
        <f>VLOOKUP($A15,'Prog costs'!$A$69:$AB$88,'Prog costs'!$AA$4,FALSE)</f>
        <v>25645</v>
      </c>
      <c r="F15" s="334">
        <f>H15-D15</f>
        <v>0</v>
      </c>
      <c r="H15" s="334">
        <f>VLOOKUP($A15,'Prog costs'!$A$69:$AB$88,'Prog costs'!$AB$4,FALSE)</f>
        <v>25645</v>
      </c>
      <c r="J15" s="334">
        <v>0</v>
      </c>
      <c r="L15" s="334">
        <f>N15-J15</f>
        <v>0</v>
      </c>
      <c r="N15" s="334">
        <v>0</v>
      </c>
    </row>
    <row r="16" spans="1:16" x14ac:dyDescent="0.15">
      <c r="A16" s="306" t="s">
        <v>376</v>
      </c>
      <c r="C16" s="393" t="s">
        <v>617</v>
      </c>
      <c r="D16" s="334">
        <f>VLOOKUP($A16,'Prog costs'!$A$69:$AB$88,'Prog costs'!$AA$4,FALSE)</f>
        <v>0</v>
      </c>
      <c r="F16" s="334">
        <f>H16-D16</f>
        <v>0</v>
      </c>
      <c r="H16" s="334">
        <f>VLOOKUP($A16,'Prog costs'!$A$69:$AB$88,'Prog costs'!$AB$4,FALSE)</f>
        <v>0</v>
      </c>
      <c r="J16" s="334">
        <v>0</v>
      </c>
      <c r="L16" s="334">
        <f>N16-J16</f>
        <v>13308</v>
      </c>
      <c r="N16" s="334">
        <v>13308</v>
      </c>
    </row>
    <row r="17" spans="1:14" x14ac:dyDescent="0.15">
      <c r="A17" s="306"/>
      <c r="C17" s="393" t="s">
        <v>218</v>
      </c>
      <c r="D17" s="334"/>
      <c r="F17" s="334"/>
      <c r="H17" s="334"/>
      <c r="J17" s="334"/>
      <c r="L17" s="334"/>
      <c r="N17" s="334"/>
    </row>
    <row r="18" spans="1:14" ht="39" x14ac:dyDescent="0.15">
      <c r="A18" s="306" t="s">
        <v>378</v>
      </c>
      <c r="C18" s="394" t="s">
        <v>717</v>
      </c>
      <c r="D18" s="334">
        <f>VLOOKUP($A18,'Prog costs'!$A$69:$AB$88,'Prog costs'!$AA$4,FALSE)</f>
        <v>0</v>
      </c>
      <c r="F18" s="334">
        <f>H18-D18</f>
        <v>1205699.7999999998</v>
      </c>
      <c r="H18" s="334">
        <f>VLOOKUP($A18,'Prog costs'!$A$69:$AB$88,'Prog costs'!$AB$4,FALSE)</f>
        <v>1205699.7999999998</v>
      </c>
      <c r="J18" s="334">
        <v>37644</v>
      </c>
      <c r="L18" s="334">
        <f>N18-J18</f>
        <v>0</v>
      </c>
      <c r="N18" s="334">
        <v>37644</v>
      </c>
    </row>
    <row r="19" spans="1:14" ht="39" x14ac:dyDescent="0.15">
      <c r="A19" s="306" t="s">
        <v>488</v>
      </c>
      <c r="C19" s="436" t="s">
        <v>718</v>
      </c>
      <c r="D19" s="334">
        <f>VLOOKUP($A19,'Prog costs'!$A$69:$AB$88,'Prog costs'!$AA$4,FALSE)</f>
        <v>0</v>
      </c>
      <c r="F19" s="334">
        <f>H19-D19</f>
        <v>295165.05</v>
      </c>
      <c r="H19" s="334">
        <f>VLOOKUP($A19,'Prog costs'!$A$69:$AB$88,'Prog costs'!$AB$4,FALSE)</f>
        <v>295165.05</v>
      </c>
      <c r="J19" s="334">
        <v>0</v>
      </c>
      <c r="L19" s="334">
        <f>N19-J19</f>
        <v>0</v>
      </c>
      <c r="N19" s="334">
        <v>0</v>
      </c>
    </row>
    <row r="20" spans="1:14" ht="13" x14ac:dyDescent="0.15">
      <c r="A20" s="306"/>
      <c r="C20" s="436" t="s">
        <v>706</v>
      </c>
      <c r="D20" s="334"/>
      <c r="F20" s="334"/>
      <c r="H20" s="334"/>
      <c r="J20" s="334"/>
      <c r="L20" s="334"/>
      <c r="N20" s="334"/>
    </row>
    <row r="21" spans="1:14" ht="26" x14ac:dyDescent="0.15">
      <c r="A21" s="306"/>
      <c r="C21" s="436" t="s">
        <v>708</v>
      </c>
      <c r="D21" s="334">
        <v>0</v>
      </c>
      <c r="F21" s="334">
        <v>1500653.57</v>
      </c>
      <c r="H21" s="334">
        <f>SUM(D21:F21)</f>
        <v>1500653.57</v>
      </c>
      <c r="J21" s="334">
        <v>0</v>
      </c>
      <c r="L21" s="334">
        <f t="shared" ref="L21:L22" si="0">N21-J21</f>
        <v>0</v>
      </c>
      <c r="N21" s="334">
        <v>0</v>
      </c>
    </row>
    <row r="22" spans="1:14" ht="13" x14ac:dyDescent="0.15">
      <c r="A22" s="306" t="s">
        <v>518</v>
      </c>
      <c r="C22" s="436" t="s">
        <v>707</v>
      </c>
      <c r="D22" s="334">
        <f>VLOOKUP($A22,'Prog costs'!$A$69:$AB$88,'Prog costs'!$AA$4,FALSE)-D21</f>
        <v>0</v>
      </c>
      <c r="F22" s="334">
        <f t="shared" ref="F22" si="1">H22-D22</f>
        <v>137703.29000000004</v>
      </c>
      <c r="H22" s="334">
        <f>VLOOKUP($A22,'Prog costs'!$A$69:$AB$88,'Prog costs'!$AB$4,FALSE)-H21</f>
        <v>137703.29000000004</v>
      </c>
      <c r="J22" s="334">
        <v>0</v>
      </c>
      <c r="L22" s="334">
        <f t="shared" si="0"/>
        <v>0</v>
      </c>
      <c r="N22" s="334">
        <v>0</v>
      </c>
    </row>
    <row r="23" spans="1:14" x14ac:dyDescent="0.15">
      <c r="A23" s="306"/>
      <c r="C23" s="393" t="s">
        <v>227</v>
      </c>
      <c r="D23" s="334"/>
      <c r="F23" s="334"/>
      <c r="H23" s="334"/>
      <c r="J23" s="334"/>
      <c r="L23" s="334"/>
      <c r="N23" s="334"/>
    </row>
    <row r="24" spans="1:14" ht="26" x14ac:dyDescent="0.15">
      <c r="A24" s="306" t="s">
        <v>379</v>
      </c>
      <c r="C24" s="394" t="s">
        <v>709</v>
      </c>
      <c r="D24" s="334">
        <f>VLOOKUP($A24,'Prog costs'!$A$69:$AB$88,'Prog costs'!$AA$4,FALSE)</f>
        <v>90256</v>
      </c>
      <c r="F24" s="334">
        <f>H24-D24</f>
        <v>73075.31</v>
      </c>
      <c r="H24" s="334">
        <f>VLOOKUP($A24,'Prog costs'!$A$69:$AB$88,'Prog costs'!$AB$4,FALSE)</f>
        <v>163331.31</v>
      </c>
      <c r="J24" s="334">
        <v>965094.1</v>
      </c>
      <c r="L24" s="334">
        <f>N24-J24</f>
        <v>422724.9</v>
      </c>
      <c r="N24" s="334">
        <v>1387819</v>
      </c>
    </row>
    <row r="25" spans="1:14" x14ac:dyDescent="0.15">
      <c r="A25" s="306"/>
      <c r="C25" s="393" t="s">
        <v>235</v>
      </c>
      <c r="D25" s="334"/>
      <c r="F25" s="334"/>
      <c r="H25" s="334"/>
      <c r="J25" s="334"/>
      <c r="L25" s="334"/>
      <c r="N25" s="334"/>
    </row>
    <row r="26" spans="1:14" x14ac:dyDescent="0.15">
      <c r="A26" s="306"/>
      <c r="C26" s="393" t="s">
        <v>618</v>
      </c>
      <c r="D26" s="334">
        <f>100000+92359</f>
        <v>192359</v>
      </c>
      <c r="E26" s="440"/>
      <c r="F26" s="334">
        <f>-92359</f>
        <v>-92359</v>
      </c>
      <c r="H26" s="334">
        <f>SUM(D26:F26)</f>
        <v>100000</v>
      </c>
      <c r="J26" s="334">
        <v>8432</v>
      </c>
      <c r="L26" s="334">
        <f>737275+22613</f>
        <v>759888</v>
      </c>
      <c r="N26" s="334">
        <v>768320</v>
      </c>
    </row>
    <row r="27" spans="1:14" ht="26" x14ac:dyDescent="0.15">
      <c r="A27" s="306" t="s">
        <v>382</v>
      </c>
      <c r="C27" s="394" t="s">
        <v>710</v>
      </c>
      <c r="D27" s="334">
        <f>VLOOKUP($A27,'Prog costs'!$A$69:$AB$88,'Prog costs'!$AA$4,FALSE)-D26</f>
        <v>14745.600000000006</v>
      </c>
      <c r="F27" s="334">
        <f t="shared" ref="F27" si="2">H27-D27</f>
        <v>29491.199999999983</v>
      </c>
      <c r="H27" s="334">
        <f>VLOOKUP($A27,'Prog costs'!$A$69:$AB$88,'Prog costs'!$AB$4,FALSE)-H26</f>
        <v>44236.799999999988</v>
      </c>
      <c r="J27" s="334">
        <v>4920</v>
      </c>
      <c r="L27" s="334">
        <f>N27-J27</f>
        <v>14745.599999999977</v>
      </c>
      <c r="N27" s="334">
        <v>19665.599999999977</v>
      </c>
    </row>
    <row r="28" spans="1:14" x14ac:dyDescent="0.15">
      <c r="A28" s="306"/>
      <c r="C28" s="393" t="s">
        <v>238</v>
      </c>
      <c r="D28" s="334"/>
      <c r="F28" s="334"/>
      <c r="H28" s="334"/>
      <c r="J28" s="334"/>
      <c r="L28" s="334"/>
      <c r="N28" s="334"/>
    </row>
    <row r="29" spans="1:14" ht="26" x14ac:dyDescent="0.15">
      <c r="A29" s="306"/>
      <c r="C29" s="394" t="s">
        <v>715</v>
      </c>
      <c r="D29" s="334">
        <v>1373837</v>
      </c>
      <c r="F29" s="334">
        <v>0</v>
      </c>
      <c r="H29" s="334">
        <f>SUM(D29:F29)</f>
        <v>1373837</v>
      </c>
      <c r="J29" s="334"/>
      <c r="L29" s="334">
        <f>920000+56847+53000</f>
        <v>1029847</v>
      </c>
      <c r="N29" s="334">
        <v>1029847</v>
      </c>
    </row>
    <row r="30" spans="1:14" ht="26" x14ac:dyDescent="0.15">
      <c r="A30" s="306" t="s">
        <v>377</v>
      </c>
      <c r="C30" s="394" t="s">
        <v>711</v>
      </c>
      <c r="D30" s="334">
        <f>VLOOKUP($A30,'Prog costs'!$A$69:$AB$88,'Prog costs'!$AA$4,FALSE)-D29</f>
        <v>58605.600000000093</v>
      </c>
      <c r="F30" s="334">
        <f t="shared" ref="F30" si="3">H30-D30</f>
        <v>0</v>
      </c>
      <c r="H30" s="334">
        <f>VLOOKUP($A30,'Prog costs'!$A$69:$AB$88,'Prog costs'!$AB$4,FALSE)-H29</f>
        <v>58605.600000000093</v>
      </c>
      <c r="J30" s="334">
        <v>0</v>
      </c>
      <c r="L30" s="334">
        <f>N30-J30</f>
        <v>39600</v>
      </c>
      <c r="N30" s="334">
        <v>39600</v>
      </c>
    </row>
    <row r="31" spans="1:14" x14ac:dyDescent="0.15">
      <c r="A31" s="306"/>
      <c r="C31" s="393" t="s">
        <v>233</v>
      </c>
      <c r="D31" s="334"/>
      <c r="F31" s="334"/>
      <c r="H31" s="334"/>
      <c r="J31" s="334"/>
      <c r="L31" s="334"/>
      <c r="N31" s="334"/>
    </row>
    <row r="32" spans="1:14" ht="52" x14ac:dyDescent="0.15">
      <c r="A32" s="306" t="s">
        <v>384</v>
      </c>
      <c r="C32" s="394" t="s">
        <v>712</v>
      </c>
      <c r="D32" s="334">
        <f>VLOOKUP($A32,'Prog costs'!$A$69:$AB$88,'Prog costs'!$AA$4,FALSE)</f>
        <v>0</v>
      </c>
      <c r="F32" s="334">
        <f t="shared" ref="F32" si="4">H32-D32</f>
        <v>0</v>
      </c>
      <c r="H32" s="334">
        <f>VLOOKUP($A32,'Prog costs'!$A$69:$AB$88,'Prog costs'!$AB$4,FALSE)</f>
        <v>0</v>
      </c>
      <c r="J32" s="334">
        <v>71855</v>
      </c>
      <c r="L32" s="334">
        <f>N32-J32</f>
        <v>0</v>
      </c>
      <c r="N32" s="334">
        <v>71855</v>
      </c>
    </row>
    <row r="33" spans="1:17" ht="13" x14ac:dyDescent="0.15">
      <c r="A33" s="306"/>
      <c r="C33" s="436" t="s">
        <v>705</v>
      </c>
      <c r="D33" s="334"/>
      <c r="F33" s="334"/>
      <c r="H33" s="334"/>
      <c r="J33" s="334"/>
      <c r="L33" s="334"/>
      <c r="N33" s="334"/>
    </row>
    <row r="34" spans="1:17" ht="26" x14ac:dyDescent="0.15">
      <c r="A34" s="306" t="s">
        <v>524</v>
      </c>
      <c r="C34" s="436" t="s">
        <v>713</v>
      </c>
      <c r="D34" s="334">
        <f>VLOOKUP($A34,'Prog costs'!$A$69:$AB$88,'Prog costs'!$AA$4,FALSE)</f>
        <v>0</v>
      </c>
      <c r="F34" s="334">
        <f t="shared" ref="F34:F35" si="5">H34-D34</f>
        <v>48119.02</v>
      </c>
      <c r="H34" s="334">
        <f>VLOOKUP($A34,'Prog costs'!$A$69:$AB$88,'Prog costs'!$AB$4,FALSE)</f>
        <v>48119.02</v>
      </c>
      <c r="J34" s="334">
        <v>0</v>
      </c>
      <c r="L34" s="334">
        <f t="shared" ref="L34:L35" si="6">N34-J34</f>
        <v>0</v>
      </c>
      <c r="N34" s="334">
        <v>0</v>
      </c>
    </row>
    <row r="35" spans="1:17" ht="13" x14ac:dyDescent="0.15">
      <c r="A35" s="306" t="s">
        <v>517</v>
      </c>
      <c r="C35" s="436" t="s">
        <v>716</v>
      </c>
      <c r="D35" s="334">
        <f>VLOOKUP($A35,'Prog costs'!$A$69:$AB$88,'Prog costs'!$AA$4,FALSE)</f>
        <v>0</v>
      </c>
      <c r="F35" s="334">
        <f t="shared" si="5"/>
        <v>39041</v>
      </c>
      <c r="H35" s="334">
        <f>VLOOKUP($A35,'Prog costs'!$A$69:$AB$88,'Prog costs'!$AB$4,FALSE)</f>
        <v>39041</v>
      </c>
      <c r="J35" s="334">
        <v>0</v>
      </c>
      <c r="L35" s="334">
        <f t="shared" si="6"/>
        <v>0</v>
      </c>
      <c r="N35" s="334">
        <v>0</v>
      </c>
    </row>
    <row r="36" spans="1:17" ht="13" x14ac:dyDescent="0.15">
      <c r="A36" s="306"/>
      <c r="C36" s="394" t="s">
        <v>250</v>
      </c>
      <c r="D36" s="334"/>
      <c r="F36" s="334"/>
      <c r="H36" s="334"/>
      <c r="J36" s="334"/>
      <c r="L36" s="334"/>
      <c r="N36" s="334"/>
    </row>
    <row r="37" spans="1:17" x14ac:dyDescent="0.15">
      <c r="A37" s="306" t="s">
        <v>380</v>
      </c>
      <c r="C37" s="393" t="s">
        <v>619</v>
      </c>
      <c r="D37" s="334">
        <f>VLOOKUP($A37,'Prog costs'!$A$69:$AB$88,'Prog costs'!$AA$4,FALSE)</f>
        <v>1033150.5800000001</v>
      </c>
      <c r="F37" s="334">
        <f t="shared" ref="F37:F39" si="7">H37-D37</f>
        <v>0</v>
      </c>
      <c r="H37" s="334">
        <f>VLOOKUP($A37,'Prog costs'!$A$69:$AB$88,'Prog costs'!$AB$4,FALSE)</f>
        <v>1033150.5800000001</v>
      </c>
      <c r="J37" s="334">
        <v>892034.72</v>
      </c>
      <c r="L37" s="334">
        <f>N37-J37</f>
        <v>0</v>
      </c>
      <c r="N37" s="334">
        <v>892034.72</v>
      </c>
    </row>
    <row r="38" spans="1:17" ht="26" x14ac:dyDescent="0.15">
      <c r="A38" s="306" t="s">
        <v>387</v>
      </c>
      <c r="C38" s="394" t="s">
        <v>714</v>
      </c>
      <c r="D38" s="334">
        <f>VLOOKUP($A38,'Prog costs'!$A$69:$AB$88,'Prog costs'!$AA$4,FALSE)</f>
        <v>51996</v>
      </c>
      <c r="F38" s="334">
        <f t="shared" si="7"/>
        <v>0</v>
      </c>
      <c r="H38" s="334">
        <f>VLOOKUP($A38,'Prog costs'!$A$69:$AB$88,'Prog costs'!$AB$4,FALSE)</f>
        <v>51996</v>
      </c>
      <c r="J38" s="334">
        <v>91993</v>
      </c>
      <c r="L38" s="334">
        <f>N38-J38</f>
        <v>0</v>
      </c>
      <c r="N38" s="334">
        <v>91993</v>
      </c>
    </row>
    <row r="39" spans="1:17" x14ac:dyDescent="0.15">
      <c r="A39" s="306" t="s">
        <v>385</v>
      </c>
      <c r="C39" s="393" t="s">
        <v>620</v>
      </c>
      <c r="D39" s="334">
        <f>VLOOKUP($A39,'Prog costs'!$A$69:$AB$88,'Prog costs'!$AA$4,FALSE)</f>
        <v>65365.42</v>
      </c>
      <c r="F39" s="334">
        <f t="shared" si="7"/>
        <v>0</v>
      </c>
      <c r="H39" s="334">
        <f>VLOOKUP($A39,'Prog costs'!$A$69:$AB$88,'Prog costs'!$AB$4,FALSE)</f>
        <v>65365.42</v>
      </c>
      <c r="J39" s="334">
        <v>84647</v>
      </c>
      <c r="L39" s="334">
        <f>N39-J39</f>
        <v>0</v>
      </c>
      <c r="N39" s="334">
        <v>84647</v>
      </c>
    </row>
    <row r="40" spans="1:17" x14ac:dyDescent="0.15">
      <c r="A40" s="306"/>
      <c r="C40" s="393" t="s">
        <v>252</v>
      </c>
      <c r="D40" s="334"/>
      <c r="F40" s="334"/>
      <c r="H40" s="334"/>
      <c r="J40" s="334"/>
      <c r="L40" s="334"/>
      <c r="N40" s="334"/>
    </row>
    <row r="41" spans="1:17" ht="26" x14ac:dyDescent="0.15">
      <c r="A41" s="306" t="s">
        <v>386</v>
      </c>
      <c r="C41" s="394" t="s">
        <v>621</v>
      </c>
      <c r="D41" s="334">
        <f>VLOOKUP($A41,'Prog costs'!$A$69:$AB$88,'Prog costs'!$AA$4,FALSE)</f>
        <v>194090</v>
      </c>
      <c r="F41" s="334">
        <f>H41-D41</f>
        <v>0</v>
      </c>
      <c r="H41" s="334">
        <f>VLOOKUP($A41,'Prog costs'!$A$69:$AB$88,'Prog costs'!$AB$4,FALSE)</f>
        <v>194090</v>
      </c>
      <c r="J41" s="334">
        <v>875544.46</v>
      </c>
      <c r="L41" s="334">
        <f>N41-J41</f>
        <v>0</v>
      </c>
      <c r="N41" s="334">
        <v>875544.46</v>
      </c>
    </row>
    <row r="42" spans="1:17" x14ac:dyDescent="0.15">
      <c r="D42" s="395"/>
      <c r="J42" s="395"/>
    </row>
    <row r="43" spans="1:17" ht="13" thickBot="1" x14ac:dyDescent="0.2">
      <c r="D43" s="396">
        <f>SUM(D14:D42)</f>
        <v>3342050.2</v>
      </c>
      <c r="E43" s="397"/>
      <c r="F43" s="396">
        <f>SUM(F14:F42)</f>
        <v>3236589.24</v>
      </c>
      <c r="G43" s="397"/>
      <c r="H43" s="396">
        <f>SUM(H14:H42)</f>
        <v>6578639.4399999995</v>
      </c>
      <c r="J43" s="396">
        <f>SUM(J14:J42)</f>
        <v>3032164.2800000003</v>
      </c>
      <c r="K43" s="397"/>
      <c r="L43" s="396">
        <f>SUM(L14:L42)</f>
        <v>2375113.5</v>
      </c>
      <c r="M43" s="397"/>
      <c r="N43" s="396">
        <f>SUM(N14:N42)</f>
        <v>5407277.7800000003</v>
      </c>
      <c r="P43" s="299">
        <f>'Cost Centres'!O16-H43</f>
        <v>0</v>
      </c>
      <c r="Q43" s="398"/>
    </row>
    <row r="44" spans="1:17" ht="13" thickTop="1" x14ac:dyDescent="0.15"/>
    <row r="46" spans="1:17" x14ac:dyDescent="0.15">
      <c r="H46" s="398">
        <f>H43-F43-D43</f>
        <v>0</v>
      </c>
      <c r="N46" s="398">
        <f>N43-L43-J43</f>
        <v>0</v>
      </c>
    </row>
  </sheetData>
  <printOptions horizontalCentered="1"/>
  <pageMargins left="0.23622047244094491" right="0.23622047244094491" top="0.74803149606299213" bottom="0.74803149606299213"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A1:K73"/>
  <sheetViews>
    <sheetView topLeftCell="B1" zoomScaleNormal="100" zoomScaleSheetLayoutView="100" workbookViewId="0">
      <selection activeCell="C38" sqref="C38"/>
    </sheetView>
  </sheetViews>
  <sheetFormatPr baseColWidth="10" defaultColWidth="9.1640625" defaultRowHeight="12" outlineLevelCol="1" x14ac:dyDescent="0.15"/>
  <cols>
    <col min="1" max="1" width="9.1640625" style="283" hidden="1" customWidth="1" outlineLevel="1"/>
    <col min="2" max="2" width="4.1640625" style="283" customWidth="1" collapsed="1"/>
    <col min="3" max="3" width="60.6640625" style="283" customWidth="1"/>
    <col min="4" max="4" width="11.6640625" style="284" customWidth="1"/>
    <col min="5" max="5" width="2.6640625" style="288" customWidth="1"/>
    <col min="6" max="6" width="11.6640625" style="284" customWidth="1"/>
    <col min="7" max="7" width="1.6640625" style="288" customWidth="1"/>
    <col min="8" max="16384" width="9.1640625" style="283"/>
  </cols>
  <sheetData>
    <row r="1" spans="2:8" ht="15" customHeight="1" x14ac:dyDescent="0.15">
      <c r="B1" s="279" t="str">
        <f>'Consolidated SOFA'!B1</f>
        <v>SCI FOUNDATION</v>
      </c>
      <c r="C1" s="279"/>
      <c r="D1" s="280"/>
      <c r="E1" s="328"/>
      <c r="F1" s="428"/>
      <c r="G1" s="427"/>
      <c r="H1" s="279"/>
    </row>
    <row r="2" spans="2:8" ht="15" customHeight="1" x14ac:dyDescent="0.15">
      <c r="B2" s="279"/>
    </row>
    <row r="3" spans="2:8" ht="15" customHeight="1" x14ac:dyDescent="0.15">
      <c r="B3" s="354" t="s">
        <v>584</v>
      </c>
      <c r="C3" s="354"/>
      <c r="D3" s="280"/>
      <c r="E3" s="328"/>
      <c r="F3" s="428"/>
      <c r="G3" s="427"/>
    </row>
    <row r="4" spans="2:8" ht="15" customHeight="1" x14ac:dyDescent="0.15">
      <c r="B4" s="279"/>
    </row>
    <row r="5" spans="2:8" ht="15" customHeight="1" x14ac:dyDescent="0.15">
      <c r="B5" s="354" t="str">
        <f>'Consolidated SOFA'!B6</f>
        <v>FOR THE YEAR ENDED 31 MARCH 2021</v>
      </c>
      <c r="C5" s="354"/>
      <c r="D5" s="280"/>
      <c r="E5" s="328"/>
      <c r="F5" s="428"/>
      <c r="G5" s="427"/>
    </row>
    <row r="6" spans="2:8" ht="15" customHeight="1" x14ac:dyDescent="0.15">
      <c r="B6" s="325"/>
      <c r="C6" s="325"/>
      <c r="D6" s="342"/>
      <c r="F6" s="342"/>
    </row>
    <row r="7" spans="2:8" ht="15" customHeight="1" x14ac:dyDescent="0.15">
      <c r="B7" s="279"/>
      <c r="C7" s="355"/>
      <c r="E7" s="290"/>
      <c r="G7" s="290"/>
    </row>
    <row r="8" spans="2:8" ht="15" customHeight="1" x14ac:dyDescent="0.15">
      <c r="B8" s="357" t="s">
        <v>622</v>
      </c>
      <c r="C8" s="354" t="s">
        <v>623</v>
      </c>
      <c r="D8" s="280">
        <v>2021</v>
      </c>
      <c r="E8" s="328"/>
      <c r="F8" s="428">
        <v>2020</v>
      </c>
      <c r="G8" s="427"/>
    </row>
    <row r="9" spans="2:8" ht="15" customHeight="1" x14ac:dyDescent="0.15">
      <c r="B9" s="279"/>
      <c r="C9" s="354"/>
      <c r="D9" s="280" t="s">
        <v>624</v>
      </c>
      <c r="E9" s="328"/>
      <c r="F9" s="428" t="s">
        <v>624</v>
      </c>
      <c r="G9" s="427"/>
    </row>
    <row r="10" spans="2:8" ht="15" customHeight="1" x14ac:dyDescent="0.15">
      <c r="B10" s="279"/>
      <c r="C10" s="355" t="s">
        <v>625</v>
      </c>
      <c r="D10" s="280"/>
      <c r="E10" s="328"/>
      <c r="F10" s="428"/>
      <c r="G10" s="427"/>
    </row>
    <row r="11" spans="2:8" ht="15" customHeight="1" x14ac:dyDescent="0.15">
      <c r="B11" s="355"/>
      <c r="C11" s="355" t="s">
        <v>626</v>
      </c>
      <c r="D11" s="276">
        <v>2</v>
      </c>
      <c r="E11" s="330"/>
      <c r="F11" s="276">
        <v>1</v>
      </c>
      <c r="G11" s="330"/>
    </row>
    <row r="12" spans="2:8" ht="15" customHeight="1" x14ac:dyDescent="0.15">
      <c r="B12" s="355"/>
      <c r="C12" s="283" t="s">
        <v>537</v>
      </c>
      <c r="D12" s="276">
        <v>18</v>
      </c>
      <c r="E12" s="330"/>
      <c r="F12" s="276">
        <v>18</v>
      </c>
      <c r="G12" s="330"/>
    </row>
    <row r="13" spans="2:8" ht="15" customHeight="1" x14ac:dyDescent="0.15">
      <c r="B13" s="355"/>
      <c r="C13" s="283" t="s">
        <v>371</v>
      </c>
      <c r="D13" s="276">
        <v>6</v>
      </c>
      <c r="E13" s="330"/>
      <c r="F13" s="276">
        <v>4</v>
      </c>
      <c r="G13" s="330"/>
    </row>
    <row r="14" spans="2:8" ht="15" customHeight="1" x14ac:dyDescent="0.15">
      <c r="B14" s="355"/>
      <c r="C14" s="283" t="s">
        <v>211</v>
      </c>
      <c r="D14" s="276">
        <v>0</v>
      </c>
      <c r="E14" s="330"/>
      <c r="F14" s="276">
        <v>0</v>
      </c>
      <c r="G14" s="330"/>
    </row>
    <row r="15" spans="2:8" ht="15" customHeight="1" thickBot="1" x14ac:dyDescent="0.2">
      <c r="C15" s="355"/>
      <c r="D15" s="340">
        <f>SUM(D11:D14)</f>
        <v>26</v>
      </c>
      <c r="E15" s="330"/>
      <c r="F15" s="340">
        <f>SUM(F11:F14)</f>
        <v>23</v>
      </c>
      <c r="G15" s="330"/>
    </row>
    <row r="16" spans="2:8" ht="15" customHeight="1" thickTop="1" x14ac:dyDescent="0.15">
      <c r="D16" s="399"/>
      <c r="E16" s="399"/>
      <c r="F16" s="399"/>
      <c r="G16" s="399"/>
    </row>
    <row r="17" spans="1:11" ht="15" customHeight="1" x14ac:dyDescent="0.15">
      <c r="C17" s="355" t="s">
        <v>627</v>
      </c>
      <c r="D17" s="400" t="s">
        <v>363</v>
      </c>
      <c r="E17" s="401"/>
      <c r="F17" s="400" t="s">
        <v>363</v>
      </c>
      <c r="G17" s="401"/>
    </row>
    <row r="18" spans="1:11" ht="15" customHeight="1" x14ac:dyDescent="0.15">
      <c r="A18" s="305" t="s">
        <v>394</v>
      </c>
      <c r="C18" s="283" t="s">
        <v>628</v>
      </c>
      <c r="D18" s="334">
        <f>VLOOKUP($A18,'Cost Centres'!$B$104:$D$110,3,FALSE)</f>
        <v>1373023.16</v>
      </c>
      <c r="E18" s="330"/>
      <c r="F18" s="334">
        <v>785291.6</v>
      </c>
      <c r="G18" s="330"/>
    </row>
    <row r="19" spans="1:11" ht="15" customHeight="1" x14ac:dyDescent="0.15">
      <c r="A19" s="305" t="s">
        <v>390</v>
      </c>
      <c r="C19" s="283" t="s">
        <v>629</v>
      </c>
      <c r="D19" s="334">
        <f>VLOOKUP($A19,'Cost Centres'!$B$104:$D$110,3,FALSE)</f>
        <v>132868.53</v>
      </c>
      <c r="E19" s="330"/>
      <c r="F19" s="334">
        <v>79184.149999999994</v>
      </c>
      <c r="G19" s="330"/>
    </row>
    <row r="20" spans="1:11" ht="15" customHeight="1" x14ac:dyDescent="0.15">
      <c r="A20" s="305" t="s">
        <v>392</v>
      </c>
      <c r="C20" s="283" t="s">
        <v>630</v>
      </c>
      <c r="D20" s="334">
        <f>VLOOKUP($A20,'Cost Centres'!$B$104:$D$110,3,FALSE)</f>
        <v>75256.710000000006</v>
      </c>
      <c r="E20" s="330"/>
      <c r="F20" s="334">
        <v>28313.39</v>
      </c>
      <c r="G20" s="330"/>
    </row>
    <row r="21" spans="1:11" ht="15" customHeight="1" thickBot="1" x14ac:dyDescent="0.2">
      <c r="D21" s="340">
        <f>SUM(D18:D20)</f>
        <v>1581148.4</v>
      </c>
      <c r="E21" s="330"/>
      <c r="F21" s="340">
        <f>SUM(F18:F20)</f>
        <v>892789.14</v>
      </c>
      <c r="G21" s="330"/>
    </row>
    <row r="22" spans="1:11" ht="15" customHeight="1" thickTop="1" x14ac:dyDescent="0.15">
      <c r="C22" s="402"/>
      <c r="D22" s="358"/>
      <c r="E22" s="403"/>
      <c r="F22" s="358"/>
      <c r="G22" s="403"/>
    </row>
    <row r="23" spans="1:11" ht="27" customHeight="1" x14ac:dyDescent="0.15">
      <c r="C23" s="478" t="s">
        <v>702</v>
      </c>
      <c r="D23" s="478"/>
      <c r="E23" s="478"/>
      <c r="F23" s="479"/>
      <c r="G23" s="430"/>
    </row>
    <row r="24" spans="1:11" ht="15" customHeight="1" x14ac:dyDescent="0.15">
      <c r="C24" s="402"/>
      <c r="D24" s="280">
        <v>2021</v>
      </c>
      <c r="E24" s="328"/>
      <c r="F24" s="428">
        <v>2020</v>
      </c>
      <c r="G24" s="427"/>
    </row>
    <row r="25" spans="1:11" ht="15" customHeight="1" x14ac:dyDescent="0.15">
      <c r="C25" s="402"/>
      <c r="D25" s="280" t="s">
        <v>624</v>
      </c>
      <c r="E25" s="328"/>
      <c r="F25" s="428" t="s">
        <v>624</v>
      </c>
      <c r="G25" s="427"/>
    </row>
    <row r="26" spans="1:11" ht="15" customHeight="1" x14ac:dyDescent="0.15">
      <c r="C26" s="283" t="s">
        <v>631</v>
      </c>
      <c r="D26" s="276">
        <v>4</v>
      </c>
      <c r="E26" s="330"/>
      <c r="F26" s="276">
        <v>0</v>
      </c>
      <c r="G26" s="330"/>
    </row>
    <row r="27" spans="1:11" ht="15" customHeight="1" x14ac:dyDescent="0.15">
      <c r="C27" s="283" t="s">
        <v>632</v>
      </c>
      <c r="D27" s="276">
        <v>1</v>
      </c>
      <c r="E27" s="330"/>
      <c r="F27" s="276">
        <v>0</v>
      </c>
      <c r="G27" s="330"/>
    </row>
    <row r="28" spans="1:11" ht="15" customHeight="1" x14ac:dyDescent="0.15">
      <c r="C28" s="402"/>
      <c r="D28" s="278">
        <f>SUM(D26:D27)</f>
        <v>5</v>
      </c>
      <c r="E28" s="330"/>
      <c r="F28" s="278">
        <f>SUM(F26:F27)</f>
        <v>0</v>
      </c>
      <c r="G28" s="330"/>
    </row>
    <row r="29" spans="1:11" ht="15" customHeight="1" x14ac:dyDescent="0.15">
      <c r="C29" s="402"/>
      <c r="D29" s="318"/>
      <c r="E29" s="404"/>
      <c r="F29" s="318"/>
      <c r="G29" s="404"/>
    </row>
    <row r="30" spans="1:11" ht="27" customHeight="1" x14ac:dyDescent="0.15">
      <c r="C30" s="478" t="s">
        <v>703</v>
      </c>
      <c r="D30" s="478"/>
      <c r="E30" s="478"/>
      <c r="F30" s="479"/>
      <c r="G30" s="431"/>
      <c r="H30" s="438" t="s">
        <v>730</v>
      </c>
    </row>
    <row r="31" spans="1:11" ht="6" customHeight="1" x14ac:dyDescent="0.15"/>
    <row r="32" spans="1:11" ht="15" customHeight="1" x14ac:dyDescent="0.15">
      <c r="B32" s="357" t="s">
        <v>633</v>
      </c>
      <c r="C32" s="279" t="s">
        <v>634</v>
      </c>
      <c r="D32" s="280" t="s">
        <v>319</v>
      </c>
      <c r="E32" s="328"/>
      <c r="F32" s="428" t="s">
        <v>319</v>
      </c>
      <c r="G32" s="427"/>
      <c r="K32" s="284" t="s">
        <v>635</v>
      </c>
    </row>
    <row r="33" spans="1:11" ht="6" customHeight="1" x14ac:dyDescent="0.15">
      <c r="B33" s="357"/>
      <c r="C33" s="279"/>
      <c r="D33" s="280"/>
      <c r="E33" s="328"/>
      <c r="F33" s="428"/>
      <c r="G33" s="427"/>
    </row>
    <row r="34" spans="1:11" ht="26.25" customHeight="1" x14ac:dyDescent="0.2">
      <c r="B34" s="357"/>
      <c r="C34" s="478" t="str">
        <f>"No remuneration is paid to any Trustee.  Reimbursements of travelling expenses totalling £"&amp;K34&amp;" were paid to certain Trustees for attendance at Trustee meetings (2020: £1,206)."</f>
        <v>No remuneration is paid to any Trustee.  Reimbursements of travelling expenses totalling £92 were paid to certain Trustees for attendance at Trustee meetings (2020: £1,206).</v>
      </c>
      <c r="D34" s="478"/>
      <c r="E34" s="478"/>
      <c r="F34" s="479"/>
      <c r="G34" s="430"/>
      <c r="I34" s="405" t="s">
        <v>636</v>
      </c>
      <c r="J34" s="406">
        <f>'Cost Centres'!D$115</f>
        <v>92.2</v>
      </c>
      <c r="K34" s="407" t="str">
        <f>TEXT(J34,"#,###0")</f>
        <v>92</v>
      </c>
    </row>
    <row r="35" spans="1:11" ht="15" customHeight="1" x14ac:dyDescent="0.15">
      <c r="B35" s="357"/>
      <c r="C35" s="279"/>
      <c r="D35" s="280"/>
      <c r="E35" s="328"/>
      <c r="F35" s="428"/>
      <c r="G35" s="427"/>
    </row>
    <row r="36" spans="1:11" ht="15" customHeight="1" x14ac:dyDescent="0.15">
      <c r="B36" s="445" t="s">
        <v>637</v>
      </c>
      <c r="C36" s="446" t="s">
        <v>723</v>
      </c>
      <c r="D36" s="435">
        <v>2021</v>
      </c>
      <c r="E36" s="434"/>
      <c r="F36" s="435">
        <v>2020</v>
      </c>
      <c r="G36" s="434"/>
    </row>
    <row r="37" spans="1:11" ht="15" customHeight="1" x14ac:dyDescent="0.15">
      <c r="B37" s="357"/>
      <c r="C37" s="279"/>
      <c r="D37" s="400" t="s">
        <v>363</v>
      </c>
      <c r="E37" s="401"/>
      <c r="F37" s="400" t="s">
        <v>363</v>
      </c>
      <c r="G37" s="434"/>
    </row>
    <row r="38" spans="1:11" ht="15" customHeight="1" x14ac:dyDescent="0.15">
      <c r="B38" s="357"/>
      <c r="C38" s="444" t="s">
        <v>726</v>
      </c>
      <c r="D38" s="334">
        <f>F41</f>
        <v>0</v>
      </c>
      <c r="E38" s="434"/>
      <c r="F38" s="334">
        <v>0</v>
      </c>
      <c r="G38" s="434"/>
    </row>
    <row r="39" spans="1:11" ht="15" customHeight="1" x14ac:dyDescent="0.15">
      <c r="B39" s="357"/>
      <c r="C39" s="444" t="s">
        <v>724</v>
      </c>
      <c r="D39" s="334">
        <v>3000000</v>
      </c>
      <c r="E39" s="434"/>
      <c r="F39" s="334">
        <v>0</v>
      </c>
      <c r="G39" s="434"/>
    </row>
    <row r="40" spans="1:11" ht="15" customHeight="1" x14ac:dyDescent="0.15">
      <c r="B40" s="357"/>
      <c r="C40" s="444" t="s">
        <v>725</v>
      </c>
      <c r="D40" s="334">
        <f>'Note 2, 3, 4, 5'!D36</f>
        <v>-19062</v>
      </c>
      <c r="E40" s="434"/>
      <c r="F40" s="334">
        <v>0</v>
      </c>
      <c r="G40" s="434"/>
    </row>
    <row r="41" spans="1:11" ht="15" customHeight="1" thickBot="1" x14ac:dyDescent="0.2">
      <c r="A41" s="305" t="s">
        <v>499</v>
      </c>
      <c r="B41" s="357"/>
      <c r="C41" s="444" t="s">
        <v>727</v>
      </c>
      <c r="D41" s="447">
        <f>SUM(D38:D40)</f>
        <v>2980938</v>
      </c>
      <c r="E41" s="434"/>
      <c r="F41" s="447">
        <f>SUM(F38:F40)</f>
        <v>0</v>
      </c>
      <c r="G41" s="434"/>
      <c r="I41" s="450">
        <f>VLOOKUP(A41,TB!I:L,4,FALSE)-D41</f>
        <v>0</v>
      </c>
    </row>
    <row r="42" spans="1:11" ht="15" customHeight="1" thickTop="1" x14ac:dyDescent="0.15">
      <c r="B42" s="357"/>
      <c r="C42" s="444"/>
      <c r="D42" s="448"/>
      <c r="E42" s="434"/>
      <c r="F42" s="448"/>
      <c r="G42" s="434"/>
    </row>
    <row r="43" spans="1:11" ht="15" customHeight="1" thickBot="1" x14ac:dyDescent="0.2">
      <c r="B43" s="357"/>
      <c r="C43" s="444" t="s">
        <v>728</v>
      </c>
      <c r="D43" s="449">
        <f>D39</f>
        <v>3000000</v>
      </c>
      <c r="E43" s="434"/>
      <c r="F43" s="449">
        <v>0</v>
      </c>
      <c r="G43" s="434"/>
    </row>
    <row r="44" spans="1:11" ht="15" customHeight="1" thickTop="1" x14ac:dyDescent="0.15">
      <c r="B44" s="357"/>
      <c r="C44" s="279"/>
      <c r="D44" s="435"/>
      <c r="E44" s="434"/>
      <c r="F44" s="435"/>
      <c r="G44" s="434"/>
      <c r="K44" s="284" t="s">
        <v>635</v>
      </c>
    </row>
    <row r="45" spans="1:11" ht="24.75" customHeight="1" x14ac:dyDescent="0.15">
      <c r="A45" s="305">
        <v>4105</v>
      </c>
      <c r="B45" s="357"/>
      <c r="C45" s="478" t="str">
        <f>"Investments are held as income units in the COIF Charities Ethical Investment Fund managed by CCLA Fund Managers Limited. Distributions from the fund of £"&amp;K45&amp;" were received during the year."</f>
        <v>Investments are held as income units in the COIF Charities Ethical Investment Fund managed by CCLA Fund Managers Limited. Distributions from the fund of £45,748 were received during the year.</v>
      </c>
      <c r="D45" s="479"/>
      <c r="E45" s="479"/>
      <c r="F45" s="479"/>
      <c r="G45" s="434"/>
      <c r="I45" s="316" t="s">
        <v>731</v>
      </c>
      <c r="J45" s="334">
        <f>-VLOOKUP($A45,TB!$A:$E,5,FALSE)</f>
        <v>45748.32</v>
      </c>
      <c r="K45" s="407" t="str">
        <f>TEXT(J45,"#,###0")</f>
        <v>45,748</v>
      </c>
    </row>
    <row r="46" spans="1:11" ht="15" customHeight="1" x14ac:dyDescent="0.15">
      <c r="B46" s="357"/>
      <c r="C46" s="279"/>
      <c r="D46" s="435"/>
      <c r="E46" s="434"/>
      <c r="F46" s="435"/>
      <c r="G46" s="434"/>
    </row>
    <row r="47" spans="1:11" ht="15" customHeight="1" x14ac:dyDescent="0.15">
      <c r="B47" s="357" t="s">
        <v>639</v>
      </c>
      <c r="C47" s="279" t="s">
        <v>638</v>
      </c>
      <c r="D47" s="279"/>
      <c r="E47" s="328"/>
      <c r="F47" s="279"/>
      <c r="G47" s="427"/>
    </row>
    <row r="48" spans="1:11" ht="6" customHeight="1" x14ac:dyDescent="0.15">
      <c r="B48" s="279"/>
      <c r="D48" s="283"/>
      <c r="E48" s="328"/>
      <c r="F48" s="283"/>
      <c r="G48" s="427"/>
    </row>
    <row r="49" spans="2:7" ht="27" customHeight="1" x14ac:dyDescent="0.2">
      <c r="C49" s="478" t="s">
        <v>697</v>
      </c>
      <c r="D49" s="477"/>
      <c r="E49" s="477"/>
      <c r="F49" s="477"/>
      <c r="G49" s="429"/>
    </row>
    <row r="50" spans="2:7" ht="15" customHeight="1" x14ac:dyDescent="0.15">
      <c r="B50" s="279"/>
      <c r="D50" s="283"/>
      <c r="E50" s="328"/>
      <c r="F50" s="283"/>
      <c r="G50" s="427"/>
    </row>
    <row r="51" spans="2:7" ht="15" customHeight="1" x14ac:dyDescent="0.15">
      <c r="B51" s="357" t="s">
        <v>642</v>
      </c>
      <c r="C51" s="279" t="s">
        <v>640</v>
      </c>
      <c r="D51" s="280"/>
      <c r="E51" s="328"/>
      <c r="F51" s="428"/>
      <c r="G51" s="427"/>
    </row>
    <row r="52" spans="2:7" ht="6" customHeight="1" x14ac:dyDescent="0.15">
      <c r="D52" s="280"/>
      <c r="E52" s="328"/>
      <c r="F52" s="428"/>
      <c r="G52" s="427"/>
    </row>
    <row r="53" spans="2:7" ht="30" customHeight="1" x14ac:dyDescent="0.2">
      <c r="C53" s="480" t="s">
        <v>641</v>
      </c>
      <c r="D53" s="477"/>
      <c r="E53" s="477"/>
      <c r="F53" s="477"/>
      <c r="G53" s="429"/>
    </row>
    <row r="54" spans="2:7" ht="15" customHeight="1" x14ac:dyDescent="0.15">
      <c r="C54" s="315"/>
      <c r="D54" s="315"/>
      <c r="E54" s="315"/>
      <c r="F54" s="431"/>
      <c r="G54" s="431"/>
    </row>
    <row r="55" spans="2:7" ht="15" customHeight="1" x14ac:dyDescent="0.15"/>
    <row r="56" spans="2:7" ht="15" customHeight="1" x14ac:dyDescent="0.15"/>
    <row r="57" spans="2:7" ht="15" customHeight="1" x14ac:dyDescent="0.15">
      <c r="D57" s="283"/>
      <c r="E57" s="323"/>
      <c r="F57" s="283"/>
      <c r="G57" s="323"/>
    </row>
    <row r="58" spans="2:7" ht="15" customHeight="1" x14ac:dyDescent="0.15">
      <c r="D58" s="283"/>
      <c r="E58" s="287"/>
      <c r="F58" s="283"/>
      <c r="G58" s="287"/>
    </row>
    <row r="59" spans="2:7" ht="15" customHeight="1" x14ac:dyDescent="0.15">
      <c r="D59" s="283"/>
      <c r="E59" s="315"/>
      <c r="F59" s="283"/>
      <c r="G59" s="431"/>
    </row>
    <row r="60" spans="2:7" ht="15" customHeight="1" x14ac:dyDescent="0.15">
      <c r="D60" s="283"/>
      <c r="E60" s="287"/>
      <c r="F60" s="283"/>
      <c r="G60" s="287"/>
    </row>
    <row r="61" spans="2:7" ht="15" customHeight="1" x14ac:dyDescent="0.15">
      <c r="D61" s="283"/>
      <c r="E61" s="328"/>
      <c r="F61" s="283"/>
      <c r="G61" s="427"/>
    </row>
    <row r="62" spans="2:7" ht="15" customHeight="1" x14ac:dyDescent="0.15">
      <c r="D62" s="283"/>
      <c r="E62" s="328"/>
      <c r="F62" s="283"/>
      <c r="G62" s="427"/>
    </row>
    <row r="63" spans="2:7" ht="15" customHeight="1" x14ac:dyDescent="0.15">
      <c r="D63" s="283"/>
      <c r="E63" s="330"/>
      <c r="F63" s="283"/>
      <c r="G63" s="330"/>
    </row>
    <row r="64" spans="2:7" ht="15" customHeight="1" x14ac:dyDescent="0.15">
      <c r="D64" s="283"/>
      <c r="E64" s="287"/>
      <c r="F64" s="283"/>
      <c r="G64" s="287"/>
    </row>
    <row r="65" spans="3:7" ht="15" customHeight="1" x14ac:dyDescent="0.15">
      <c r="C65" s="382"/>
      <c r="D65" s="382"/>
      <c r="E65" s="382"/>
      <c r="F65" s="430"/>
      <c r="G65" s="430"/>
    </row>
    <row r="66" spans="3:7" ht="15" customHeight="1" x14ac:dyDescent="0.15">
      <c r="C66" s="382"/>
      <c r="D66" s="382"/>
      <c r="E66" s="383"/>
      <c r="F66" s="430"/>
      <c r="G66" s="383"/>
    </row>
    <row r="67" spans="3:7" ht="15" customHeight="1" x14ac:dyDescent="0.15">
      <c r="D67" s="283"/>
      <c r="E67" s="287"/>
      <c r="F67" s="283"/>
      <c r="G67" s="287"/>
    </row>
    <row r="68" spans="3:7" ht="15" customHeight="1" x14ac:dyDescent="0.15">
      <c r="D68" s="283"/>
      <c r="E68" s="287"/>
      <c r="F68" s="283"/>
      <c r="G68" s="287"/>
    </row>
    <row r="69" spans="3:7" ht="15" customHeight="1" x14ac:dyDescent="0.15">
      <c r="D69" s="283"/>
      <c r="E69" s="287"/>
      <c r="F69" s="283"/>
      <c r="G69" s="287"/>
    </row>
    <row r="70" spans="3:7" ht="15" customHeight="1" x14ac:dyDescent="0.2">
      <c r="D70" s="408"/>
      <c r="E70" s="409"/>
      <c r="F70" s="432"/>
      <c r="G70" s="433"/>
    </row>
    <row r="71" spans="3:7" ht="15" customHeight="1" x14ac:dyDescent="0.15"/>
    <row r="72" spans="3:7" ht="15" customHeight="1" x14ac:dyDescent="0.15"/>
    <row r="73" spans="3:7" ht="15" customHeight="1" x14ac:dyDescent="0.15"/>
  </sheetData>
  <mergeCells count="6">
    <mergeCell ref="C23:F23"/>
    <mergeCell ref="C30:F30"/>
    <mergeCell ref="C49:F49"/>
    <mergeCell ref="C34:F34"/>
    <mergeCell ref="C53:F53"/>
    <mergeCell ref="C45:F45"/>
  </mergeCells>
  <printOptions horizontalCentered="1"/>
  <pageMargins left="0.23622047244094491" right="0.23622047244094491" top="0.39" bottom="0.32" header="0.31496062992125984" footer="0.2"/>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A1:R84"/>
  <sheetViews>
    <sheetView topLeftCell="B1" zoomScaleNormal="100" zoomScaleSheetLayoutView="100" workbookViewId="0">
      <selection activeCell="C38" sqref="C38"/>
    </sheetView>
  </sheetViews>
  <sheetFormatPr baseColWidth="10" defaultColWidth="9.1640625" defaultRowHeight="12" outlineLevelRow="1" outlineLevelCol="1" x14ac:dyDescent="0.15"/>
  <cols>
    <col min="1" max="1" width="9.1640625" style="283" hidden="1" customWidth="1" outlineLevel="1"/>
    <col min="2" max="2" width="3.6640625" style="283" customWidth="1" collapsed="1"/>
    <col min="3" max="3" width="24" style="283" customWidth="1"/>
    <col min="4" max="4" width="11.6640625" style="283" customWidth="1"/>
    <col min="5" max="5" width="1.6640625" style="287" customWidth="1"/>
    <col min="6" max="6" width="11.6640625" style="283" customWidth="1"/>
    <col min="7" max="7" width="1.6640625" style="287" customWidth="1"/>
    <col min="8" max="8" width="11.6640625" style="283" customWidth="1"/>
    <col min="9" max="9" width="1.6640625" style="287" customWidth="1"/>
    <col min="10" max="10" width="11.6640625" style="283" customWidth="1"/>
    <col min="11" max="11" width="1.6640625" style="287" customWidth="1"/>
    <col min="12" max="12" width="11.6640625" style="283" customWidth="1"/>
    <col min="13" max="13" width="1.6640625" style="287" customWidth="1"/>
    <col min="14" max="14" width="11.6640625" style="283" customWidth="1"/>
    <col min="15" max="15" width="9.1640625" style="283"/>
    <col min="16" max="16" width="12.33203125" style="283" customWidth="1"/>
    <col min="17" max="17" width="12.83203125" style="283" customWidth="1"/>
    <col min="18" max="16384" width="9.1640625" style="283"/>
  </cols>
  <sheetData>
    <row r="1" spans="1:17" ht="15" customHeight="1" x14ac:dyDescent="0.15">
      <c r="B1" s="279" t="str">
        <f>'Consolidated SOFA'!B1</f>
        <v>SCI FOUNDATION</v>
      </c>
      <c r="C1" s="279"/>
      <c r="D1" s="279"/>
      <c r="E1" s="323"/>
      <c r="F1" s="279"/>
      <c r="G1" s="323"/>
      <c r="H1" s="279"/>
      <c r="I1" s="323"/>
      <c r="J1" s="279"/>
      <c r="K1" s="323"/>
      <c r="L1" s="279"/>
      <c r="M1" s="323"/>
      <c r="N1" s="341"/>
      <c r="O1" s="279"/>
    </row>
    <row r="2" spans="1:17" ht="15" customHeight="1" x14ac:dyDescent="0.15">
      <c r="B2" s="279"/>
    </row>
    <row r="3" spans="1:17" ht="15" customHeight="1" x14ac:dyDescent="0.15">
      <c r="B3" s="279" t="s">
        <v>584</v>
      </c>
      <c r="C3" s="279"/>
      <c r="D3" s="279"/>
      <c r="E3" s="323"/>
      <c r="F3" s="279"/>
      <c r="G3" s="323"/>
      <c r="H3" s="279"/>
      <c r="I3" s="323"/>
      <c r="J3" s="279"/>
      <c r="K3" s="323"/>
      <c r="L3" s="279"/>
      <c r="M3" s="323"/>
      <c r="N3" s="279"/>
    </row>
    <row r="4" spans="1:17" ht="15" customHeight="1" x14ac:dyDescent="0.15">
      <c r="B4" s="279"/>
    </row>
    <row r="5" spans="1:17" ht="15" customHeight="1" x14ac:dyDescent="0.15">
      <c r="B5" s="279" t="str">
        <f>'Consolidated SOFA'!B6</f>
        <v>FOR THE YEAR ENDED 31 MARCH 2021</v>
      </c>
      <c r="C5" s="279"/>
      <c r="D5" s="279"/>
      <c r="E5" s="323"/>
      <c r="F5" s="279"/>
      <c r="G5" s="323"/>
      <c r="H5" s="279"/>
      <c r="I5" s="323"/>
      <c r="J5" s="279"/>
      <c r="K5" s="323"/>
      <c r="L5" s="279"/>
      <c r="M5" s="323"/>
      <c r="N5" s="279"/>
    </row>
    <row r="6" spans="1:17" ht="15" customHeight="1" x14ac:dyDescent="0.15">
      <c r="B6" s="325"/>
      <c r="C6" s="325"/>
      <c r="D6" s="325"/>
      <c r="F6" s="287"/>
      <c r="H6" s="287"/>
      <c r="J6" s="287"/>
      <c r="L6" s="287"/>
      <c r="N6" s="287"/>
    </row>
    <row r="7" spans="1:17" ht="15" customHeight="1" x14ac:dyDescent="0.15">
      <c r="B7" s="279"/>
      <c r="E7" s="289"/>
      <c r="F7" s="289"/>
      <c r="G7" s="289"/>
      <c r="H7" s="289"/>
      <c r="I7" s="289"/>
      <c r="J7" s="289"/>
      <c r="K7" s="289"/>
      <c r="L7" s="289"/>
      <c r="M7" s="289"/>
      <c r="N7" s="289"/>
    </row>
    <row r="8" spans="1:17" ht="15" customHeight="1" x14ac:dyDescent="0.15">
      <c r="B8" s="357" t="s">
        <v>647</v>
      </c>
      <c r="C8" s="279" t="s">
        <v>643</v>
      </c>
      <c r="D8" s="279"/>
      <c r="E8" s="323"/>
      <c r="F8" s="354"/>
      <c r="G8" s="354"/>
      <c r="H8" s="354"/>
      <c r="I8" s="328"/>
      <c r="J8" s="354"/>
      <c r="K8" s="328"/>
      <c r="L8" s="280">
        <v>2021</v>
      </c>
      <c r="M8" s="280"/>
      <c r="N8" s="428">
        <v>2020</v>
      </c>
    </row>
    <row r="9" spans="1:17" ht="15" customHeight="1" x14ac:dyDescent="0.15">
      <c r="B9" s="279"/>
      <c r="C9" s="279"/>
      <c r="D9" s="279"/>
      <c r="E9" s="323"/>
      <c r="F9" s="328"/>
      <c r="G9" s="328"/>
      <c r="H9" s="328"/>
      <c r="I9" s="328"/>
      <c r="J9" s="328"/>
      <c r="K9" s="328"/>
      <c r="L9" s="280" t="s">
        <v>363</v>
      </c>
      <c r="M9" s="328"/>
      <c r="N9" s="428" t="s">
        <v>363</v>
      </c>
    </row>
    <row r="10" spans="1:17" ht="15" customHeight="1" x14ac:dyDescent="0.15">
      <c r="A10" s="305">
        <v>1400</v>
      </c>
      <c r="C10" s="283" t="s">
        <v>644</v>
      </c>
      <c r="F10" s="333"/>
      <c r="G10" s="333"/>
      <c r="H10" s="333"/>
      <c r="I10" s="333"/>
      <c r="J10" s="333"/>
      <c r="K10" s="333"/>
      <c r="L10" s="334">
        <f>VLOOKUP($A10,TB!$A:$E,5,FALSE)</f>
        <v>96092.55</v>
      </c>
      <c r="M10" s="333"/>
      <c r="N10" s="334">
        <v>118381.4</v>
      </c>
    </row>
    <row r="11" spans="1:17" ht="15" hidden="1" customHeight="1" outlineLevel="1" x14ac:dyDescent="0.15">
      <c r="A11" s="305">
        <v>1405</v>
      </c>
      <c r="B11" s="306"/>
      <c r="C11" s="306" t="str">
        <f>VLOOKUP($A11,TB!$A:$E,3,FALSE)</f>
        <v>Deposits Paid</v>
      </c>
      <c r="D11" s="307"/>
      <c r="E11" s="306"/>
      <c r="F11" s="307"/>
      <c r="G11" s="332"/>
      <c r="H11" s="332"/>
      <c r="I11" s="332"/>
      <c r="J11" s="332"/>
      <c r="K11" s="332"/>
      <c r="L11" s="307">
        <f>VLOOKUP($A11,TB!$A:$E,5,FALSE)</f>
        <v>32500</v>
      </c>
      <c r="M11" s="332"/>
      <c r="N11" s="307">
        <v>32500</v>
      </c>
    </row>
    <row r="12" spans="1:17" ht="15" hidden="1" customHeight="1" outlineLevel="1" x14ac:dyDescent="0.15">
      <c r="A12" s="305">
        <v>1521</v>
      </c>
      <c r="B12" s="306"/>
      <c r="C12" s="306" t="str">
        <f>VLOOKUP($A12,TB!$A:$E,3,FALSE)</f>
        <v>Staff Advances</v>
      </c>
      <c r="D12" s="307"/>
      <c r="E12" s="306"/>
      <c r="F12" s="307"/>
      <c r="G12" s="332"/>
      <c r="H12" s="332"/>
      <c r="I12" s="332"/>
      <c r="J12" s="332"/>
      <c r="K12" s="332"/>
      <c r="L12" s="307">
        <f>VLOOKUP($A12,TB!$A:$E,5,FALSE)</f>
        <v>0</v>
      </c>
      <c r="M12" s="332"/>
      <c r="N12" s="307">
        <v>2741.36</v>
      </c>
    </row>
    <row r="13" spans="1:17" ht="15" hidden="1" customHeight="1" outlineLevel="1" x14ac:dyDescent="0.15">
      <c r="A13" s="305">
        <v>1540</v>
      </c>
      <c r="B13" s="306"/>
      <c r="C13" s="306" t="str">
        <f>VLOOKUP($A13,TB!$A:$E,3,FALSE)</f>
        <v>Sundry Debtors</v>
      </c>
      <c r="D13" s="307"/>
      <c r="E13" s="306"/>
      <c r="F13" s="307"/>
      <c r="G13" s="332"/>
      <c r="H13" s="332"/>
      <c r="I13" s="332"/>
      <c r="J13" s="332"/>
      <c r="K13" s="332"/>
      <c r="L13" s="307">
        <f>VLOOKUP($A13,TB!$A:$E,5,FALSE)</f>
        <v>0</v>
      </c>
      <c r="M13" s="332"/>
      <c r="N13" s="307">
        <v>6854096.3399999999</v>
      </c>
    </row>
    <row r="14" spans="1:17" ht="15" customHeight="1" collapsed="1" x14ac:dyDescent="0.15">
      <c r="C14" s="283" t="s">
        <v>645</v>
      </c>
      <c r="F14" s="333"/>
      <c r="G14" s="333"/>
      <c r="H14" s="333"/>
      <c r="I14" s="333"/>
      <c r="J14" s="333"/>
      <c r="K14" s="333"/>
      <c r="L14" s="331">
        <f>SUM(L11:L13)</f>
        <v>32500</v>
      </c>
      <c r="M14" s="333"/>
      <c r="N14" s="331">
        <f>SUM(N11:N13)</f>
        <v>6889337.7000000002</v>
      </c>
      <c r="Q14" s="301"/>
    </row>
    <row r="15" spans="1:17" ht="15" hidden="1" customHeight="1" outlineLevel="1" x14ac:dyDescent="0.15">
      <c r="A15" s="305">
        <v>1403</v>
      </c>
      <c r="B15" s="306"/>
      <c r="C15" s="306" t="str">
        <f>VLOOKUP($A15,TB!$A:$E,3,FALSE)</f>
        <v>Gift Aid Receivable</v>
      </c>
      <c r="D15" s="307"/>
      <c r="E15" s="306"/>
      <c r="F15" s="307"/>
      <c r="G15" s="332"/>
      <c r="H15" s="332"/>
      <c r="I15" s="332"/>
      <c r="J15" s="332"/>
      <c r="K15" s="332"/>
      <c r="L15" s="307">
        <f>VLOOKUP($A15,TB!$A:$E,5,FALSE)</f>
        <v>18292.52</v>
      </c>
      <c r="M15" s="332"/>
      <c r="N15" s="307">
        <v>13343.08</v>
      </c>
    </row>
    <row r="16" spans="1:17" ht="15" hidden="1" customHeight="1" outlineLevel="1" x14ac:dyDescent="0.15">
      <c r="A16" s="305">
        <v>1450</v>
      </c>
      <c r="B16" s="306"/>
      <c r="C16" s="306" t="str">
        <f>VLOOKUP($A16,TB!$A:$E,3,FALSE)</f>
        <v>Prepayments</v>
      </c>
      <c r="D16" s="307"/>
      <c r="E16" s="306"/>
      <c r="F16" s="307"/>
      <c r="G16" s="332"/>
      <c r="H16" s="332"/>
      <c r="I16" s="332"/>
      <c r="J16" s="332"/>
      <c r="K16" s="332"/>
      <c r="L16" s="307">
        <f>VLOOKUP($A16,TB!$A:$E,5,FALSE)</f>
        <v>50116.29</v>
      </c>
      <c r="M16" s="332"/>
      <c r="N16" s="307">
        <v>33288.699999999997</v>
      </c>
    </row>
    <row r="17" spans="1:17" ht="15" hidden="1" customHeight="1" outlineLevel="1" x14ac:dyDescent="0.15">
      <c r="A17" s="305">
        <v>1451</v>
      </c>
      <c r="B17" s="306"/>
      <c r="C17" s="306" t="str">
        <f>VLOOKUP($A17,TB!$A:$E,3,FALSE)</f>
        <v>Accrued Income</v>
      </c>
      <c r="D17" s="307"/>
      <c r="E17" s="306"/>
      <c r="F17" s="307"/>
      <c r="G17" s="332"/>
      <c r="H17" s="332"/>
      <c r="I17" s="332"/>
      <c r="J17" s="332"/>
      <c r="K17" s="332"/>
      <c r="L17" s="307">
        <f>VLOOKUP($A17,TB!$A:$E,5,FALSE)</f>
        <v>2006811.15</v>
      </c>
      <c r="M17" s="332"/>
      <c r="N17" s="307">
        <v>119349.2</v>
      </c>
    </row>
    <row r="18" spans="1:17" ht="15" hidden="1" customHeight="1" outlineLevel="1" x14ac:dyDescent="0.15">
      <c r="A18" s="305">
        <v>1452</v>
      </c>
      <c r="B18" s="306"/>
      <c r="C18" s="306" t="str">
        <f>VLOOKUP($A18,TB!$A:$E,3,FALSE)</f>
        <v>Accrued Income EUR</v>
      </c>
      <c r="D18" s="307"/>
      <c r="E18" s="306"/>
      <c r="F18" s="307"/>
      <c r="G18" s="332"/>
      <c r="H18" s="332"/>
      <c r="I18" s="332"/>
      <c r="J18" s="332"/>
      <c r="K18" s="332"/>
      <c r="L18" s="307">
        <f>VLOOKUP($A18,TB!$A:$E,5,FALSE)</f>
        <v>3239.56</v>
      </c>
      <c r="M18" s="332"/>
      <c r="N18" s="307">
        <v>27150.73</v>
      </c>
    </row>
    <row r="19" spans="1:17" ht="15" hidden="1" customHeight="1" outlineLevel="1" x14ac:dyDescent="0.15">
      <c r="A19" s="305"/>
      <c r="B19" s="306"/>
      <c r="C19" s="306" t="s">
        <v>590</v>
      </c>
      <c r="D19" s="307"/>
      <c r="E19" s="306"/>
      <c r="F19" s="307"/>
      <c r="G19" s="332"/>
      <c r="H19" s="332"/>
      <c r="I19" s="332"/>
      <c r="J19" s="332"/>
      <c r="K19" s="332"/>
      <c r="L19" s="364">
        <v>0</v>
      </c>
      <c r="M19" s="332"/>
      <c r="N19" s="364">
        <v>0.1</v>
      </c>
    </row>
    <row r="20" spans="1:17" ht="15" hidden="1" customHeight="1" outlineLevel="1" x14ac:dyDescent="0.15">
      <c r="A20" s="305">
        <v>1453</v>
      </c>
      <c r="B20" s="306"/>
      <c r="C20" s="306" t="str">
        <f>VLOOKUP($A20,TB!$A:$E,3,FALSE)</f>
        <v>Accrued Income USD</v>
      </c>
      <c r="D20" s="307"/>
      <c r="E20" s="306"/>
      <c r="F20" s="307"/>
      <c r="G20" s="332"/>
      <c r="H20" s="332"/>
      <c r="I20" s="332"/>
      <c r="J20" s="332"/>
      <c r="K20" s="332"/>
      <c r="L20" s="307">
        <f>VLOOKUP($A20,TB!$A:$E,5,FALSE)</f>
        <v>84931.839999999997</v>
      </c>
      <c r="M20" s="332"/>
      <c r="N20" s="307">
        <v>97204.59</v>
      </c>
    </row>
    <row r="21" spans="1:17" ht="15" customHeight="1" collapsed="1" x14ac:dyDescent="0.15">
      <c r="C21" s="283" t="s">
        <v>646</v>
      </c>
      <c r="F21" s="333"/>
      <c r="G21" s="333"/>
      <c r="H21" s="333"/>
      <c r="I21" s="333"/>
      <c r="J21" s="333"/>
      <c r="K21" s="333"/>
      <c r="L21" s="331">
        <f>SUM(L15:L20)</f>
        <v>2163391.36</v>
      </c>
      <c r="M21" s="333"/>
      <c r="N21" s="331">
        <f>SUM(N15:N20)</f>
        <v>290336.40000000002</v>
      </c>
    </row>
    <row r="22" spans="1:17" ht="15" customHeight="1" thickBot="1" x14ac:dyDescent="0.2">
      <c r="C22" s="279" t="s">
        <v>319</v>
      </c>
      <c r="D22" s="279"/>
      <c r="E22" s="323"/>
      <c r="F22" s="333"/>
      <c r="G22" s="333"/>
      <c r="H22" s="333"/>
      <c r="I22" s="333"/>
      <c r="J22" s="333"/>
      <c r="K22" s="333"/>
      <c r="L22" s="353">
        <f>SUM(L10,L14,L21)</f>
        <v>2291983.9099999997</v>
      </c>
      <c r="M22" s="333"/>
      <c r="N22" s="353">
        <f>SUM(N10,N14,N21)</f>
        <v>7298055.5000000009</v>
      </c>
      <c r="P22" s="331">
        <f>SUM(TB!L10:L12)</f>
        <v>2291983.9099999997</v>
      </c>
      <c r="Q22" s="410">
        <f>L22-P22</f>
        <v>0</v>
      </c>
    </row>
    <row r="23" spans="1:17" ht="15" customHeight="1" thickTop="1" x14ac:dyDescent="0.15">
      <c r="F23" s="285"/>
      <c r="G23" s="286"/>
      <c r="H23" s="285"/>
      <c r="I23" s="286"/>
      <c r="J23" s="285"/>
      <c r="K23" s="286"/>
      <c r="L23" s="285"/>
      <c r="M23" s="286"/>
      <c r="N23" s="285"/>
    </row>
    <row r="24" spans="1:17" ht="15" customHeight="1" x14ac:dyDescent="0.15">
      <c r="B24" s="357" t="s">
        <v>654</v>
      </c>
      <c r="C24" s="411" t="s">
        <v>648</v>
      </c>
      <c r="D24" s="279"/>
      <c r="E24" s="323"/>
      <c r="F24" s="412"/>
      <c r="G24" s="412"/>
      <c r="K24" s="293"/>
      <c r="L24" s="292" t="s">
        <v>649</v>
      </c>
      <c r="M24" s="412"/>
      <c r="N24" s="292" t="s">
        <v>649</v>
      </c>
    </row>
    <row r="25" spans="1:17" ht="15" customHeight="1" x14ac:dyDescent="0.15">
      <c r="B25" s="279"/>
      <c r="C25" s="279" t="s">
        <v>562</v>
      </c>
      <c r="D25" s="279"/>
      <c r="E25" s="323"/>
      <c r="F25" s="292"/>
      <c r="G25" s="293"/>
      <c r="K25" s="293"/>
      <c r="L25" s="292">
        <v>2021</v>
      </c>
      <c r="M25" s="293"/>
      <c r="N25" s="292">
        <v>2020</v>
      </c>
    </row>
    <row r="26" spans="1:17" ht="15" customHeight="1" x14ac:dyDescent="0.15">
      <c r="B26" s="279"/>
      <c r="C26" s="279"/>
      <c r="D26" s="279"/>
      <c r="E26" s="323"/>
      <c r="F26" s="293"/>
      <c r="G26" s="293"/>
      <c r="K26" s="293"/>
      <c r="L26" s="292" t="s">
        <v>363</v>
      </c>
      <c r="M26" s="293"/>
      <c r="N26" s="292" t="s">
        <v>363</v>
      </c>
    </row>
    <row r="27" spans="1:17" ht="15" customHeight="1" x14ac:dyDescent="0.15">
      <c r="A27" s="305">
        <v>2000</v>
      </c>
      <c r="C27" s="283" t="s">
        <v>650</v>
      </c>
      <c r="F27" s="333"/>
      <c r="G27" s="333"/>
      <c r="K27" s="333"/>
      <c r="L27" s="334">
        <f>-VLOOKUP($A27,TB!$A:$E,5,FALSE)</f>
        <v>46380.76</v>
      </c>
      <c r="M27" s="333"/>
      <c r="N27" s="334">
        <v>44498.87</v>
      </c>
      <c r="P27" s="301"/>
    </row>
    <row r="28" spans="1:17" ht="15" hidden="1" customHeight="1" outlineLevel="1" x14ac:dyDescent="0.15">
      <c r="A28" s="305">
        <v>2100</v>
      </c>
      <c r="B28" s="306"/>
      <c r="C28" s="306" t="str">
        <f>VLOOKUP($A28,TB!$A:$E,3,FALSE)</f>
        <v>Employee Expenses Control Account</v>
      </c>
      <c r="D28" s="307"/>
      <c r="E28" s="306"/>
      <c r="F28" s="307"/>
      <c r="G28" s="332"/>
      <c r="K28" s="332"/>
      <c r="L28" s="307">
        <f>-VLOOKUP($A28,TB!$A:$E,5,FALSE)</f>
        <v>128.01</v>
      </c>
      <c r="M28" s="332"/>
      <c r="N28" s="307">
        <v>-758.6</v>
      </c>
    </row>
    <row r="29" spans="1:17" ht="15" hidden="1" customHeight="1" outlineLevel="1" x14ac:dyDescent="0.15">
      <c r="A29" s="305">
        <v>2201</v>
      </c>
      <c r="B29" s="306"/>
      <c r="C29" s="306" t="str">
        <f>VLOOKUP($A29,TB!$A:$E,3,FALSE)</f>
        <v>Output VAT Control</v>
      </c>
      <c r="D29" s="307"/>
      <c r="E29" s="306"/>
      <c r="F29" s="307"/>
      <c r="G29" s="332"/>
      <c r="K29" s="332"/>
      <c r="L29" s="307">
        <f>-VLOOKUP($A29,TB!$A:$E,5,FALSE)</f>
        <v>0</v>
      </c>
      <c r="M29" s="332"/>
      <c r="N29" s="307">
        <v>0</v>
      </c>
    </row>
    <row r="30" spans="1:17" ht="15" hidden="1" customHeight="1" outlineLevel="1" x14ac:dyDescent="0.15">
      <c r="A30" s="305">
        <v>2202</v>
      </c>
      <c r="B30" s="306"/>
      <c r="C30" s="306" t="str">
        <f>VLOOKUP($A30,TB!$A:$E,3,FALSE)</f>
        <v>Input VAT Control</v>
      </c>
      <c r="D30" s="307"/>
      <c r="E30" s="306"/>
      <c r="F30" s="307"/>
      <c r="G30" s="332"/>
      <c r="K30" s="332"/>
      <c r="L30" s="307">
        <f>-VLOOKUP($A30,TB!$A:$E,5,FALSE)</f>
        <v>0</v>
      </c>
      <c r="M30" s="332"/>
      <c r="N30" s="307">
        <v>0</v>
      </c>
    </row>
    <row r="31" spans="1:17" ht="15" hidden="1" customHeight="1" outlineLevel="1" x14ac:dyDescent="0.15">
      <c r="A31" s="305">
        <v>2203</v>
      </c>
      <c r="B31" s="306"/>
      <c r="C31" s="306" t="str">
        <f>VLOOKUP($A31,TB!$A:$E,3,FALSE)</f>
        <v>VAT Liability</v>
      </c>
      <c r="D31" s="307"/>
      <c r="E31" s="306"/>
      <c r="F31" s="307"/>
      <c r="G31" s="332"/>
      <c r="K31" s="332"/>
      <c r="L31" s="307">
        <f>-VLOOKUP($A31,TB!$A:$E,5,FALSE)</f>
        <v>0</v>
      </c>
      <c r="M31" s="332"/>
      <c r="N31" s="307">
        <v>109532.86</v>
      </c>
    </row>
    <row r="32" spans="1:17" ht="15" hidden="1" customHeight="1" outlineLevel="1" x14ac:dyDescent="0.15">
      <c r="A32" s="305">
        <v>2204</v>
      </c>
      <c r="B32" s="306"/>
      <c r="C32" s="306" t="str">
        <f>VLOOKUP($A32,TB!$A:$E,3,FALSE)</f>
        <v>Reverse Charge Output VAT</v>
      </c>
      <c r="D32" s="307"/>
      <c r="E32" s="306"/>
      <c r="F32" s="307"/>
      <c r="G32" s="332"/>
      <c r="K32" s="332"/>
      <c r="L32" s="307">
        <f>-VLOOKUP($A32,TB!$A:$E,5,FALSE)</f>
        <v>23680.9</v>
      </c>
      <c r="M32" s="332"/>
      <c r="N32" s="307">
        <v>0</v>
      </c>
    </row>
    <row r="33" spans="1:17" ht="15" hidden="1" customHeight="1" outlineLevel="1" x14ac:dyDescent="0.15">
      <c r="A33" s="305">
        <v>2205</v>
      </c>
      <c r="B33" s="306"/>
      <c r="C33" s="306" t="str">
        <f>VLOOKUP($A33,TB!$A:$E,3,FALSE)</f>
        <v>Reverse Charge Input VAT</v>
      </c>
      <c r="D33" s="307"/>
      <c r="E33" s="306"/>
      <c r="F33" s="307"/>
      <c r="G33" s="332"/>
      <c r="K33" s="332"/>
      <c r="L33" s="307">
        <f>-VLOOKUP($A33,TB!$A:$E,5,FALSE)</f>
        <v>0</v>
      </c>
      <c r="M33" s="332"/>
      <c r="N33" s="307">
        <v>0</v>
      </c>
    </row>
    <row r="34" spans="1:17" ht="15" hidden="1" customHeight="1" outlineLevel="1" x14ac:dyDescent="0.15">
      <c r="A34" s="305">
        <v>2250</v>
      </c>
      <c r="B34" s="306"/>
      <c r="C34" s="306" t="str">
        <f>VLOOKUP($A34,TB!$A:$E,3,FALSE)</f>
        <v>PAYE &amp; NI</v>
      </c>
      <c r="D34" s="307"/>
      <c r="E34" s="306"/>
      <c r="F34" s="307"/>
      <c r="G34" s="332"/>
      <c r="K34" s="332"/>
      <c r="L34" s="307">
        <f>-VLOOKUP($A34,TB!$A:$E,5,FALSE)</f>
        <v>44376.44</v>
      </c>
      <c r="M34" s="332"/>
      <c r="N34" s="307">
        <v>37245.410000000003</v>
      </c>
    </row>
    <row r="35" spans="1:17" ht="24" customHeight="1" collapsed="1" x14ac:dyDescent="0.15">
      <c r="C35" s="382" t="s">
        <v>651</v>
      </c>
      <c r="F35" s="333"/>
      <c r="G35" s="333"/>
      <c r="K35" s="333"/>
      <c r="L35" s="331">
        <f>SUM(L28:L34)</f>
        <v>68185.350000000006</v>
      </c>
      <c r="M35" s="333"/>
      <c r="N35" s="331">
        <f>SUM(N28:N34)</f>
        <v>146019.66999999998</v>
      </c>
      <c r="P35" s="301"/>
    </row>
    <row r="36" spans="1:17" ht="13" x14ac:dyDescent="0.15">
      <c r="C36" s="382" t="s">
        <v>652</v>
      </c>
      <c r="F36" s="333"/>
      <c r="G36" s="333"/>
      <c r="K36" s="333"/>
      <c r="L36" s="331">
        <v>0</v>
      </c>
      <c r="M36" s="333"/>
      <c r="N36" s="331">
        <v>0</v>
      </c>
      <c r="P36" s="301"/>
    </row>
    <row r="37" spans="1:17" ht="15" hidden="1" customHeight="1" outlineLevel="1" x14ac:dyDescent="0.15">
      <c r="A37" s="305">
        <v>2400</v>
      </c>
      <c r="B37" s="306"/>
      <c r="C37" s="306" t="str">
        <f>VLOOKUP($A37,TB!$A:$E,3,FALSE)</f>
        <v>Accruals</v>
      </c>
      <c r="D37" s="307"/>
      <c r="E37" s="306"/>
      <c r="F37" s="307"/>
      <c r="G37" s="332"/>
      <c r="K37" s="332"/>
      <c r="L37" s="307">
        <f>-VLOOKUP($A37,TB!$A:$E,5,FALSE)</f>
        <v>159870.62</v>
      </c>
      <c r="M37" s="332"/>
      <c r="N37" s="307">
        <v>146562.85999999999</v>
      </c>
    </row>
    <row r="38" spans="1:17" ht="15" hidden="1" customHeight="1" outlineLevel="1" x14ac:dyDescent="0.15">
      <c r="A38" s="305"/>
      <c r="B38" s="306"/>
      <c r="C38" s="306" t="s">
        <v>590</v>
      </c>
      <c r="D38" s="307"/>
      <c r="E38" s="306"/>
      <c r="F38" s="307"/>
      <c r="G38" s="332"/>
      <c r="K38" s="332"/>
      <c r="L38" s="364"/>
      <c r="M38" s="332"/>
      <c r="N38" s="364">
        <v>0.1</v>
      </c>
    </row>
    <row r="39" spans="1:17" ht="15" hidden="1" customHeight="1" outlineLevel="1" x14ac:dyDescent="0.15">
      <c r="A39" s="305">
        <v>2411</v>
      </c>
      <c r="B39" s="306"/>
      <c r="C39" s="306" t="str">
        <f>VLOOKUP($A39,TB!$A:$E,3,FALSE)</f>
        <v>Grant Income Received in Advance</v>
      </c>
      <c r="D39" s="307"/>
      <c r="E39" s="306"/>
      <c r="F39" s="307"/>
      <c r="G39" s="332"/>
      <c r="K39" s="332"/>
      <c r="L39" s="307">
        <f>-VLOOKUP($A39,TB!$A:$E,5,FALSE)</f>
        <v>6095</v>
      </c>
      <c r="M39" s="332"/>
      <c r="N39" s="307">
        <v>0</v>
      </c>
    </row>
    <row r="40" spans="1:17" ht="15" hidden="1" customHeight="1" outlineLevel="1" x14ac:dyDescent="0.15">
      <c r="A40" s="305">
        <v>2413</v>
      </c>
      <c r="B40" s="306"/>
      <c r="C40" s="306" t="str">
        <f>VLOOKUP($A40,TB!$A:$E,3,FALSE)</f>
        <v>Grant Income Received in Advance USD</v>
      </c>
      <c r="D40" s="307"/>
      <c r="E40" s="306"/>
      <c r="F40" s="307"/>
      <c r="G40" s="332"/>
      <c r="K40" s="332"/>
      <c r="L40" s="307">
        <f>-VLOOKUP($A40,TB!$A:$E,5,FALSE)</f>
        <v>46552.73</v>
      </c>
      <c r="M40" s="332"/>
      <c r="N40" s="307">
        <v>24270.23</v>
      </c>
    </row>
    <row r="41" spans="1:17" ht="15" hidden="1" customHeight="1" outlineLevel="1" x14ac:dyDescent="0.15">
      <c r="A41" s="305">
        <v>2414</v>
      </c>
      <c r="B41" s="306"/>
      <c r="C41" s="306" t="str">
        <f>VLOOKUP($A41,TB!$A:$E,3,FALSE)</f>
        <v>Contract Income Received in Advance USD</v>
      </c>
      <c r="D41" s="307"/>
      <c r="E41" s="306"/>
      <c r="F41" s="307"/>
      <c r="G41" s="332"/>
      <c r="K41" s="332"/>
      <c r="L41" s="307">
        <f>-VLOOKUP($A41,TB!$A:$E,5,FALSE)</f>
        <v>11256.92</v>
      </c>
      <c r="M41" s="332"/>
      <c r="N41" s="307">
        <v>0</v>
      </c>
    </row>
    <row r="42" spans="1:17" ht="15" hidden="1" customHeight="1" outlineLevel="1" x14ac:dyDescent="0.15">
      <c r="A42" s="305">
        <v>2415</v>
      </c>
      <c r="B42" s="306"/>
      <c r="C42" s="306" t="str">
        <f>VLOOKUP($A42,TB!$A:$E,3,FALSE)</f>
        <v>Grant Income Received in Advance EUR</v>
      </c>
      <c r="D42" s="307"/>
      <c r="E42" s="306"/>
      <c r="F42" s="307"/>
      <c r="G42" s="332"/>
      <c r="K42" s="332"/>
      <c r="L42" s="307">
        <f>-VLOOKUP($A42,TB!$A:$E,5,FALSE)</f>
        <v>63011.72</v>
      </c>
      <c r="M42" s="332"/>
      <c r="N42" s="307">
        <v>0</v>
      </c>
    </row>
    <row r="43" spans="1:17" ht="15" customHeight="1" collapsed="1" x14ac:dyDescent="0.15">
      <c r="C43" s="283" t="s">
        <v>653</v>
      </c>
      <c r="F43" s="333"/>
      <c r="G43" s="333"/>
      <c r="K43" s="333"/>
      <c r="L43" s="331">
        <f>SUM(L37:L42)</f>
        <v>286786.99</v>
      </c>
      <c r="M43" s="333"/>
      <c r="N43" s="331">
        <f>SUM(N37:N42)</f>
        <v>170833.19</v>
      </c>
      <c r="Q43" s="301"/>
    </row>
    <row r="44" spans="1:17" ht="15" customHeight="1" thickBot="1" x14ac:dyDescent="0.2">
      <c r="C44" s="279" t="s">
        <v>319</v>
      </c>
      <c r="D44" s="279"/>
      <c r="E44" s="323"/>
      <c r="F44" s="333"/>
      <c r="G44" s="333"/>
      <c r="K44" s="333"/>
      <c r="L44" s="353">
        <f>SUM(L27,L35:L36,L43)</f>
        <v>401353.1</v>
      </c>
      <c r="M44" s="333"/>
      <c r="N44" s="353">
        <f>SUM(N27,N35:N36,N43)</f>
        <v>361351.73</v>
      </c>
      <c r="P44" s="331">
        <f>-TB!L26</f>
        <v>401353.1</v>
      </c>
      <c r="Q44" s="410">
        <f>L44-P44</f>
        <v>0</v>
      </c>
    </row>
    <row r="45" spans="1:17" ht="15" customHeight="1" thickTop="1" x14ac:dyDescent="0.15">
      <c r="C45" s="279"/>
      <c r="D45" s="279"/>
      <c r="E45" s="323"/>
      <c r="F45" s="333"/>
      <c r="G45" s="333"/>
      <c r="H45" s="333"/>
      <c r="I45" s="333"/>
      <c r="J45" s="333"/>
      <c r="K45" s="333"/>
      <c r="L45" s="333"/>
      <c r="M45" s="333"/>
      <c r="N45" s="333"/>
    </row>
    <row r="46" spans="1:17" ht="36.75" customHeight="1" x14ac:dyDescent="0.15">
      <c r="B46" s="413" t="s">
        <v>660</v>
      </c>
      <c r="C46" s="414" t="s">
        <v>567</v>
      </c>
      <c r="D46" s="385" t="s">
        <v>657</v>
      </c>
      <c r="E46" s="328"/>
      <c r="F46" s="385" t="s">
        <v>312</v>
      </c>
      <c r="G46" s="328"/>
      <c r="H46" s="385" t="s">
        <v>313</v>
      </c>
      <c r="I46" s="328"/>
      <c r="J46" s="385" t="s">
        <v>526</v>
      </c>
      <c r="K46" s="328"/>
      <c r="L46" s="385" t="s">
        <v>656</v>
      </c>
      <c r="M46" s="328"/>
      <c r="N46" s="385" t="s">
        <v>694</v>
      </c>
    </row>
    <row r="47" spans="1:17" ht="15" customHeight="1" x14ac:dyDescent="0.15">
      <c r="B47" s="357"/>
      <c r="C47" s="279"/>
      <c r="D47" s="280" t="s">
        <v>363</v>
      </c>
      <c r="E47" s="328"/>
      <c r="F47" s="280" t="s">
        <v>363</v>
      </c>
      <c r="G47" s="328"/>
      <c r="H47" s="280" t="s">
        <v>363</v>
      </c>
      <c r="I47" s="328"/>
      <c r="J47" s="280" t="s">
        <v>363</v>
      </c>
      <c r="K47" s="328"/>
      <c r="L47" s="280" t="s">
        <v>363</v>
      </c>
      <c r="M47" s="328"/>
      <c r="N47" s="280" t="s">
        <v>363</v>
      </c>
    </row>
    <row r="48" spans="1:17" ht="15" customHeight="1" x14ac:dyDescent="0.15">
      <c r="C48" s="279" t="s">
        <v>511</v>
      </c>
      <c r="E48" s="330"/>
      <c r="F48" s="276"/>
      <c r="G48" s="330"/>
      <c r="H48" s="276"/>
      <c r="I48" s="330"/>
      <c r="J48" s="276"/>
      <c r="K48" s="330"/>
      <c r="L48" s="276"/>
      <c r="M48" s="330"/>
      <c r="N48" s="276"/>
    </row>
    <row r="49" spans="2:18" ht="15" customHeight="1" x14ac:dyDescent="0.15">
      <c r="C49" s="283" t="s">
        <v>512</v>
      </c>
      <c r="D49" s="330">
        <f>N60</f>
        <v>17671179.93</v>
      </c>
      <c r="E49" s="330"/>
      <c r="F49" s="330"/>
      <c r="G49" s="330"/>
      <c r="H49" s="333">
        <f>-Summary!O48</f>
        <v>0</v>
      </c>
      <c r="I49" s="330"/>
      <c r="J49" s="330">
        <f>-'P&amp;L by Award'!AA91-TB!E43</f>
        <v>0</v>
      </c>
      <c r="K49" s="330"/>
      <c r="L49" s="330">
        <v>0</v>
      </c>
      <c r="M49" s="330"/>
      <c r="N49" s="330">
        <f>SUM(D49:L49)</f>
        <v>17671179.93</v>
      </c>
    </row>
    <row r="50" spans="2:18" ht="15" customHeight="1" x14ac:dyDescent="0.15">
      <c r="C50" s="283" t="s">
        <v>658</v>
      </c>
      <c r="D50" s="330">
        <f>N61</f>
        <v>3152728.08</v>
      </c>
      <c r="E50" s="330"/>
      <c r="F50" s="330">
        <f>'Consolidated SOFA'!F23</f>
        <v>4167468.81</v>
      </c>
      <c r="G50" s="330"/>
      <c r="H50" s="333">
        <f>-'Consolidated SOFA'!F33-H49</f>
        <v>-4852936.43</v>
      </c>
      <c r="I50" s="330"/>
      <c r="J50" s="330"/>
      <c r="K50" s="330"/>
      <c r="L50" s="333">
        <f>-L54-L49</f>
        <v>315880.23999999976</v>
      </c>
      <c r="M50" s="330"/>
      <c r="N50" s="330">
        <f>SUM(D50:L50)</f>
        <v>2783140.7000000007</v>
      </c>
      <c r="R50" s="301"/>
    </row>
    <row r="51" spans="2:18" ht="15" customHeight="1" x14ac:dyDescent="0.15">
      <c r="D51" s="277">
        <f>SUM(D49:D50)</f>
        <v>20823908.009999998</v>
      </c>
      <c r="E51" s="330"/>
      <c r="F51" s="277">
        <f>SUM(F49:F50)</f>
        <v>4167468.81</v>
      </c>
      <c r="G51" s="330"/>
      <c r="H51" s="415">
        <f>SUM(H49:H50)</f>
        <v>-4852936.43</v>
      </c>
      <c r="I51" s="330"/>
      <c r="J51" s="277">
        <f>SUM(J49:J50)</f>
        <v>0</v>
      </c>
      <c r="K51" s="330"/>
      <c r="L51" s="277">
        <f>SUM(L49:L50)</f>
        <v>315880.23999999976</v>
      </c>
      <c r="M51" s="330"/>
      <c r="N51" s="277">
        <f>SUM(N49:N50)</f>
        <v>20454320.629999999</v>
      </c>
    </row>
    <row r="52" spans="2:18" ht="15" customHeight="1" x14ac:dyDescent="0.15">
      <c r="D52" s="276"/>
      <c r="E52" s="330"/>
      <c r="F52" s="276"/>
      <c r="G52" s="330"/>
      <c r="H52" s="331"/>
      <c r="I52" s="330"/>
      <c r="J52" s="276"/>
      <c r="K52" s="330"/>
      <c r="L52" s="276"/>
      <c r="M52" s="330"/>
      <c r="N52" s="276"/>
    </row>
    <row r="53" spans="2:18" ht="15" customHeight="1" x14ac:dyDescent="0.15">
      <c r="C53" s="279" t="s">
        <v>510</v>
      </c>
      <c r="D53" s="276"/>
      <c r="E53" s="330"/>
      <c r="F53" s="276"/>
      <c r="G53" s="330"/>
      <c r="H53" s="331"/>
      <c r="I53" s="330"/>
      <c r="J53" s="276"/>
      <c r="K53" s="330"/>
      <c r="L53" s="276"/>
      <c r="M53" s="330"/>
      <c r="N53" s="276"/>
    </row>
    <row r="54" spans="2:18" ht="15" customHeight="1" x14ac:dyDescent="0.15">
      <c r="C54" s="283" t="s">
        <v>314</v>
      </c>
      <c r="D54" s="330">
        <f>N65</f>
        <v>0</v>
      </c>
      <c r="E54" s="330"/>
      <c r="F54" s="330">
        <f>'Consolidated SOFA'!H23</f>
        <v>4464742.37</v>
      </c>
      <c r="G54" s="330"/>
      <c r="H54" s="333">
        <f>-'Consolidated SOFA'!H33</f>
        <v>-4148862.1300000004</v>
      </c>
      <c r="I54" s="330"/>
      <c r="J54" s="416">
        <f>-'P&amp;L by Award'!AD90</f>
        <v>0</v>
      </c>
      <c r="K54" s="330"/>
      <c r="L54" s="330">
        <f>-SUM(F54:H54)</f>
        <v>-315880.23999999976</v>
      </c>
      <c r="M54" s="330"/>
      <c r="N54" s="330">
        <f>SUM(D54:L54)</f>
        <v>0</v>
      </c>
      <c r="R54" s="301"/>
    </row>
    <row r="55" spans="2:18" ht="15" customHeight="1" thickBot="1" x14ac:dyDescent="0.2">
      <c r="D55" s="340">
        <f>D51+D54</f>
        <v>20823908.009999998</v>
      </c>
      <c r="E55" s="330"/>
      <c r="F55" s="353">
        <f>F51+F54</f>
        <v>8632211.1799999997</v>
      </c>
      <c r="G55" s="330"/>
      <c r="H55" s="353">
        <f>H51+H54</f>
        <v>-9001798.5600000005</v>
      </c>
      <c r="I55" s="330"/>
      <c r="J55" s="340">
        <f>J51+J54</f>
        <v>0</v>
      </c>
      <c r="K55" s="330"/>
      <c r="L55" s="340">
        <f>L51+L54</f>
        <v>0</v>
      </c>
      <c r="M55" s="330"/>
      <c r="N55" s="340">
        <f>N51+N54</f>
        <v>20454320.629999999</v>
      </c>
      <c r="P55" s="331">
        <f>-TB!L32</f>
        <v>20454320.630000003</v>
      </c>
      <c r="Q55" s="410">
        <f>N55-P55</f>
        <v>0</v>
      </c>
    </row>
    <row r="56" spans="2:18" ht="15" customHeight="1" thickTop="1" x14ac:dyDescent="0.15">
      <c r="D56" s="417"/>
      <c r="E56" s="418"/>
      <c r="F56" s="417"/>
      <c r="G56" s="418"/>
      <c r="H56" s="417"/>
      <c r="I56" s="418"/>
      <c r="J56" s="417"/>
      <c r="K56" s="418"/>
      <c r="L56" s="417"/>
      <c r="M56" s="418"/>
      <c r="N56" s="417"/>
    </row>
    <row r="57" spans="2:18" ht="36.75" customHeight="1" x14ac:dyDescent="0.15">
      <c r="D57" s="385" t="s">
        <v>655</v>
      </c>
      <c r="E57" s="427"/>
      <c r="F57" s="385" t="s">
        <v>312</v>
      </c>
      <c r="G57" s="427"/>
      <c r="H57" s="385" t="s">
        <v>313</v>
      </c>
      <c r="I57" s="427"/>
      <c r="J57" s="385" t="s">
        <v>526</v>
      </c>
      <c r="K57" s="427"/>
      <c r="L57" s="385" t="s">
        <v>656</v>
      </c>
      <c r="M57" s="427"/>
      <c r="N57" s="385" t="s">
        <v>657</v>
      </c>
    </row>
    <row r="58" spans="2:18" ht="15" customHeight="1" x14ac:dyDescent="0.15">
      <c r="B58" s="357"/>
      <c r="C58" s="279"/>
      <c r="D58" s="428" t="s">
        <v>363</v>
      </c>
      <c r="E58" s="427"/>
      <c r="F58" s="428" t="s">
        <v>363</v>
      </c>
      <c r="G58" s="427"/>
      <c r="H58" s="428" t="s">
        <v>363</v>
      </c>
      <c r="I58" s="427"/>
      <c r="J58" s="428" t="s">
        <v>363</v>
      </c>
      <c r="K58" s="427"/>
      <c r="L58" s="428" t="s">
        <v>363</v>
      </c>
      <c r="M58" s="427"/>
      <c r="N58" s="428" t="s">
        <v>363</v>
      </c>
    </row>
    <row r="59" spans="2:18" ht="15" customHeight="1" x14ac:dyDescent="0.15">
      <c r="C59" s="279" t="s">
        <v>511</v>
      </c>
      <c r="E59" s="330"/>
      <c r="F59" s="276"/>
      <c r="G59" s="330"/>
      <c r="H59" s="276"/>
      <c r="I59" s="330"/>
      <c r="J59" s="276"/>
      <c r="K59" s="330"/>
      <c r="L59" s="276"/>
      <c r="M59" s="330"/>
      <c r="N59" s="276"/>
    </row>
    <row r="60" spans="2:18" ht="15" customHeight="1" x14ac:dyDescent="0.15">
      <c r="C60" s="283" t="s">
        <v>512</v>
      </c>
      <c r="D60" s="330"/>
      <c r="E60" s="330"/>
      <c r="F60" s="330"/>
      <c r="G60" s="330"/>
      <c r="H60" s="333">
        <f>-'Consolidated SOFA'!L33-H61</f>
        <v>-3647120.0700000003</v>
      </c>
      <c r="I60" s="330"/>
      <c r="J60" s="330">
        <v>21318300</v>
      </c>
      <c r="K60" s="330"/>
      <c r="L60" s="330">
        <v>0</v>
      </c>
      <c r="M60" s="330"/>
      <c r="N60" s="330">
        <f>SUM(D60:L60)</f>
        <v>17671179.93</v>
      </c>
    </row>
    <row r="61" spans="2:18" ht="15" customHeight="1" x14ac:dyDescent="0.15">
      <c r="C61" s="283" t="s">
        <v>658</v>
      </c>
      <c r="D61" s="330"/>
      <c r="E61" s="330"/>
      <c r="F61" s="330">
        <f>'Consolidated SOFA'!L23</f>
        <v>3152728.08</v>
      </c>
      <c r="G61" s="330"/>
      <c r="H61" s="333">
        <f>L65</f>
        <v>-312577.08999999985</v>
      </c>
      <c r="I61" s="330"/>
      <c r="J61" s="330"/>
      <c r="K61" s="330"/>
      <c r="L61" s="333">
        <f>-L65</f>
        <v>312577.08999999985</v>
      </c>
      <c r="M61" s="330"/>
      <c r="N61" s="330">
        <f>SUM(D61:L61)</f>
        <v>3152728.08</v>
      </c>
      <c r="R61" s="301"/>
    </row>
    <row r="62" spans="2:18" ht="15" customHeight="1" x14ac:dyDescent="0.15">
      <c r="D62" s="277">
        <f>SUM(D60:D61)</f>
        <v>0</v>
      </c>
      <c r="E62" s="330"/>
      <c r="F62" s="277">
        <f>SUM(F60:F61)</f>
        <v>3152728.08</v>
      </c>
      <c r="G62" s="330"/>
      <c r="H62" s="415">
        <f>SUM(H60:H61)</f>
        <v>-3959697.16</v>
      </c>
      <c r="I62" s="330"/>
      <c r="J62" s="277">
        <f>SUM(J60:J61)</f>
        <v>21318300</v>
      </c>
      <c r="K62" s="330"/>
      <c r="L62" s="277">
        <f>SUM(L60:L61)</f>
        <v>312577.08999999985</v>
      </c>
      <c r="M62" s="330"/>
      <c r="N62" s="277">
        <f>SUM(N60:N61)</f>
        <v>20823908.009999998</v>
      </c>
    </row>
    <row r="63" spans="2:18" ht="15" customHeight="1" x14ac:dyDescent="0.15">
      <c r="D63" s="276"/>
      <c r="E63" s="330"/>
      <c r="F63" s="276"/>
      <c r="G63" s="330"/>
      <c r="H63" s="331"/>
      <c r="I63" s="330"/>
      <c r="J63" s="276"/>
      <c r="K63" s="330"/>
      <c r="L63" s="276"/>
      <c r="M63" s="330"/>
      <c r="N63" s="276"/>
    </row>
    <row r="64" spans="2:18" ht="15" customHeight="1" x14ac:dyDescent="0.15">
      <c r="C64" s="279" t="s">
        <v>510</v>
      </c>
      <c r="D64" s="276"/>
      <c r="E64" s="330"/>
      <c r="F64" s="276"/>
      <c r="G64" s="330"/>
      <c r="H64" s="331"/>
      <c r="I64" s="330"/>
      <c r="J64" s="276"/>
      <c r="K64" s="330"/>
      <c r="L64" s="276"/>
      <c r="M64" s="330"/>
      <c r="N64" s="276"/>
    </row>
    <row r="65" spans="2:18" ht="15" customHeight="1" x14ac:dyDescent="0.15">
      <c r="C65" s="283" t="s">
        <v>314</v>
      </c>
      <c r="D65" s="330"/>
      <c r="E65" s="330"/>
      <c r="F65" s="330">
        <f>'Consolidated SOFA'!N23</f>
        <v>3582804.1499999994</v>
      </c>
      <c r="G65" s="330"/>
      <c r="H65" s="333">
        <f>-'Consolidated SOFA'!N33</f>
        <v>-3270227.0599999996</v>
      </c>
      <c r="I65" s="330"/>
      <c r="J65" s="416">
        <v>0</v>
      </c>
      <c r="K65" s="330"/>
      <c r="L65" s="330">
        <f>-SUM(F65:H65)</f>
        <v>-312577.08999999985</v>
      </c>
      <c r="M65" s="330"/>
      <c r="N65" s="330">
        <f>SUM(D65:L65)</f>
        <v>0</v>
      </c>
      <c r="R65" s="301"/>
    </row>
    <row r="66" spans="2:18" ht="15" customHeight="1" thickBot="1" x14ac:dyDescent="0.2">
      <c r="D66" s="340">
        <f>D62+D65</f>
        <v>0</v>
      </c>
      <c r="E66" s="330"/>
      <c r="F66" s="353">
        <f>F62+F65</f>
        <v>6735532.2299999995</v>
      </c>
      <c r="G66" s="330"/>
      <c r="H66" s="353">
        <f>H62+H65</f>
        <v>-7229924.2199999997</v>
      </c>
      <c r="I66" s="330"/>
      <c r="J66" s="340">
        <f>J62+J65</f>
        <v>21318300</v>
      </c>
      <c r="K66" s="330"/>
      <c r="L66" s="340">
        <f>L62+L65</f>
        <v>0</v>
      </c>
      <c r="M66" s="330"/>
      <c r="N66" s="340">
        <f>N62+N65</f>
        <v>20823908.009999998</v>
      </c>
    </row>
    <row r="67" spans="2:18" ht="15" customHeight="1" thickTop="1" x14ac:dyDescent="0.15">
      <c r="D67" s="417"/>
      <c r="E67" s="418"/>
      <c r="F67" s="417"/>
      <c r="G67" s="418"/>
      <c r="H67" s="417"/>
      <c r="I67" s="418"/>
      <c r="J67" s="417"/>
      <c r="K67" s="418"/>
      <c r="L67" s="417"/>
      <c r="M67" s="418"/>
      <c r="N67" s="417"/>
    </row>
    <row r="68" spans="2:18" ht="30" customHeight="1" x14ac:dyDescent="0.2">
      <c r="C68" s="480" t="s">
        <v>659</v>
      </c>
      <c r="D68" s="481"/>
      <c r="E68" s="481"/>
      <c r="F68" s="481"/>
      <c r="G68" s="481"/>
      <c r="H68" s="481"/>
      <c r="I68" s="481"/>
      <c r="J68" s="481"/>
      <c r="K68" s="481"/>
      <c r="L68" s="481"/>
      <c r="M68" s="481"/>
      <c r="N68" s="481"/>
    </row>
    <row r="69" spans="2:18" ht="15" customHeight="1" x14ac:dyDescent="0.15"/>
    <row r="70" spans="2:18" x14ac:dyDescent="0.15">
      <c r="B70" s="357" t="s">
        <v>663</v>
      </c>
      <c r="C70" s="279" t="s">
        <v>661</v>
      </c>
    </row>
    <row r="71" spans="2:18" x14ac:dyDescent="0.15">
      <c r="G71" s="283"/>
      <c r="H71" s="419" t="s">
        <v>694</v>
      </c>
      <c r="I71" s="419"/>
      <c r="J71" s="419"/>
      <c r="K71" s="419"/>
      <c r="L71" s="419"/>
      <c r="M71" s="419"/>
      <c r="N71" s="419"/>
    </row>
    <row r="72" spans="2:18" ht="26" x14ac:dyDescent="0.15">
      <c r="G72" s="283"/>
      <c r="H72" s="385" t="s">
        <v>510</v>
      </c>
      <c r="I72" s="323"/>
      <c r="J72" s="385" t="s">
        <v>658</v>
      </c>
      <c r="K72" s="323"/>
      <c r="L72" s="385" t="s">
        <v>512</v>
      </c>
      <c r="M72" s="323"/>
      <c r="N72" s="385" t="s">
        <v>284</v>
      </c>
    </row>
    <row r="73" spans="2:18" x14ac:dyDescent="0.15">
      <c r="G73" s="283"/>
      <c r="H73" s="280" t="s">
        <v>363</v>
      </c>
      <c r="I73" s="328"/>
      <c r="J73" s="280" t="s">
        <v>363</v>
      </c>
      <c r="K73" s="328"/>
      <c r="L73" s="280" t="s">
        <v>363</v>
      </c>
      <c r="M73" s="328"/>
      <c r="N73" s="280" t="s">
        <v>363</v>
      </c>
    </row>
    <row r="74" spans="2:18" x14ac:dyDescent="0.15">
      <c r="G74" s="283"/>
      <c r="H74" s="279"/>
      <c r="I74" s="323"/>
      <c r="J74" s="279"/>
      <c r="K74" s="323"/>
      <c r="L74" s="279"/>
      <c r="M74" s="323"/>
      <c r="N74" s="279"/>
    </row>
    <row r="75" spans="2:18" x14ac:dyDescent="0.15">
      <c r="C75" s="283" t="s">
        <v>662</v>
      </c>
      <c r="G75" s="283"/>
      <c r="H75" s="276">
        <f>N54</f>
        <v>0</v>
      </c>
      <c r="I75" s="330"/>
      <c r="J75" s="276">
        <f>N50</f>
        <v>2783140.7000000007</v>
      </c>
      <c r="K75" s="330"/>
      <c r="L75" s="276">
        <f>N49</f>
        <v>17671179.93</v>
      </c>
      <c r="M75" s="330"/>
      <c r="N75" s="276">
        <f>+SUM(H75:L75)</f>
        <v>20454320.629999999</v>
      </c>
    </row>
    <row r="76" spans="2:18" ht="13" thickBot="1" x14ac:dyDescent="0.2">
      <c r="H76" s="340">
        <f>+SUM(H75:H75)</f>
        <v>0</v>
      </c>
      <c r="I76" s="330"/>
      <c r="J76" s="340">
        <f>+SUM(J75:J75)</f>
        <v>2783140.7000000007</v>
      </c>
      <c r="K76" s="330"/>
      <c r="L76" s="340">
        <f>+SUM(L75:L75)</f>
        <v>17671179.93</v>
      </c>
      <c r="M76" s="330"/>
      <c r="N76" s="340">
        <f>+SUM(N75:N75)</f>
        <v>20454320.629999999</v>
      </c>
    </row>
    <row r="77" spans="2:18" ht="13" thickTop="1" x14ac:dyDescent="0.15"/>
    <row r="78" spans="2:18" x14ac:dyDescent="0.15">
      <c r="G78" s="283"/>
      <c r="H78" s="419" t="s">
        <v>657</v>
      </c>
      <c r="I78" s="419"/>
      <c r="J78" s="419"/>
      <c r="K78" s="419"/>
      <c r="L78" s="419"/>
      <c r="M78" s="419"/>
      <c r="N78" s="419"/>
    </row>
    <row r="79" spans="2:18" ht="26" x14ac:dyDescent="0.15">
      <c r="G79" s="283"/>
      <c r="H79" s="385" t="s">
        <v>510</v>
      </c>
      <c r="I79" s="323"/>
      <c r="J79" s="385" t="s">
        <v>658</v>
      </c>
      <c r="K79" s="323"/>
      <c r="L79" s="385" t="s">
        <v>512</v>
      </c>
      <c r="M79" s="323"/>
      <c r="N79" s="385" t="s">
        <v>284</v>
      </c>
    </row>
    <row r="80" spans="2:18" x14ac:dyDescent="0.15">
      <c r="G80" s="283"/>
      <c r="H80" s="435" t="s">
        <v>363</v>
      </c>
      <c r="I80" s="434"/>
      <c r="J80" s="435" t="s">
        <v>363</v>
      </c>
      <c r="K80" s="434"/>
      <c r="L80" s="435" t="s">
        <v>363</v>
      </c>
      <c r="M80" s="434"/>
      <c r="N80" s="435" t="s">
        <v>363</v>
      </c>
    </row>
    <row r="81" spans="3:14" x14ac:dyDescent="0.15">
      <c r="G81" s="283"/>
      <c r="H81" s="279"/>
      <c r="I81" s="323"/>
      <c r="J81" s="279"/>
      <c r="K81" s="323"/>
      <c r="L81" s="279"/>
      <c r="M81" s="323"/>
      <c r="N81" s="279"/>
    </row>
    <row r="82" spans="3:14" x14ac:dyDescent="0.15">
      <c r="C82" s="283" t="s">
        <v>662</v>
      </c>
      <c r="G82" s="283"/>
      <c r="H82" s="276">
        <f>N65</f>
        <v>0</v>
      </c>
      <c r="I82" s="330"/>
      <c r="J82" s="276">
        <f>N61</f>
        <v>3152728.08</v>
      </c>
      <c r="K82" s="330"/>
      <c r="L82" s="276">
        <f>N60</f>
        <v>17671179.93</v>
      </c>
      <c r="M82" s="330"/>
      <c r="N82" s="276">
        <f>+SUM(H82:L82)</f>
        <v>20823908.009999998</v>
      </c>
    </row>
    <row r="83" spans="3:14" ht="13" thickBot="1" x14ac:dyDescent="0.2">
      <c r="H83" s="340">
        <f>+SUM(H82:H82)</f>
        <v>0</v>
      </c>
      <c r="I83" s="330"/>
      <c r="J83" s="340">
        <f>+SUM(J82:J82)</f>
        <v>3152728.08</v>
      </c>
      <c r="K83" s="330"/>
      <c r="L83" s="340">
        <f>+SUM(L82:L82)</f>
        <v>17671179.93</v>
      </c>
      <c r="M83" s="330"/>
      <c r="N83" s="340">
        <f>+SUM(N82:N82)</f>
        <v>20823908.009999998</v>
      </c>
    </row>
    <row r="84" spans="3:14" ht="13" thickTop="1" x14ac:dyDescent="0.15"/>
  </sheetData>
  <mergeCells count="1">
    <mergeCell ref="C68:N68"/>
  </mergeCells>
  <printOptions horizontalCentered="1"/>
  <pageMargins left="0.23622047244094491" right="0.23622047244094491" top="0.35433070866141736" bottom="0.39370078740157483" header="0.31496062992125984" footer="0.31496062992125984"/>
  <pageSetup paperSize="9" scale="8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M78"/>
  <sheetViews>
    <sheetView zoomScaleNormal="100" zoomScaleSheetLayoutView="100" workbookViewId="0">
      <selection activeCell="C38" sqref="C38"/>
    </sheetView>
  </sheetViews>
  <sheetFormatPr baseColWidth="10" defaultColWidth="9.1640625" defaultRowHeight="12" x14ac:dyDescent="0.15"/>
  <cols>
    <col min="1" max="1" width="3.6640625" style="132" customWidth="1"/>
    <col min="2" max="2" width="39" style="132" customWidth="1"/>
    <col min="3" max="3" width="11.6640625" style="132" customWidth="1"/>
    <col min="4" max="4" width="1.6640625" style="426" customWidth="1"/>
    <col min="5" max="5" width="11.6640625" style="132" customWidth="1"/>
    <col min="6" max="6" width="1.6640625" style="426" customWidth="1"/>
    <col min="7" max="7" width="11.6640625" style="132" customWidth="1"/>
    <col min="8" max="8" width="1.6640625" style="426" customWidth="1"/>
    <col min="9" max="9" width="11.6640625" style="132" customWidth="1"/>
    <col min="10" max="10" width="9.1640625" style="132"/>
    <col min="11" max="11" width="9.83203125" style="132" bestFit="1" customWidth="1"/>
    <col min="12" max="16384" width="9.1640625" style="132"/>
  </cols>
  <sheetData>
    <row r="1" spans="1:11" s="283" customFormat="1" ht="15" customHeight="1" x14ac:dyDescent="0.15">
      <c r="A1" s="279" t="str">
        <f>'Consolidated SOFA'!B1</f>
        <v>SCI FOUNDATION</v>
      </c>
      <c r="B1" s="279"/>
      <c r="C1" s="279"/>
      <c r="D1" s="323"/>
      <c r="E1" s="279"/>
      <c r="F1" s="323"/>
      <c r="G1" s="279"/>
      <c r="H1" s="323"/>
      <c r="I1" s="341"/>
      <c r="J1" s="279"/>
    </row>
    <row r="2" spans="1:11" s="283" customFormat="1" ht="15" customHeight="1" x14ac:dyDescent="0.15">
      <c r="A2" s="279"/>
      <c r="D2" s="287"/>
      <c r="F2" s="287"/>
      <c r="H2" s="287"/>
    </row>
    <row r="3" spans="1:11" s="283" customFormat="1" ht="15" customHeight="1" x14ac:dyDescent="0.15">
      <c r="A3" s="279" t="s">
        <v>584</v>
      </c>
      <c r="B3" s="279"/>
      <c r="C3" s="279"/>
      <c r="D3" s="323"/>
      <c r="E3" s="279"/>
      <c r="F3" s="323"/>
      <c r="G3" s="279"/>
      <c r="H3" s="323"/>
      <c r="I3" s="279"/>
    </row>
    <row r="4" spans="1:11" s="283" customFormat="1" ht="15" customHeight="1" x14ac:dyDescent="0.15">
      <c r="A4" s="279"/>
      <c r="D4" s="287"/>
      <c r="F4" s="287"/>
      <c r="H4" s="287"/>
    </row>
    <row r="5" spans="1:11" s="283" customFormat="1" ht="15" customHeight="1" x14ac:dyDescent="0.15">
      <c r="A5" s="279" t="str">
        <f>'Consolidated SOFA'!$B$6</f>
        <v>FOR THE YEAR ENDED 31 MARCH 2021</v>
      </c>
      <c r="B5" s="279"/>
      <c r="C5" s="279"/>
      <c r="D5" s="323"/>
      <c r="E5" s="279"/>
      <c r="F5" s="323"/>
      <c r="G5" s="279"/>
      <c r="H5" s="323"/>
      <c r="I5" s="279"/>
    </row>
    <row r="6" spans="1:11" s="283" customFormat="1" ht="15" customHeight="1" x14ac:dyDescent="0.15">
      <c r="A6" s="287"/>
      <c r="B6" s="287"/>
      <c r="C6" s="287"/>
      <c r="D6" s="287"/>
      <c r="E6" s="287"/>
      <c r="F6" s="287"/>
      <c r="G6" s="287"/>
      <c r="H6" s="287"/>
      <c r="I6" s="287"/>
    </row>
    <row r="7" spans="1:11" s="283" customFormat="1" ht="15" customHeight="1" x14ac:dyDescent="0.15">
      <c r="A7" s="420"/>
      <c r="B7" s="289"/>
      <c r="C7" s="289"/>
      <c r="D7" s="289"/>
      <c r="E7" s="289"/>
      <c r="F7" s="289"/>
      <c r="G7" s="289"/>
      <c r="H7" s="289"/>
      <c r="I7" s="289"/>
    </row>
    <row r="8" spans="1:11" s="283" customFormat="1" ht="15" customHeight="1" x14ac:dyDescent="0.15">
      <c r="A8" s="357" t="s">
        <v>667</v>
      </c>
      <c r="B8" s="279" t="s">
        <v>664</v>
      </c>
      <c r="D8" s="287"/>
      <c r="F8" s="287"/>
      <c r="H8" s="287"/>
      <c r="J8" s="287"/>
    </row>
    <row r="9" spans="1:11" s="283" customFormat="1" ht="26.25" customHeight="1" x14ac:dyDescent="0.15">
      <c r="B9" s="478" t="s">
        <v>665</v>
      </c>
      <c r="C9" s="478"/>
      <c r="D9" s="478"/>
      <c r="E9" s="478"/>
      <c r="F9" s="478"/>
      <c r="G9" s="478"/>
      <c r="H9" s="478"/>
      <c r="I9" s="478"/>
      <c r="J9" s="382"/>
      <c r="K9" s="382"/>
    </row>
    <row r="10" spans="1:11" s="283" customFormat="1" ht="15" customHeight="1" x14ac:dyDescent="0.15">
      <c r="D10" s="287"/>
      <c r="F10" s="287"/>
      <c r="G10" s="435">
        <v>2021</v>
      </c>
      <c r="H10" s="287"/>
      <c r="I10" s="280">
        <v>2020</v>
      </c>
      <c r="J10" s="328"/>
    </row>
    <row r="11" spans="1:11" s="283" customFormat="1" ht="15" customHeight="1" x14ac:dyDescent="0.15">
      <c r="D11" s="287"/>
      <c r="F11" s="287"/>
      <c r="G11" s="435" t="s">
        <v>363</v>
      </c>
      <c r="H11" s="287"/>
      <c r="I11" s="280" t="s">
        <v>363</v>
      </c>
      <c r="J11" s="328"/>
    </row>
    <row r="12" spans="1:11" s="283" customFormat="1" ht="15" customHeight="1" thickBot="1" x14ac:dyDescent="0.2">
      <c r="B12" s="283" t="s">
        <v>666</v>
      </c>
      <c r="D12" s="287"/>
      <c r="F12" s="287"/>
      <c r="G12" s="362">
        <v>0</v>
      </c>
      <c r="H12" s="287"/>
      <c r="I12" s="362">
        <v>0</v>
      </c>
      <c r="J12" s="330"/>
    </row>
    <row r="13" spans="1:11" s="283" customFormat="1" ht="15" customHeight="1" thickTop="1" x14ac:dyDescent="0.15">
      <c r="D13" s="287"/>
      <c r="F13" s="287"/>
      <c r="H13" s="287"/>
      <c r="I13" s="333"/>
      <c r="J13" s="330"/>
      <c r="K13" s="330"/>
    </row>
    <row r="14" spans="1:11" s="283" customFormat="1" ht="15" customHeight="1" x14ac:dyDescent="0.15">
      <c r="A14" s="357" t="s">
        <v>674</v>
      </c>
      <c r="B14" s="279" t="s">
        <v>668</v>
      </c>
      <c r="C14" s="474">
        <v>2021</v>
      </c>
      <c r="D14" s="474"/>
      <c r="E14" s="474"/>
      <c r="F14" s="323"/>
      <c r="G14" s="474">
        <v>2020</v>
      </c>
      <c r="H14" s="474"/>
      <c r="I14" s="474"/>
    </row>
    <row r="15" spans="1:11" s="283" customFormat="1" ht="27.75" customHeight="1" x14ac:dyDescent="0.15">
      <c r="A15" s="279"/>
      <c r="B15" s="279"/>
      <c r="C15" s="385" t="s">
        <v>669</v>
      </c>
      <c r="D15" s="323"/>
      <c r="E15" s="385" t="s">
        <v>211</v>
      </c>
      <c r="F15" s="323"/>
      <c r="G15" s="385" t="s">
        <v>669</v>
      </c>
      <c r="H15" s="323"/>
      <c r="I15" s="385" t="s">
        <v>211</v>
      </c>
    </row>
    <row r="16" spans="1:11" s="283" customFormat="1" ht="15" customHeight="1" x14ac:dyDescent="0.15">
      <c r="A16" s="279"/>
      <c r="B16" s="279"/>
      <c r="C16" s="280" t="s">
        <v>363</v>
      </c>
      <c r="D16" s="328"/>
      <c r="E16" s="280" t="s">
        <v>363</v>
      </c>
      <c r="F16" s="323"/>
      <c r="G16" s="435" t="s">
        <v>363</v>
      </c>
      <c r="H16" s="434"/>
      <c r="I16" s="435" t="s">
        <v>363</v>
      </c>
    </row>
    <row r="17" spans="1:13" s="283" customFormat="1" ht="15" customHeight="1" x14ac:dyDescent="0.15">
      <c r="B17" s="283" t="s">
        <v>670</v>
      </c>
      <c r="C17" s="422"/>
      <c r="D17" s="421"/>
      <c r="E17" s="422"/>
      <c r="F17" s="421"/>
      <c r="G17" s="422"/>
      <c r="H17" s="421"/>
      <c r="I17" s="422"/>
    </row>
    <row r="18" spans="1:13" s="283" customFormat="1" ht="15" customHeight="1" x14ac:dyDescent="0.15">
      <c r="B18" s="283" t="s">
        <v>671</v>
      </c>
      <c r="C18" s="276">
        <f>'Cost Centres'!E122</f>
        <v>113773.1</v>
      </c>
      <c r="D18" s="276"/>
      <c r="E18" s="276">
        <f>'Cost Centres'!E114</f>
        <v>0</v>
      </c>
      <c r="F18" s="421"/>
      <c r="G18" s="276">
        <v>110459.62000000001</v>
      </c>
      <c r="H18" s="276"/>
      <c r="I18" s="276">
        <v>480</v>
      </c>
    </row>
    <row r="19" spans="1:13" s="283" customFormat="1" ht="15" customHeight="1" x14ac:dyDescent="0.15">
      <c r="B19" s="283" t="s">
        <v>672</v>
      </c>
      <c r="C19" s="276">
        <f>'Cost Centres'!F122</f>
        <v>9504.16</v>
      </c>
      <c r="D19" s="330"/>
      <c r="E19" s="276">
        <f>'Cost Centres'!F114</f>
        <v>0</v>
      </c>
      <c r="F19" s="330"/>
      <c r="G19" s="276">
        <v>123276.95999999999</v>
      </c>
      <c r="H19" s="330"/>
      <c r="I19" s="276">
        <v>1800</v>
      </c>
      <c r="L19" s="423" t="s">
        <v>319</v>
      </c>
    </row>
    <row r="20" spans="1:13" s="283" customFormat="1" ht="15" customHeight="1" x14ac:dyDescent="0.15">
      <c r="B20" s="283" t="s">
        <v>673</v>
      </c>
      <c r="C20" s="276">
        <v>0</v>
      </c>
      <c r="D20" s="330"/>
      <c r="E20" s="276">
        <v>0</v>
      </c>
      <c r="F20" s="330"/>
      <c r="G20" s="276">
        <v>0</v>
      </c>
      <c r="H20" s="330"/>
      <c r="I20" s="276">
        <v>0</v>
      </c>
    </row>
    <row r="21" spans="1:13" s="283" customFormat="1" ht="15" customHeight="1" thickBot="1" x14ac:dyDescent="0.2">
      <c r="B21" s="279" t="s">
        <v>319</v>
      </c>
      <c r="C21" s="340">
        <f>SUM(C17:C20)</f>
        <v>123277.26000000001</v>
      </c>
      <c r="D21" s="330"/>
      <c r="E21" s="340">
        <f>SUM(E17:E20)</f>
        <v>0</v>
      </c>
      <c r="F21" s="330"/>
      <c r="G21" s="340">
        <f>SUM(G17:G20)</f>
        <v>233736.58000000002</v>
      </c>
      <c r="H21" s="330"/>
      <c r="I21" s="340">
        <f>SUM(I17:I20)</f>
        <v>2280</v>
      </c>
    </row>
    <row r="22" spans="1:13" s="283" customFormat="1" ht="15" customHeight="1" thickTop="1" x14ac:dyDescent="0.15">
      <c r="D22" s="287"/>
      <c r="F22" s="287"/>
      <c r="H22" s="287"/>
    </row>
    <row r="23" spans="1:13" s="283" customFormat="1" ht="15" customHeight="1" x14ac:dyDescent="0.15">
      <c r="A23" s="357" t="s">
        <v>677</v>
      </c>
      <c r="B23" s="279" t="s">
        <v>675</v>
      </c>
      <c r="C23" s="279"/>
      <c r="D23" s="323"/>
      <c r="E23" s="279"/>
      <c r="F23" s="323"/>
      <c r="G23" s="279"/>
      <c r="H23" s="323"/>
      <c r="I23" s="279"/>
    </row>
    <row r="24" spans="1:13" s="283" customFormat="1" x14ac:dyDescent="0.15">
      <c r="A24" s="279"/>
      <c r="B24" s="478" t="s">
        <v>676</v>
      </c>
      <c r="C24" s="478"/>
      <c r="D24" s="478"/>
      <c r="E24" s="478"/>
      <c r="F24" s="478"/>
      <c r="G24" s="478"/>
      <c r="H24" s="478"/>
      <c r="I24" s="478"/>
    </row>
    <row r="25" spans="1:13" s="283" customFormat="1" ht="15" customHeight="1" x14ac:dyDescent="0.15">
      <c r="A25" s="279"/>
      <c r="B25" s="279"/>
      <c r="C25" s="279"/>
      <c r="D25" s="323"/>
      <c r="E25" s="279"/>
      <c r="F25" s="323"/>
      <c r="G25" s="279"/>
      <c r="H25" s="323"/>
      <c r="I25" s="279"/>
    </row>
    <row r="26" spans="1:13" s="283" customFormat="1" ht="15" customHeight="1" x14ac:dyDescent="0.15">
      <c r="A26" s="357" t="s">
        <v>680</v>
      </c>
      <c r="B26" s="279" t="s">
        <v>678</v>
      </c>
      <c r="C26" s="279"/>
      <c r="D26" s="323"/>
      <c r="E26" s="279"/>
      <c r="F26" s="323"/>
      <c r="G26" s="279"/>
      <c r="H26" s="323"/>
      <c r="I26" s="279"/>
      <c r="M26" s="284" t="s">
        <v>635</v>
      </c>
    </row>
    <row r="27" spans="1:13" s="283" customFormat="1" ht="27.75" customHeight="1" x14ac:dyDescent="0.2">
      <c r="A27" s="279"/>
      <c r="B27" s="478" t="str">
        <f>"SCI Foundation operates a Group pension arrangement.  The overall pension charge for the year was £"&amp;M27&amp;" (2020: £28,313). At 31 March 2021, no contributions were outstanding (2020: £ nil)."</f>
        <v>SCI Foundation operates a Group pension arrangement.  The overall pension charge for the year was £75,257 (2020: £28,313). At 31 March 2021, no contributions were outstanding (2020: £ nil).</v>
      </c>
      <c r="C27" s="478"/>
      <c r="D27" s="478"/>
      <c r="E27" s="478"/>
      <c r="F27" s="478"/>
      <c r="G27" s="478"/>
      <c r="H27" s="478"/>
      <c r="I27" s="478"/>
      <c r="K27" s="405" t="s">
        <v>679</v>
      </c>
      <c r="L27" s="406">
        <f>'Cost Centres'!D106</f>
        <v>75256.710000000006</v>
      </c>
      <c r="M27" s="407" t="str">
        <f>TEXT(L27,"#,###0")</f>
        <v>75,257</v>
      </c>
    </row>
    <row r="28" spans="1:13" s="283" customFormat="1" ht="15" customHeight="1" x14ac:dyDescent="0.15">
      <c r="A28" s="279"/>
      <c r="B28" s="279"/>
      <c r="C28" s="279"/>
      <c r="D28" s="323"/>
      <c r="E28" s="279"/>
      <c r="F28" s="323"/>
      <c r="G28" s="279"/>
      <c r="H28" s="323"/>
      <c r="I28" s="279"/>
    </row>
    <row r="29" spans="1:13" s="283" customFormat="1" ht="15" customHeight="1" x14ac:dyDescent="0.15">
      <c r="A29" s="357" t="s">
        <v>687</v>
      </c>
      <c r="B29" s="279" t="s">
        <v>681</v>
      </c>
      <c r="C29" s="279"/>
      <c r="D29" s="323"/>
      <c r="E29" s="279"/>
      <c r="F29" s="323"/>
      <c r="G29" s="279"/>
      <c r="H29" s="323"/>
      <c r="I29" s="279"/>
    </row>
    <row r="30" spans="1:13" s="283" customFormat="1" ht="15" customHeight="1" x14ac:dyDescent="0.15">
      <c r="A30" s="279"/>
      <c r="B30" s="279"/>
      <c r="D30" s="287"/>
      <c r="F30" s="287"/>
      <c r="G30" s="280">
        <v>2021</v>
      </c>
      <c r="H30" s="328"/>
      <c r="I30" s="435">
        <v>2020</v>
      </c>
    </row>
    <row r="31" spans="1:13" s="283" customFormat="1" ht="15" customHeight="1" x14ac:dyDescent="0.15">
      <c r="A31" s="279"/>
      <c r="B31" s="279"/>
      <c r="D31" s="287"/>
      <c r="F31" s="287"/>
      <c r="G31" s="280" t="s">
        <v>363</v>
      </c>
      <c r="H31" s="328"/>
      <c r="I31" s="435" t="s">
        <v>363</v>
      </c>
    </row>
    <row r="32" spans="1:13" s="283" customFormat="1" ht="15" customHeight="1" x14ac:dyDescent="0.15">
      <c r="A32" s="279"/>
      <c r="B32" s="279"/>
      <c r="D32" s="287"/>
      <c r="F32" s="287"/>
      <c r="G32" s="280"/>
      <c r="H32" s="328"/>
      <c r="I32" s="435"/>
    </row>
    <row r="33" spans="1:12" s="283" customFormat="1" ht="15" customHeight="1" x14ac:dyDescent="0.15">
      <c r="A33" s="279" t="s">
        <v>319</v>
      </c>
      <c r="B33" s="279" t="s">
        <v>682</v>
      </c>
      <c r="C33" s="279"/>
      <c r="D33" s="323"/>
      <c r="E33" s="279"/>
      <c r="F33" s="323"/>
      <c r="G33" s="338">
        <f>'Consolidated SOFA'!J46</f>
        <v>-369587.38000000082</v>
      </c>
      <c r="H33" s="339"/>
      <c r="I33" s="338">
        <f>'Consolidated SOFA'!P46</f>
        <v>20823908.009999998</v>
      </c>
      <c r="L33" s="423"/>
    </row>
    <row r="34" spans="1:12" s="283" customFormat="1" ht="15" customHeight="1" x14ac:dyDescent="0.15">
      <c r="A34" s="279"/>
      <c r="B34" s="279"/>
      <c r="C34" s="279"/>
      <c r="D34" s="323"/>
      <c r="E34" s="279"/>
      <c r="F34" s="323"/>
      <c r="G34" s="338"/>
      <c r="H34" s="339"/>
      <c r="I34" s="338"/>
    </row>
    <row r="35" spans="1:12" s="283" customFormat="1" ht="15" customHeight="1" x14ac:dyDescent="0.15">
      <c r="A35" s="279"/>
      <c r="B35" s="283" t="s">
        <v>538</v>
      </c>
      <c r="D35" s="287"/>
      <c r="F35" s="287"/>
      <c r="G35" s="276">
        <f>-'Consolidated SOFA'!J21</f>
        <v>-27858.6</v>
      </c>
      <c r="H35" s="330"/>
      <c r="I35" s="276">
        <f>-'Consolidated SOFA'!P21</f>
        <v>-11024.2</v>
      </c>
    </row>
    <row r="36" spans="1:12" s="283" customFormat="1" ht="15" customHeight="1" x14ac:dyDescent="0.15">
      <c r="A36" s="279"/>
      <c r="B36" s="283" t="s">
        <v>683</v>
      </c>
      <c r="D36" s="287"/>
      <c r="F36" s="287"/>
      <c r="G36" s="276">
        <f>-'Cost Centres'!D177</f>
        <v>97945.5</v>
      </c>
      <c r="H36" s="330"/>
      <c r="I36" s="276">
        <v>14889.53</v>
      </c>
      <c r="K36" s="132"/>
    </row>
    <row r="37" spans="1:12" s="283" customFormat="1" ht="15" customHeight="1" x14ac:dyDescent="0.15">
      <c r="A37" s="279"/>
      <c r="B37" s="283" t="s">
        <v>684</v>
      </c>
      <c r="D37" s="287"/>
      <c r="F37" s="287"/>
      <c r="G37" s="276">
        <f>-'Balance Sheet'!F25+'Balance Sheet'!J25</f>
        <v>40001.369999999995</v>
      </c>
      <c r="H37" s="330"/>
      <c r="I37" s="276">
        <f>-'Balance Sheet'!J25</f>
        <v>361351.73</v>
      </c>
    </row>
    <row r="38" spans="1:12" s="283" customFormat="1" ht="15" customHeight="1" x14ac:dyDescent="0.15">
      <c r="A38" s="279"/>
      <c r="B38" s="283" t="s">
        <v>685</v>
      </c>
      <c r="D38" s="287"/>
      <c r="F38" s="287"/>
      <c r="G38" s="276">
        <f>-'Balance Sheet'!F16+'Balance Sheet'!J16</f>
        <v>5006071.5900000017</v>
      </c>
      <c r="H38" s="330"/>
      <c r="I38" s="276">
        <f>-'Balance Sheet'!J16</f>
        <v>-7298055.5000000009</v>
      </c>
      <c r="K38" s="132"/>
    </row>
    <row r="39" spans="1:12" s="283" customFormat="1" ht="15" customHeight="1" x14ac:dyDescent="0.15">
      <c r="A39" s="279"/>
      <c r="D39" s="287"/>
      <c r="F39" s="287"/>
      <c r="G39" s="276"/>
      <c r="H39" s="330"/>
      <c r="I39" s="276"/>
    </row>
    <row r="40" spans="1:12" s="283" customFormat="1" ht="15" customHeight="1" thickBot="1" x14ac:dyDescent="0.2">
      <c r="B40" s="279" t="s">
        <v>686</v>
      </c>
      <c r="D40" s="287"/>
      <c r="F40" s="287"/>
      <c r="G40" s="424">
        <f>SUM(G33:G38)</f>
        <v>4746572.4800000004</v>
      </c>
      <c r="H40" s="339"/>
      <c r="I40" s="424">
        <f>SUM(I33:I38)</f>
        <v>13891069.57</v>
      </c>
    </row>
    <row r="41" spans="1:12" s="283" customFormat="1" ht="15" customHeight="1" thickTop="1" x14ac:dyDescent="0.15">
      <c r="D41" s="287"/>
      <c r="F41" s="287"/>
      <c r="H41" s="287"/>
    </row>
    <row r="42" spans="1:12" s="283" customFormat="1" ht="15" customHeight="1" x14ac:dyDescent="0.15">
      <c r="A42" s="357" t="s">
        <v>729</v>
      </c>
      <c r="B42" s="279" t="s">
        <v>688</v>
      </c>
      <c r="C42" s="279"/>
      <c r="D42" s="323"/>
      <c r="E42" s="279"/>
      <c r="F42" s="323"/>
      <c r="G42" s="279"/>
      <c r="H42" s="323"/>
      <c r="I42" s="279"/>
    </row>
    <row r="43" spans="1:12" s="283" customFormat="1" ht="27" customHeight="1" x14ac:dyDescent="0.15">
      <c r="A43" s="279"/>
      <c r="B43" s="473" t="s">
        <v>689</v>
      </c>
      <c r="C43" s="479"/>
      <c r="D43" s="479"/>
      <c r="E43" s="479"/>
      <c r="F43" s="479"/>
      <c r="G43" s="479"/>
      <c r="H43" s="479"/>
      <c r="I43" s="479"/>
    </row>
    <row r="44" spans="1:12" s="283" customFormat="1" ht="15" customHeight="1" x14ac:dyDescent="0.15">
      <c r="D44" s="287"/>
      <c r="F44" s="287"/>
      <c r="H44" s="287"/>
    </row>
    <row r="45" spans="1:12" s="283" customFormat="1" ht="15" customHeight="1" x14ac:dyDescent="0.15">
      <c r="D45" s="287"/>
      <c r="F45" s="287"/>
      <c r="H45" s="287"/>
    </row>
    <row r="46" spans="1:12" s="283" customFormat="1" ht="15" customHeight="1" x14ac:dyDescent="0.15">
      <c r="D46" s="287"/>
      <c r="F46" s="287"/>
      <c r="H46" s="287"/>
    </row>
    <row r="47" spans="1:12" s="283" customFormat="1" ht="15" customHeight="1" x14ac:dyDescent="0.15">
      <c r="D47" s="287"/>
      <c r="F47" s="287"/>
      <c r="H47" s="287"/>
    </row>
    <row r="48" spans="1:12" s="283" customFormat="1" ht="15" customHeight="1" x14ac:dyDescent="0.15">
      <c r="D48" s="287"/>
      <c r="F48" s="287"/>
      <c r="H48" s="287"/>
    </row>
    <row r="49" spans="3:9" s="283" customFormat="1" ht="15" customHeight="1" x14ac:dyDescent="0.15">
      <c r="D49" s="287"/>
      <c r="F49" s="287"/>
      <c r="H49" s="287"/>
    </row>
    <row r="50" spans="3:9" s="283" customFormat="1" ht="15" customHeight="1" x14ac:dyDescent="0.15">
      <c r="D50" s="287"/>
      <c r="F50" s="287"/>
      <c r="H50" s="287"/>
    </row>
    <row r="51" spans="3:9" s="283" customFormat="1" ht="15" customHeight="1" x14ac:dyDescent="0.15">
      <c r="D51" s="287"/>
      <c r="F51" s="287"/>
      <c r="H51" s="287"/>
    </row>
    <row r="52" spans="3:9" s="283" customFormat="1" ht="15" customHeight="1" x14ac:dyDescent="0.15">
      <c r="D52" s="287"/>
      <c r="F52" s="287"/>
      <c r="H52" s="287"/>
    </row>
    <row r="53" spans="3:9" s="283" customFormat="1" ht="15" customHeight="1" x14ac:dyDescent="0.15">
      <c r="D53" s="287"/>
      <c r="F53" s="287"/>
      <c r="H53" s="287"/>
    </row>
    <row r="54" spans="3:9" s="283" customFormat="1" ht="15" customHeight="1" x14ac:dyDescent="0.15">
      <c r="D54" s="287"/>
      <c r="F54" s="287"/>
      <c r="H54" s="287"/>
    </row>
    <row r="55" spans="3:9" s="283" customFormat="1" ht="15" customHeight="1" x14ac:dyDescent="0.15">
      <c r="D55" s="287"/>
      <c r="F55" s="287"/>
      <c r="H55" s="287"/>
    </row>
    <row r="56" spans="3:9" s="283" customFormat="1" ht="15" customHeight="1" x14ac:dyDescent="0.15">
      <c r="D56" s="287"/>
      <c r="F56" s="287"/>
      <c r="H56" s="287"/>
    </row>
    <row r="57" spans="3:9" s="283" customFormat="1" ht="15" customHeight="1" x14ac:dyDescent="0.15">
      <c r="D57" s="287"/>
      <c r="F57" s="287"/>
      <c r="H57" s="287"/>
    </row>
    <row r="58" spans="3:9" x14ac:dyDescent="0.15">
      <c r="C58" s="316"/>
      <c r="D58" s="425"/>
      <c r="E58" s="316"/>
      <c r="F58" s="425"/>
      <c r="G58" s="316"/>
      <c r="H58" s="425"/>
      <c r="I58" s="316"/>
    </row>
    <row r="59" spans="3:9" x14ac:dyDescent="0.15">
      <c r="C59" s="316"/>
      <c r="D59" s="425"/>
      <c r="E59" s="316"/>
      <c r="F59" s="425"/>
      <c r="G59" s="316"/>
      <c r="H59" s="425"/>
      <c r="I59" s="316"/>
    </row>
    <row r="60" spans="3:9" x14ac:dyDescent="0.15">
      <c r="C60" s="316"/>
      <c r="D60" s="425"/>
      <c r="E60" s="316"/>
      <c r="F60" s="425"/>
      <c r="G60" s="316"/>
      <c r="H60" s="425"/>
      <c r="I60" s="316"/>
    </row>
    <row r="61" spans="3:9" x14ac:dyDescent="0.15">
      <c r="C61" s="316"/>
      <c r="D61" s="425"/>
      <c r="E61" s="316"/>
      <c r="F61" s="425"/>
      <c r="G61" s="316"/>
      <c r="H61" s="425"/>
      <c r="I61" s="316"/>
    </row>
    <row r="62" spans="3:9" x14ac:dyDescent="0.15">
      <c r="C62" s="316"/>
      <c r="D62" s="425"/>
      <c r="E62" s="316"/>
      <c r="F62" s="425"/>
      <c r="G62" s="316"/>
      <c r="H62" s="425"/>
      <c r="I62" s="316"/>
    </row>
    <row r="63" spans="3:9" x14ac:dyDescent="0.15">
      <c r="C63" s="316"/>
      <c r="D63" s="425"/>
      <c r="E63" s="316"/>
      <c r="F63" s="425"/>
      <c r="G63" s="316"/>
      <c r="H63" s="425"/>
      <c r="I63" s="316"/>
    </row>
    <row r="64" spans="3:9" x14ac:dyDescent="0.15">
      <c r="C64" s="316"/>
      <c r="D64" s="425"/>
      <c r="E64" s="316"/>
      <c r="F64" s="425"/>
      <c r="G64" s="316"/>
      <c r="H64" s="425"/>
      <c r="I64" s="316"/>
    </row>
    <row r="65" spans="3:9" x14ac:dyDescent="0.15">
      <c r="C65" s="316"/>
      <c r="D65" s="425"/>
      <c r="E65" s="316"/>
      <c r="F65" s="425"/>
      <c r="G65" s="316"/>
      <c r="H65" s="425"/>
      <c r="I65" s="316"/>
    </row>
    <row r="66" spans="3:9" x14ac:dyDescent="0.15">
      <c r="C66" s="316"/>
      <c r="D66" s="425"/>
      <c r="E66" s="316"/>
      <c r="F66" s="425"/>
      <c r="G66" s="316"/>
      <c r="H66" s="425"/>
      <c r="I66" s="316"/>
    </row>
    <row r="67" spans="3:9" x14ac:dyDescent="0.15">
      <c r="C67" s="316"/>
      <c r="D67" s="425"/>
      <c r="E67" s="316"/>
      <c r="F67" s="425"/>
      <c r="G67" s="316"/>
      <c r="H67" s="425"/>
      <c r="I67" s="316"/>
    </row>
    <row r="68" spans="3:9" x14ac:dyDescent="0.15">
      <c r="C68" s="316"/>
      <c r="D68" s="425"/>
      <c r="E68" s="316"/>
      <c r="F68" s="425"/>
      <c r="G68" s="316"/>
      <c r="H68" s="425"/>
      <c r="I68" s="316"/>
    </row>
    <row r="69" spans="3:9" x14ac:dyDescent="0.15">
      <c r="C69" s="316"/>
      <c r="D69" s="425"/>
      <c r="E69" s="316"/>
      <c r="F69" s="425"/>
      <c r="G69" s="316"/>
      <c r="H69" s="425"/>
      <c r="I69" s="316"/>
    </row>
    <row r="70" spans="3:9" x14ac:dyDescent="0.15">
      <c r="C70" s="316"/>
      <c r="D70" s="425"/>
      <c r="E70" s="316"/>
      <c r="F70" s="425"/>
      <c r="G70" s="316"/>
      <c r="H70" s="425"/>
      <c r="I70" s="316"/>
    </row>
    <row r="71" spans="3:9" x14ac:dyDescent="0.15">
      <c r="C71" s="316"/>
      <c r="D71" s="425"/>
      <c r="E71" s="316"/>
      <c r="F71" s="425"/>
      <c r="G71" s="316"/>
      <c r="H71" s="425"/>
      <c r="I71" s="316"/>
    </row>
    <row r="72" spans="3:9" x14ac:dyDescent="0.15">
      <c r="C72" s="316"/>
      <c r="D72" s="425"/>
      <c r="E72" s="316"/>
      <c r="F72" s="425"/>
      <c r="G72" s="316"/>
      <c r="H72" s="425"/>
      <c r="I72" s="316"/>
    </row>
    <row r="73" spans="3:9" x14ac:dyDescent="0.15">
      <c r="C73" s="316"/>
      <c r="D73" s="425"/>
      <c r="E73" s="316"/>
      <c r="F73" s="425"/>
      <c r="G73" s="316"/>
      <c r="H73" s="425"/>
      <c r="I73" s="316"/>
    </row>
    <row r="74" spans="3:9" x14ac:dyDescent="0.15">
      <c r="C74" s="316"/>
      <c r="D74" s="425"/>
      <c r="E74" s="316"/>
      <c r="F74" s="425"/>
      <c r="G74" s="316"/>
      <c r="H74" s="425"/>
      <c r="I74" s="316"/>
    </row>
    <row r="75" spans="3:9" x14ac:dyDescent="0.15">
      <c r="C75" s="316"/>
      <c r="D75" s="425"/>
      <c r="E75" s="316"/>
      <c r="F75" s="425"/>
      <c r="G75" s="316"/>
      <c r="H75" s="425"/>
      <c r="I75" s="316"/>
    </row>
    <row r="76" spans="3:9" x14ac:dyDescent="0.15">
      <c r="C76" s="316"/>
      <c r="D76" s="425"/>
      <c r="E76" s="316"/>
      <c r="F76" s="425"/>
      <c r="G76" s="316"/>
      <c r="H76" s="425"/>
      <c r="I76" s="316"/>
    </row>
    <row r="77" spans="3:9" x14ac:dyDescent="0.15">
      <c r="C77" s="316"/>
      <c r="D77" s="425"/>
      <c r="E77" s="316"/>
      <c r="F77" s="425"/>
      <c r="G77" s="316"/>
      <c r="H77" s="425"/>
      <c r="I77" s="316"/>
    </row>
    <row r="78" spans="3:9" x14ac:dyDescent="0.15">
      <c r="C78" s="316"/>
      <c r="D78" s="425"/>
      <c r="E78" s="316"/>
      <c r="F78" s="425"/>
      <c r="G78" s="316"/>
      <c r="H78" s="425"/>
      <c r="I78" s="316"/>
    </row>
  </sheetData>
  <mergeCells count="6">
    <mergeCell ref="B43:I43"/>
    <mergeCell ref="B9:I9"/>
    <mergeCell ref="C14:E14"/>
    <mergeCell ref="B24:I24"/>
    <mergeCell ref="B27:I27"/>
    <mergeCell ref="G14:I14"/>
  </mergeCells>
  <pageMargins left="0.25" right="0.25" top="0.75" bottom="0.31" header="0.3" footer="0.18"/>
  <pageSetup paperSize="9" orientation="portrait" r:id="rId1"/>
  <colBreaks count="1" manualBreakCount="1">
    <brk id="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_x0020_needed xmlns="ce6ddbc0-b718-45a2-8649-3b68338f7f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3C6CFEC96EAE54C8B5DB06472A08514" ma:contentTypeVersion="13" ma:contentTypeDescription="Create a new document." ma:contentTypeScope="" ma:versionID="d17c17b9fec594cb052ed46ce8207ec7">
  <xsd:schema xmlns:xsd="http://www.w3.org/2001/XMLSchema" xmlns:xs="http://www.w3.org/2001/XMLSchema" xmlns:p="http://schemas.microsoft.com/office/2006/metadata/properties" xmlns:ns2="ce6ddbc0-b718-45a2-8649-3b68338f7f90" xmlns:ns3="1c1dd18d-f55f-49c2-86f0-6528711f8c6f" targetNamespace="http://schemas.microsoft.com/office/2006/metadata/properties" ma:root="true" ma:fieldsID="6d1358f6c0fb8d1399ad19194acf59b9" ns2:_="" ns3:_="">
    <xsd:import namespace="ce6ddbc0-b718-45a2-8649-3b68338f7f90"/>
    <xsd:import namespace="1c1dd18d-f55f-49c2-86f0-6528711f8c6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element ref="ns2:Approval_x0020_need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6ddbc0-b718-45a2-8649-3b68338f7f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Approval_x0020_needed" ma:index="20" nillable="true" ma:displayName="Approval needed" ma:description="Documents which requires approval or sign off" ma:internalName="Approval_x0020_neede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1dd18d-f55f-49c2-86f0-6528711f8c6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187CB2-E95F-411C-9E0C-533406942D4E}">
  <ds:schemaRefs>
    <ds:schemaRef ds:uri="http://purl.org/dc/terms/"/>
    <ds:schemaRef ds:uri="http://schemas.microsoft.com/office/2006/documentManagement/types"/>
    <ds:schemaRef ds:uri="http://schemas.openxmlformats.org/package/2006/metadata/core-properties"/>
    <ds:schemaRef ds:uri="ce6ddbc0-b718-45a2-8649-3b68338f7f90"/>
    <ds:schemaRef ds:uri="http://purl.org/dc/elements/1.1/"/>
    <ds:schemaRef ds:uri="http://schemas.microsoft.com/office/2006/metadata/properties"/>
    <ds:schemaRef ds:uri="http://schemas.microsoft.com/office/infopath/2007/PartnerControls"/>
    <ds:schemaRef ds:uri="1c1dd18d-f55f-49c2-86f0-6528711f8c6f"/>
    <ds:schemaRef ds:uri="http://www.w3.org/XML/1998/namespace"/>
    <ds:schemaRef ds:uri="http://purl.org/dc/dcmitype/"/>
  </ds:schemaRefs>
</ds:datastoreItem>
</file>

<file path=customXml/itemProps2.xml><?xml version="1.0" encoding="utf-8"?>
<ds:datastoreItem xmlns:ds="http://schemas.openxmlformats.org/officeDocument/2006/customXml" ds:itemID="{47932DB2-C602-4857-906A-AF803BB6C7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6ddbc0-b718-45a2-8649-3b68338f7f90"/>
    <ds:schemaRef ds:uri="1c1dd18d-f55f-49c2-86f0-6528711f8c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96438C-8AE5-4B27-AA1E-700B218AFF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16</vt:i4>
      </vt:variant>
    </vt:vector>
  </HeadingPairs>
  <TitlesOfParts>
    <vt:vector size="34" baseType="lpstr">
      <vt:lpstr>Consolidated SOFA</vt:lpstr>
      <vt:lpstr>Balance Sheet</vt:lpstr>
      <vt:lpstr>Cash Flow</vt:lpstr>
      <vt:lpstr>Note 2, 3, 4, 5</vt:lpstr>
      <vt:lpstr>Note 6 (1)</vt:lpstr>
      <vt:lpstr>Note 6 (2)</vt:lpstr>
      <vt:lpstr>Note 7, 8, 9, 10, 11</vt:lpstr>
      <vt:lpstr>Note 12, 13, 14, 15</vt:lpstr>
      <vt:lpstr>Notes 16, 17, 18, 19, 20, 21</vt:lpstr>
      <vt:lpstr>Summary</vt:lpstr>
      <vt:lpstr>MANACS</vt:lpstr>
      <vt:lpstr> Program Costs</vt:lpstr>
      <vt:lpstr>Management Costs </vt:lpstr>
      <vt:lpstr>Parameters</vt:lpstr>
      <vt:lpstr>TB</vt:lpstr>
      <vt:lpstr>P&amp;L by Award</vt:lpstr>
      <vt:lpstr>Prog costs</vt:lpstr>
      <vt:lpstr>Cost Centres</vt:lpstr>
      <vt:lpstr>BC</vt:lpstr>
      <vt:lpstr>BSPF</vt:lpstr>
      <vt:lpstr>CN</vt:lpstr>
      <vt:lpstr>PF</vt:lpstr>
      <vt:lpstr>' Program Costs'!Print_Area</vt:lpstr>
      <vt:lpstr>'Balance Sheet'!Print_Area</vt:lpstr>
      <vt:lpstr>'Cash Flow'!Print_Area</vt:lpstr>
      <vt:lpstr>'Management Costs '!Print_Area</vt:lpstr>
      <vt:lpstr>'Note 12, 13, 14, 15'!Print_Area</vt:lpstr>
      <vt:lpstr>'Note 2, 3, 4, 5'!Print_Area</vt:lpstr>
      <vt:lpstr>'Note 6 (1)'!Print_Area</vt:lpstr>
      <vt:lpstr>'Note 6 (2)'!Print_Area</vt:lpstr>
      <vt:lpstr>'Note 7, 8, 9, 10, 11'!Print_Area</vt:lpstr>
      <vt:lpstr>'Notes 16, 17, 18, 19, 20, 21'!Print_Area</vt:lpstr>
      <vt:lpstr>Summary!Print_Area</vt:lpstr>
      <vt:lpstr>PT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robin.p.dey@gmail.com</cp:lastModifiedBy>
  <cp:lastPrinted>2021-04-26T15:54:09Z</cp:lastPrinted>
  <dcterms:created xsi:type="dcterms:W3CDTF">2020-04-18T11:37:55Z</dcterms:created>
  <dcterms:modified xsi:type="dcterms:W3CDTF">2021-11-19T21:34:49Z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0x01010073C6CFEC96EAE54C8B5DB06472A08514</vt:lpwstr>
  </property>
</Properties>
</file>