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60" yWindow="0" windowWidth="23960" windowHeight="12840" tabRatio="500" activeTab="1"/>
  </bookViews>
  <sheets>
    <sheet name="Treatments" sheetId="1" r:id="rId1"/>
    <sheet name="Funding" sheetId="2" r:id="rId2"/>
  </sheets>
  <definedNames/>
  <calcPr fullCalcOnLoad="1"/>
</workbook>
</file>

<file path=xl/comments2.xml><?xml version="1.0" encoding="utf-8"?>
<comments xmlns="http://schemas.openxmlformats.org/spreadsheetml/2006/main">
  <authors>
    <author>Natalie Crispin</author>
  </authors>
  <commentList>
    <comment ref="A34" authorId="0">
      <text>
        <r>
          <rPr>
            <b/>
            <sz val="9"/>
            <rFont val="Verdana"/>
            <family val="2"/>
          </rPr>
          <t>Natalie Crispin:</t>
        </r>
        <r>
          <rPr>
            <sz val="9"/>
            <rFont val="Verdana"/>
            <family val="2"/>
          </rPr>
          <t xml:space="preserve">
Leslie et al. 2011</t>
        </r>
      </text>
    </comment>
  </commentList>
</comments>
</file>

<file path=xl/sharedStrings.xml><?xml version="1.0" encoding="utf-8"?>
<sst xmlns="http://schemas.openxmlformats.org/spreadsheetml/2006/main" count="97" uniqueCount="68">
  <si>
    <t>This counts the donated PZQ (Schistosomiasis Control Initiative, "Summary Sheet of Treatments Instigated and Overseen by SCI.") but no donated ALB. SCI told us that ALB was not donated for deworming until 2011. SCI did receive some ALB to treat lymphatic filariasis during the RTI Y1 to Y4 grant, but we are not crediting SCI with lymphatic filarisis treatments in this calculation so we do not include costs that we can confidently attribute to treatments other than for schistosomiasis and STHs. SCI told us that it receives 12 million tablets for $1 million ($0.08 per tablet); this is consistant with the estimate of the cost per PZQ tablet at http://givewell.org/international/technical/programs/deworming/cost-effectiveness.</t>
  </si>
  <si>
    <t>Since 2008 in Niger</t>
  </si>
  <si>
    <t>Since 2008 in Uganda</t>
  </si>
  <si>
    <t>Since 2008 in Rwanda</t>
  </si>
  <si>
    <t>Since 2008 in Tanzania</t>
  </si>
  <si>
    <t>Since 2008 in Burundi</t>
  </si>
  <si>
    <t>From the above, treatments provided by SCI through 2011:</t>
  </si>
  <si>
    <t>Total funding</t>
  </si>
  <si>
    <t>Received</t>
  </si>
  <si>
    <t>GNNTDC-Geneva Global - Rwanda Burundi</t>
  </si>
  <si>
    <t>Paine private donation Tanzania Ukerewe</t>
  </si>
  <si>
    <t>GNNTDC Uganda islands</t>
  </si>
  <si>
    <t>Gates Zambia conference</t>
  </si>
  <si>
    <t>Allan Lewis</t>
  </si>
  <si>
    <t>SCORE</t>
  </si>
  <si>
    <t>SCORE Uganda</t>
  </si>
  <si>
    <t>GNNTDC Yemen</t>
  </si>
  <si>
    <t>DFID</t>
  </si>
  <si>
    <t>DFID Crown Agent PZQ procurement</t>
  </si>
  <si>
    <t>Other</t>
  </si>
  <si>
    <t xml:space="preserve">Wellcome trust </t>
  </si>
  <si>
    <t>IC Trust</t>
  </si>
  <si>
    <t>Estimated cost of additional ALB-only treatments</t>
  </si>
  <si>
    <t>Note: we estimate the cost per treatment for ALB-only mass drug administrations at http://givewell.org/international/technical/programs/deworming/cost-effectiveness</t>
  </si>
  <si>
    <t>$5 million was for procuring PZQ for RTI and 3/5 of that went to non-SCI countries; 3.4 million dollars was for PZQ for non-SCI countries (Mali, Sierra Leon, Ghana, S. Sudan) incl. a fee RTI paid to SCI to compensate it for its time. This grant didn't include any funding for monitoring and evaluation</t>
  </si>
  <si>
    <t>Paid for treatments</t>
  </si>
  <si>
    <t>"Mass drug administrations (MDAs) for schistosomiasis and the STH have been conducted annually in all countries, totaling over 45 million treatments by 2008. Since then integrated treatment has reached 10 million people in each of Burkina Faso and Niger, 3 million in Uganda and 8 million in each of Burundi and Rwanda. 2.5 million children have been treated in Tanzania. In terms of prevalence, levels of S. haematobium in Burkina Faso showed the greatest change, with a drop from 90% to 11% in one year. This prevalence level has remained low ever since. After two years of treatment, Uganda showed a 57.8% drop in prevalence of S. mansoni and a drop in the percentage of children with heavy intensity of infection from 15% to 2.3%. Intensity of infection is an important measure of disease morbidity."</t>
  </si>
  <si>
    <t>Source: Schistosomiasis Control Initiative, "Gates Foundation final report (January 2011)," Pg 3.</t>
  </si>
  <si>
    <t>By 2008</t>
  </si>
  <si>
    <t>Since 2008 in Burkina Faso</t>
  </si>
  <si>
    <t>Donor</t>
  </si>
  <si>
    <t>Received or Potential</t>
  </si>
  <si>
    <t>Received</t>
  </si>
  <si>
    <t>Rockhopper</t>
  </si>
  <si>
    <t>potential 2011</t>
  </si>
  <si>
    <t>Alan Fenwick's guess about ALB alone treatments in 2003-2011</t>
  </si>
  <si>
    <t>SCI's promised treatments to be funded with the DFID grant</t>
  </si>
  <si>
    <t>Stated future cost-effectiveness</t>
  </si>
  <si>
    <t>Cost per treatment</t>
  </si>
  <si>
    <t>TOTAL TREATMENTS (2003-2011) - combination PZQ (schistosomiasis) and ALB (soil-transmitted helminth) treatments</t>
  </si>
  <si>
    <t>BMGF 1 (Gates)</t>
  </si>
  <si>
    <t>BMGF 2 (Gates)</t>
  </si>
  <si>
    <t>Adjusted cost per treatment (subtracting cost for ALB-only treatments)</t>
  </si>
  <si>
    <t>Received in 2010; it is possible that this funding will be supplemented with other funding in the future to reach the treatment goals</t>
  </si>
  <si>
    <t>Gates Foundation channelled funding for AFRO conference on morbidity of NTDs and ultrasounds through SCI</t>
  </si>
  <si>
    <t>-</t>
  </si>
  <si>
    <t>Research grant with a small amount of funding for implementation. Paying for part of some staff salaries because DFID grant isn't enough to fund 100% of staff</t>
  </si>
  <si>
    <t>The research funded by this grant went above and beyond normal monitoring and evalution. SCI believes that this should be discounted by 20% to get amount spent on full cost of implementation.</t>
  </si>
  <si>
    <t>Only a small percentage of this paid for treatments. The rest for for research.</t>
  </si>
  <si>
    <t>This was a grant for preparing documentary films.</t>
  </si>
  <si>
    <t>Amount ($) available for 2003-2010 treatments, upper-bound</t>
  </si>
  <si>
    <t>Amount ($) available for 2003-2010 treatments, GiveWell's mostly conservative guess</t>
  </si>
  <si>
    <t>Amount ($) available for 2003-2010 treatments, SCI's recommendation plus PZQ donations</t>
  </si>
  <si>
    <t>RTI Y1 to Y4 (USAID)</t>
  </si>
  <si>
    <t>RTI Y5 (USAID)</t>
  </si>
  <si>
    <t>Evaluation of advocacy program - went to uganda and taught in schools and communities with theater</t>
  </si>
  <si>
    <t>Unclear if these treatments were included in the figures in the sheet "Treatments"</t>
  </si>
  <si>
    <t>Estimated value of donated PZQ</t>
  </si>
  <si>
    <t>Notes from Alan Fenwick, phone conversation with GiveWell, November 21, 2011.</t>
  </si>
  <si>
    <t>Potential at that time</t>
  </si>
  <si>
    <t>Hydrocele surgeries</t>
  </si>
  <si>
    <t>For Tech Assistance</t>
  </si>
  <si>
    <t>Total of above (USD)</t>
  </si>
  <si>
    <t>Total with estimated government contribution (USD)</t>
  </si>
  <si>
    <t>All grants reported in January 2011 and updated in September 2013</t>
  </si>
  <si>
    <t>Sources: Schistosomiasis Control Initiative, "Gates Foundation final report (January 2011)," Pg 20; Alan Fenwick, phone conversation with GiveWell, November 21, 2011; Schistosomiasis Control Initiative, "Summary Sheet of Treatments Instigated and Overseen by SCI."; SCI advisory board financial report (June 2013)</t>
  </si>
  <si>
    <t>Estimated government contribution (primarily in-kind) - 30%</t>
  </si>
  <si>
    <t>Cost per treatment without government contribution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</si>
</sst>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quot;#,##0.0"/>
  </numFmts>
  <fonts count="44">
    <font>
      <sz val="10"/>
      <name val="Verdana"/>
      <family val="2"/>
    </font>
    <font>
      <b/>
      <sz val="10"/>
      <name val="Verdana"/>
      <family val="2"/>
    </font>
    <font>
      <i/>
      <sz val="10"/>
      <name val="Verdana"/>
      <family val="0"/>
    </font>
    <font>
      <b/>
      <i/>
      <sz val="10"/>
      <name val="Verdana"/>
      <family val="0"/>
    </font>
    <font>
      <sz val="8"/>
      <name val="Verdana"/>
      <family val="0"/>
    </font>
    <font>
      <u val="single"/>
      <sz val="10"/>
      <color indexed="12"/>
      <name val="Verdana"/>
      <family val="2"/>
    </font>
    <font>
      <u val="single"/>
      <sz val="10"/>
      <color indexed="61"/>
      <name val="Verdana"/>
      <family val="0"/>
    </font>
    <font>
      <sz val="9"/>
      <name val="Verdana"/>
      <family val="2"/>
    </font>
    <font>
      <b/>
      <sz val="9"/>
      <name val="Verdana"/>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8"/>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6"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4">
    <xf numFmtId="0" fontId="0" fillId="0" borderId="0" xfId="0" applyAlignment="1">
      <alignment/>
    </xf>
    <xf numFmtId="0" fontId="0" fillId="0" borderId="0" xfId="0" applyAlignment="1">
      <alignment wrapText="1"/>
    </xf>
    <xf numFmtId="3" fontId="0" fillId="0" borderId="0" xfId="0" applyNumberFormat="1" applyAlignment="1">
      <alignment/>
    </xf>
    <xf numFmtId="3" fontId="0" fillId="0" borderId="0" xfId="0" applyNumberFormat="1" applyAlignment="1">
      <alignment wrapText="1"/>
    </xf>
    <xf numFmtId="0" fontId="0" fillId="0" borderId="0" xfId="0" applyAlignment="1">
      <alignment/>
    </xf>
    <xf numFmtId="0" fontId="1" fillId="0" borderId="0" xfId="0" applyFont="1" applyAlignment="1">
      <alignment horizontal="center" wrapText="1"/>
    </xf>
    <xf numFmtId="165" fontId="0" fillId="0" borderId="0" xfId="0" applyNumberFormat="1" applyAlignment="1">
      <alignment/>
    </xf>
    <xf numFmtId="164" fontId="0" fillId="0" borderId="0" xfId="0" applyNumberFormat="1" applyAlignment="1">
      <alignment/>
    </xf>
    <xf numFmtId="0" fontId="0" fillId="0" borderId="0" xfId="0" applyAlignment="1">
      <alignment horizontal="center" vertical="center" wrapText="1"/>
    </xf>
    <xf numFmtId="0" fontId="2" fillId="0" borderId="0" xfId="0" applyFont="1" applyAlignment="1">
      <alignment wrapText="1"/>
    </xf>
    <xf numFmtId="0" fontId="1" fillId="0" borderId="0" xfId="0" applyFont="1" applyAlignment="1">
      <alignment/>
    </xf>
    <xf numFmtId="165" fontId="1" fillId="0" borderId="0" xfId="0" applyNumberFormat="1" applyFont="1" applyAlignment="1">
      <alignment/>
    </xf>
    <xf numFmtId="0" fontId="1" fillId="0" borderId="0" xfId="0" applyFont="1" applyAlignment="1">
      <alignment wrapText="1"/>
    </xf>
    <xf numFmtId="0" fontId="1" fillId="0" borderId="0" xfId="0" applyFont="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B18"/>
  <sheetViews>
    <sheetView workbookViewId="0" topLeftCell="A1">
      <selection activeCell="B15" sqref="B15"/>
    </sheetView>
  </sheetViews>
  <sheetFormatPr defaultColWidth="11.00390625" defaultRowHeight="12.75"/>
  <cols>
    <col min="1" max="1" width="72.75390625" style="1" customWidth="1"/>
  </cols>
  <sheetData>
    <row r="1" ht="12.75">
      <c r="A1" s="1" t="s">
        <v>27</v>
      </c>
    </row>
    <row r="3" ht="117">
      <c r="A3" s="1" t="s">
        <v>26</v>
      </c>
    </row>
    <row r="5" ht="12.75">
      <c r="A5" s="1" t="s">
        <v>6</v>
      </c>
    </row>
    <row r="6" spans="1:2" ht="12.75">
      <c r="A6" s="2">
        <v>45280000</v>
      </c>
      <c r="B6" t="s">
        <v>28</v>
      </c>
    </row>
    <row r="7" spans="1:2" ht="12.75">
      <c r="A7" s="2">
        <v>10000000</v>
      </c>
      <c r="B7" t="s">
        <v>29</v>
      </c>
    </row>
    <row r="8" spans="1:2" ht="12.75">
      <c r="A8" s="2">
        <v>10000000</v>
      </c>
      <c r="B8" t="s">
        <v>1</v>
      </c>
    </row>
    <row r="9" spans="1:2" ht="12.75">
      <c r="A9" s="2">
        <v>3000000</v>
      </c>
      <c r="B9" t="s">
        <v>2</v>
      </c>
    </row>
    <row r="10" spans="1:2" ht="12.75">
      <c r="A10" s="2">
        <v>8000000</v>
      </c>
      <c r="B10" t="s">
        <v>3</v>
      </c>
    </row>
    <row r="11" spans="1:2" ht="12.75">
      <c r="A11" s="2">
        <v>8000000</v>
      </c>
      <c r="B11" t="s">
        <v>5</v>
      </c>
    </row>
    <row r="12" spans="1:2" ht="12.75">
      <c r="A12" s="2">
        <v>2500000</v>
      </c>
      <c r="B12" t="s">
        <v>4</v>
      </c>
    </row>
    <row r="14" spans="1:2" ht="12.75">
      <c r="A14" s="3">
        <f>SUM(A6:A12)</f>
        <v>86780000</v>
      </c>
      <c r="B14" t="s">
        <v>39</v>
      </c>
    </row>
    <row r="16" spans="1:2" ht="12.75">
      <c r="A16" s="3">
        <v>25000000</v>
      </c>
      <c r="B16" t="s">
        <v>35</v>
      </c>
    </row>
    <row r="17" ht="12.75">
      <c r="A17" s="3"/>
    </row>
    <row r="18" spans="1:2" ht="12.75">
      <c r="A18" s="3">
        <v>75000000</v>
      </c>
      <c r="B18" t="s">
        <v>36</v>
      </c>
    </row>
  </sheetData>
  <sheetProtection/>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H43"/>
  <sheetViews>
    <sheetView tabSelected="1" workbookViewId="0" topLeftCell="A20">
      <selection activeCell="G39" sqref="G39"/>
    </sheetView>
  </sheetViews>
  <sheetFormatPr defaultColWidth="11.00390625" defaultRowHeight="12.75"/>
  <cols>
    <col min="1" max="1" width="33.25390625" style="0" customWidth="1"/>
    <col min="2" max="2" width="12.75390625" style="0" customWidth="1"/>
    <col min="3" max="3" width="11.125" style="0" customWidth="1"/>
    <col min="4" max="5" width="13.375" style="0" customWidth="1"/>
    <col min="6" max="6" width="11.00390625" style="0" customWidth="1"/>
    <col min="7" max="7" width="10.125" style="0" customWidth="1"/>
    <col min="8" max="8" width="59.00390625" style="1" customWidth="1"/>
  </cols>
  <sheetData>
    <row r="1" ht="12.75">
      <c r="A1" s="4" t="s">
        <v>65</v>
      </c>
    </row>
    <row r="2" ht="12.75"/>
    <row r="3" spans="1:7" ht="12.75">
      <c r="A3" s="13" t="s">
        <v>7</v>
      </c>
      <c r="B3" s="13"/>
      <c r="C3" s="13"/>
      <c r="D3" s="13"/>
      <c r="E3" s="13"/>
      <c r="F3" s="13"/>
      <c r="G3" s="5"/>
    </row>
    <row r="4" spans="1:8" s="1" customFormat="1" ht="102">
      <c r="A4" s="8" t="s">
        <v>30</v>
      </c>
      <c r="B4" s="8" t="s">
        <v>64</v>
      </c>
      <c r="C4" s="8" t="s">
        <v>50</v>
      </c>
      <c r="D4" s="8" t="s">
        <v>51</v>
      </c>
      <c r="E4" s="8" t="s">
        <v>52</v>
      </c>
      <c r="F4" s="8" t="s">
        <v>31</v>
      </c>
      <c r="G4" s="8" t="s">
        <v>37</v>
      </c>
      <c r="H4" s="8" t="s">
        <v>58</v>
      </c>
    </row>
    <row r="5" spans="1:8" ht="38.25">
      <c r="A5" s="1" t="s">
        <v>40</v>
      </c>
      <c r="B5" s="2">
        <v>32575245</v>
      </c>
      <c r="C5" s="2">
        <f>B5</f>
        <v>32575245</v>
      </c>
      <c r="D5" s="2">
        <f>B5</f>
        <v>32575245</v>
      </c>
      <c r="E5" s="2">
        <f>B5*0.8</f>
        <v>26060196</v>
      </c>
      <c r="F5" t="s">
        <v>32</v>
      </c>
      <c r="G5">
        <v>0</v>
      </c>
      <c r="H5" s="1" t="s">
        <v>47</v>
      </c>
    </row>
    <row r="6" spans="1:8" ht="25.5">
      <c r="A6" s="1" t="s">
        <v>41</v>
      </c>
      <c r="B6" s="2">
        <v>9975810</v>
      </c>
      <c r="C6" s="2">
        <f>B6</f>
        <v>9975810</v>
      </c>
      <c r="D6" s="2">
        <f>B6</f>
        <v>9975810</v>
      </c>
      <c r="E6" s="2">
        <v>0</v>
      </c>
      <c r="F6" t="s">
        <v>32</v>
      </c>
      <c r="G6">
        <v>0</v>
      </c>
      <c r="H6" s="1" t="s">
        <v>48</v>
      </c>
    </row>
    <row r="7" spans="1:8" ht="12.75">
      <c r="A7" s="1" t="s">
        <v>33</v>
      </c>
      <c r="B7" s="2">
        <v>5009067</v>
      </c>
      <c r="C7" s="2">
        <f>B7</f>
        <v>5009067</v>
      </c>
      <c r="D7" s="2">
        <v>0</v>
      </c>
      <c r="E7" s="2">
        <v>0</v>
      </c>
      <c r="F7" t="s">
        <v>32</v>
      </c>
      <c r="G7">
        <v>0</v>
      </c>
      <c r="H7" s="1" t="s">
        <v>49</v>
      </c>
    </row>
    <row r="8" spans="1:8" ht="63.75">
      <c r="A8" s="1" t="s">
        <v>53</v>
      </c>
      <c r="B8" s="2">
        <v>16427184</v>
      </c>
      <c r="C8" s="2">
        <f>B8</f>
        <v>16427184</v>
      </c>
      <c r="D8" s="2">
        <f>B8-3400000</f>
        <v>13027184</v>
      </c>
      <c r="E8" s="2">
        <f>B8-3400000</f>
        <v>13027184</v>
      </c>
      <c r="F8" t="s">
        <v>32</v>
      </c>
      <c r="G8">
        <v>0</v>
      </c>
      <c r="H8" s="1" t="s">
        <v>24</v>
      </c>
    </row>
    <row r="9" spans="1:8" ht="12.75">
      <c r="A9" s="1" t="s">
        <v>54</v>
      </c>
      <c r="B9" s="2">
        <v>294000</v>
      </c>
      <c r="C9" s="2">
        <v>0</v>
      </c>
      <c r="D9" s="2">
        <f>B9</f>
        <v>294000</v>
      </c>
      <c r="E9" s="2">
        <f>B9</f>
        <v>294000</v>
      </c>
      <c r="F9" t="s">
        <v>34</v>
      </c>
      <c r="G9">
        <v>0</v>
      </c>
      <c r="H9" s="1" t="s">
        <v>25</v>
      </c>
    </row>
    <row r="10" spans="1:8" ht="25.5">
      <c r="A10" s="1" t="s">
        <v>9</v>
      </c>
      <c r="B10" s="2">
        <v>1899132</v>
      </c>
      <c r="C10" s="2">
        <f>B10</f>
        <v>1899132</v>
      </c>
      <c r="D10" s="2">
        <f>B10</f>
        <v>1899132</v>
      </c>
      <c r="E10" s="2">
        <f>B10</f>
        <v>1899132</v>
      </c>
      <c r="F10" t="s">
        <v>32</v>
      </c>
      <c r="G10">
        <v>0</v>
      </c>
      <c r="H10" s="1" t="s">
        <v>25</v>
      </c>
    </row>
    <row r="11" spans="1:8" ht="25.5">
      <c r="A11" s="1" t="s">
        <v>10</v>
      </c>
      <c r="B11" s="2">
        <v>500000</v>
      </c>
      <c r="C11" s="2">
        <f>B11</f>
        <v>500000</v>
      </c>
      <c r="D11" s="2">
        <v>0</v>
      </c>
      <c r="E11" s="2">
        <v>0</v>
      </c>
      <c r="F11" t="s">
        <v>32</v>
      </c>
      <c r="G11">
        <v>0</v>
      </c>
      <c r="H11" s="1" t="s">
        <v>56</v>
      </c>
    </row>
    <row r="12" spans="1:8" ht="25.5">
      <c r="A12" s="1" t="s">
        <v>11</v>
      </c>
      <c r="B12" s="2">
        <v>85000</v>
      </c>
      <c r="C12" s="2">
        <f>B12</f>
        <v>85000</v>
      </c>
      <c r="D12" s="2">
        <v>0</v>
      </c>
      <c r="E12" s="2">
        <v>0</v>
      </c>
      <c r="F12" t="s">
        <v>32</v>
      </c>
      <c r="G12">
        <v>0</v>
      </c>
      <c r="H12" s="1" t="s">
        <v>56</v>
      </c>
    </row>
    <row r="13" spans="1:8" ht="25.5">
      <c r="A13" s="1" t="s">
        <v>12</v>
      </c>
      <c r="B13" s="2">
        <v>47616</v>
      </c>
      <c r="C13" s="2">
        <f>B13</f>
        <v>47616</v>
      </c>
      <c r="D13" s="2">
        <v>0</v>
      </c>
      <c r="E13" s="2">
        <v>0</v>
      </c>
      <c r="F13" t="s">
        <v>32</v>
      </c>
      <c r="G13">
        <v>0</v>
      </c>
      <c r="H13" s="1" t="s">
        <v>44</v>
      </c>
    </row>
    <row r="14" spans="1:8" ht="12.75">
      <c r="A14" s="1" t="s">
        <v>13</v>
      </c>
      <c r="B14" s="2">
        <v>30000</v>
      </c>
      <c r="C14" s="2">
        <f>B14</f>
        <v>30000</v>
      </c>
      <c r="D14" s="2">
        <v>0</v>
      </c>
      <c r="E14" s="2">
        <v>0</v>
      </c>
      <c r="F14" t="s">
        <v>32</v>
      </c>
      <c r="G14">
        <v>0</v>
      </c>
      <c r="H14" s="1" t="s">
        <v>60</v>
      </c>
    </row>
    <row r="15" spans="1:8" ht="12.75">
      <c r="A15" s="1" t="s">
        <v>14</v>
      </c>
      <c r="B15" s="2">
        <v>909899</v>
      </c>
      <c r="C15" s="2">
        <v>0</v>
      </c>
      <c r="D15" s="2">
        <v>0</v>
      </c>
      <c r="E15" s="2">
        <v>0</v>
      </c>
      <c r="F15" t="s">
        <v>34</v>
      </c>
      <c r="G15">
        <v>0</v>
      </c>
      <c r="H15" s="1" t="s">
        <v>45</v>
      </c>
    </row>
    <row r="16" spans="1:8" ht="12.75">
      <c r="A16" s="1" t="s">
        <v>14</v>
      </c>
      <c r="B16" s="2">
        <v>909899</v>
      </c>
      <c r="C16" s="2">
        <v>0</v>
      </c>
      <c r="D16" s="2">
        <v>0</v>
      </c>
      <c r="E16" s="2">
        <v>0</v>
      </c>
      <c r="F16" t="s">
        <v>34</v>
      </c>
      <c r="G16">
        <v>0</v>
      </c>
      <c r="H16" s="1" t="s">
        <v>45</v>
      </c>
    </row>
    <row r="17" spans="1:8" ht="12.75">
      <c r="A17" s="1" t="s">
        <v>15</v>
      </c>
      <c r="B17" s="2">
        <v>459316</v>
      </c>
      <c r="C17" s="2">
        <v>0</v>
      </c>
      <c r="D17" s="2">
        <v>0</v>
      </c>
      <c r="E17" s="2">
        <v>0</v>
      </c>
      <c r="F17" t="s">
        <v>34</v>
      </c>
      <c r="G17">
        <v>0</v>
      </c>
      <c r="H17" s="1" t="s">
        <v>45</v>
      </c>
    </row>
    <row r="18" spans="1:8" ht="38.25">
      <c r="A18" s="1" t="s">
        <v>14</v>
      </c>
      <c r="B18" s="2">
        <v>27400</v>
      </c>
      <c r="C18" s="2">
        <f>B18</f>
        <v>27400</v>
      </c>
      <c r="D18" s="2">
        <v>0</v>
      </c>
      <c r="E18" s="2">
        <v>0</v>
      </c>
      <c r="F18" t="s">
        <v>32</v>
      </c>
      <c r="G18">
        <v>0</v>
      </c>
      <c r="H18" s="1" t="s">
        <v>46</v>
      </c>
    </row>
    <row r="19" spans="1:8" ht="12.75">
      <c r="A19" s="1" t="s">
        <v>16</v>
      </c>
      <c r="B19" s="2">
        <v>220000</v>
      </c>
      <c r="C19" s="2">
        <v>0</v>
      </c>
      <c r="D19" s="2">
        <v>0</v>
      </c>
      <c r="E19" s="2">
        <v>0</v>
      </c>
      <c r="F19" t="s">
        <v>32</v>
      </c>
      <c r="G19">
        <v>0</v>
      </c>
      <c r="H19" s="1" t="s">
        <v>61</v>
      </c>
    </row>
    <row r="20" spans="1:3" ht="12.75">
      <c r="A20" s="1"/>
      <c r="C20" s="2"/>
    </row>
    <row r="21" spans="1:8" ht="38.25">
      <c r="A21" s="1" t="s">
        <v>17</v>
      </c>
      <c r="B21" s="2">
        <v>14836575</v>
      </c>
      <c r="C21" s="2">
        <v>0</v>
      </c>
      <c r="D21" s="2">
        <v>0</v>
      </c>
      <c r="E21" s="2">
        <v>0</v>
      </c>
      <c r="F21" t="s">
        <v>32</v>
      </c>
      <c r="G21" s="2">
        <f>B21</f>
        <v>14836575</v>
      </c>
      <c r="H21" s="1" t="s">
        <v>43</v>
      </c>
    </row>
    <row r="22" spans="1:8" ht="12.75">
      <c r="A22" s="1" t="s">
        <v>18</v>
      </c>
      <c r="B22" s="2">
        <v>23485500</v>
      </c>
      <c r="C22" s="2">
        <v>0</v>
      </c>
      <c r="D22" s="2">
        <v>0</v>
      </c>
      <c r="E22" s="2">
        <v>0</v>
      </c>
      <c r="F22" t="s">
        <v>8</v>
      </c>
      <c r="G22" s="2">
        <f>B22</f>
        <v>23485500</v>
      </c>
      <c r="H22" s="1" t="s">
        <v>45</v>
      </c>
    </row>
    <row r="23" spans="1:3" ht="12.75">
      <c r="A23" s="1"/>
      <c r="C23" s="2"/>
    </row>
    <row r="24" spans="1:3" ht="12.75">
      <c r="A24" s="1" t="s">
        <v>19</v>
      </c>
      <c r="C24" s="2"/>
    </row>
    <row r="25" spans="1:8" ht="25.5">
      <c r="A25" s="1" t="s">
        <v>20</v>
      </c>
      <c r="B25" s="2">
        <v>46971</v>
      </c>
      <c r="C25" s="2">
        <f>B25</f>
        <v>46971</v>
      </c>
      <c r="D25" s="2">
        <v>0</v>
      </c>
      <c r="E25" s="2">
        <v>0</v>
      </c>
      <c r="F25" t="s">
        <v>32</v>
      </c>
      <c r="G25" s="2">
        <v>0</v>
      </c>
      <c r="H25" s="1" t="s">
        <v>55</v>
      </c>
    </row>
    <row r="26" spans="1:8" ht="12.75">
      <c r="A26" s="1" t="s">
        <v>21</v>
      </c>
      <c r="B26" s="2">
        <v>107770</v>
      </c>
      <c r="C26" s="2">
        <f>B26</f>
        <v>107770</v>
      </c>
      <c r="D26" s="2">
        <v>0</v>
      </c>
      <c r="E26" s="2">
        <v>0</v>
      </c>
      <c r="F26" t="s">
        <v>32</v>
      </c>
      <c r="G26" s="2">
        <v>0</v>
      </c>
      <c r="H26" s="1" t="s">
        <v>59</v>
      </c>
    </row>
    <row r="27" spans="1:8" ht="12.75">
      <c r="A27" s="1" t="s">
        <v>11</v>
      </c>
      <c r="B27" s="2">
        <v>100000</v>
      </c>
      <c r="C27" s="2">
        <v>0</v>
      </c>
      <c r="D27" s="2">
        <v>0</v>
      </c>
      <c r="E27" s="2">
        <v>0</v>
      </c>
      <c r="F27" t="s">
        <v>34</v>
      </c>
      <c r="G27" s="2">
        <v>0</v>
      </c>
      <c r="H27" s="1" t="s">
        <v>45</v>
      </c>
    </row>
    <row r="28" spans="1:8" ht="12.75">
      <c r="A28" s="1" t="s">
        <v>16</v>
      </c>
      <c r="B28" s="2">
        <v>100000</v>
      </c>
      <c r="C28" s="2">
        <v>0</v>
      </c>
      <c r="D28" s="2">
        <v>0</v>
      </c>
      <c r="E28" s="2">
        <v>0</v>
      </c>
      <c r="F28" t="s">
        <v>34</v>
      </c>
      <c r="G28" s="2">
        <v>0</v>
      </c>
      <c r="H28" s="1" t="s">
        <v>45</v>
      </c>
    </row>
    <row r="29" spans="1:7" ht="12.75">
      <c r="A29" s="1"/>
      <c r="B29" s="2"/>
      <c r="C29" s="2"/>
      <c r="D29" s="2"/>
      <c r="E29" s="2"/>
      <c r="G29" s="2"/>
    </row>
    <row r="30" spans="1:8" ht="153">
      <c r="A30" s="1" t="s">
        <v>57</v>
      </c>
      <c r="B30" s="2">
        <f>46240000*0.08</f>
        <v>3699200</v>
      </c>
      <c r="C30" s="2">
        <f>46240000*0.08</f>
        <v>3699200</v>
      </c>
      <c r="D30" s="2">
        <f>46240000*0.08</f>
        <v>3699200</v>
      </c>
      <c r="E30" s="2">
        <f>46240000*0.08</f>
        <v>3699200</v>
      </c>
      <c r="G30" s="2">
        <v>0</v>
      </c>
      <c r="H30" s="1" t="s">
        <v>0</v>
      </c>
    </row>
    <row r="31" ht="12.75">
      <c r="A31" s="1"/>
    </row>
    <row r="32" spans="1:7" ht="12.75">
      <c r="A32" s="1" t="s">
        <v>62</v>
      </c>
      <c r="B32" s="7">
        <f>SUM(B4:B30)</f>
        <v>111745584</v>
      </c>
      <c r="C32" s="7">
        <f>SUM(C4:C30)</f>
        <v>70430395</v>
      </c>
      <c r="D32" s="7">
        <f>SUM(D4:D30)</f>
        <v>61470571</v>
      </c>
      <c r="E32" s="7">
        <f>SUM(E4:E30)</f>
        <v>44979712</v>
      </c>
      <c r="G32" s="7">
        <f>SUM(G5:G30)</f>
        <v>38322075</v>
      </c>
    </row>
    <row r="33" spans="1:7" ht="12.75">
      <c r="A33" s="1"/>
      <c r="B33" s="7"/>
      <c r="C33" s="7"/>
      <c r="D33" s="7"/>
      <c r="E33" s="7"/>
      <c r="G33" s="7"/>
    </row>
    <row r="34" spans="1:7" ht="25.5">
      <c r="A34" s="1" t="s">
        <v>66</v>
      </c>
      <c r="B34" s="7"/>
      <c r="C34" s="7">
        <f>C32/0.7-C32</f>
        <v>30184455</v>
      </c>
      <c r="D34" s="7">
        <f>D32/0.7-D32</f>
        <v>26344530.428571433</v>
      </c>
      <c r="E34" s="7">
        <f>E32/0.7-E32</f>
        <v>19277019.428571433</v>
      </c>
      <c r="G34" s="7">
        <f>G32/0.7-G32</f>
        <v>16423746.428571433</v>
      </c>
    </row>
    <row r="35" spans="1:7" ht="12.75">
      <c r="A35" s="1"/>
      <c r="B35" s="7"/>
      <c r="C35" s="7"/>
      <c r="D35" s="7"/>
      <c r="E35" s="7"/>
      <c r="G35" s="7"/>
    </row>
    <row r="36" spans="1:7" ht="25.5">
      <c r="A36" s="1" t="s">
        <v>63</v>
      </c>
      <c r="B36" s="7"/>
      <c r="C36" s="7">
        <f>C34+C32</f>
        <v>100614850</v>
      </c>
      <c r="D36" s="7">
        <f>D34+D32</f>
        <v>87815101.42857143</v>
      </c>
      <c r="E36" s="7">
        <f>E34+E32</f>
        <v>64256731.42857143</v>
      </c>
      <c r="G36" s="7">
        <f>G34+G32</f>
        <v>54745821.42857143</v>
      </c>
    </row>
    <row r="37" spans="1:7" ht="12.75">
      <c r="A37" s="1"/>
      <c r="B37" s="7"/>
      <c r="C37" s="7"/>
      <c r="D37" s="7"/>
      <c r="E37" s="7"/>
      <c r="G37" s="7"/>
    </row>
    <row r="38" spans="1:7" ht="12.75">
      <c r="A38" s="1" t="s">
        <v>38</v>
      </c>
      <c r="B38" s="6"/>
      <c r="C38" s="6">
        <f>C36/Treatments!$A$14</f>
        <v>1.159424406545287</v>
      </c>
      <c r="D38" s="6">
        <f>D36/Treatments!$A$14</f>
        <v>1.0119278800250222</v>
      </c>
      <c r="E38" s="6">
        <f>E36/Treatments!$A$14</f>
        <v>0.7404555361669904</v>
      </c>
      <c r="G38" s="6">
        <f>G36/Treatments!A18</f>
        <v>0.7299442857142858</v>
      </c>
    </row>
    <row r="39" spans="1:7" ht="25.5">
      <c r="A39" s="1" t="s">
        <v>67</v>
      </c>
      <c r="C39" s="6">
        <f>C32/Treatments!$A$14</f>
        <v>0.8115970845817009</v>
      </c>
      <c r="D39" s="6">
        <f>D32/Treatments!$A$14</f>
        <v>0.7083495160175155</v>
      </c>
      <c r="E39" s="6">
        <f>E32/Treatments!$A$14</f>
        <v>0.5183188753168932</v>
      </c>
      <c r="F39" s="6"/>
      <c r="G39" s="6">
        <f>G32/Treatments!$A$14</f>
        <v>0.44160031113159715</v>
      </c>
    </row>
    <row r="40" spans="1:5" ht="25.5">
      <c r="A40" s="1" t="s">
        <v>22</v>
      </c>
      <c r="B40" s="7"/>
      <c r="C40" s="7">
        <f>Treatments!$A$16*0.085</f>
        <v>2125000</v>
      </c>
      <c r="D40" s="7">
        <f>Treatments!$A$16*0.085</f>
        <v>2125000</v>
      </c>
      <c r="E40" s="7">
        <f>Treatments!$A$16*0.085</f>
        <v>2125000</v>
      </c>
    </row>
    <row r="41" ht="51.75">
      <c r="A41" s="9" t="s">
        <v>23</v>
      </c>
    </row>
    <row r="43" spans="1:8" s="10" customFormat="1" ht="12.75">
      <c r="A43" s="10" t="s">
        <v>42</v>
      </c>
      <c r="B43" s="11"/>
      <c r="C43" s="11">
        <f>(C36-C40)/Treatments!$A$14</f>
        <v>1.1349371975109472</v>
      </c>
      <c r="D43" s="11">
        <f>(D36-D40)/Treatments!$A$14</f>
        <v>0.9874406709906826</v>
      </c>
      <c r="E43" s="11">
        <f>(E36-E40)/Treatments!$A$14</f>
        <v>0.7159683271326508</v>
      </c>
      <c r="H43" s="12"/>
    </row>
  </sheetData>
  <sheetProtection/>
  <mergeCells count="1">
    <mergeCell ref="A3:F3"/>
  </mergeCells>
  <printOptions/>
  <pageMargins left="0.75" right="0.75" top="1" bottom="1" header="0.5" footer="0.5"/>
  <pageSetup orientation="portrait"/>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Natalie Stone</dc:creator>
  <cp:keywords/>
  <dc:description/>
  <cp:lastModifiedBy>Alexander Berger</cp:lastModifiedBy>
  <dcterms:created xsi:type="dcterms:W3CDTF">2011-11-21T19:11:36Z</dcterms:created>
  <dcterms:modified xsi:type="dcterms:W3CDTF">2013-10-28T23:01:42Z</dcterms:modified>
  <cp:category/>
  <cp:version/>
  <cp:contentType/>
  <cp:contentStatus/>
</cp:coreProperties>
</file>