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53222"/>
  <bookViews>
    <workbookView xWindow="0" yWindow="0" windowWidth="24000" windowHeight="9600"/>
  </bookViews>
  <sheets>
    <sheet name="summary" sheetId="9" r:id="rId1"/>
    <sheet name="Programs" sheetId="13" r:id="rId2"/>
    <sheet name="Commitments" sheetId="12" r:id="rId3"/>
    <sheet name="MER" sheetId="8" r:id="rId4"/>
    <sheet name="Central costs" sheetId="3" r:id="rId5"/>
  </sheets>
  <externalReferences>
    <externalReference r:id="rId6"/>
    <externalReference r:id="rId7"/>
    <externalReference r:id="rId8"/>
  </externalReferences>
  <definedNames>
    <definedName name="_22_0__123Grap" localSheetId="2" hidden="1">#REF!</definedName>
    <definedName name="_22_0__123Grap" localSheetId="1" hidden="1">#REF!</definedName>
    <definedName name="_22_0__123Grap" hidden="1">#REF!</definedName>
    <definedName name="_xlnm._FilterDatabase" localSheetId="2" hidden="1">Commitments!#REF!</definedName>
    <definedName name="_xlnm._FilterDatabase" localSheetId="1" hidden="1">Programs!#REF!</definedName>
    <definedName name="_Key1" localSheetId="2" hidden="1">#REF!</definedName>
    <definedName name="_Key1" localSheetId="1" hidden="1">#REF!</definedName>
    <definedName name="_Key1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ALBCOST" localSheetId="2">#REF!</definedName>
    <definedName name="ALBCOST" localSheetId="1">#REF!</definedName>
    <definedName name="ALBCOST">#REF!</definedName>
    <definedName name="Budget">#REF!</definedName>
    <definedName name="_xlnm.Criteria" localSheetId="2">#REF!</definedName>
    <definedName name="_xlnm.Criteria" localSheetId="1">#REF!</definedName>
    <definedName name="_xlnm.Criteria">#REF!</definedName>
    <definedName name="_xlnm.Database" localSheetId="2">#REF!</definedName>
    <definedName name="_xlnm.Database" localSheetId="1">#REF!</definedName>
    <definedName name="_xlnm.Database">#REF!</definedName>
    <definedName name="ew" localSheetId="2" hidden="1">#REF!</definedName>
    <definedName name="ew" localSheetId="1" hidden="1">#REF!</definedName>
    <definedName name="ew" hidden="1">#REF!</definedName>
    <definedName name="_xlnm.Extract" localSheetId="2">#REF!</definedName>
    <definedName name="_xlnm.Extract" localSheetId="1">#REF!</definedName>
    <definedName name="_xlnm.Extract">#REF!</definedName>
    <definedName name="hours_m">166.67</definedName>
    <definedName name="hours_y">1833</definedName>
    <definedName name="ITE_Off">[1]Pricing!$C$10</definedName>
    <definedName name="ITE_OffOther">[1]Pricing!$C$11</definedName>
    <definedName name="ITE_on">[1]Pricing!$C$5</definedName>
    <definedName name="ITE_OnOther">[1]Pricing!$C$6</definedName>
    <definedName name="Merck2012">[2]PZQ!$J$86</definedName>
    <definedName name="sorts" localSheetId="2" hidden="1">#REF!</definedName>
    <definedName name="sorts" localSheetId="1" hidden="1">#REF!</definedName>
    <definedName name="sorts" hidden="1">#REF!</definedName>
    <definedName name="UKInf" localSheetId="2">#REF!</definedName>
    <definedName name="UKInf" localSheetId="1">#REF!</definedName>
    <definedName name="UKInf">#REF!</definedName>
    <definedName name="wrn.All._.Grant._.Forms." hidden="1">{"Form DD",#N/A,FALSE,"DD";"EE",#N/A,FALSE,"EE";"Indirects",#N/A,FALSE,"DD"}</definedName>
    <definedName name="wrn.Summary._.1._.Year." hidden="1">{"One Year",#N/A,FALSE,"Summary"}</definedName>
    <definedName name="Year">[3]MDT!$K$2012</definedName>
    <definedName name="YearALB" localSheetId="2">#REF!</definedName>
    <definedName name="YearALB" localSheetId="1">#REF!</definedName>
    <definedName name="YearALB">#REF!</definedName>
    <definedName name="YearPZQ" localSheetId="2">#REF!</definedName>
    <definedName name="YearPZQ" localSheetId="1">#REF!</definedName>
    <definedName name="YearPZQ">#REF!</definedName>
    <definedName name="YearTCZ" localSheetId="2">#REF!</definedName>
    <definedName name="YearTCZ" localSheetId="1">#REF!</definedName>
    <definedName name="YearTCZ">#REF!</definedName>
    <definedName name="YearTCZRDD" localSheetId="2">#REF!</definedName>
    <definedName name="YearTCZRDD" localSheetId="1">#REF!</definedName>
    <definedName name="YearTCZRD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9" l="1"/>
  <c r="F23" i="13"/>
  <c r="F8" i="13" l="1"/>
  <c r="F10" i="13"/>
  <c r="F19" i="13"/>
  <c r="F21" i="13"/>
  <c r="C14" i="9" l="1"/>
  <c r="C15" i="9"/>
  <c r="C16" i="9"/>
  <c r="C14" i="12" l="1"/>
  <c r="C12" i="12"/>
  <c r="C13" i="12"/>
  <c r="C10" i="12"/>
  <c r="C7" i="12"/>
  <c r="C6" i="12"/>
  <c r="C16" i="12" s="1"/>
  <c r="C6" i="9" s="1"/>
  <c r="E12" i="13" l="1"/>
  <c r="E23" i="13" s="1"/>
  <c r="D12" i="13"/>
  <c r="D11" i="13"/>
  <c r="F11" i="13" l="1"/>
  <c r="F12" i="13"/>
  <c r="D23" i="13"/>
  <c r="C5" i="8" l="1"/>
  <c r="C5" i="9" l="1"/>
  <c r="C6" i="3"/>
  <c r="C19" i="9" l="1"/>
  <c r="C9" i="3" l="1"/>
  <c r="C11" i="3" l="1"/>
  <c r="C7" i="8"/>
  <c r="C7" i="9" l="1"/>
  <c r="C18" i="3" l="1"/>
  <c r="C8" i="9" s="1"/>
  <c r="C9" i="9" s="1"/>
  <c r="C10" i="9" s="1"/>
  <c r="C21" i="9" s="1"/>
</calcChain>
</file>

<file path=xl/comments1.xml><?xml version="1.0" encoding="utf-8"?>
<comments xmlns="http://schemas.openxmlformats.org/spreadsheetml/2006/main">
  <authors>
    <author>Author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bending approval from DFID as per last conversation it is more likely to get approval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End fund Yemen extended to May 2018. Liberia was not successful, but End Fund will consider annual funding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figure to be confirmed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C5" authorId="0" shape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only Niger
</t>
        </r>
      </text>
    </comment>
  </commentList>
</comments>
</file>

<file path=xl/sharedStrings.xml><?xml version="1.0" encoding="utf-8"?>
<sst xmlns="http://schemas.openxmlformats.org/spreadsheetml/2006/main" count="140" uniqueCount="118">
  <si>
    <t>Liberia</t>
  </si>
  <si>
    <t>Zambia</t>
  </si>
  <si>
    <t>Uganda</t>
  </si>
  <si>
    <t>Burundi</t>
  </si>
  <si>
    <t>Madagascar</t>
  </si>
  <si>
    <t>Sudan</t>
  </si>
  <si>
    <t>Mauritania</t>
  </si>
  <si>
    <t>Personnel</t>
  </si>
  <si>
    <t xml:space="preserve">Audit </t>
  </si>
  <si>
    <t>Nigeria</t>
  </si>
  <si>
    <t>Total</t>
  </si>
  <si>
    <t>Implementation costs</t>
  </si>
  <si>
    <t>Research costs</t>
  </si>
  <si>
    <t>Central costs</t>
  </si>
  <si>
    <t>Total Costs</t>
  </si>
  <si>
    <t>Advocacy &amp; printing &amp; visibility</t>
  </si>
  <si>
    <t>Founder travel/Advocacy</t>
  </si>
  <si>
    <t>Legal costs</t>
  </si>
  <si>
    <t>Maintenance of printer</t>
  </si>
  <si>
    <t>Ethiopia</t>
  </si>
  <si>
    <t>Personal Development</t>
  </si>
  <si>
    <t xml:space="preserve">Travel </t>
  </si>
  <si>
    <t>Team meetings</t>
  </si>
  <si>
    <t>Board Meeting</t>
  </si>
  <si>
    <t>2 annual team meetings+ 1 meeting per function</t>
  </si>
  <si>
    <t>Advisory Committees meetings</t>
  </si>
  <si>
    <t>Reserve (18/19)</t>
  </si>
  <si>
    <t>DFID</t>
  </si>
  <si>
    <t>End Fund</t>
  </si>
  <si>
    <t>CIFF</t>
  </si>
  <si>
    <t>UBS</t>
  </si>
  <si>
    <t xml:space="preserve">Reassessment after 5 rounds of treatment </t>
  </si>
  <si>
    <t>Côte d'Ivoire</t>
  </si>
  <si>
    <t>Malawi</t>
  </si>
  <si>
    <t>Mozambique</t>
  </si>
  <si>
    <t>Niger</t>
  </si>
  <si>
    <t>Re-assessment costs</t>
  </si>
  <si>
    <t>Intern/research student costs</t>
  </si>
  <si>
    <t>Budget</t>
  </si>
  <si>
    <t>on average 3 trips/employee/year @ GBP3000/trip+  additional 3 trips/program advisor.</t>
  </si>
  <si>
    <t>Employees wellbeing/connectors</t>
  </si>
  <si>
    <t>Zanzibar-Unguja</t>
  </si>
  <si>
    <t>Zanzibar- Pemba</t>
  </si>
  <si>
    <t xml:space="preserve">Funds available </t>
  </si>
  <si>
    <t>Unrestricted funds available for allocation for 19/20</t>
  </si>
  <si>
    <t>as per PRDP @1500/employee; including subscription to courses and networks</t>
  </si>
  <si>
    <t>Comments</t>
  </si>
  <si>
    <t>Number of targeted districts increasing from 13 to 21 after CCA re-assessment</t>
  </si>
  <si>
    <t># SAC requiring treatment SCH only</t>
  </si>
  <si>
    <t># of Adults requiring treatment SCH only</t>
  </si>
  <si>
    <t xml:space="preserve">36 targeted districts </t>
  </si>
  <si>
    <t xml:space="preserve">Integrated programme targeting 148 health zones for SCH under pooled funding from different partners. </t>
  </si>
  <si>
    <t>Targeting 160 districts in 10 regions co-funded with CIFF and the END Fund. Original IM contribution for SCI is $1.92m for Y4.</t>
  </si>
  <si>
    <t>Targeting 5 counties -Bong, Grand Gedeh, Lofa, Maryland and Nimba</t>
  </si>
  <si>
    <t>Targeting 2,285,246 SAC in 46 districts and 257,056 private school and non-enrolled SAC in 13 districts. World Bank targeting 5 distinct districts and public school children in 13 shared districts.</t>
  </si>
  <si>
    <t>Targeting 28 districts, national scale. 13  districts re-assessed in 2017 (results pending) 9 further districts are due to be re-assessed in 17/18 .Results will assist in developing a new treatment strategy from 2019 onwards.</t>
  </si>
  <si>
    <t>Targeting 14 districts</t>
  </si>
  <si>
    <t>Targeting all endemic districts at national scale</t>
  </si>
  <si>
    <t xml:space="preserve">Increased target from 22 to 50 districts due to administrative restructuring </t>
  </si>
  <si>
    <t>Targeting 17 districts across 2 states in collaboration with Sightsavers</t>
  </si>
  <si>
    <t>Targeting 42 districts for SAC and with 2 regions treating adults due to location and proximity to Lake Victoria.</t>
  </si>
  <si>
    <t xml:space="preserve">Targeting 8 of the 11 provinces </t>
  </si>
  <si>
    <t>Undergoing a strategy review to redefine target populations</t>
  </si>
  <si>
    <t>13 districts completed re-assessment in September 2017, results pending may alter target population</t>
  </si>
  <si>
    <t>Criteria</t>
  </si>
  <si>
    <t>Cost per treatment gone down to £0.21; Drugs are to be donated</t>
  </si>
  <si>
    <t>Reached now national scale and need to continue control</t>
  </si>
  <si>
    <t>Drugs received in country</t>
  </si>
  <si>
    <t>Waiting for final budget from LSTM</t>
  </si>
  <si>
    <t>Not a DFID country and with no available funds we can't priorities</t>
  </si>
  <si>
    <t>KOICA covering the White Nile state and no one else covering, the country is due to receive 9 M tablets</t>
  </si>
  <si>
    <t>To keep costs within the reasonable cost per treatment; the country used a very conservative exchange rate</t>
  </si>
  <si>
    <t>on average each year the treatment # is around 2.5 M</t>
  </si>
  <si>
    <t>No track records of treatments; hesitant to allocate high budget until we receive reports and results</t>
  </si>
  <si>
    <t>Priority country for WHO and DIFD; scale up phase; CIFF &amp; End Fund memo and SCI commitment</t>
  </si>
  <si>
    <t>To protect gains made as the country works towards elimination; 9 years program, cost per treatment is low £0.14, Drugs are available in the country</t>
  </si>
  <si>
    <t>DIFD priority country; DIFD buying the drugs for the adult treatments; the country can use a more favourable rate; our records says on average the # of annual treatments is 6 M</t>
  </si>
  <si>
    <t>Waiting for confirmation on the number of treatments and to understand why # of adults is higher than SAC</t>
  </si>
  <si>
    <t>Country treats twice per year; Gov. indorsed elimination strategy, Drugs are donated including for adults</t>
  </si>
  <si>
    <t>The country is reaching national coverage; new areas for treatment</t>
  </si>
  <si>
    <t>go ahead</t>
  </si>
  <si>
    <t>to negotiate in May after this FY reports are received</t>
  </si>
  <si>
    <t>to negotaite the budget</t>
  </si>
  <si>
    <t>the country is receiving 5 million tablets compared to 15 million current year</t>
  </si>
  <si>
    <t>to hold on the negotiation until the new PM has visited and assessment to work directly with MoH</t>
  </si>
  <si>
    <t>to finalise the due deligence; and negotiate the contract priority 1</t>
  </si>
  <si>
    <t xml:space="preserve">confirm </t>
  </si>
  <si>
    <t>to allocate DIFD funding to treat adults</t>
  </si>
  <si>
    <t>to negotiate in June; to allocate a higher percentage from DFID</t>
  </si>
  <si>
    <t>?</t>
  </si>
  <si>
    <t>to negotiate when current MDA is concluded</t>
  </si>
  <si>
    <t>delay negotiations until we have resuls and accurate # of treatment</t>
  </si>
  <si>
    <t>Final payment outstanding</t>
  </si>
  <si>
    <t>Final programme payment of £55,000 and final management fee invoice of £12,666.67 outstanding</t>
  </si>
  <si>
    <t>Final payment £151,493 paid Apr-18
Plus Mar-18 spending &amp; remaining cash to be posted</t>
  </si>
  <si>
    <t>Final payment to MoH for £151,097 &amp; ISP for £14,902 outstanding</t>
  </si>
  <si>
    <t>Based on Sudan's revised budget £878,036</t>
  </si>
  <si>
    <t>Payments for £500,000 &amp; £181,110 outstanding</t>
  </si>
  <si>
    <t>Final payment of £65,744 and Sightsavers fee of £38,933 outstanding</t>
  </si>
  <si>
    <t>Payments for £204,991 &amp; £9,708 outstanding</t>
  </si>
  <si>
    <t>Final payment to Unguja outstanding</t>
  </si>
  <si>
    <t>MER Budget</t>
  </si>
  <si>
    <t>Rolled over program commitments</t>
  </si>
  <si>
    <t>Implementation</t>
  </si>
  <si>
    <r>
      <t>Control of morbidity</t>
    </r>
    <r>
      <rPr>
        <sz val="11"/>
        <color rgb="FF000000"/>
        <rFont val="Calibri"/>
        <family val="2"/>
        <scheme val="minor"/>
      </rPr>
      <t xml:space="preserve"> </t>
    </r>
  </si>
  <si>
    <r>
      <t>Elimination as a PHP</t>
    </r>
    <r>
      <rPr>
        <sz val="11"/>
        <color rgb="FF000000"/>
        <rFont val="Calibri"/>
        <family val="2"/>
        <scheme val="minor"/>
      </rPr>
      <t xml:space="preserve"> </t>
    </r>
  </si>
  <si>
    <t>Tanzania</t>
  </si>
  <si>
    <t>DRC</t>
  </si>
  <si>
    <t>Country</t>
  </si>
  <si>
    <t>Central Costs</t>
  </si>
  <si>
    <t>see the comms budget</t>
  </si>
  <si>
    <t>see personnel budget</t>
  </si>
  <si>
    <t>Summary Budget for 1 April 2018 to 31 March 2019 in GBP</t>
  </si>
  <si>
    <t>Rolled over program costs</t>
  </si>
  <si>
    <t>Unrestricted</t>
  </si>
  <si>
    <t>to ask to separate coverage survey costs to a separate entity</t>
  </si>
  <si>
    <t>Other office costs (translations, communication, supplies)</t>
  </si>
  <si>
    <t>Strategy launch and consultancy firm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</si>
</sst>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&quot;£&quot;#,##0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6">
    <xf numFmtId="0" fontId="0" fillId="0" borderId="0"/>
    <xf numFmtId="165" fontId="3" fillId="0" borderId="0" applyFont="0" applyFill="0" applyBorder="0" applyAlignment="0" applyProtection="0"/>
    <xf numFmtId="0" fontId="7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83">
    <xf numFmtId="0" fontId="0" fillId="0" borderId="0" xfId="0"/>
    <xf numFmtId="0" fontId="6" fillId="0" borderId="0" xfId="0" applyFont="1"/>
    <xf numFmtId="3" fontId="0" fillId="0" borderId="0" xfId="0" applyNumberFormat="1"/>
    <xf numFmtId="0" fontId="0" fillId="0" borderId="0" xfId="0" applyAlignment="1">
      <alignment wrapText="1"/>
    </xf>
    <xf numFmtId="166" fontId="0" fillId="0" borderId="0" xfId="0" applyNumberFormat="1" applyFont="1"/>
    <xf numFmtId="3" fontId="0" fillId="0" borderId="0" xfId="0" applyNumberFormat="1" applyFont="1"/>
    <xf numFmtId="0" fontId="0" fillId="0" borderId="0" xfId="0"/>
    <xf numFmtId="0" fontId="0" fillId="0" borderId="5" xfId="0" applyBorder="1"/>
    <xf numFmtId="0" fontId="0" fillId="0" borderId="6" xfId="0" applyBorder="1"/>
    <xf numFmtId="166" fontId="0" fillId="0" borderId="0" xfId="0" applyNumberFormat="1"/>
    <xf numFmtId="0" fontId="8" fillId="0" borderId="0" xfId="0" applyFont="1"/>
    <xf numFmtId="0" fontId="6" fillId="0" borderId="1" xfId="0" applyFont="1" applyBorder="1" applyAlignment="1">
      <alignment horizontal="center"/>
    </xf>
    <xf numFmtId="0" fontId="6" fillId="9" borderId="7" xfId="0" applyFont="1" applyFill="1" applyBorder="1"/>
    <xf numFmtId="0" fontId="0" fillId="11" borderId="0" xfId="0" applyFill="1" applyAlignment="1">
      <alignment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65" fontId="0" fillId="0" borderId="0" xfId="0" applyNumberFormat="1"/>
    <xf numFmtId="3" fontId="8" fillId="0" borderId="0" xfId="0" applyNumberFormat="1" applyFont="1"/>
    <xf numFmtId="166" fontId="0" fillId="0" borderId="2" xfId="0" applyNumberFormat="1" applyFill="1" applyBorder="1"/>
    <xf numFmtId="166" fontId="6" fillId="9" borderId="8" xfId="0" applyNumberFormat="1" applyFont="1" applyFill="1" applyBorder="1"/>
    <xf numFmtId="166" fontId="6" fillId="0" borderId="0" xfId="0" applyNumberFormat="1" applyFont="1"/>
    <xf numFmtId="166" fontId="0" fillId="11" borderId="0" xfId="0" applyNumberFormat="1" applyFill="1"/>
    <xf numFmtId="0" fontId="0" fillId="0" borderId="0" xfId="0" applyFont="1"/>
    <xf numFmtId="0" fontId="10" fillId="0" borderId="0" xfId="0" applyFont="1"/>
    <xf numFmtId="3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wrapText="1"/>
    </xf>
    <xf numFmtId="0" fontId="6" fillId="0" borderId="13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" fillId="10" borderId="13" xfId="0" applyFont="1" applyFill="1" applyBorder="1" applyAlignment="1">
      <alignment horizontal="left" wrapText="1"/>
    </xf>
    <xf numFmtId="3" fontId="1" fillId="5" borderId="4" xfId="0" applyNumberFormat="1" applyFont="1" applyFill="1" applyBorder="1" applyAlignment="1">
      <alignment horizontal="right" wrapText="1"/>
    </xf>
    <xf numFmtId="3" fontId="1" fillId="5" borderId="2" xfId="0" applyNumberFormat="1" applyFont="1" applyFill="1" applyBorder="1" applyAlignment="1">
      <alignment horizontal="right" wrapText="1"/>
    </xf>
    <xf numFmtId="3" fontId="1" fillId="12" borderId="4" xfId="0" applyNumberFormat="1" applyFont="1" applyFill="1" applyBorder="1" applyAlignment="1">
      <alignment horizontal="right" wrapText="1"/>
    </xf>
    <xf numFmtId="3" fontId="1" fillId="12" borderId="2" xfId="0" applyNumberFormat="1" applyFont="1" applyFill="1" applyBorder="1" applyAlignment="1">
      <alignment horizontal="right" wrapText="1"/>
    </xf>
    <xf numFmtId="166" fontId="0" fillId="10" borderId="11" xfId="0" applyNumberFormat="1" applyFont="1" applyFill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166" fontId="0" fillId="10" borderId="5" xfId="0" applyNumberFormat="1" applyFont="1" applyFill="1" applyBorder="1" applyAlignment="1">
      <alignment horizontal="left"/>
    </xf>
    <xf numFmtId="0" fontId="0" fillId="0" borderId="9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12" fillId="2" borderId="3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166" fontId="0" fillId="6" borderId="11" xfId="0" applyNumberFormat="1" applyFont="1" applyFill="1" applyBorder="1" applyAlignment="1">
      <alignment horizontal="left"/>
    </xf>
    <xf numFmtId="0" fontId="1" fillId="5" borderId="4" xfId="0" applyFont="1" applyFill="1" applyBorder="1" applyAlignment="1">
      <alignment horizontal="left" wrapText="1"/>
    </xf>
    <xf numFmtId="166" fontId="0" fillId="7" borderId="5" xfId="0" applyNumberFormat="1" applyFont="1" applyFill="1" applyBorder="1" applyAlignment="1">
      <alignment horizontal="left"/>
    </xf>
    <xf numFmtId="0" fontId="1" fillId="5" borderId="2" xfId="0" applyFont="1" applyFill="1" applyBorder="1" applyAlignment="1">
      <alignment horizontal="left" wrapText="1"/>
    </xf>
    <xf numFmtId="166" fontId="0" fillId="8" borderId="5" xfId="0" applyNumberFormat="1" applyFont="1" applyFill="1" applyBorder="1" applyAlignment="1">
      <alignment horizontal="left"/>
    </xf>
    <xf numFmtId="0" fontId="2" fillId="5" borderId="7" xfId="0" applyFont="1" applyFill="1" applyBorder="1" applyAlignment="1">
      <alignment horizontal="left" wrapText="1"/>
    </xf>
    <xf numFmtId="0" fontId="2" fillId="5" borderId="8" xfId="0" applyFont="1" applyFill="1" applyBorder="1" applyAlignment="1">
      <alignment horizontal="left" wrapText="1"/>
    </xf>
    <xf numFmtId="3" fontId="1" fillId="0" borderId="2" xfId="0" applyNumberFormat="1" applyFont="1" applyFill="1" applyBorder="1" applyAlignment="1">
      <alignment horizontal="right" wrapText="1"/>
    </xf>
    <xf numFmtId="3" fontId="2" fillId="5" borderId="8" xfId="0" applyNumberFormat="1" applyFont="1" applyFill="1" applyBorder="1" applyAlignment="1">
      <alignment horizontal="right" wrapText="1"/>
    </xf>
    <xf numFmtId="3" fontId="0" fillId="11" borderId="2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right" wrapText="1"/>
    </xf>
    <xf numFmtId="3" fontId="2" fillId="12" borderId="14" xfId="0" applyNumberFormat="1" applyFont="1" applyFill="1" applyBorder="1" applyAlignment="1">
      <alignment horizontal="right" wrapText="1"/>
    </xf>
    <xf numFmtId="166" fontId="10" fillId="0" borderId="0" xfId="0" applyNumberFormat="1" applyFont="1"/>
    <xf numFmtId="0" fontId="0" fillId="0" borderId="0" xfId="0" applyNumberFormat="1" applyFont="1"/>
    <xf numFmtId="0" fontId="0" fillId="0" borderId="6" xfId="0" applyBorder="1" applyAlignment="1">
      <alignment horizontal="center"/>
    </xf>
    <xf numFmtId="0" fontId="2" fillId="0" borderId="16" xfId="0" applyFont="1" applyFill="1" applyBorder="1" applyAlignment="1">
      <alignment wrapText="1"/>
    </xf>
    <xf numFmtId="0" fontId="6" fillId="0" borderId="5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3" fontId="6" fillId="12" borderId="1" xfId="0" applyNumberFormat="1" applyFont="1" applyFill="1" applyBorder="1" applyAlignment="1">
      <alignment horizontal="center" wrapText="1"/>
    </xf>
    <xf numFmtId="3" fontId="0" fillId="12" borderId="2" xfId="0" applyNumberFormat="1" applyFill="1" applyBorder="1" applyAlignment="1">
      <alignment horizontal="right" wrapText="1"/>
    </xf>
    <xf numFmtId="3" fontId="6" fillId="12" borderId="8" xfId="0" applyNumberFormat="1" applyFont="1" applyFill="1" applyBorder="1" applyAlignment="1">
      <alignment horizontal="right"/>
    </xf>
    <xf numFmtId="3" fontId="6" fillId="12" borderId="14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166" fontId="2" fillId="0" borderId="17" xfId="0" applyNumberFormat="1" applyFont="1" applyFill="1" applyBorder="1" applyAlignment="1">
      <alignment horizontal="left" wrapText="1"/>
    </xf>
    <xf numFmtId="166" fontId="0" fillId="12" borderId="18" xfId="0" applyNumberFormat="1" applyFont="1" applyFill="1" applyBorder="1"/>
    <xf numFmtId="166" fontId="2" fillId="10" borderId="13" xfId="0" applyNumberFormat="1" applyFont="1" applyFill="1" applyBorder="1" applyAlignment="1">
      <alignment horizontal="left" wrapText="1"/>
    </xf>
    <xf numFmtId="166" fontId="2" fillId="12" borderId="15" xfId="1" applyNumberFormat="1" applyFont="1" applyFill="1" applyBorder="1" applyAlignment="1">
      <alignment horizontal="right" wrapText="1"/>
    </xf>
    <xf numFmtId="166" fontId="2" fillId="0" borderId="11" xfId="0" applyNumberFormat="1" applyFont="1" applyFill="1" applyBorder="1" applyAlignment="1">
      <alignment horizontal="left" wrapText="1"/>
    </xf>
    <xf numFmtId="166" fontId="0" fillId="12" borderId="12" xfId="0" applyNumberFormat="1" applyFont="1" applyFill="1" applyBorder="1"/>
    <xf numFmtId="166" fontId="2" fillId="10" borderId="13" xfId="0" applyNumberFormat="1" applyFont="1" applyFill="1" applyBorder="1" applyAlignment="1">
      <alignment horizontal="left" vertical="center" wrapText="1"/>
    </xf>
    <xf numFmtId="3" fontId="2" fillId="12" borderId="15" xfId="0" applyNumberFormat="1" applyFont="1" applyFill="1" applyBorder="1" applyAlignment="1">
      <alignment horizontal="center" wrapText="1"/>
    </xf>
    <xf numFmtId="3" fontId="0" fillId="12" borderId="4" xfId="0" applyNumberFormat="1" applyFont="1" applyFill="1" applyBorder="1" applyAlignment="1">
      <alignment horizontal="right"/>
    </xf>
    <xf numFmtId="3" fontId="0" fillId="12" borderId="2" xfId="0" applyNumberFormat="1" applyFont="1" applyFill="1" applyBorder="1" applyAlignment="1">
      <alignment horizontal="right"/>
    </xf>
    <xf numFmtId="3" fontId="2" fillId="12" borderId="8" xfId="0" applyNumberFormat="1" applyFont="1" applyFill="1" applyBorder="1" applyAlignment="1">
      <alignment horizontal="right" wrapText="1"/>
    </xf>
  </cellXfs>
  <cellStyles count="6">
    <cellStyle name="Comma" xfId="1" builtinId="3"/>
    <cellStyle name="Comma 2" xfId="3"/>
    <cellStyle name="Comma 3" xfId="5"/>
    <cellStyle name="Currency 2" xfId="4"/>
    <cellStyle name="Normal" xfId="0" builtinId="0"/>
    <cellStyle name="Normal 4" xfId="2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FID\AWARD%20DOCS%20CONTRACT\Rtifile02\cidprojectshares\IDG-Info\Proposal%20Template%20Info\T&amp;M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td-wga.basecamphq.com/Users/Public/Archive%20200%20Shipments/NTD/NTD%202006-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td-wga.basecamphq.com/Users/Public/Archive%20200%20Shipments/NTD/MDT%201995-20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CF"/>
      <sheetName val="Rates"/>
      <sheetName val="ASI"/>
      <sheetName val="Pricing"/>
      <sheetName val="Units"/>
      <sheetName val="Loaded"/>
      <sheetName val="Summary"/>
      <sheetName val="PL Table"/>
      <sheetName val="Task Summary"/>
      <sheetName val="DL Table"/>
      <sheetName val="Task Detail"/>
      <sheetName val="Travel"/>
      <sheetName val="T&amp;M Sum Client"/>
      <sheetName val="T&amp;M Sum RTI"/>
      <sheetName val="T&amp;M Labor Client"/>
      <sheetName val="T&amp;M Labor RTI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0.47499999999999998</v>
          </cell>
        </row>
        <row r="6">
          <cell r="C6">
            <v>0.55000000000000004</v>
          </cell>
        </row>
        <row r="10">
          <cell r="C10">
            <v>0.47499999999999998</v>
          </cell>
        </row>
        <row r="11">
          <cell r="C11">
            <v>0.55000000000000004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 GSK"/>
      <sheetName val="DEC"/>
      <sheetName val="PZQ"/>
      <sheetName val="Egaten"/>
      <sheetName val="Egaten Geneva"/>
      <sheetName val="ALB Consignees"/>
      <sheetName val="DEC Geneva"/>
      <sheetName val="ALB GSK (2)"/>
      <sheetName val="ALB PURCHASES"/>
      <sheetName val="PZQ Geneva"/>
      <sheetName val="PZQ PURCHASES"/>
      <sheetName val="PZQ Consignees 2009"/>
      <sheetName val="MERCK  2010"/>
      <sheetName val="PZQ 2008-2009"/>
      <sheetName val="IVM"/>
      <sheetName val="IVM Geneva"/>
      <sheetName val="Novartis"/>
      <sheetName val="NTD 2008-2009"/>
    </sheetNames>
    <sheetDataSet>
      <sheetData sheetId="0"/>
      <sheetData sheetId="1" refreshError="1"/>
      <sheetData sheetId="2">
        <row r="86">
          <cell r="J86" t="str">
            <v>2008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iry"/>
      <sheetName val="India"/>
      <sheetName val="Geneva Buffer"/>
      <sheetName val="Novartis Feb 2009"/>
      <sheetName val="MDT"/>
      <sheetName val="MDT GRD"/>
      <sheetName val="CLO"/>
      <sheetName val="CLO GRD"/>
      <sheetName val="Summary 1995-2008"/>
      <sheetName val="France 2009 RDD"/>
      <sheetName val="France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D21"/>
  <sheetViews>
    <sheetView tabSelected="1" workbookViewId="0"/>
  </sheetViews>
  <sheetFormatPr defaultColWidth="8.85546875" defaultRowHeight="15" x14ac:dyDescent="0.25"/>
  <cols>
    <col min="1" max="1" width="2.42578125" customWidth="1"/>
    <col min="2" max="2" width="38.7109375" customWidth="1"/>
    <col min="3" max="3" width="30.7109375" style="2" customWidth="1"/>
    <col min="4" max="4" width="23.42578125" customWidth="1"/>
  </cols>
  <sheetData>
    <row r="2" spans="2:3" ht="30" customHeight="1" x14ac:dyDescent="0.25">
      <c r="B2" s="29" t="s">
        <v>112</v>
      </c>
    </row>
    <row r="3" spans="2:3" s="6" customFormat="1" ht="32.25" customHeight="1" thickBot="1" x14ac:dyDescent="0.3">
      <c r="B3" s="1"/>
      <c r="C3" s="2"/>
    </row>
    <row r="4" spans="2:3" ht="24.75" customHeight="1" x14ac:dyDescent="0.25">
      <c r="B4" s="8"/>
      <c r="C4" s="11" t="s">
        <v>38</v>
      </c>
    </row>
    <row r="5" spans="2:3" ht="28.5" customHeight="1" x14ac:dyDescent="0.25">
      <c r="B5" s="7" t="s">
        <v>11</v>
      </c>
      <c r="C5" s="24">
        <f>Programs!F23</f>
        <v>10918488.110000001</v>
      </c>
    </row>
    <row r="6" spans="2:3" s="6" customFormat="1" ht="28.5" customHeight="1" x14ac:dyDescent="0.25">
      <c r="B6" s="7" t="s">
        <v>113</v>
      </c>
      <c r="C6" s="24">
        <f>Commitments!C16</f>
        <v>3172891.6392592592</v>
      </c>
    </row>
    <row r="7" spans="2:3" ht="28.5" customHeight="1" x14ac:dyDescent="0.25">
      <c r="B7" s="7" t="s">
        <v>12</v>
      </c>
      <c r="C7" s="24">
        <f>MER!C7</f>
        <v>130000</v>
      </c>
    </row>
    <row r="8" spans="2:3" ht="28.5" customHeight="1" x14ac:dyDescent="0.25">
      <c r="B8" s="7" t="s">
        <v>13</v>
      </c>
      <c r="C8" s="24">
        <f>'Central costs'!C18</f>
        <v>2234730</v>
      </c>
    </row>
    <row r="9" spans="2:3" ht="28.5" customHeight="1" x14ac:dyDescent="0.25">
      <c r="B9" s="7" t="s">
        <v>26</v>
      </c>
      <c r="C9" s="24">
        <f>SUM(C5:C8)/12</f>
        <v>1371342.4791049382</v>
      </c>
    </row>
    <row r="10" spans="2:3" ht="28.5" customHeight="1" thickBot="1" x14ac:dyDescent="0.3">
      <c r="B10" s="12" t="s">
        <v>14</v>
      </c>
      <c r="C10" s="25">
        <f>SUM(C5:C9)</f>
        <v>17827452.228364199</v>
      </c>
    </row>
    <row r="11" spans="2:3" x14ac:dyDescent="0.25">
      <c r="C11" s="9"/>
    </row>
    <row r="12" spans="2:3" x14ac:dyDescent="0.25">
      <c r="C12" s="9"/>
    </row>
    <row r="13" spans="2:3" x14ac:dyDescent="0.25">
      <c r="B13" s="1" t="s">
        <v>43</v>
      </c>
      <c r="C13" s="9"/>
    </row>
    <row r="14" spans="2:3" x14ac:dyDescent="0.25">
      <c r="B14" t="s">
        <v>27</v>
      </c>
      <c r="C14" s="9">
        <f>4266525.25*0.9+2446660</f>
        <v>6286532.7249999996</v>
      </c>
    </row>
    <row r="15" spans="2:3" x14ac:dyDescent="0.25">
      <c r="B15" t="s">
        <v>28</v>
      </c>
      <c r="C15" s="9">
        <f>160000/1.2+23097</f>
        <v>156430.33333333334</v>
      </c>
    </row>
    <row r="16" spans="2:3" x14ac:dyDescent="0.25">
      <c r="B16" t="s">
        <v>29</v>
      </c>
      <c r="C16" s="9">
        <f>405124/1.2+206022</f>
        <v>543625.33333333337</v>
      </c>
    </row>
    <row r="17" spans="2:4" x14ac:dyDescent="0.25">
      <c r="B17" t="s">
        <v>30</v>
      </c>
      <c r="C17" s="9">
        <v>56492</v>
      </c>
    </row>
    <row r="18" spans="2:4" x14ac:dyDescent="0.25">
      <c r="B18" t="s">
        <v>114</v>
      </c>
      <c r="C18" s="9">
        <v>14048651</v>
      </c>
    </row>
    <row r="19" spans="2:4" x14ac:dyDescent="0.25">
      <c r="B19" s="1" t="s">
        <v>10</v>
      </c>
      <c r="C19" s="26">
        <f>SUM(C14:C18)</f>
        <v>21091731.391666666</v>
      </c>
    </row>
    <row r="20" spans="2:4" s="6" customFormat="1" x14ac:dyDescent="0.25">
      <c r="C20" s="9"/>
      <c r="D20" s="6">
        <f>C18/C19</f>
        <v>0.66607386274370139</v>
      </c>
    </row>
    <row r="21" spans="2:4" ht="30" x14ac:dyDescent="0.25">
      <c r="B21" s="13" t="s">
        <v>44</v>
      </c>
      <c r="C21" s="27">
        <f>C19-C10</f>
        <v>3264279.1633024663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5"/>
  <sheetViews>
    <sheetView zoomScaleNormal="100" workbookViewId="0">
      <pane xSplit="2" ySplit="5" topLeftCell="C6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5" x14ac:dyDescent="0.25"/>
  <cols>
    <col min="1" max="1" width="5.85546875" style="6" customWidth="1"/>
    <col min="2" max="2" width="20.7109375" style="6" customWidth="1"/>
    <col min="3" max="3" width="49" style="6" customWidth="1"/>
    <col min="4" max="5" width="15.7109375" style="6" customWidth="1"/>
    <col min="6" max="6" width="15.7109375" style="2" customWidth="1"/>
    <col min="7" max="7" width="32.140625" style="3" hidden="1" customWidth="1"/>
    <col min="8" max="8" width="19.140625" style="3" hidden="1" customWidth="1"/>
    <col min="9" max="10" width="9.140625" style="6"/>
    <col min="11" max="11" width="11.7109375" style="6" bestFit="1" customWidth="1"/>
    <col min="12" max="16384" width="9.140625" style="6"/>
  </cols>
  <sheetData>
    <row r="1" spans="2:8" ht="30.75" customHeight="1" thickBot="1" x14ac:dyDescent="0.3">
      <c r="B1" s="45" t="s">
        <v>104</v>
      </c>
      <c r="C1" s="46" t="s">
        <v>31</v>
      </c>
      <c r="D1" s="47" t="s">
        <v>105</v>
      </c>
      <c r="E1" s="28"/>
      <c r="F1" s="5"/>
    </row>
    <row r="2" spans="2:8" ht="15" customHeight="1" x14ac:dyDescent="0.25">
      <c r="B2" s="28"/>
      <c r="C2" s="28"/>
      <c r="D2" s="28"/>
      <c r="E2" s="28"/>
      <c r="F2" s="5"/>
    </row>
    <row r="3" spans="2:8" x14ac:dyDescent="0.25">
      <c r="B3" s="1" t="s">
        <v>103</v>
      </c>
      <c r="C3" s="1"/>
      <c r="D3" s="28"/>
      <c r="E3" s="28"/>
      <c r="F3" s="5"/>
    </row>
    <row r="4" spans="2:8" ht="15" customHeight="1" thickBot="1" x14ac:dyDescent="0.3">
      <c r="B4" s="1"/>
      <c r="C4" s="1"/>
      <c r="D4" s="28"/>
      <c r="E4" s="28"/>
      <c r="F4" s="5"/>
    </row>
    <row r="5" spans="2:8" ht="60.75" thickBot="1" x14ac:dyDescent="0.3">
      <c r="B5" s="17" t="s">
        <v>108</v>
      </c>
      <c r="C5" s="18" t="s">
        <v>46</v>
      </c>
      <c r="D5" s="19" t="s">
        <v>48</v>
      </c>
      <c r="E5" s="18" t="s">
        <v>49</v>
      </c>
      <c r="F5" s="20" t="s">
        <v>38</v>
      </c>
      <c r="G5" s="21" t="s">
        <v>64</v>
      </c>
    </row>
    <row r="6" spans="2:8" ht="39.950000000000003" customHeight="1" x14ac:dyDescent="0.25">
      <c r="B6" s="48" t="s">
        <v>3</v>
      </c>
      <c r="C6" s="49" t="s">
        <v>47</v>
      </c>
      <c r="D6" s="36">
        <v>1413824</v>
      </c>
      <c r="E6" s="36">
        <v>0</v>
      </c>
      <c r="F6" s="80">
        <v>200881</v>
      </c>
      <c r="G6" s="16" t="s">
        <v>75</v>
      </c>
      <c r="H6" s="3" t="s">
        <v>115</v>
      </c>
    </row>
    <row r="7" spans="2:8" ht="39.950000000000003" customHeight="1" x14ac:dyDescent="0.25">
      <c r="B7" s="50" t="s">
        <v>32</v>
      </c>
      <c r="C7" s="51" t="s">
        <v>50</v>
      </c>
      <c r="D7" s="37">
        <v>2911865</v>
      </c>
      <c r="E7" s="37">
        <v>0</v>
      </c>
      <c r="F7" s="81">
        <v>621967</v>
      </c>
      <c r="G7" s="14" t="s">
        <v>65</v>
      </c>
      <c r="H7" s="3" t="s">
        <v>80</v>
      </c>
    </row>
    <row r="8" spans="2:8" ht="39.950000000000003" customHeight="1" x14ac:dyDescent="0.25">
      <c r="B8" s="52" t="s">
        <v>107</v>
      </c>
      <c r="C8" s="51" t="s">
        <v>51</v>
      </c>
      <c r="D8" s="37">
        <v>10136559</v>
      </c>
      <c r="E8" s="37">
        <v>0</v>
      </c>
      <c r="F8" s="81">
        <f>D8*0.14</f>
        <v>1419118.2600000002</v>
      </c>
      <c r="G8" s="14" t="s">
        <v>79</v>
      </c>
      <c r="H8" s="3" t="s">
        <v>81</v>
      </c>
    </row>
    <row r="9" spans="2:8" ht="39.950000000000003" customHeight="1" x14ac:dyDescent="0.25">
      <c r="B9" s="52" t="s">
        <v>19</v>
      </c>
      <c r="C9" s="51" t="s">
        <v>52</v>
      </c>
      <c r="D9" s="37">
        <v>14710375</v>
      </c>
      <c r="E9" s="37">
        <v>0</v>
      </c>
      <c r="F9" s="57">
        <v>1500000</v>
      </c>
      <c r="G9" s="14" t="s">
        <v>74</v>
      </c>
      <c r="H9" s="3" t="s">
        <v>88</v>
      </c>
    </row>
    <row r="10" spans="2:8" ht="39.950000000000003" customHeight="1" x14ac:dyDescent="0.25">
      <c r="B10" s="52" t="s">
        <v>0</v>
      </c>
      <c r="C10" s="51" t="s">
        <v>53</v>
      </c>
      <c r="D10" s="37">
        <v>460692</v>
      </c>
      <c r="E10" s="37">
        <v>88690</v>
      </c>
      <c r="F10" s="81">
        <f>(D10+E10)*0.36</f>
        <v>197777.52</v>
      </c>
      <c r="G10" s="14" t="s">
        <v>66</v>
      </c>
      <c r="H10" s="3" t="s">
        <v>82</v>
      </c>
    </row>
    <row r="11" spans="2:8" ht="39.950000000000003" customHeight="1" x14ac:dyDescent="0.25">
      <c r="B11" s="52" t="s">
        <v>4</v>
      </c>
      <c r="C11" s="51" t="s">
        <v>54</v>
      </c>
      <c r="D11" s="37">
        <f>2285246+257056</f>
        <v>2542302</v>
      </c>
      <c r="E11" s="37">
        <v>0</v>
      </c>
      <c r="F11" s="81">
        <f>D11*0.24</f>
        <v>610152.48</v>
      </c>
      <c r="G11" s="14" t="s">
        <v>83</v>
      </c>
      <c r="H11" s="3" t="s">
        <v>84</v>
      </c>
    </row>
    <row r="12" spans="2:8" ht="39.950000000000003" customHeight="1" x14ac:dyDescent="0.25">
      <c r="B12" s="50" t="s">
        <v>33</v>
      </c>
      <c r="C12" s="51" t="s">
        <v>55</v>
      </c>
      <c r="D12" s="55">
        <f>8713763*0.67</f>
        <v>5838221.21</v>
      </c>
      <c r="E12" s="55">
        <f>8713763*0.33</f>
        <v>2875541.79</v>
      </c>
      <c r="F12" s="81">
        <f>(D12+E12)*0.15</f>
        <v>1307064.45</v>
      </c>
      <c r="G12" s="14" t="s">
        <v>76</v>
      </c>
      <c r="H12" s="3" t="s">
        <v>85</v>
      </c>
    </row>
    <row r="13" spans="2:8" ht="39.950000000000003" customHeight="1" x14ac:dyDescent="0.25">
      <c r="B13" s="52" t="s">
        <v>6</v>
      </c>
      <c r="C13" s="51" t="s">
        <v>56</v>
      </c>
      <c r="D13" s="37">
        <v>205873</v>
      </c>
      <c r="E13" s="37">
        <v>0</v>
      </c>
      <c r="F13" s="81">
        <v>52283</v>
      </c>
      <c r="G13" s="14" t="s">
        <v>67</v>
      </c>
      <c r="H13" s="3" t="s">
        <v>86</v>
      </c>
    </row>
    <row r="14" spans="2:8" ht="39.950000000000003" customHeight="1" x14ac:dyDescent="0.25">
      <c r="B14" s="50" t="s">
        <v>34</v>
      </c>
      <c r="C14" s="51" t="s">
        <v>57</v>
      </c>
      <c r="D14" s="37">
        <v>8000000</v>
      </c>
      <c r="E14" s="37">
        <v>0</v>
      </c>
      <c r="F14" s="81">
        <v>450000</v>
      </c>
      <c r="G14" s="14" t="s">
        <v>68</v>
      </c>
    </row>
    <row r="15" spans="2:8" ht="39.950000000000003" customHeight="1" x14ac:dyDescent="0.25">
      <c r="B15" s="50" t="s">
        <v>35</v>
      </c>
      <c r="C15" s="51" t="s">
        <v>58</v>
      </c>
      <c r="D15" s="55">
        <v>2438415</v>
      </c>
      <c r="E15" s="55">
        <v>4064025</v>
      </c>
      <c r="F15" s="81">
        <v>835886</v>
      </c>
      <c r="G15" s="14" t="s">
        <v>77</v>
      </c>
      <c r="H15" s="3" t="s">
        <v>87</v>
      </c>
    </row>
    <row r="16" spans="2:8" ht="39.950000000000003" customHeight="1" x14ac:dyDescent="0.25">
      <c r="B16" s="52" t="s">
        <v>9</v>
      </c>
      <c r="C16" s="51" t="s">
        <v>59</v>
      </c>
      <c r="D16" s="37">
        <v>1727563</v>
      </c>
      <c r="E16" s="37">
        <v>0</v>
      </c>
      <c r="F16" s="81">
        <v>205000</v>
      </c>
      <c r="G16" s="14" t="s">
        <v>69</v>
      </c>
      <c r="H16" s="3" t="s">
        <v>89</v>
      </c>
    </row>
    <row r="17" spans="2:11" ht="39.950000000000003" customHeight="1" x14ac:dyDescent="0.25">
      <c r="B17" s="52" t="s">
        <v>5</v>
      </c>
      <c r="C17" s="51"/>
      <c r="D17" s="37">
        <v>3470000</v>
      </c>
      <c r="E17" s="37">
        <v>521000</v>
      </c>
      <c r="F17" s="57">
        <v>878020</v>
      </c>
      <c r="G17" s="14" t="s">
        <v>70</v>
      </c>
      <c r="H17" s="3" t="s">
        <v>90</v>
      </c>
    </row>
    <row r="18" spans="2:11" ht="39.950000000000003" customHeight="1" x14ac:dyDescent="0.25">
      <c r="B18" s="50" t="s">
        <v>2</v>
      </c>
      <c r="C18" s="51" t="s">
        <v>63</v>
      </c>
      <c r="D18" s="37">
        <v>4148500</v>
      </c>
      <c r="E18" s="58"/>
      <c r="F18" s="81">
        <v>1033000</v>
      </c>
      <c r="G18" s="14" t="s">
        <v>71</v>
      </c>
    </row>
    <row r="19" spans="2:11" ht="39.950000000000003" customHeight="1" x14ac:dyDescent="0.25">
      <c r="B19" s="50" t="s">
        <v>106</v>
      </c>
      <c r="C19" s="51" t="s">
        <v>60</v>
      </c>
      <c r="D19" s="37">
        <v>3598661</v>
      </c>
      <c r="E19" s="37">
        <v>161102</v>
      </c>
      <c r="F19" s="81">
        <f>0.25*2500000</f>
        <v>625000</v>
      </c>
      <c r="G19" s="14" t="s">
        <v>72</v>
      </c>
    </row>
    <row r="20" spans="2:11" ht="39.950000000000003" customHeight="1" x14ac:dyDescent="0.25">
      <c r="B20" s="52" t="s">
        <v>1</v>
      </c>
      <c r="C20" s="51" t="s">
        <v>61</v>
      </c>
      <c r="D20" s="37">
        <v>1984472</v>
      </c>
      <c r="E20" s="37">
        <v>269366</v>
      </c>
      <c r="F20" s="81">
        <v>518383</v>
      </c>
      <c r="G20" s="14" t="s">
        <v>73</v>
      </c>
      <c r="H20" s="3" t="s">
        <v>91</v>
      </c>
    </row>
    <row r="21" spans="2:11" ht="39.950000000000003" customHeight="1" x14ac:dyDescent="0.25">
      <c r="B21" s="50" t="s">
        <v>41</v>
      </c>
      <c r="C21" s="51" t="s">
        <v>62</v>
      </c>
      <c r="D21" s="37">
        <v>544204</v>
      </c>
      <c r="E21" s="37">
        <v>1037436</v>
      </c>
      <c r="F21" s="81">
        <f>0.21*(D21+E21)</f>
        <v>332144.39999999997</v>
      </c>
      <c r="G21" s="14" t="s">
        <v>78</v>
      </c>
    </row>
    <row r="22" spans="2:11" ht="39.950000000000003" customHeight="1" x14ac:dyDescent="0.25">
      <c r="B22" s="50" t="s">
        <v>42</v>
      </c>
      <c r="C22" s="51" t="s">
        <v>62</v>
      </c>
      <c r="D22" s="37">
        <v>258208</v>
      </c>
      <c r="E22" s="37">
        <v>492232</v>
      </c>
      <c r="F22" s="81">
        <v>131811</v>
      </c>
      <c r="G22" s="14"/>
      <c r="J22" s="2"/>
    </row>
    <row r="23" spans="2:11" ht="35.1" customHeight="1" thickBot="1" x14ac:dyDescent="0.3">
      <c r="B23" s="53" t="s">
        <v>10</v>
      </c>
      <c r="C23" s="54"/>
      <c r="D23" s="56">
        <f>SUM(D6:D22)</f>
        <v>64389734.210000001</v>
      </c>
      <c r="E23" s="56">
        <f>SUM(E6:E22)</f>
        <v>9509392.7899999991</v>
      </c>
      <c r="F23" s="82">
        <f>SUM(F6:F22)</f>
        <v>10918488.110000001</v>
      </c>
      <c r="G23" s="15"/>
      <c r="J23" s="2"/>
      <c r="K23" s="22"/>
    </row>
    <row r="24" spans="2:11" ht="39.75" customHeight="1" x14ac:dyDescent="0.25"/>
    <row r="25" spans="2:11" ht="39.75" customHeight="1" x14ac:dyDescent="0.25"/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zoomScaleNormal="100" workbookViewId="0">
      <pane xSplit="2" ySplit="4" topLeftCell="C5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5" x14ac:dyDescent="0.25"/>
  <cols>
    <col min="1" max="1" width="5.85546875" style="6" customWidth="1"/>
    <col min="2" max="2" width="20.7109375" style="6" customWidth="1"/>
    <col min="3" max="3" width="15.7109375" style="2" customWidth="1"/>
    <col min="4" max="4" width="40.42578125" style="3" customWidth="1"/>
    <col min="5" max="5" width="9.140625" style="6"/>
    <col min="6" max="6" width="11.7109375" style="6" bestFit="1" customWidth="1"/>
    <col min="7" max="16384" width="9.140625" style="6"/>
  </cols>
  <sheetData>
    <row r="1" spans="2:6" ht="15" customHeight="1" x14ac:dyDescent="0.25"/>
    <row r="2" spans="2:6" s="31" customFormat="1" ht="15.75" x14ac:dyDescent="0.25">
      <c r="B2" s="29" t="s">
        <v>102</v>
      </c>
      <c r="C2" s="30"/>
      <c r="D2" s="32"/>
    </row>
    <row r="3" spans="2:6" ht="15" customHeight="1" thickBot="1" x14ac:dyDescent="0.4">
      <c r="B3" s="10"/>
      <c r="C3" s="23"/>
    </row>
    <row r="4" spans="2:6" ht="30" customHeight="1" thickBot="1" x14ac:dyDescent="0.3">
      <c r="B4" s="33"/>
      <c r="C4" s="70" t="s">
        <v>38</v>
      </c>
      <c r="D4" s="71" t="s">
        <v>46</v>
      </c>
    </row>
    <row r="5" spans="2:6" ht="30" customHeight="1" x14ac:dyDescent="0.25">
      <c r="B5" s="40" t="s">
        <v>107</v>
      </c>
      <c r="C5" s="38">
        <v>200378</v>
      </c>
      <c r="D5" s="41" t="s">
        <v>92</v>
      </c>
    </row>
    <row r="6" spans="2:6" ht="30" customHeight="1" x14ac:dyDescent="0.25">
      <c r="B6" s="42" t="s">
        <v>19</v>
      </c>
      <c r="C6" s="39">
        <f>300000+63857+146644+31181/1.35+(40195+237935)/1.35</f>
        <v>739620.25925925933</v>
      </c>
      <c r="D6" s="43"/>
    </row>
    <row r="7" spans="2:6" ht="30" customHeight="1" x14ac:dyDescent="0.25">
      <c r="B7" s="42" t="s">
        <v>4</v>
      </c>
      <c r="C7" s="39">
        <f>55000+12666.67</f>
        <v>67666.67</v>
      </c>
      <c r="D7" s="43" t="s">
        <v>93</v>
      </c>
    </row>
    <row r="8" spans="2:6" ht="30" customHeight="1" x14ac:dyDescent="0.25">
      <c r="B8" s="42" t="s">
        <v>33</v>
      </c>
      <c r="C8" s="39">
        <v>151493</v>
      </c>
      <c r="D8" s="43" t="s">
        <v>94</v>
      </c>
    </row>
    <row r="9" spans="2:6" ht="30" customHeight="1" x14ac:dyDescent="0.25">
      <c r="B9" s="42" t="s">
        <v>34</v>
      </c>
      <c r="C9" s="39">
        <v>16983.71</v>
      </c>
      <c r="D9" s="43"/>
    </row>
    <row r="10" spans="2:6" ht="30" customHeight="1" x14ac:dyDescent="0.25">
      <c r="B10" s="42" t="s">
        <v>35</v>
      </c>
      <c r="C10" s="39">
        <f>151097+14902</f>
        <v>165999</v>
      </c>
      <c r="D10" s="43" t="s">
        <v>95</v>
      </c>
    </row>
    <row r="11" spans="2:6" ht="30" customHeight="1" x14ac:dyDescent="0.25">
      <c r="B11" s="42" t="s">
        <v>5</v>
      </c>
      <c r="C11" s="39">
        <v>658036</v>
      </c>
      <c r="D11" s="43" t="s">
        <v>96</v>
      </c>
    </row>
    <row r="12" spans="2:6" ht="30" customHeight="1" x14ac:dyDescent="0.25">
      <c r="B12" s="42" t="s">
        <v>2</v>
      </c>
      <c r="C12" s="39">
        <f>65744+38933</f>
        <v>104677</v>
      </c>
      <c r="D12" s="43" t="s">
        <v>98</v>
      </c>
    </row>
    <row r="13" spans="2:6" ht="30" customHeight="1" x14ac:dyDescent="0.25">
      <c r="B13" s="42" t="s">
        <v>106</v>
      </c>
      <c r="C13" s="39">
        <f>500000+181110</f>
        <v>681110</v>
      </c>
      <c r="D13" s="43" t="s">
        <v>97</v>
      </c>
    </row>
    <row r="14" spans="2:6" ht="30" customHeight="1" x14ac:dyDescent="0.25">
      <c r="B14" s="42" t="s">
        <v>1</v>
      </c>
      <c r="C14" s="39">
        <f>205000-9+9708</f>
        <v>214699</v>
      </c>
      <c r="D14" s="43" t="s">
        <v>99</v>
      </c>
    </row>
    <row r="15" spans="2:6" ht="30" customHeight="1" thickBot="1" x14ac:dyDescent="0.3">
      <c r="B15" s="42" t="s">
        <v>41</v>
      </c>
      <c r="C15" s="39">
        <v>172229</v>
      </c>
      <c r="D15" s="43" t="s">
        <v>100</v>
      </c>
    </row>
    <row r="16" spans="2:6" ht="30" customHeight="1" thickBot="1" x14ac:dyDescent="0.3">
      <c r="B16" s="35" t="s">
        <v>10</v>
      </c>
      <c r="C16" s="59">
        <f>SUM(C5:C15)</f>
        <v>3172891.6392592592</v>
      </c>
      <c r="D16" s="44"/>
      <c r="F16" s="22"/>
    </row>
    <row r="17" ht="39.75" customHeight="1" x14ac:dyDescent="0.25"/>
    <row r="18" ht="39.75" customHeight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C11"/>
  <sheetViews>
    <sheetView zoomScaleNormal="100" workbookViewId="0"/>
  </sheetViews>
  <sheetFormatPr defaultColWidth="8.85546875" defaultRowHeight="15" x14ac:dyDescent="0.25"/>
  <cols>
    <col min="1" max="1" width="5.7109375" style="4" customWidth="1"/>
    <col min="2" max="2" width="30.28515625" style="4" customWidth="1"/>
    <col min="3" max="3" width="28.7109375" style="5" customWidth="1"/>
    <col min="4" max="16384" width="8.85546875" style="4"/>
  </cols>
  <sheetData>
    <row r="2" spans="2:3" ht="30" customHeight="1" x14ac:dyDescent="0.25">
      <c r="B2" s="60" t="s">
        <v>101</v>
      </c>
    </row>
    <row r="3" spans="2:3" ht="15.75" thickBot="1" x14ac:dyDescent="0.3"/>
    <row r="4" spans="2:3" ht="30" customHeight="1" thickBot="1" x14ac:dyDescent="0.3">
      <c r="B4" s="78"/>
      <c r="C4" s="79" t="s">
        <v>38</v>
      </c>
    </row>
    <row r="5" spans="2:3" ht="30" customHeight="1" x14ac:dyDescent="0.25">
      <c r="B5" s="76" t="s">
        <v>36</v>
      </c>
      <c r="C5" s="77">
        <f>1*100000</f>
        <v>100000</v>
      </c>
    </row>
    <row r="6" spans="2:3" ht="30" customHeight="1" thickBot="1" x14ac:dyDescent="0.3">
      <c r="B6" s="72" t="s">
        <v>37</v>
      </c>
      <c r="C6" s="73">
        <v>30000</v>
      </c>
    </row>
    <row r="7" spans="2:3" ht="30" customHeight="1" thickBot="1" x14ac:dyDescent="0.3">
      <c r="B7" s="74" t="s">
        <v>10</v>
      </c>
      <c r="C7" s="75">
        <f>SUM(C5:C6)</f>
        <v>130000</v>
      </c>
    </row>
    <row r="11" spans="2:3" x14ac:dyDescent="0.25">
      <c r="C11" s="61"/>
    </row>
  </sheetData>
  <pageMargins left="0.7" right="0.7" top="0.75" bottom="0.75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ColWidth="8.85546875" defaultRowHeight="15" x14ac:dyDescent="0.25"/>
  <cols>
    <col min="1" max="1" width="5.7109375" style="6" customWidth="1"/>
    <col min="2" max="2" width="36.28515625" bestFit="1" customWidth="1"/>
    <col min="3" max="3" width="15.7109375" style="2" customWidth="1"/>
    <col min="4" max="4" width="53.28515625" style="3" customWidth="1"/>
  </cols>
  <sheetData>
    <row r="1" spans="2:4" s="6" customFormat="1" x14ac:dyDescent="0.25">
      <c r="C1" s="2"/>
      <c r="D1" s="3"/>
    </row>
    <row r="2" spans="2:4" s="6" customFormat="1" ht="30" customHeight="1" x14ac:dyDescent="0.25">
      <c r="B2" s="29" t="s">
        <v>109</v>
      </c>
      <c r="C2" s="2"/>
      <c r="D2" s="3"/>
    </row>
    <row r="3" spans="2:4" s="6" customFormat="1" ht="15" customHeight="1" thickBot="1" x14ac:dyDescent="0.3">
      <c r="C3" s="2"/>
      <c r="D3" s="3"/>
    </row>
    <row r="4" spans="2:4" ht="30" customHeight="1" x14ac:dyDescent="0.25">
      <c r="B4" s="62"/>
      <c r="C4" s="67" t="s">
        <v>38</v>
      </c>
      <c r="D4" s="63" t="s">
        <v>46</v>
      </c>
    </row>
    <row r="5" spans="2:4" ht="30" customHeight="1" x14ac:dyDescent="0.25">
      <c r="B5" s="64" t="s">
        <v>7</v>
      </c>
      <c r="C5" s="68">
        <v>1732690</v>
      </c>
      <c r="D5" s="34" t="s">
        <v>111</v>
      </c>
    </row>
    <row r="6" spans="2:4" ht="30" customHeight="1" x14ac:dyDescent="0.25">
      <c r="B6" s="64" t="s">
        <v>21</v>
      </c>
      <c r="C6" s="68">
        <f>(22*3000*3)+(6*3*3000)</f>
        <v>252000</v>
      </c>
      <c r="D6" s="34" t="s">
        <v>39</v>
      </c>
    </row>
    <row r="7" spans="2:4" ht="30" customHeight="1" x14ac:dyDescent="0.25">
      <c r="B7" s="64" t="s">
        <v>20</v>
      </c>
      <c r="C7" s="68">
        <v>45000</v>
      </c>
      <c r="D7" s="34" t="s">
        <v>45</v>
      </c>
    </row>
    <row r="8" spans="2:4" s="6" customFormat="1" ht="30" customHeight="1" x14ac:dyDescent="0.25">
      <c r="B8" s="64" t="s">
        <v>16</v>
      </c>
      <c r="C8" s="68">
        <v>5000</v>
      </c>
      <c r="D8" s="34"/>
    </row>
    <row r="9" spans="2:4" s="6" customFormat="1" ht="30" customHeight="1" x14ac:dyDescent="0.25">
      <c r="B9" s="64" t="s">
        <v>18</v>
      </c>
      <c r="C9" s="68">
        <f>885*4</f>
        <v>3540</v>
      </c>
      <c r="D9" s="34"/>
    </row>
    <row r="10" spans="2:4" ht="30" customHeight="1" x14ac:dyDescent="0.25">
      <c r="B10" s="64" t="s">
        <v>8</v>
      </c>
      <c r="C10" s="68">
        <v>25000</v>
      </c>
      <c r="D10" s="34"/>
    </row>
    <row r="11" spans="2:4" ht="30" customHeight="1" x14ac:dyDescent="0.25">
      <c r="B11" s="64" t="s">
        <v>23</v>
      </c>
      <c r="C11" s="68">
        <f>3000*4</f>
        <v>12000</v>
      </c>
      <c r="D11" s="34" t="s">
        <v>25</v>
      </c>
    </row>
    <row r="12" spans="2:4" s="6" customFormat="1" ht="30" customHeight="1" x14ac:dyDescent="0.25">
      <c r="B12" s="64" t="s">
        <v>22</v>
      </c>
      <c r="C12" s="68">
        <v>7500</v>
      </c>
      <c r="D12" s="34" t="s">
        <v>24</v>
      </c>
    </row>
    <row r="13" spans="2:4" s="6" customFormat="1" ht="30" customHeight="1" x14ac:dyDescent="0.25">
      <c r="B13" s="64" t="s">
        <v>40</v>
      </c>
      <c r="C13" s="68">
        <v>2000</v>
      </c>
      <c r="D13" s="34"/>
    </row>
    <row r="14" spans="2:4" ht="30" customHeight="1" x14ac:dyDescent="0.25">
      <c r="B14" s="64" t="s">
        <v>15</v>
      </c>
      <c r="C14" s="68">
        <v>125000</v>
      </c>
      <c r="D14" s="34" t="s">
        <v>110</v>
      </c>
    </row>
    <row r="15" spans="2:4" ht="30" customHeight="1" x14ac:dyDescent="0.25">
      <c r="B15" s="64" t="s">
        <v>17</v>
      </c>
      <c r="C15" s="68">
        <v>10000</v>
      </c>
      <c r="D15" s="34"/>
    </row>
    <row r="16" spans="2:4" s="6" customFormat="1" ht="30" customHeight="1" x14ac:dyDescent="0.25">
      <c r="B16" s="64" t="s">
        <v>116</v>
      </c>
      <c r="C16" s="68">
        <v>5000</v>
      </c>
      <c r="D16" s="34"/>
    </row>
    <row r="17" spans="2:4" s="6" customFormat="1" ht="30" customHeight="1" x14ac:dyDescent="0.25">
      <c r="B17" s="64" t="s">
        <v>117</v>
      </c>
      <c r="C17" s="68">
        <v>10000</v>
      </c>
      <c r="D17" s="34"/>
    </row>
    <row r="18" spans="2:4" s="1" customFormat="1" ht="30" customHeight="1" thickBot="1" x14ac:dyDescent="0.3">
      <c r="B18" s="65" t="s">
        <v>10</v>
      </c>
      <c r="C18" s="69">
        <f>SUM(C5:C17)</f>
        <v>2234730</v>
      </c>
      <c r="D18" s="6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Programs</vt:lpstr>
      <vt:lpstr>Commitments</vt:lpstr>
      <vt:lpstr>MER</vt:lpstr>
      <vt:lpstr>Central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2018-08-23T19:29:30Z</dcterms:created>
  <dcterms:modified xsi:type="dcterms:W3CDTF">2018-08-23T19:30:01Z</dcterms:modified>
</cp:coreProperties>
</file>