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hidePivotFieldList="1"/>
  <bookViews>
    <workbookView xWindow="0" yWindow="465" windowWidth="24240" windowHeight="13740"/>
  </bookViews>
  <sheets>
    <sheet name="summary" sheetId="9" r:id="rId1"/>
    <sheet name="Income analysis" sheetId="6" r:id="rId2"/>
    <sheet name="Implementation" sheetId="11" r:id="rId3"/>
    <sheet name="Rolled over budget" sheetId="14" r:id="rId4"/>
    <sheet name="Research" sheetId="8" r:id="rId5"/>
    <sheet name="Central costs" sheetId="3" r:id="rId6"/>
    <sheet name="USD x rate" sheetId="15" r:id="rId7"/>
    <sheet name="summary USD" sheetId="16" r:id="rId8"/>
    <sheet name="Income analysis USD" sheetId="17" r:id="rId9"/>
    <sheet name="Implementation USD" sheetId="18" r:id="rId10"/>
    <sheet name="Rolled over budget USD" sheetId="19" r:id="rId11"/>
    <sheet name="Research USD" sheetId="20" r:id="rId12"/>
    <sheet name="Central costs USD" sheetId="21" r:id="rId13"/>
  </sheets>
  <definedNames>
    <definedName name="_xlnm._FilterDatabase" localSheetId="2" hidden="1">Implementation!$A$1:$I$23</definedName>
    <definedName name="_xlnm._FilterDatabase" localSheetId="9" hidden="1">'Implementation USD'!$A$1:$I$23</definedName>
    <definedName name="_xlnm._FilterDatabase" localSheetId="3" hidden="1">'Rolled over budget'!$A$1:$G$14</definedName>
    <definedName name="_xlnm._FilterDatabase" localSheetId="10" hidden="1">'Rolled over budget USD'!$A$1:$G$14</definedName>
  </definedNames>
  <calcPr calcId="15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1" l="1"/>
  <c r="H4" i="21"/>
  <c r="G4" i="21"/>
  <c r="F4" i="21"/>
  <c r="E4" i="21"/>
  <c r="D4" i="21"/>
  <c r="C4" i="21"/>
  <c r="H3" i="21"/>
  <c r="G3" i="21"/>
  <c r="F3" i="21"/>
  <c r="E3" i="21"/>
  <c r="D3" i="21"/>
  <c r="C3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B3" i="21"/>
  <c r="I3" i="21"/>
  <c r="I4" i="21"/>
  <c r="I5" i="21"/>
  <c r="I6" i="21"/>
  <c r="I7" i="21"/>
  <c r="I8" i="21"/>
  <c r="I9" i="21"/>
  <c r="I10" i="21"/>
  <c r="I11" i="21"/>
  <c r="I12" i="21"/>
  <c r="I13" i="21"/>
  <c r="I14" i="21"/>
  <c r="I15" i="21"/>
  <c r="I16" i="21"/>
  <c r="I17" i="21"/>
  <c r="I18" i="21"/>
  <c r="I19" i="21"/>
  <c r="I20" i="21"/>
  <c r="H20" i="21"/>
  <c r="G20" i="21"/>
  <c r="F20" i="21"/>
  <c r="E20" i="21"/>
  <c r="D20" i="21"/>
  <c r="C20" i="21"/>
  <c r="B20" i="21"/>
  <c r="J5" i="20"/>
  <c r="J4" i="20"/>
  <c r="J3" i="20"/>
  <c r="B5" i="20"/>
  <c r="B4" i="20"/>
  <c r="B3" i="20"/>
  <c r="J6" i="20"/>
  <c r="I6" i="20"/>
  <c r="H6" i="20"/>
  <c r="G6" i="20"/>
  <c r="F6" i="20"/>
  <c r="E6" i="20"/>
  <c r="D6" i="20"/>
  <c r="C6" i="20"/>
  <c r="B6" i="20"/>
  <c r="G10" i="19"/>
  <c r="G9" i="19"/>
  <c r="G8" i="19"/>
  <c r="G4" i="19"/>
  <c r="F7" i="19"/>
  <c r="D8" i="19"/>
  <c r="C12" i="19"/>
  <c r="C11" i="19"/>
  <c r="C10" i="19"/>
  <c r="C9" i="19"/>
  <c r="B12" i="19"/>
  <c r="B11" i="19"/>
  <c r="B10" i="19"/>
  <c r="B9" i="19"/>
  <c r="B8" i="19"/>
  <c r="B7" i="19"/>
  <c r="B6" i="19"/>
  <c r="B5" i="19"/>
  <c r="B4" i="19"/>
  <c r="H13" i="19"/>
  <c r="G5" i="19"/>
  <c r="G6" i="19"/>
  <c r="G7" i="19"/>
  <c r="G11" i="19"/>
  <c r="G12" i="19"/>
  <c r="G13" i="19"/>
  <c r="F13" i="19"/>
  <c r="E13" i="19"/>
  <c r="D13" i="19"/>
  <c r="C13" i="19"/>
  <c r="B13" i="19"/>
  <c r="E21" i="18"/>
  <c r="E20" i="18"/>
  <c r="H19" i="18"/>
  <c r="E18" i="18"/>
  <c r="E17" i="18"/>
  <c r="E14" i="18"/>
  <c r="E13" i="18"/>
  <c r="E11" i="18"/>
  <c r="F10" i="18"/>
  <c r="I9" i="18"/>
  <c r="H9" i="18"/>
  <c r="E9" i="18"/>
  <c r="E20" i="3"/>
  <c r="G8" i="11"/>
  <c r="I8" i="11"/>
  <c r="I8" i="18"/>
  <c r="G8" i="18"/>
  <c r="E8" i="18"/>
  <c r="E7" i="18"/>
  <c r="E6" i="18"/>
  <c r="D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7" i="18"/>
  <c r="C6" i="18"/>
  <c r="C5" i="18"/>
  <c r="C4" i="18"/>
  <c r="J5" i="18"/>
  <c r="J22" i="18"/>
  <c r="I6" i="18"/>
  <c r="I7" i="18"/>
  <c r="I10" i="18"/>
  <c r="I11" i="18"/>
  <c r="I12" i="18"/>
  <c r="I13" i="18"/>
  <c r="I14" i="18"/>
  <c r="I15" i="18"/>
  <c r="I16" i="18"/>
  <c r="I17" i="18"/>
  <c r="I18" i="18"/>
  <c r="I20" i="18"/>
  <c r="I21" i="18"/>
  <c r="I22" i="18"/>
  <c r="H22" i="18"/>
  <c r="G22" i="18"/>
  <c r="F22" i="18"/>
  <c r="E4" i="18"/>
  <c r="E22" i="18"/>
  <c r="C22" i="18"/>
  <c r="B5" i="18"/>
  <c r="B14" i="18"/>
  <c r="B15" i="18"/>
  <c r="B22" i="18"/>
  <c r="D21" i="18"/>
  <c r="D20" i="18"/>
  <c r="D18" i="18"/>
  <c r="D16" i="18"/>
  <c r="D15" i="18"/>
  <c r="D14" i="18"/>
  <c r="D13" i="18"/>
  <c r="D12" i="18"/>
  <c r="D11" i="18"/>
  <c r="L10" i="18"/>
  <c r="D10" i="18"/>
  <c r="L9" i="18"/>
  <c r="D9" i="18"/>
  <c r="D8" i="18"/>
  <c r="D7" i="18"/>
  <c r="D6" i="18"/>
  <c r="D5" i="18"/>
  <c r="H20" i="3"/>
  <c r="B8" i="6"/>
  <c r="B8" i="17"/>
  <c r="B9" i="17"/>
  <c r="B7" i="17"/>
  <c r="B6" i="17"/>
  <c r="B5" i="17"/>
  <c r="B4" i="17"/>
  <c r="B3" i="17"/>
  <c r="B2" i="17"/>
  <c r="B20" i="3"/>
  <c r="C7" i="9"/>
  <c r="C8" i="9"/>
  <c r="C9" i="9"/>
  <c r="C9" i="16"/>
  <c r="C7" i="16"/>
  <c r="C6" i="16"/>
  <c r="C5" i="16"/>
  <c r="C8" i="16"/>
  <c r="C4" i="16"/>
  <c r="I3" i="3"/>
  <c r="I20" i="3"/>
  <c r="I18" i="3"/>
  <c r="B6" i="6"/>
  <c r="B4" i="6"/>
  <c r="B3" i="6"/>
  <c r="B2" i="6"/>
  <c r="C5" i="9"/>
  <c r="C9" i="14"/>
  <c r="B9" i="14"/>
  <c r="G9" i="14"/>
  <c r="F13" i="14"/>
  <c r="E13" i="14"/>
  <c r="D13" i="14"/>
  <c r="C13" i="14"/>
  <c r="B8" i="14"/>
  <c r="B6" i="14"/>
  <c r="B7" i="14"/>
  <c r="B13" i="14"/>
  <c r="H13" i="14"/>
  <c r="G12" i="14"/>
  <c r="G11" i="14"/>
  <c r="G6" i="14"/>
  <c r="G5" i="14"/>
  <c r="C18" i="11"/>
  <c r="E4" i="11"/>
  <c r="G7" i="14"/>
  <c r="G13" i="14"/>
  <c r="B15" i="11"/>
  <c r="D15" i="11"/>
  <c r="C10" i="11"/>
  <c r="C16" i="11"/>
  <c r="E22" i="11"/>
  <c r="D18" i="11"/>
  <c r="D11" i="11"/>
  <c r="I8" i="3"/>
  <c r="B8" i="3"/>
  <c r="C17" i="11"/>
  <c r="I14" i="3"/>
  <c r="I13" i="3"/>
  <c r="B12" i="3"/>
  <c r="I19" i="3"/>
  <c r="J3" i="8"/>
  <c r="J6" i="8"/>
  <c r="J5" i="8"/>
  <c r="B6" i="8"/>
  <c r="B5" i="3"/>
  <c r="B4" i="3"/>
  <c r="I15" i="11"/>
  <c r="B14" i="11"/>
  <c r="I13" i="11"/>
  <c r="L10" i="11"/>
  <c r="L9" i="11"/>
  <c r="I7" i="11"/>
  <c r="B5" i="11"/>
  <c r="C22" i="11"/>
  <c r="C4" i="9"/>
  <c r="I21" i="11"/>
  <c r="I20" i="11"/>
  <c r="I18" i="11"/>
  <c r="I17" i="11"/>
  <c r="I16" i="11"/>
  <c r="I14" i="11"/>
  <c r="I12" i="11"/>
  <c r="I11" i="11"/>
  <c r="I10" i="11"/>
  <c r="I9" i="11"/>
  <c r="I6" i="11"/>
  <c r="J5" i="11"/>
  <c r="F22" i="11"/>
  <c r="F4" i="3"/>
  <c r="I9" i="3"/>
  <c r="H4" i="3"/>
  <c r="B5" i="6"/>
  <c r="E4" i="3"/>
  <c r="D6" i="11"/>
  <c r="D7" i="11"/>
  <c r="D8" i="11"/>
  <c r="D9" i="11"/>
  <c r="D10" i="11"/>
  <c r="D12" i="11"/>
  <c r="D13" i="11"/>
  <c r="D14" i="11"/>
  <c r="D16" i="11"/>
  <c r="D20" i="11"/>
  <c r="D21" i="11"/>
  <c r="I7" i="3"/>
  <c r="I10" i="3"/>
  <c r="I11" i="3"/>
  <c r="I15" i="3"/>
  <c r="I16" i="3"/>
  <c r="I17" i="3"/>
  <c r="B22" i="11"/>
  <c r="B6" i="3"/>
  <c r="I6" i="3"/>
  <c r="I5" i="3"/>
  <c r="G20" i="3"/>
  <c r="C6" i="8"/>
  <c r="D6" i="8"/>
  <c r="E6" i="8"/>
  <c r="F6" i="8"/>
  <c r="G6" i="8"/>
  <c r="H6" i="8"/>
  <c r="I6" i="8"/>
  <c r="D20" i="3"/>
  <c r="I4" i="3"/>
  <c r="C6" i="9"/>
  <c r="G22" i="11"/>
  <c r="J22" i="11"/>
  <c r="I22" i="11"/>
  <c r="H22" i="11"/>
  <c r="F20" i="3"/>
  <c r="C20" i="3"/>
  <c r="I12" i="3"/>
  <c r="B9" i="6"/>
  <c r="D5" i="11"/>
  <c r="D22" i="11"/>
</calcChain>
</file>

<file path=xl/comments1.xml><?xml version="1.0" encoding="utf-8"?>
<comments xmlns="http://schemas.openxmlformats.org/spreadsheetml/2006/main">
  <authors>
    <author>Author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End fund Yemen total less Dehkra relocation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>Najwa Al Abdullah: assumption next year budget will be the same</t>
        </r>
        <r>
          <rPr>
            <sz val="9"/>
            <color indexed="81"/>
            <rFont val="Tahoma"/>
            <family val="2"/>
          </rPr>
          <t xml:space="preserve">
$126,641 is for EA and $135,544 (for salaries of 3 local consultants at 16,848 each; 60K for an expat $20K as fees of a partner, 5k for local travel)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 the contract amendment # of treatment is 6,080,504 including adults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F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GBP5358*2 in Yemen budget and 3,100 for Liberia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total cost for travel for the whole life time is 17,000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End fund Yemen total less Dehkra relocation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>Najwa Al Abdullah: assumption next year budget will be the same</t>
        </r>
        <r>
          <rPr>
            <sz val="9"/>
            <color indexed="81"/>
            <rFont val="Tahoma"/>
            <family val="2"/>
          </rPr>
          <t xml:space="preserve">
$126,641 is for EA and $135,544 (for salaries of 3 local consultants at 16,848 each; 60K for an expat $20K as fees of a partner, 5k for local travel)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 the contract amendment # of treatment is 6,080,504 including adults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F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GBP5358*2 in Yemen budget and 3,100 for Liberia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total cost for travel for the whole life time is 17,000</t>
        </r>
      </text>
    </comment>
  </commentList>
</comments>
</file>

<file path=xl/sharedStrings.xml><?xml version="1.0" encoding="utf-8"?>
<sst xmlns="http://schemas.openxmlformats.org/spreadsheetml/2006/main" count="303" uniqueCount="120">
  <si>
    <t>Country</t>
  </si>
  <si>
    <t>DFID</t>
  </si>
  <si>
    <t>UBS</t>
  </si>
  <si>
    <t>END Fund</t>
  </si>
  <si>
    <t>SCORE</t>
  </si>
  <si>
    <t>Cote D'Ivoire</t>
  </si>
  <si>
    <t>Liberia</t>
  </si>
  <si>
    <t xml:space="preserve">Malawi </t>
  </si>
  <si>
    <t xml:space="preserve">Mozambique </t>
  </si>
  <si>
    <t>Tanzania</t>
  </si>
  <si>
    <t>Zambia</t>
  </si>
  <si>
    <t xml:space="preserve">Niger </t>
  </si>
  <si>
    <t>Uganda</t>
  </si>
  <si>
    <t xml:space="preserve">DRC </t>
  </si>
  <si>
    <t xml:space="preserve">Ethiopia </t>
  </si>
  <si>
    <t>Burundi</t>
  </si>
  <si>
    <t>Madagascar</t>
  </si>
  <si>
    <t>Yemen</t>
  </si>
  <si>
    <t>Sudan</t>
  </si>
  <si>
    <t>Mauritania</t>
  </si>
  <si>
    <t>Funding Source Allocation</t>
  </si>
  <si>
    <t>TOTALS</t>
  </si>
  <si>
    <t>Personnel</t>
  </si>
  <si>
    <t xml:space="preserve">Audit </t>
  </si>
  <si>
    <t>Approved Budget by CC in GBP</t>
  </si>
  <si>
    <t>CIFF</t>
  </si>
  <si>
    <t>Notes</t>
  </si>
  <si>
    <t>Nigeria</t>
  </si>
  <si>
    <t>MRC</t>
  </si>
  <si>
    <t>Gates</t>
  </si>
  <si>
    <t>Committed from DFID</t>
  </si>
  <si>
    <t>Committed from UBS</t>
  </si>
  <si>
    <t>Committed from CIFF</t>
  </si>
  <si>
    <t>Committed from END FUND</t>
  </si>
  <si>
    <t>intern/student costs</t>
  </si>
  <si>
    <t>Software</t>
  </si>
  <si>
    <t>Total</t>
  </si>
  <si>
    <t>Implementation costs</t>
  </si>
  <si>
    <t>Rolled implementation budget</t>
  </si>
  <si>
    <t>Research costs</t>
  </si>
  <si>
    <t>Central costs</t>
  </si>
  <si>
    <t>Total Costs</t>
  </si>
  <si>
    <t>End Fund</t>
  </si>
  <si>
    <t>2017-2018</t>
  </si>
  <si>
    <t>Comments</t>
  </si>
  <si>
    <t>end-date 31 Dec. 2018; estimate of IC overhead 10%</t>
  </si>
  <si>
    <t>Grant of GBP685,000 for Madagascar, end date 30 Sept. 2018; including 6% overhead for the college</t>
  </si>
  <si>
    <t>Committed from MRC</t>
  </si>
  <si>
    <t xml:space="preserve">Committed from Gates </t>
  </si>
  <si>
    <t>Total grant value USD 1,560,064=GBP 891,465 end date 30 June 2020; 6% overhead; overhead exclusions are the subcontracts; exchange rate at the time of the contract 1.75 GBP/USD now the exchange rate is 1.25</t>
  </si>
  <si>
    <t>MRC will be extended to Dec. 2018 because of maternity leave of researcher. (total SCI part of the grant is 57,109)</t>
  </si>
  <si>
    <t xml:space="preserve">furniture and equipment for SCI office are bought by the college; for the field are bought by Crown Agent funded by DFID; </t>
  </si>
  <si>
    <t>Statistics and other licenses</t>
  </si>
  <si>
    <t>Advocacy &amp; printing &amp; visibility</t>
  </si>
  <si>
    <t xml:space="preserve">Zanzibar </t>
  </si>
  <si>
    <t>there is no signed contract with End Fund Yemen but there is a high probability to get the funds; if not then the costs of Yemen will be cut down unless we find another donor; End Fund Ethiopia ends in Feb. 2017. future funds will go directly to the MoH; + Liberia USD100k/year including overheads</t>
  </si>
  <si>
    <t>in country cost  per PZQ delivery</t>
  </si>
  <si>
    <t>Founder travel/Advocacy</t>
  </si>
  <si>
    <t>on average 3 trips/employee/year @ GBP3000/trip+  additional 3 trips/program manager; SMT  trips</t>
  </si>
  <si>
    <t xml:space="preserve">Hosting the NNN meeting </t>
  </si>
  <si>
    <t>original Budget in GBP</t>
  </si>
  <si>
    <t>Legal costs</t>
  </si>
  <si>
    <t>Equipment</t>
  </si>
  <si>
    <t>SCI is chairing the meeting this year</t>
  </si>
  <si>
    <t xml:space="preserve"> # of Treatments</t>
  </si>
  <si>
    <t>Unrestricted ICT</t>
  </si>
  <si>
    <t>Unrestricted NX</t>
  </si>
  <si>
    <t>International expenses of Dehkra</t>
  </si>
  <si>
    <t>Gates challenge ends in Oct 2016; NO cost extension</t>
  </si>
  <si>
    <t>as per PRDP @3000/employee; including subscription to courses and networks</t>
  </si>
  <si>
    <t>Refurbishment of SCI office</t>
  </si>
  <si>
    <t>Review the comms budget</t>
  </si>
  <si>
    <t>including partners assessments</t>
  </si>
  <si>
    <t>Unrestricted</t>
  </si>
  <si>
    <t>Proposed Budget in GBP</t>
  </si>
  <si>
    <t>Maintenance of printer</t>
  </si>
  <si>
    <t>Revised budget to be submitted including overheads; 100K allocated for reassessment</t>
  </si>
  <si>
    <t>Ethiopia</t>
  </si>
  <si>
    <t>Personal Development</t>
  </si>
  <si>
    <t xml:space="preserve">Travel </t>
  </si>
  <si>
    <t>Team meetings</t>
  </si>
  <si>
    <t>Board Meeting</t>
  </si>
  <si>
    <t xml:space="preserve">Board meetings; 4/year at GBP3000/meeting </t>
  </si>
  <si>
    <t>Employees Satisfactory Survery</t>
  </si>
  <si>
    <t>up to end of June 2017</t>
  </si>
  <si>
    <t>2 annual team meetings+ 1 meeting per function</t>
  </si>
  <si>
    <t>including GBP 3000 equipment bought on behalf of MoH in UK</t>
  </si>
  <si>
    <t>Unrestricted includes 11K from EPIC</t>
  </si>
  <si>
    <t>EMORI partnership</t>
  </si>
  <si>
    <t>M&amp;E surveys initiatives and social science</t>
  </si>
  <si>
    <t>Budget in GBP</t>
  </si>
  <si>
    <t>Summary 1 April 2017 to 31 March 2018 budget in GBP</t>
  </si>
  <si>
    <r>
      <t xml:space="preserve">Directly to MoH; JRO to terminate contract with MAP; </t>
    </r>
    <r>
      <rPr>
        <sz val="11"/>
        <color rgb="FFFF0000"/>
        <rFont val="Calibri"/>
        <family val="2"/>
        <scheme val="minor"/>
      </rPr>
      <t>budget reduced, country removed the costs of dose poles and T-shirts</t>
    </r>
  </si>
  <si>
    <r>
      <t xml:space="preserve">including GBP 18K for equipment; </t>
    </r>
    <r>
      <rPr>
        <sz val="11"/>
        <color rgb="FFFF0000"/>
        <rFont val="Calibri"/>
        <family val="2"/>
        <scheme val="minor"/>
      </rPr>
      <t>SCI will ask UBS if they can increase their contribution</t>
    </r>
  </si>
  <si>
    <r>
      <t xml:space="preserve">Budget and work plan to be developed with Sight Savers; overhead rate to be renegotiated with Sight Savers; explore the possibility to work with RTI; </t>
    </r>
    <r>
      <rPr>
        <sz val="11"/>
        <color rgb="FFFF0000"/>
        <rFont val="Calibri"/>
        <family val="2"/>
        <scheme val="minor"/>
      </rPr>
      <t>The current contract with Sight Savers is extended to Sept. 2017; SCI will keep its commetment for 2017 at the same level 400K.</t>
    </r>
  </si>
  <si>
    <r>
      <t xml:space="preserve">including overheads 6% depending on assessement result if we need to work with another partner or directly with MoH; </t>
    </r>
    <r>
      <rPr>
        <sz val="11"/>
        <color rgb="FFFF0000"/>
        <rFont val="Calibri"/>
        <family val="2"/>
        <scheme val="minor"/>
      </rPr>
      <t>this budget can be reduced by GBP95,237 if SCI can transfer the funds directly to MoH.</t>
    </r>
  </si>
  <si>
    <t>Detailed budget will be submitted in June after the stakeholders meeting; the total  including overhead costs for fiduciary agent</t>
  </si>
  <si>
    <r>
      <t xml:space="preserve">Including in country technical advice and M&amp;E from CIFF; final detailed budgets from the country in June-July 2017; </t>
    </r>
    <r>
      <rPr>
        <sz val="11"/>
        <color rgb="FFFF0000"/>
        <rFont val="Calibri"/>
        <family val="2"/>
        <scheme val="minor"/>
      </rPr>
      <t>This figure is not final and can be reviewed in the partners meeting in June 2017</t>
    </r>
  </si>
  <si>
    <t>Countract not signed yet</t>
  </si>
  <si>
    <t>Including 18,539 for operation research, 116K for coverage survey.</t>
  </si>
  <si>
    <t>including 100K for reassessment mapping; contract not signed yet</t>
  </si>
  <si>
    <t>6% overheads is already included could be removed; final budget not received yet</t>
  </si>
  <si>
    <t>Technical assistance; waiting for contract with End Fund</t>
  </si>
  <si>
    <t>M&amp;E activities</t>
  </si>
  <si>
    <t>604552 for activities and 6K for CSSC from previous year and this year</t>
  </si>
  <si>
    <t>assumption: all what was committed this year and not yet spent will be implemented next fiscal period on top of what is being allocated now; any contract balances not paid by 31 March 2016 is added into the rolled budget.</t>
  </si>
  <si>
    <t>Reserve (17/18)</t>
  </si>
  <si>
    <t>Income in L-account+ICT Trust+ Good Ventures donationWell+ £180K from GWWC and a private donor</t>
  </si>
  <si>
    <t>Strategy development</t>
  </si>
  <si>
    <t>LSTM consultancy</t>
  </si>
  <si>
    <t>1 GBP = X USD</t>
  </si>
  <si>
    <t>This sheet added by GiveWell</t>
  </si>
  <si>
    <t>Value</t>
  </si>
  <si>
    <t>Source</t>
  </si>
  <si>
    <t>Google</t>
  </si>
  <si>
    <t>Exchange rate as of August 15, 2017</t>
  </si>
  <si>
    <t>Proposed Budget in USD</t>
  </si>
  <si>
    <t>Approved Budget by CC in USD</t>
  </si>
  <si>
    <t>original Budget in USD</t>
  </si>
  <si>
    <t>Budget in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</si>
</sst>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-* #,##0_-;\-* #,##0_-;_-* &quot;-&quot;??_-;_-@_-"/>
    <numFmt numFmtId="167" formatCode="&quot;£&quot;#,##0"/>
  </numFmts>
  <fonts count="1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</font>
    <font>
      <b/>
      <sz val="11"/>
      <color rgb="FF1F497D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8">
    <xf numFmtId="0" fontId="0" fillId="0" borderId="0"/>
    <xf numFmtId="165" fontId="4" fillId="0" borderId="0" applyFont="0" applyFill="0" applyBorder="0" applyAlignment="0" applyProtection="0"/>
    <xf numFmtId="0" fontId="8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91">
    <xf numFmtId="0" fontId="0" fillId="0" borderId="0" xfId="0"/>
    <xf numFmtId="0" fontId="1" fillId="0" borderId="12" xfId="0" applyFont="1" applyFill="1" applyBorder="1" applyAlignment="1">
      <alignment horizontal="center" vertical="center" wrapText="1"/>
    </xf>
    <xf numFmtId="165" fontId="0" fillId="0" borderId="0" xfId="0" applyNumberFormat="1"/>
    <xf numFmtId="0" fontId="7" fillId="0" borderId="0" xfId="0" applyFont="1"/>
    <xf numFmtId="0" fontId="0" fillId="0" borderId="0" xfId="0" applyBorder="1"/>
    <xf numFmtId="166" fontId="1" fillId="0" borderId="0" xfId="1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3" fillId="0" borderId="2" xfId="0" applyNumberFormat="1" applyFont="1" applyBorder="1" applyAlignment="1">
      <alignment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7" fontId="0" fillId="0" borderId="0" xfId="0" applyNumberFormat="1" applyFont="1"/>
    <xf numFmtId="3" fontId="10" fillId="0" borderId="0" xfId="0" applyNumberFormat="1" applyFont="1"/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3" xfId="0" applyNumberFormat="1" applyFill="1" applyBorder="1" applyAlignment="1">
      <alignment horizontal="right" vertical="center"/>
    </xf>
    <xf numFmtId="3" fontId="1" fillId="0" borderId="19" xfId="1" applyNumberFormat="1" applyFont="1" applyFill="1" applyBorder="1" applyAlignment="1">
      <alignment horizontal="right" vertical="center" wrapText="1"/>
    </xf>
    <xf numFmtId="3" fontId="1" fillId="0" borderId="20" xfId="1" applyNumberFormat="1" applyFont="1" applyFill="1" applyBorder="1" applyAlignment="1">
      <alignment horizontal="right" vertical="center" wrapText="1"/>
    </xf>
    <xf numFmtId="3" fontId="10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3" fontId="9" fillId="0" borderId="29" xfId="0" applyNumberFormat="1" applyFont="1" applyFill="1" applyBorder="1" applyAlignment="1">
      <alignment horizontal="right" vertical="center" wrapText="1"/>
    </xf>
    <xf numFmtId="166" fontId="1" fillId="0" borderId="19" xfId="1" applyNumberFormat="1" applyFont="1" applyFill="1" applyBorder="1" applyAlignment="1">
      <alignment horizontal="right" vertical="center" wrapText="1"/>
    </xf>
    <xf numFmtId="3" fontId="3" fillId="0" borderId="23" xfId="0" applyNumberFormat="1" applyFont="1" applyBorder="1" applyAlignment="1">
      <alignment wrapText="1"/>
    </xf>
    <xf numFmtId="3" fontId="0" fillId="0" borderId="0" xfId="0" applyNumberFormat="1" applyFont="1"/>
    <xf numFmtId="3" fontId="0" fillId="0" borderId="17" xfId="0" applyNumberFormat="1" applyFont="1" applyFill="1" applyBorder="1"/>
    <xf numFmtId="3" fontId="0" fillId="0" borderId="5" xfId="0" applyNumberFormat="1" applyFont="1" applyFill="1" applyBorder="1"/>
    <xf numFmtId="167" fontId="3" fillId="0" borderId="34" xfId="0" applyNumberFormat="1" applyFont="1" applyFill="1" applyBorder="1" applyAlignment="1">
      <alignment horizontal="left" vertical="center" wrapText="1"/>
    </xf>
    <xf numFmtId="167" fontId="3" fillId="0" borderId="33" xfId="0" applyNumberFormat="1" applyFont="1" applyFill="1" applyBorder="1" applyAlignment="1">
      <alignment horizontal="left" vertical="center" wrapText="1"/>
    </xf>
    <xf numFmtId="3" fontId="3" fillId="0" borderId="20" xfId="1" applyNumberFormat="1" applyFont="1" applyFill="1" applyBorder="1" applyAlignment="1">
      <alignment horizontal="center" vertical="center" wrapText="1"/>
    </xf>
    <xf numFmtId="167" fontId="3" fillId="0" borderId="15" xfId="0" applyNumberFormat="1" applyFont="1" applyFill="1" applyBorder="1" applyAlignment="1">
      <alignment horizontal="left" vertical="center" wrapText="1"/>
    </xf>
    <xf numFmtId="3" fontId="3" fillId="0" borderId="15" xfId="1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16" xfId="0" applyFont="1" applyFill="1" applyBorder="1" applyAlignment="1">
      <alignment horizontal="center" vertical="center" wrapText="1"/>
    </xf>
    <xf numFmtId="0" fontId="0" fillId="0" borderId="29" xfId="0" applyBorder="1"/>
    <xf numFmtId="0" fontId="0" fillId="0" borderId="19" xfId="0" applyBorder="1"/>
    <xf numFmtId="0" fontId="0" fillId="0" borderId="9" xfId="0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7" fillId="0" borderId="11" xfId="0" applyFont="1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3" fontId="0" fillId="0" borderId="7" xfId="0" applyNumberFormat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3" fontId="0" fillId="0" borderId="12" xfId="0" applyNumberFormat="1" applyBorder="1" applyAlignment="1">
      <alignment horizontal="right" vertical="center" wrapText="1"/>
    </xf>
    <xf numFmtId="3" fontId="0" fillId="0" borderId="8" xfId="0" applyNumberFormat="1" applyBorder="1" applyAlignment="1">
      <alignment horizontal="right" vertical="center" wrapText="1"/>
    </xf>
    <xf numFmtId="3" fontId="0" fillId="0" borderId="3" xfId="0" applyNumberFormat="1" applyBorder="1" applyAlignment="1">
      <alignment horizontal="right" vertical="center" wrapText="1"/>
    </xf>
    <xf numFmtId="0" fontId="0" fillId="0" borderId="12" xfId="0" applyBorder="1" applyAlignment="1">
      <alignment horizontal="left" vertical="center" wrapText="1"/>
    </xf>
    <xf numFmtId="3" fontId="0" fillId="0" borderId="3" xfId="1" applyNumberFormat="1" applyFont="1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3" fontId="3" fillId="0" borderId="35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  <xf numFmtId="3" fontId="7" fillId="0" borderId="30" xfId="0" applyNumberFormat="1" applyFont="1" applyFill="1" applyBorder="1"/>
    <xf numFmtId="3" fontId="7" fillId="0" borderId="17" xfId="0" applyNumberFormat="1" applyFont="1" applyFill="1" applyBorder="1"/>
    <xf numFmtId="3" fontId="7" fillId="0" borderId="35" xfId="0" applyNumberFormat="1" applyFont="1" applyFill="1" applyBorder="1"/>
    <xf numFmtId="3" fontId="7" fillId="0" borderId="5" xfId="0" applyNumberFormat="1" applyFont="1" applyFill="1" applyBorder="1"/>
    <xf numFmtId="3" fontId="3" fillId="0" borderId="19" xfId="1" applyNumberFormat="1" applyFont="1" applyFill="1" applyBorder="1" applyAlignment="1">
      <alignment horizontal="center" vertical="center" wrapText="1"/>
    </xf>
    <xf numFmtId="0" fontId="0" fillId="0" borderId="31" xfId="0" applyBorder="1"/>
    <xf numFmtId="0" fontId="7" fillId="0" borderId="1" xfId="0" applyFont="1" applyBorder="1"/>
    <xf numFmtId="0" fontId="0" fillId="0" borderId="30" xfId="0" applyBorder="1"/>
    <xf numFmtId="0" fontId="7" fillId="0" borderId="19" xfId="0" applyFont="1" applyBorder="1"/>
    <xf numFmtId="0" fontId="0" fillId="0" borderId="4" xfId="0" applyBorder="1" applyAlignment="1">
      <alignment wrapText="1"/>
    </xf>
    <xf numFmtId="0" fontId="7" fillId="0" borderId="20" xfId="0" applyFont="1" applyBorder="1"/>
    <xf numFmtId="0" fontId="7" fillId="0" borderId="21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3" fillId="0" borderId="40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5" xfId="0" applyBorder="1" applyAlignment="1">
      <alignment wrapText="1"/>
    </xf>
    <xf numFmtId="0" fontId="7" fillId="0" borderId="15" xfId="0" applyFont="1" applyBorder="1" applyAlignment="1">
      <alignment horizontal="left" vertical="center" wrapText="1"/>
    </xf>
    <xf numFmtId="3" fontId="7" fillId="0" borderId="15" xfId="0" applyNumberFormat="1" applyFont="1" applyBorder="1"/>
    <xf numFmtId="3" fontId="7" fillId="0" borderId="22" xfId="0" applyNumberFormat="1" applyFont="1" applyBorder="1"/>
    <xf numFmtId="0" fontId="7" fillId="0" borderId="15" xfId="0" applyFont="1" applyBorder="1" applyAlignment="1">
      <alignment wrapText="1"/>
    </xf>
    <xf numFmtId="0" fontId="0" fillId="0" borderId="41" xfId="0" applyBorder="1"/>
    <xf numFmtId="0" fontId="12" fillId="0" borderId="19" xfId="0" applyFont="1" applyFill="1" applyBorder="1"/>
    <xf numFmtId="0" fontId="13" fillId="0" borderId="21" xfId="0" applyFont="1" applyFill="1" applyBorder="1" applyAlignment="1">
      <alignment wrapText="1"/>
    </xf>
    <xf numFmtId="3" fontId="3" fillId="0" borderId="43" xfId="0" applyNumberFormat="1" applyFont="1" applyBorder="1" applyAlignment="1">
      <alignment wrapText="1"/>
    </xf>
    <xf numFmtId="3" fontId="0" fillId="0" borderId="44" xfId="0" applyNumberFormat="1" applyFont="1" applyFill="1" applyBorder="1" applyAlignment="1">
      <alignment vertical="center"/>
    </xf>
    <xf numFmtId="3" fontId="0" fillId="0" borderId="45" xfId="0" applyNumberFormat="1" applyFont="1" applyFill="1" applyBorder="1" applyAlignment="1">
      <alignment vertical="center"/>
    </xf>
    <xf numFmtId="3" fontId="3" fillId="0" borderId="46" xfId="1" applyNumberFormat="1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wrapText="1"/>
    </xf>
    <xf numFmtId="3" fontId="0" fillId="2" borderId="18" xfId="0" applyNumberFormat="1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 horizontal="right"/>
    </xf>
    <xf numFmtId="3" fontId="3" fillId="2" borderId="21" xfId="1" applyNumberFormat="1" applyFont="1" applyFill="1" applyBorder="1" applyAlignment="1">
      <alignment horizontal="right" vertical="center" wrapText="1"/>
    </xf>
    <xf numFmtId="3" fontId="0" fillId="2" borderId="1" xfId="0" applyNumberFormat="1" applyFill="1" applyBorder="1" applyAlignment="1">
      <alignment horizontal="right" vertical="center" wrapText="1"/>
    </xf>
    <xf numFmtId="3" fontId="0" fillId="2" borderId="3" xfId="0" applyNumberFormat="1" applyFill="1" applyBorder="1" applyAlignment="1">
      <alignment horizontal="right" vertical="center" wrapText="1"/>
    </xf>
    <xf numFmtId="3" fontId="7" fillId="2" borderId="20" xfId="0" applyNumberFormat="1" applyFont="1" applyFill="1" applyBorder="1"/>
    <xf numFmtId="0" fontId="3" fillId="0" borderId="35" xfId="0" applyFont="1" applyBorder="1" applyAlignment="1">
      <alignment wrapText="1"/>
    </xf>
    <xf numFmtId="0" fontId="3" fillId="0" borderId="5" xfId="0" applyFont="1" applyBorder="1" applyAlignment="1">
      <alignment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7" fillId="0" borderId="12" xfId="0" applyNumberFormat="1" applyFont="1" applyFill="1" applyBorder="1"/>
    <xf numFmtId="3" fontId="7" fillId="0" borderId="13" xfId="0" applyNumberFormat="1" applyFont="1" applyFill="1" applyBorder="1"/>
    <xf numFmtId="0" fontId="0" fillId="0" borderId="8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3" fontId="0" fillId="0" borderId="13" xfId="0" applyNumberFormat="1" applyBorder="1" applyAlignment="1">
      <alignment horizontal="right" vertical="center" wrapText="1"/>
    </xf>
    <xf numFmtId="0" fontId="0" fillId="0" borderId="49" xfId="0" applyBorder="1" applyAlignment="1">
      <alignment horizontal="left" vertical="center" wrapText="1"/>
    </xf>
    <xf numFmtId="3" fontId="0" fillId="2" borderId="5" xfId="0" applyNumberFormat="1" applyFill="1" applyBorder="1" applyAlignment="1">
      <alignment horizontal="right" vertical="center" wrapText="1"/>
    </xf>
    <xf numFmtId="0" fontId="0" fillId="0" borderId="13" xfId="0" applyBorder="1" applyAlignment="1">
      <alignment horizontal="left" vertical="center" wrapText="1"/>
    </xf>
    <xf numFmtId="3" fontId="0" fillId="2" borderId="3" xfId="0" applyNumberFormat="1" applyFill="1" applyBorder="1"/>
    <xf numFmtId="3" fontId="0" fillId="2" borderId="17" xfId="0" applyNumberFormat="1" applyFill="1" applyBorder="1"/>
    <xf numFmtId="3" fontId="0" fillId="3" borderId="3" xfId="0" applyNumberFormat="1" applyFill="1" applyBorder="1"/>
    <xf numFmtId="3" fontId="0" fillId="3" borderId="17" xfId="0" applyNumberFormat="1" applyFill="1" applyBorder="1"/>
    <xf numFmtId="3" fontId="12" fillId="3" borderId="20" xfId="0" applyNumberFormat="1" applyFont="1" applyFill="1" applyBorder="1"/>
    <xf numFmtId="3" fontId="2" fillId="0" borderId="3" xfId="0" applyNumberFormat="1" applyFont="1" applyFill="1" applyBorder="1" applyAlignment="1">
      <alignment horizontal="right" vertical="center" wrapText="1"/>
    </xf>
    <xf numFmtId="0" fontId="0" fillId="0" borderId="16" xfId="0" applyBorder="1" applyAlignment="1">
      <alignment wrapText="1"/>
    </xf>
    <xf numFmtId="3" fontId="8" fillId="0" borderId="28" xfId="1" applyNumberFormat="1" applyFont="1" applyFill="1" applyBorder="1" applyAlignment="1">
      <alignment horizontal="right" vertical="center" wrapText="1"/>
    </xf>
    <xf numFmtId="3" fontId="8" fillId="0" borderId="3" xfId="1" applyNumberFormat="1" applyFont="1" applyFill="1" applyBorder="1" applyAlignment="1">
      <alignment horizontal="right" vertical="center" wrapText="1"/>
    </xf>
    <xf numFmtId="3" fontId="0" fillId="0" borderId="3" xfId="5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 wrapText="1"/>
    </xf>
    <xf numFmtId="1" fontId="0" fillId="0" borderId="0" xfId="0" applyNumberFormat="1" applyAlignment="1">
      <alignment wrapText="1"/>
    </xf>
    <xf numFmtId="3" fontId="4" fillId="0" borderId="29" xfId="1" applyNumberFormat="1" applyFont="1" applyBorder="1" applyAlignment="1">
      <alignment horizontal="right" vertical="center" wrapText="1"/>
    </xf>
    <xf numFmtId="3" fontId="0" fillId="0" borderId="29" xfId="1" applyNumberFormat="1" applyFont="1" applyBorder="1" applyAlignment="1">
      <alignment horizontal="right" vertical="center" wrapText="1"/>
    </xf>
    <xf numFmtId="3" fontId="4" fillId="0" borderId="29" xfId="1" applyNumberFormat="1" applyFont="1" applyFill="1" applyBorder="1" applyAlignment="1">
      <alignment horizontal="right" vertical="center" wrapText="1"/>
    </xf>
    <xf numFmtId="3" fontId="1" fillId="0" borderId="21" xfId="1" applyNumberFormat="1" applyFont="1" applyFill="1" applyBorder="1" applyAlignment="1">
      <alignment horizontal="right" vertical="center" wrapText="1"/>
    </xf>
    <xf numFmtId="2" fontId="8" fillId="0" borderId="47" xfId="1" applyNumberFormat="1" applyFont="1" applyFill="1" applyBorder="1" applyAlignment="1">
      <alignment horizontal="right" vertical="center" wrapText="1"/>
    </xf>
    <xf numFmtId="165" fontId="1" fillId="0" borderId="39" xfId="1" applyNumberFormat="1" applyFont="1" applyFill="1" applyBorder="1" applyAlignment="1">
      <alignment horizontal="right" vertical="center" wrapText="1"/>
    </xf>
    <xf numFmtId="3" fontId="3" fillId="0" borderId="55" xfId="0" applyNumberFormat="1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right" vertical="center" wrapText="1"/>
    </xf>
    <xf numFmtId="3" fontId="0" fillId="0" borderId="29" xfId="0" applyNumberFormat="1" applyBorder="1" applyAlignment="1">
      <alignment horizontal="right" vertical="center"/>
    </xf>
    <xf numFmtId="3" fontId="0" fillId="0" borderId="29" xfId="0" applyNumberFormat="1" applyFill="1" applyBorder="1" applyAlignment="1">
      <alignment horizontal="right" vertical="center"/>
    </xf>
    <xf numFmtId="167" fontId="3" fillId="0" borderId="56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/>
    <xf numFmtId="3" fontId="7" fillId="0" borderId="27" xfId="0" applyNumberFormat="1" applyFont="1" applyFill="1" applyBorder="1"/>
    <xf numFmtId="3" fontId="7" fillId="0" borderId="2" xfId="0" applyNumberFormat="1" applyFont="1" applyFill="1" applyBorder="1"/>
    <xf numFmtId="3" fontId="0" fillId="0" borderId="2" xfId="0" applyNumberFormat="1" applyFont="1" applyFill="1" applyBorder="1"/>
    <xf numFmtId="3" fontId="0" fillId="2" borderId="57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vertical="center"/>
    </xf>
    <xf numFmtId="3" fontId="0" fillId="0" borderId="12" xfId="0" applyNumberFormat="1" applyFill="1" applyBorder="1" applyAlignment="1">
      <alignment horizontal="right" vertical="center" wrapText="1"/>
    </xf>
    <xf numFmtId="0" fontId="0" fillId="0" borderId="42" xfId="0" applyFont="1" applyFill="1" applyBorder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2" fillId="0" borderId="52" xfId="0" applyFont="1" applyFill="1" applyBorder="1" applyAlignment="1">
      <alignment vertical="center" wrapText="1"/>
    </xf>
    <xf numFmtId="3" fontId="2" fillId="0" borderId="31" xfId="0" applyNumberFormat="1" applyFont="1" applyFill="1" applyBorder="1" applyAlignment="1">
      <alignment horizontal="right" vertical="center" wrapText="1"/>
    </xf>
    <xf numFmtId="3" fontId="3" fillId="0" borderId="58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3" fontId="0" fillId="0" borderId="4" xfId="0" applyNumberFormat="1" applyBorder="1" applyAlignment="1">
      <alignment horizontal="right" vertical="center"/>
    </xf>
    <xf numFmtId="3" fontId="0" fillId="0" borderId="3" xfId="1" applyNumberFormat="1" applyFont="1" applyFill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/>
    </xf>
    <xf numFmtId="3" fontId="0" fillId="0" borderId="35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3" fontId="0" fillId="3" borderId="14" xfId="0" applyNumberFormat="1" applyFont="1" applyFill="1" applyBorder="1"/>
    <xf numFmtId="3" fontId="8" fillId="2" borderId="3" xfId="1" applyNumberFormat="1" applyFont="1" applyFill="1" applyBorder="1" applyAlignment="1">
      <alignment horizontal="right" vertical="center" wrapText="1"/>
    </xf>
    <xf numFmtId="3" fontId="0" fillId="2" borderId="3" xfId="5" applyNumberFormat="1" applyFont="1" applyFill="1" applyBorder="1" applyAlignment="1">
      <alignment horizontal="right" vertical="center"/>
    </xf>
    <xf numFmtId="3" fontId="8" fillId="4" borderId="3" xfId="1" applyNumberFormat="1" applyFont="1" applyFill="1" applyBorder="1" applyAlignment="1">
      <alignment horizontal="right" vertical="center" wrapText="1"/>
    </xf>
    <xf numFmtId="3" fontId="0" fillId="5" borderId="3" xfId="5" applyNumberFormat="1" applyFont="1" applyFill="1" applyBorder="1" applyAlignment="1">
      <alignment horizontal="right" vertical="center"/>
    </xf>
    <xf numFmtId="3" fontId="0" fillId="4" borderId="3" xfId="5" applyNumberFormat="1" applyFont="1" applyFill="1" applyBorder="1" applyAlignment="1">
      <alignment horizontal="right" vertical="center"/>
    </xf>
    <xf numFmtId="3" fontId="2" fillId="2" borderId="3" xfId="1" applyNumberFormat="1" applyFont="1" applyFill="1" applyBorder="1" applyAlignment="1">
      <alignment horizontal="right" vertical="center"/>
    </xf>
    <xf numFmtId="3" fontId="0" fillId="0" borderId="3" xfId="5" applyNumberFormat="1" applyFont="1" applyFill="1" applyBorder="1" applyAlignment="1">
      <alignment horizontal="right" vertical="center"/>
    </xf>
    <xf numFmtId="0" fontId="3" fillId="0" borderId="38" xfId="0" applyFont="1" applyBorder="1" applyAlignment="1">
      <alignment vertical="center" wrapText="1"/>
    </xf>
    <xf numFmtId="3" fontId="3" fillId="0" borderId="18" xfId="0" applyNumberFormat="1" applyFont="1" applyBorder="1" applyAlignment="1">
      <alignment horizontal="right" vertical="center" wrapText="1"/>
    </xf>
    <xf numFmtId="0" fontId="3" fillId="0" borderId="38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3" fontId="2" fillId="0" borderId="14" xfId="0" applyNumberFormat="1" applyFont="1" applyBorder="1" applyAlignment="1">
      <alignment vertical="center" wrapText="1"/>
    </xf>
    <xf numFmtId="3" fontId="2" fillId="0" borderId="30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3" fontId="2" fillId="0" borderId="50" xfId="0" applyNumberFormat="1" applyFont="1" applyBorder="1" applyAlignment="1">
      <alignment horizontal="right" vertical="center" wrapText="1"/>
    </xf>
    <xf numFmtId="0" fontId="7" fillId="0" borderId="59" xfId="0" applyFont="1" applyBorder="1" applyAlignment="1">
      <alignment horizontal="left" vertical="center" wrapText="1"/>
    </xf>
    <xf numFmtId="3" fontId="0" fillId="0" borderId="59" xfId="0" applyNumberFormat="1" applyBorder="1" applyAlignment="1">
      <alignment horizontal="right" vertical="center" wrapText="1"/>
    </xf>
    <xf numFmtId="0" fontId="0" fillId="0" borderId="51" xfId="0" applyBorder="1" applyAlignment="1">
      <alignment horizontal="left" vertical="center" wrapText="1"/>
    </xf>
    <xf numFmtId="3" fontId="0" fillId="2" borderId="17" xfId="0" applyNumberFormat="1" applyFill="1" applyBorder="1" applyAlignment="1">
      <alignment horizontal="right" vertical="center" wrapText="1"/>
    </xf>
    <xf numFmtId="0" fontId="0" fillId="0" borderId="59" xfId="0" applyBorder="1" applyAlignment="1">
      <alignment horizontal="left" vertical="center" wrapText="1"/>
    </xf>
    <xf numFmtId="3" fontId="2" fillId="5" borderId="1" xfId="0" applyNumberFormat="1" applyFont="1" applyFill="1" applyBorder="1" applyAlignment="1">
      <alignment vertical="center" wrapText="1"/>
    </xf>
    <xf numFmtId="0" fontId="15" fillId="0" borderId="0" xfId="0" applyFont="1"/>
    <xf numFmtId="3" fontId="0" fillId="0" borderId="0" xfId="0" applyNumberFormat="1" applyAlignment="1">
      <alignment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3" fontId="3" fillId="0" borderId="26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3" fontId="3" fillId="0" borderId="54" xfId="0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167" fontId="3" fillId="0" borderId="32" xfId="0" applyNumberFormat="1" applyFont="1" applyBorder="1" applyAlignment="1">
      <alignment horizontal="left" vertical="center" wrapText="1"/>
    </xf>
    <xf numFmtId="167" fontId="3" fillId="0" borderId="33" xfId="0" applyNumberFormat="1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 wrapText="1"/>
    </xf>
    <xf numFmtId="3" fontId="3" fillId="0" borderId="32" xfId="0" applyNumberFormat="1" applyFont="1" applyBorder="1" applyAlignment="1">
      <alignment horizontal="center" wrapText="1"/>
    </xf>
    <xf numFmtId="3" fontId="3" fillId="0" borderId="36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38" xfId="0" applyBorder="1" applyAlignment="1">
      <alignment horizontal="center"/>
    </xf>
    <xf numFmtId="3" fontId="7" fillId="0" borderId="9" xfId="0" applyNumberFormat="1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 wrapText="1"/>
    </xf>
  </cellXfs>
  <cellStyles count="8">
    <cellStyle name="Comma" xfId="1" builtinId="3"/>
    <cellStyle name="Comma 2" xfId="3"/>
    <cellStyle name="Comma 3" xfId="5"/>
    <cellStyle name="Currency 2" xfId="4"/>
    <cellStyle name="Followed Hyperlink" xfId="7" builtinId="9" hidden="1"/>
    <cellStyle name="Hyperlink" xfId="6" builtinId="8" hidden="1"/>
    <cellStyle name="Normal" xfId="0" builtinId="0"/>
    <cellStyle name="Normal 4" xfId="2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tabSelected="1" workbookViewId="0"/>
  </sheetViews>
  <sheetFormatPr defaultColWidth="8.85546875" defaultRowHeight="15" x14ac:dyDescent="0.25"/>
  <cols>
    <col min="1" max="1" width="2.42578125" customWidth="1"/>
    <col min="2" max="2" width="29.42578125" customWidth="1"/>
    <col min="3" max="3" width="24.140625" style="6" customWidth="1"/>
    <col min="4" max="4" width="54.7109375" style="9" customWidth="1"/>
  </cols>
  <sheetData>
    <row r="2" spans="2:4" ht="32.25" customHeight="1" thickBot="1" x14ac:dyDescent="0.25">
      <c r="B2" s="3" t="s">
        <v>91</v>
      </c>
    </row>
    <row r="3" spans="2:4" ht="24.75" customHeight="1" x14ac:dyDescent="0.2">
      <c r="B3" s="57"/>
      <c r="C3" s="58" t="s">
        <v>90</v>
      </c>
    </row>
    <row r="4" spans="2:4" ht="28.5" customHeight="1" x14ac:dyDescent="0.2">
      <c r="B4" s="33" t="s">
        <v>37</v>
      </c>
      <c r="C4" s="99">
        <f>Implementation!C22</f>
        <v>13259855.322676877</v>
      </c>
    </row>
    <row r="5" spans="2:4" ht="83.25" customHeight="1" x14ac:dyDescent="0.2">
      <c r="B5" s="33" t="s">
        <v>38</v>
      </c>
      <c r="C5" s="99">
        <f>'Rolled over budget'!B13</f>
        <v>1460803.846153846</v>
      </c>
      <c r="D5" s="9" t="s">
        <v>105</v>
      </c>
    </row>
    <row r="6" spans="2:4" ht="28.5" customHeight="1" x14ac:dyDescent="0.2">
      <c r="B6" s="33" t="s">
        <v>39</v>
      </c>
      <c r="C6" s="99">
        <f>Research!J6</f>
        <v>240000</v>
      </c>
    </row>
    <row r="7" spans="2:4" ht="28.5" customHeight="1" x14ac:dyDescent="0.2">
      <c r="B7" s="33" t="s">
        <v>40</v>
      </c>
      <c r="C7" s="99">
        <f>'Central costs'!B20</f>
        <v>2498262.8900000006</v>
      </c>
    </row>
    <row r="8" spans="2:4" ht="28.5" customHeight="1" thickBot="1" x14ac:dyDescent="0.25">
      <c r="B8" s="59" t="s">
        <v>106</v>
      </c>
      <c r="C8" s="100">
        <f>SUM(C4:C7)/12</f>
        <v>1454910.171569227</v>
      </c>
    </row>
    <row r="9" spans="2:4" ht="28.5" customHeight="1" thickBot="1" x14ac:dyDescent="0.25">
      <c r="B9" s="60" t="s">
        <v>41</v>
      </c>
      <c r="C9" s="85">
        <f>SUM(C4:C8)</f>
        <v>18913832.230399951</v>
      </c>
    </row>
    <row r="12" spans="2:4" x14ac:dyDescent="0.2">
      <c r="D12" s="110"/>
    </row>
    <row r="13" spans="2:4" x14ac:dyDescent="0.2">
      <c r="D13" s="110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6"/>
  <sheetViews>
    <sheetView zoomScaleNormal="100" zoomScalePageLayoutView="130" workbookViewId="0">
      <pane xSplit="1" ySplit="3" topLeftCell="B9" activePane="bottomRight" state="frozen"/>
      <selection activeCell="O11" sqref="O11"/>
      <selection pane="topRight" activeCell="O11" sqref="O11"/>
      <selection pane="bottomLeft" activeCell="O11" sqref="O11"/>
      <selection pane="bottomRight"/>
    </sheetView>
  </sheetViews>
  <sheetFormatPr defaultColWidth="8.85546875" defaultRowHeight="15" x14ac:dyDescent="0.25"/>
  <cols>
    <col min="1" max="1" width="13.7109375" style="31" customWidth="1"/>
    <col min="2" max="2" width="14" style="12" customWidth="1"/>
    <col min="3" max="3" width="13.7109375" style="13" customWidth="1"/>
    <col min="4" max="4" width="13.7109375" style="12" customWidth="1"/>
    <col min="5" max="5" width="14.140625" style="13" customWidth="1"/>
    <col min="6" max="7" width="14.85546875" style="13" customWidth="1"/>
    <col min="8" max="8" width="14.7109375" style="13" customWidth="1"/>
    <col min="9" max="10" width="18.42578125" style="13" customWidth="1"/>
    <col min="11" max="11" width="36.7109375" style="9" customWidth="1"/>
    <col min="12" max="12" width="50" style="31" customWidth="1"/>
    <col min="13" max="13" width="18.7109375" style="31" customWidth="1"/>
    <col min="14" max="16384" width="8.85546875" style="31"/>
  </cols>
  <sheetData>
    <row r="1" spans="1:12" ht="15.95" thickBot="1" x14ac:dyDescent="0.25"/>
    <row r="2" spans="1:12" ht="30" customHeight="1" x14ac:dyDescent="0.25">
      <c r="A2" s="168" t="s">
        <v>0</v>
      </c>
      <c r="B2" s="170" t="s">
        <v>64</v>
      </c>
      <c r="C2" s="172" t="s">
        <v>116</v>
      </c>
      <c r="D2" s="174" t="s">
        <v>56</v>
      </c>
      <c r="E2" s="176" t="s">
        <v>20</v>
      </c>
      <c r="F2" s="177"/>
      <c r="G2" s="177"/>
      <c r="H2" s="177"/>
      <c r="I2" s="177"/>
      <c r="J2" s="117"/>
      <c r="K2" s="168" t="s">
        <v>44</v>
      </c>
    </row>
    <row r="3" spans="1:12" ht="30" customHeight="1" thickBot="1" x14ac:dyDescent="0.3">
      <c r="A3" s="169"/>
      <c r="B3" s="171"/>
      <c r="C3" s="173"/>
      <c r="D3" s="175"/>
      <c r="E3" s="118" t="s">
        <v>1</v>
      </c>
      <c r="F3" s="88" t="s">
        <v>2</v>
      </c>
      <c r="G3" s="88" t="s">
        <v>25</v>
      </c>
      <c r="H3" s="89" t="s">
        <v>3</v>
      </c>
      <c r="I3" s="88" t="s">
        <v>66</v>
      </c>
      <c r="J3" s="109" t="s">
        <v>65</v>
      </c>
      <c r="K3" s="169"/>
    </row>
    <row r="4" spans="1:12" ht="30" customHeight="1" x14ac:dyDescent="0.2">
      <c r="A4" s="130" t="s">
        <v>109</v>
      </c>
      <c r="B4" s="131"/>
      <c r="C4" s="165">
        <f>Implementation!C4*'USD x rate'!$B$4</f>
        <v>176032.11000000002</v>
      </c>
      <c r="D4" s="133"/>
      <c r="E4" s="134">
        <f>C4</f>
        <v>176032.11000000002</v>
      </c>
      <c r="F4" s="132"/>
      <c r="G4" s="132"/>
      <c r="H4" s="132"/>
      <c r="I4" s="132"/>
      <c r="J4" s="135"/>
      <c r="K4" s="130"/>
    </row>
    <row r="5" spans="1:12" ht="30" customHeight="1" x14ac:dyDescent="0.2">
      <c r="A5" s="32" t="s">
        <v>15</v>
      </c>
      <c r="B5" s="111">
        <f>951819</f>
        <v>951819</v>
      </c>
      <c r="C5" s="106">
        <f>Implementation!C5*'USD x rate'!$B$4</f>
        <v>179878.89</v>
      </c>
      <c r="D5" s="115">
        <f>C5/B5</f>
        <v>0.18898434471259767</v>
      </c>
      <c r="E5" s="119"/>
      <c r="F5" s="14"/>
      <c r="G5" s="14"/>
      <c r="H5" s="14"/>
      <c r="I5" s="104"/>
      <c r="J5" s="136">
        <f>C5</f>
        <v>179878.89</v>
      </c>
      <c r="K5" s="105" t="s">
        <v>86</v>
      </c>
    </row>
    <row r="6" spans="1:12" ht="45" x14ac:dyDescent="0.2">
      <c r="A6" s="1" t="s">
        <v>5</v>
      </c>
      <c r="B6" s="111">
        <v>2625544</v>
      </c>
      <c r="C6" s="147">
        <f>Implementation!C6*'USD x rate'!$B$4</f>
        <v>812636.79</v>
      </c>
      <c r="D6" s="115">
        <f t="shared" ref="D6:D21" si="0">C6/B6</f>
        <v>0.30951177736880436</v>
      </c>
      <c r="E6" s="119">
        <f>Implementation!E6*'USD x rate'!$B$4</f>
        <v>574050</v>
      </c>
      <c r="F6" s="14"/>
      <c r="G6" s="14"/>
      <c r="H6" s="14"/>
      <c r="I6" s="104">
        <f>C6-E6</f>
        <v>238586.79000000004</v>
      </c>
      <c r="J6" s="136"/>
      <c r="K6" s="66" t="s">
        <v>92</v>
      </c>
    </row>
    <row r="7" spans="1:12" ht="45" x14ac:dyDescent="0.2">
      <c r="A7" s="1" t="s">
        <v>13</v>
      </c>
      <c r="B7" s="111">
        <v>11000000</v>
      </c>
      <c r="C7" s="145">
        <f>Implementation!C7*'USD x rate'!$B$4</f>
        <v>2257500</v>
      </c>
      <c r="D7" s="115">
        <f t="shared" si="0"/>
        <v>0.20522727272727273</v>
      </c>
      <c r="E7" s="119">
        <f>Implementation!E7*'USD x rate'!$B$4</f>
        <v>646135.20000000007</v>
      </c>
      <c r="F7" s="14"/>
      <c r="G7" s="14"/>
      <c r="H7" s="14"/>
      <c r="I7" s="104">
        <f>C7-E7</f>
        <v>1611364.7999999998</v>
      </c>
      <c r="J7" s="137"/>
      <c r="K7" s="66" t="s">
        <v>96</v>
      </c>
    </row>
    <row r="8" spans="1:12" ht="75" x14ac:dyDescent="0.2">
      <c r="A8" s="1" t="s">
        <v>14</v>
      </c>
      <c r="B8" s="20">
        <v>16400000</v>
      </c>
      <c r="C8" s="145">
        <f>Implementation!C8*'USD x rate'!$B$4</f>
        <v>2451000</v>
      </c>
      <c r="D8" s="115">
        <f t="shared" si="0"/>
        <v>0.14945121951219512</v>
      </c>
      <c r="E8" s="120">
        <f>Implementation!E8*'USD x rate'!$B$4</f>
        <v>258000</v>
      </c>
      <c r="F8" s="15"/>
      <c r="G8" s="15">
        <f>Implementation!G8*'USD x rate'!$B$4</f>
        <v>184164.84312857146</v>
      </c>
      <c r="H8" s="138"/>
      <c r="I8" s="104">
        <f>Implementation!I8*'USD x rate'!$B$4</f>
        <v>2008835.1568714287</v>
      </c>
      <c r="J8" s="137"/>
      <c r="K8" s="66" t="s">
        <v>97</v>
      </c>
    </row>
    <row r="9" spans="1:12" x14ac:dyDescent="0.2">
      <c r="A9" s="1" t="s">
        <v>6</v>
      </c>
      <c r="B9" s="112">
        <v>1362241</v>
      </c>
      <c r="C9" s="148">
        <f>Implementation!C9*'USD x rate'!$B$4</f>
        <v>491490</v>
      </c>
      <c r="D9" s="115">
        <f t="shared" si="0"/>
        <v>0.36079518969110458</v>
      </c>
      <c r="E9" s="119">
        <f>Implementation!E9*'USD x rate'!$B$4</f>
        <v>103200</v>
      </c>
      <c r="F9" s="14"/>
      <c r="G9" s="14"/>
      <c r="H9" s="14">
        <f>Implementation!H9*'USD x rate'!$B$4</f>
        <v>67338</v>
      </c>
      <c r="I9" s="104">
        <f>C9-E9-H9</f>
        <v>320952</v>
      </c>
      <c r="J9" s="136"/>
      <c r="K9" s="66" t="s">
        <v>98</v>
      </c>
      <c r="L9" s="31">
        <f>B9*0.28</f>
        <v>381427.48000000004</v>
      </c>
    </row>
    <row r="10" spans="1:12" ht="30" x14ac:dyDescent="0.2">
      <c r="A10" s="1" t="s">
        <v>16</v>
      </c>
      <c r="B10" s="6">
        <v>4460057</v>
      </c>
      <c r="C10" s="149">
        <f>Implementation!C10*'USD x rate'!$B$4</f>
        <v>1361869.77</v>
      </c>
      <c r="D10" s="115">
        <f t="shared" si="0"/>
        <v>0.30534806393729946</v>
      </c>
      <c r="E10" s="119"/>
      <c r="F10" s="139">
        <f>Implementation!F10*'USD x rate'!$B$4</f>
        <v>351435.99</v>
      </c>
      <c r="G10" s="14"/>
      <c r="H10" s="14"/>
      <c r="I10" s="104">
        <f>C10-F10-J10</f>
        <v>955433.78</v>
      </c>
      <c r="J10" s="136">
        <v>55000</v>
      </c>
      <c r="K10" s="66" t="s">
        <v>93</v>
      </c>
      <c r="L10" s="31">
        <f>0.18*B10</f>
        <v>802810.26</v>
      </c>
    </row>
    <row r="11" spans="1:12" ht="30" x14ac:dyDescent="0.2">
      <c r="A11" s="1" t="s">
        <v>7</v>
      </c>
      <c r="B11" s="111">
        <v>8480739</v>
      </c>
      <c r="C11" s="108">
        <f>Implementation!C11*'USD x rate'!$B$4</f>
        <v>1327046.22</v>
      </c>
      <c r="D11" s="115">
        <f>C11/B11</f>
        <v>0.15647766309044531</v>
      </c>
      <c r="E11" s="119">
        <f>Implementation!E11*'USD x rate'!$B$4</f>
        <v>387000</v>
      </c>
      <c r="F11" s="14"/>
      <c r="G11" s="14"/>
      <c r="H11" s="14"/>
      <c r="I11" s="104">
        <f>C11-E11</f>
        <v>940046.22</v>
      </c>
      <c r="J11" s="136"/>
      <c r="K11" s="66" t="s">
        <v>99</v>
      </c>
    </row>
    <row r="12" spans="1:12" ht="30" customHeight="1" x14ac:dyDescent="0.2">
      <c r="A12" s="1" t="s">
        <v>19</v>
      </c>
      <c r="B12" s="111">
        <v>178734</v>
      </c>
      <c r="C12" s="108">
        <f>Implementation!C12*'USD x rate'!$B$4</f>
        <v>68237.13</v>
      </c>
      <c r="D12" s="115">
        <f t="shared" si="0"/>
        <v>0.38178035516465814</v>
      </c>
      <c r="E12" s="119"/>
      <c r="F12" s="14"/>
      <c r="G12" s="14"/>
      <c r="H12" s="14"/>
      <c r="I12" s="104">
        <f>C12</f>
        <v>68237.13</v>
      </c>
      <c r="J12" s="136"/>
      <c r="K12" s="66"/>
    </row>
    <row r="13" spans="1:12" ht="30" customHeight="1" x14ac:dyDescent="0.2">
      <c r="A13" s="1" t="s">
        <v>8</v>
      </c>
      <c r="B13" s="111">
        <v>7200000</v>
      </c>
      <c r="C13" s="145">
        <f>Implementation!C13*'USD x rate'!$B$4</f>
        <v>1161000</v>
      </c>
      <c r="D13" s="115">
        <f t="shared" si="0"/>
        <v>0.16125</v>
      </c>
      <c r="E13" s="119">
        <f>Implementation!E13*'USD x rate'!$B$4</f>
        <v>420034.32</v>
      </c>
      <c r="F13" s="14"/>
      <c r="G13" s="14"/>
      <c r="H13" s="14"/>
      <c r="I13" s="104">
        <f>C13-E13</f>
        <v>740965.67999999993</v>
      </c>
      <c r="J13" s="136"/>
      <c r="K13" s="66" t="s">
        <v>100</v>
      </c>
    </row>
    <row r="14" spans="1:12" ht="31.5" customHeight="1" x14ac:dyDescent="0.2">
      <c r="A14" s="1" t="s">
        <v>11</v>
      </c>
      <c r="B14" s="111">
        <f>2038808+1546202</f>
        <v>3585010</v>
      </c>
      <c r="C14" s="146">
        <f>Implementation!C14*'USD x rate'!$B$4</f>
        <v>672988.91046745644</v>
      </c>
      <c r="D14" s="115">
        <f t="shared" si="0"/>
        <v>0.1877230218234974</v>
      </c>
      <c r="E14" s="119">
        <f>Implementation!E14*'USD x rate'!$B$4</f>
        <v>213624</v>
      </c>
      <c r="F14" s="14"/>
      <c r="G14" s="14"/>
      <c r="H14" s="14"/>
      <c r="I14" s="104">
        <f>C14-E14</f>
        <v>459364.91046745644</v>
      </c>
      <c r="J14" s="136"/>
      <c r="K14" s="66" t="s">
        <v>101</v>
      </c>
    </row>
    <row r="15" spans="1:12" ht="105" x14ac:dyDescent="0.2">
      <c r="A15" s="1" t="s">
        <v>27</v>
      </c>
      <c r="B15" s="111">
        <f>C15/0.25</f>
        <v>2064000</v>
      </c>
      <c r="C15" s="145">
        <f>Implementation!C15*'USD x rate'!$B$4</f>
        <v>516000</v>
      </c>
      <c r="D15" s="115">
        <f>C15/B15</f>
        <v>0.25</v>
      </c>
      <c r="E15" s="119"/>
      <c r="F15" s="14"/>
      <c r="G15" s="14"/>
      <c r="H15" s="14"/>
      <c r="I15" s="104">
        <f>C15</f>
        <v>516000</v>
      </c>
      <c r="J15" s="136"/>
      <c r="K15" s="66" t="s">
        <v>94</v>
      </c>
    </row>
    <row r="16" spans="1:12" ht="75" x14ac:dyDescent="0.2">
      <c r="A16" s="1" t="s">
        <v>18</v>
      </c>
      <c r="B16" s="111">
        <v>7500000</v>
      </c>
      <c r="C16" s="146">
        <f>Implementation!C16*'USD x rate'!$B$4</f>
        <v>2170450.7741999999</v>
      </c>
      <c r="D16" s="115">
        <f t="shared" si="0"/>
        <v>0.28939343655999999</v>
      </c>
      <c r="E16" s="119"/>
      <c r="F16" s="14"/>
      <c r="G16" s="14"/>
      <c r="H16" s="14"/>
      <c r="I16" s="104">
        <f>C16</f>
        <v>2170450.7741999999</v>
      </c>
      <c r="J16" s="136"/>
      <c r="K16" s="66" t="s">
        <v>95</v>
      </c>
    </row>
    <row r="17" spans="1:12" ht="30" x14ac:dyDescent="0.2">
      <c r="A17" s="1" t="s">
        <v>9</v>
      </c>
      <c r="B17" s="112">
        <v>3950000</v>
      </c>
      <c r="C17" s="146">
        <f>Implementation!C17*'USD x rate'!$B$4</f>
        <v>1351920</v>
      </c>
      <c r="D17" s="115">
        <v>0.24</v>
      </c>
      <c r="E17" s="119">
        <f>Implementation!E17*'USD x rate'!$B$4</f>
        <v>586434</v>
      </c>
      <c r="F17" s="14"/>
      <c r="G17" s="14"/>
      <c r="H17" s="14"/>
      <c r="I17" s="104">
        <f>C17-E17</f>
        <v>765486</v>
      </c>
      <c r="J17" s="136"/>
      <c r="K17" s="66" t="s">
        <v>76</v>
      </c>
    </row>
    <row r="18" spans="1:12" ht="30" customHeight="1" x14ac:dyDescent="0.2">
      <c r="A18" s="1" t="s">
        <v>12</v>
      </c>
      <c r="B18" s="111">
        <v>6080504</v>
      </c>
      <c r="C18" s="108">
        <f>Implementation!C18*'USD x rate'!$B$4</f>
        <v>619041.33000000007</v>
      </c>
      <c r="D18" s="115">
        <f>C18/B18</f>
        <v>0.10180756891205073</v>
      </c>
      <c r="E18" s="119">
        <f>Implementation!E18*'USD x rate'!$B$4</f>
        <v>374667.60000000003</v>
      </c>
      <c r="F18" s="14"/>
      <c r="G18" s="14"/>
      <c r="H18" s="14"/>
      <c r="I18" s="104">
        <f>C18-E18</f>
        <v>244373.73000000004</v>
      </c>
      <c r="J18" s="136"/>
      <c r="K18" s="66" t="s">
        <v>87</v>
      </c>
    </row>
    <row r="19" spans="1:12" ht="30" customHeight="1" x14ac:dyDescent="0.2">
      <c r="A19" s="1" t="s">
        <v>17</v>
      </c>
      <c r="B19" s="113">
        <v>0</v>
      </c>
      <c r="C19" s="150">
        <f>Implementation!C19*'USD x rate'!$B$4</f>
        <v>99230.67</v>
      </c>
      <c r="D19" s="115">
        <v>0</v>
      </c>
      <c r="E19" s="120"/>
      <c r="F19" s="15"/>
      <c r="G19" s="15"/>
      <c r="H19" s="15">
        <f>Implementation!H19*'USD x rate'!$B$4</f>
        <v>99230.67</v>
      </c>
      <c r="I19" s="104"/>
      <c r="J19" s="136"/>
      <c r="K19" s="66" t="s">
        <v>102</v>
      </c>
    </row>
    <row r="20" spans="1:12" ht="30" customHeight="1" x14ac:dyDescent="0.2">
      <c r="A20" s="1" t="s">
        <v>10</v>
      </c>
      <c r="B20" s="111">
        <v>2426224</v>
      </c>
      <c r="C20" s="108">
        <f>Implementation!C20*'USD x rate'!$B$4</f>
        <v>645399.10388571431</v>
      </c>
      <c r="D20" s="115">
        <f t="shared" si="0"/>
        <v>0.26600969402895791</v>
      </c>
      <c r="E20" s="119">
        <f>Implementation!E20*'USD x rate'!$B$4</f>
        <v>368424</v>
      </c>
      <c r="F20" s="14"/>
      <c r="G20" s="14"/>
      <c r="H20" s="14"/>
      <c r="I20" s="104">
        <f>C20-E20</f>
        <v>276975.10388571431</v>
      </c>
      <c r="J20" s="136"/>
      <c r="K20" s="66"/>
    </row>
    <row r="21" spans="1:12" ht="30" customHeight="1" thickBot="1" x14ac:dyDescent="0.25">
      <c r="A21" s="1" t="s">
        <v>54</v>
      </c>
      <c r="B21" s="111">
        <v>2334432</v>
      </c>
      <c r="C21" s="108">
        <f>Implementation!C21*'USD x rate'!$B$4</f>
        <v>743491.66769999999</v>
      </c>
      <c r="D21" s="115">
        <f t="shared" si="0"/>
        <v>0.31848932318439777</v>
      </c>
      <c r="E21" s="140">
        <f>Implementation!E21*'USD x rate'!$B$4</f>
        <v>138030</v>
      </c>
      <c r="F21" s="141"/>
      <c r="G21" s="141"/>
      <c r="H21" s="141"/>
      <c r="I21" s="142">
        <f>C21-E21</f>
        <v>605461.66769999999</v>
      </c>
      <c r="J21" s="143"/>
      <c r="K21" s="66"/>
      <c r="L21" s="6"/>
    </row>
    <row r="22" spans="1:12" ht="30" customHeight="1" thickBot="1" x14ac:dyDescent="0.3">
      <c r="A22" s="8" t="s">
        <v>21</v>
      </c>
      <c r="B22" s="21">
        <f>SUM(B5:B21)</f>
        <v>80599304</v>
      </c>
      <c r="C22" s="17">
        <f>SUM(C4:C21)</f>
        <v>17105213.366253171</v>
      </c>
      <c r="D22" s="116">
        <f>C22/B22</f>
        <v>0.21222532351213816</v>
      </c>
      <c r="E22" s="16">
        <f>SUM(E4:E21)</f>
        <v>4245631.2300000004</v>
      </c>
      <c r="F22" s="17">
        <f t="shared" ref="F22:J22" si="1">SUM(F4:F21)</f>
        <v>351435.99</v>
      </c>
      <c r="G22" s="17">
        <f t="shared" si="1"/>
        <v>184164.84312857146</v>
      </c>
      <c r="H22" s="17">
        <f t="shared" si="1"/>
        <v>166568.66999999998</v>
      </c>
      <c r="I22" s="17">
        <f t="shared" si="1"/>
        <v>11922533.743124599</v>
      </c>
      <c r="J22" s="114">
        <f t="shared" si="1"/>
        <v>234878.89</v>
      </c>
      <c r="K22" s="67"/>
      <c r="L22" s="6"/>
    </row>
    <row r="23" spans="1:12" ht="37.5" customHeight="1" x14ac:dyDescent="0.25">
      <c r="L23" s="2"/>
    </row>
    <row r="24" spans="1:12" x14ac:dyDescent="0.25">
      <c r="C24" s="18"/>
    </row>
    <row r="25" spans="1:12" x14ac:dyDescent="0.25">
      <c r="D25" s="11"/>
    </row>
    <row r="26" spans="1:12" x14ac:dyDescent="0.25">
      <c r="E26" s="19"/>
      <c r="F26" s="19"/>
    </row>
  </sheetData>
  <autoFilter ref="A1:I23"/>
  <mergeCells count="6">
    <mergeCell ref="K2:K3"/>
    <mergeCell ref="A2:A3"/>
    <mergeCell ref="B2:B3"/>
    <mergeCell ref="C2:C3"/>
    <mergeCell ref="D2:D3"/>
    <mergeCell ref="E2:I2"/>
  </mergeCells>
  <pageMargins left="0.7" right="0.7" top="0.75" bottom="0.75" header="0.3" footer="0.3"/>
  <pageSetup paperSize="9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zoomScalePageLayoutView="130" workbookViewId="0">
      <pane xSplit="1" ySplit="3" topLeftCell="B4" activePane="bottomRight" state="frozen"/>
      <selection activeCell="O11" sqref="O11"/>
      <selection pane="topRight" activeCell="O11" sqref="O11"/>
      <selection pane="bottomLeft" activeCell="O11" sqref="O11"/>
      <selection pane="bottomRight"/>
    </sheetView>
  </sheetViews>
  <sheetFormatPr defaultColWidth="8.85546875" defaultRowHeight="15" x14ac:dyDescent="0.25"/>
  <cols>
    <col min="1" max="1" width="13.7109375" style="31" customWidth="1"/>
    <col min="2" max="2" width="13.7109375" style="13" customWidth="1"/>
    <col min="3" max="3" width="14.140625" style="13" customWidth="1"/>
    <col min="4" max="5" width="14.85546875" style="13" customWidth="1"/>
    <col min="6" max="6" width="14.7109375" style="13" customWidth="1"/>
    <col min="7" max="8" width="18.42578125" style="13" customWidth="1"/>
    <col min="9" max="9" width="36.7109375" style="9" customWidth="1"/>
    <col min="10" max="10" width="50" style="31" customWidth="1"/>
    <col min="11" max="11" width="18.7109375" style="6" customWidth="1"/>
    <col min="12" max="16384" width="8.85546875" style="31"/>
  </cols>
  <sheetData>
    <row r="1" spans="1:13" ht="15.95" thickBot="1" x14ac:dyDescent="0.25"/>
    <row r="2" spans="1:13" ht="30" customHeight="1" x14ac:dyDescent="0.25">
      <c r="A2" s="168" t="s">
        <v>0</v>
      </c>
      <c r="B2" s="172" t="s">
        <v>116</v>
      </c>
      <c r="C2" s="176" t="s">
        <v>20</v>
      </c>
      <c r="D2" s="177"/>
      <c r="E2" s="177"/>
      <c r="F2" s="177"/>
      <c r="G2" s="177"/>
      <c r="H2" s="117"/>
      <c r="I2" s="168" t="s">
        <v>44</v>
      </c>
    </row>
    <row r="3" spans="1:13" s="6" customFormat="1" ht="30" customHeight="1" thickBot="1" x14ac:dyDescent="0.3">
      <c r="A3" s="169"/>
      <c r="B3" s="173"/>
      <c r="C3" s="118" t="s">
        <v>1</v>
      </c>
      <c r="D3" s="88" t="s">
        <v>2</v>
      </c>
      <c r="E3" s="88" t="s">
        <v>25</v>
      </c>
      <c r="F3" s="89" t="s">
        <v>3</v>
      </c>
      <c r="G3" s="88" t="s">
        <v>66</v>
      </c>
      <c r="H3" s="109" t="s">
        <v>65</v>
      </c>
      <c r="I3" s="169"/>
      <c r="J3" s="31"/>
      <c r="L3" s="31"/>
      <c r="M3" s="31"/>
    </row>
    <row r="4" spans="1:13" s="6" customFormat="1" ht="30" customHeight="1" x14ac:dyDescent="0.2">
      <c r="A4" s="154" t="s">
        <v>15</v>
      </c>
      <c r="B4" s="156">
        <f>'Rolled over budget'!B4*'USD x rate'!$B$4</f>
        <v>608.88</v>
      </c>
      <c r="C4" s="157"/>
      <c r="D4" s="158"/>
      <c r="E4" s="158"/>
      <c r="F4" s="159"/>
      <c r="G4" s="158">
        <f>'Rolled over budget'!G4*'USD x rate'!$B$4</f>
        <v>608.88</v>
      </c>
      <c r="H4" s="153"/>
      <c r="I4" s="152"/>
      <c r="J4" s="31"/>
      <c r="L4" s="31"/>
      <c r="M4" s="31"/>
    </row>
    <row r="5" spans="1:13" s="6" customFormat="1" ht="30" customHeight="1" x14ac:dyDescent="0.2">
      <c r="A5" s="155" t="s">
        <v>5</v>
      </c>
      <c r="B5" s="147">
        <f>'Rolled over budget'!B5*'USD x rate'!$B$4</f>
        <v>33101.4</v>
      </c>
      <c r="C5" s="119"/>
      <c r="D5" s="14"/>
      <c r="E5" s="14"/>
      <c r="F5" s="14"/>
      <c r="G5" s="104">
        <f>B5-C5</f>
        <v>33101.4</v>
      </c>
      <c r="H5" s="136"/>
      <c r="I5" s="66"/>
      <c r="J5" s="31"/>
    </row>
    <row r="6" spans="1:13" s="6" customFormat="1" ht="30" customHeight="1" x14ac:dyDescent="0.2">
      <c r="A6" s="155" t="s">
        <v>13</v>
      </c>
      <c r="B6" s="107">
        <f>'Rolled over budget'!B6*'USD x rate'!$B$4</f>
        <v>83880.761538461535</v>
      </c>
      <c r="C6" s="119"/>
      <c r="D6" s="14"/>
      <c r="E6" s="14"/>
      <c r="F6" s="14"/>
      <c r="G6" s="104">
        <f>B6-C6</f>
        <v>83880.761538461535</v>
      </c>
      <c r="H6" s="137"/>
      <c r="I6" s="66" t="s">
        <v>103</v>
      </c>
      <c r="J6" s="31"/>
    </row>
    <row r="7" spans="1:13" s="6" customFormat="1" ht="30" customHeight="1" x14ac:dyDescent="0.2">
      <c r="A7" s="155" t="s">
        <v>14</v>
      </c>
      <c r="B7" s="107">
        <f>'Rolled over budget'!B7*'USD x rate'!$B$4</f>
        <v>261105.03</v>
      </c>
      <c r="C7" s="120"/>
      <c r="D7" s="15"/>
      <c r="E7" s="15"/>
      <c r="F7" s="138">
        <f>'Rolled over budget'!F7*'USD x rate'!$B$4</f>
        <v>179455.77000000002</v>
      </c>
      <c r="G7" s="104">
        <f>B7-SUM(C7:F7)</f>
        <v>81649.25999999998</v>
      </c>
      <c r="H7" s="137"/>
      <c r="I7" s="66"/>
      <c r="J7" s="31"/>
    </row>
    <row r="8" spans="1:13" s="6" customFormat="1" ht="30" customHeight="1" x14ac:dyDescent="0.2">
      <c r="A8" s="155" t="s">
        <v>16</v>
      </c>
      <c r="B8" s="149">
        <f>'Rolled over budget'!B8*'USD x rate'!$B$4</f>
        <v>19316.46</v>
      </c>
      <c r="C8" s="119"/>
      <c r="D8" s="139">
        <f>'Rolled over budget'!D8*'USD x rate'!$B$4</f>
        <v>18222.54</v>
      </c>
      <c r="E8" s="14"/>
      <c r="F8" s="14"/>
      <c r="G8" s="104">
        <f>'Rolled over budget'!G8*'USD x rate'!$B$4</f>
        <v>1093.92</v>
      </c>
      <c r="H8" s="136"/>
      <c r="I8" s="66"/>
      <c r="J8" s="31"/>
    </row>
    <row r="9" spans="1:13" s="6" customFormat="1" ht="30" customHeight="1" x14ac:dyDescent="0.2">
      <c r="A9" s="155" t="s">
        <v>11</v>
      </c>
      <c r="B9" s="151">
        <f>'Rolled over budget'!B9*'USD x rate'!$B$4</f>
        <v>208266.63</v>
      </c>
      <c r="C9" s="119">
        <f>'Rolled over budget'!C9*'USD x rate'!$B$4</f>
        <v>170882.43</v>
      </c>
      <c r="D9" s="14"/>
      <c r="E9" s="14"/>
      <c r="F9" s="14"/>
      <c r="G9" s="104">
        <f>'Rolled over budget'!G9*'USD x rate'!$B$4</f>
        <v>37384.200000000004</v>
      </c>
      <c r="H9" s="136"/>
      <c r="I9" s="66"/>
      <c r="J9" s="31"/>
    </row>
    <row r="10" spans="1:13" s="6" customFormat="1" ht="30" customHeight="1" x14ac:dyDescent="0.2">
      <c r="A10" s="155" t="s">
        <v>9</v>
      </c>
      <c r="B10" s="151">
        <f>'Rolled over budget'!B10*'USD x rate'!$B$4</f>
        <v>787612.08000000007</v>
      </c>
      <c r="C10" s="119">
        <f>'Rolled over budget'!C10*'USD x rate'!$B$4</f>
        <v>592644.06000000006</v>
      </c>
      <c r="D10" s="14"/>
      <c r="E10" s="14"/>
      <c r="F10" s="14"/>
      <c r="G10" s="104">
        <f>'Rolled over budget'!G10*'USD x rate'!$B$4</f>
        <v>194968.02000000002</v>
      </c>
      <c r="H10" s="136"/>
      <c r="I10" s="66" t="s">
        <v>104</v>
      </c>
      <c r="J10" s="31"/>
    </row>
    <row r="11" spans="1:13" s="6" customFormat="1" ht="30" customHeight="1" x14ac:dyDescent="0.2">
      <c r="A11" s="155" t="s">
        <v>10</v>
      </c>
      <c r="B11" s="108">
        <f>'Rolled over budget'!B11*'USD x rate'!$B$4</f>
        <v>464745.72000000003</v>
      </c>
      <c r="C11" s="119">
        <f>'Rolled over budget'!C11*'USD x rate'!$B$4</f>
        <v>367650</v>
      </c>
      <c r="D11" s="14"/>
      <c r="E11" s="14"/>
      <c r="F11" s="14"/>
      <c r="G11" s="104">
        <f>B11-C11</f>
        <v>97095.72000000003</v>
      </c>
      <c r="H11" s="136"/>
      <c r="I11" s="66"/>
      <c r="J11" s="31"/>
    </row>
    <row r="12" spans="1:13" s="6" customFormat="1" ht="30" customHeight="1" thickBot="1" x14ac:dyDescent="0.25">
      <c r="A12" s="155" t="s">
        <v>54</v>
      </c>
      <c r="B12" s="108">
        <f>'Rolled over budget'!B12*'USD x rate'!$B$4</f>
        <v>25800</v>
      </c>
      <c r="C12" s="140">
        <f>'Rolled over budget'!C12*'USD x rate'!$B$4</f>
        <v>12900</v>
      </c>
      <c r="D12" s="141"/>
      <c r="E12" s="141"/>
      <c r="F12" s="141"/>
      <c r="G12" s="142">
        <f>B12-C12</f>
        <v>12900</v>
      </c>
      <c r="H12" s="143"/>
      <c r="I12" s="66"/>
    </row>
    <row r="13" spans="1:13" s="6" customFormat="1" ht="30" customHeight="1" thickBot="1" x14ac:dyDescent="0.25">
      <c r="A13" s="8" t="s">
        <v>21</v>
      </c>
      <c r="B13" s="17">
        <f t="shared" ref="B13:G13" si="0">SUM(B4:B12)</f>
        <v>1884436.9615384617</v>
      </c>
      <c r="C13" s="16">
        <f t="shared" si="0"/>
        <v>1144076.49</v>
      </c>
      <c r="D13" s="17">
        <f t="shared" si="0"/>
        <v>18222.54</v>
      </c>
      <c r="E13" s="17">
        <f t="shared" si="0"/>
        <v>0</v>
      </c>
      <c r="F13" s="17">
        <f t="shared" si="0"/>
        <v>179455.77000000002</v>
      </c>
      <c r="G13" s="17">
        <f t="shared" si="0"/>
        <v>542682.16153846169</v>
      </c>
      <c r="H13" s="114">
        <f>SUM(H5:H12)</f>
        <v>0</v>
      </c>
      <c r="I13" s="67"/>
    </row>
    <row r="14" spans="1:13" s="6" customFormat="1" ht="37.5" customHeight="1" x14ac:dyDescent="0.2">
      <c r="A14" s="31"/>
      <c r="B14" s="13"/>
      <c r="C14" s="13"/>
      <c r="D14" s="13"/>
      <c r="E14" s="13"/>
      <c r="F14" s="13"/>
      <c r="G14" s="13"/>
      <c r="H14" s="13"/>
      <c r="I14" s="9"/>
      <c r="J14" s="2"/>
    </row>
    <row r="15" spans="1:13" s="6" customFormat="1" x14ac:dyDescent="0.2">
      <c r="A15" s="31"/>
      <c r="B15" s="18"/>
      <c r="C15" s="13"/>
      <c r="D15" s="13"/>
      <c r="E15" s="13"/>
      <c r="F15" s="13"/>
      <c r="G15" s="13"/>
      <c r="H15" s="13"/>
      <c r="I15" s="9"/>
      <c r="J15" s="31"/>
    </row>
    <row r="16" spans="1:13" s="6" customFormat="1" x14ac:dyDescent="0.2">
      <c r="A16" s="31"/>
      <c r="B16" s="13"/>
      <c r="C16" s="13"/>
      <c r="D16" s="13"/>
      <c r="E16" s="13"/>
      <c r="F16" s="13"/>
      <c r="G16" s="13"/>
      <c r="H16" s="13"/>
      <c r="I16" s="9"/>
      <c r="J16" s="31"/>
    </row>
    <row r="17" spans="1:10" s="6" customFormat="1" x14ac:dyDescent="0.2">
      <c r="A17" s="31"/>
      <c r="B17" s="13"/>
      <c r="C17" s="19"/>
      <c r="D17" s="19"/>
      <c r="E17" s="13"/>
      <c r="F17" s="13"/>
      <c r="G17" s="13"/>
      <c r="H17" s="13"/>
      <c r="I17" s="9"/>
      <c r="J17" s="31"/>
    </row>
  </sheetData>
  <autoFilter ref="A1:G14"/>
  <mergeCells count="4">
    <mergeCell ref="A2:A3"/>
    <mergeCell ref="B2:B3"/>
    <mergeCell ref="C2:G2"/>
    <mergeCell ref="I2:I3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zoomScaleNormal="100" zoomScalePageLayoutView="90" workbookViewId="0">
      <pane xSplit="1" ySplit="2" topLeftCell="B3" activePane="bottomRight" state="frozen"/>
      <selection activeCell="O11" sqref="O11"/>
      <selection pane="topRight" activeCell="O11" sqref="O11"/>
      <selection pane="bottomLeft" activeCell="O11" sqref="O11"/>
      <selection pane="bottomRight" sqref="A1:A2"/>
    </sheetView>
  </sheetViews>
  <sheetFormatPr defaultColWidth="8.85546875" defaultRowHeight="15" x14ac:dyDescent="0.25"/>
  <cols>
    <col min="1" max="1" width="19.28515625" style="10" customWidth="1"/>
    <col min="2" max="6" width="13.7109375" style="23" customWidth="1"/>
    <col min="7" max="9" width="13.85546875" style="23" customWidth="1"/>
    <col min="10" max="10" width="14.7109375" style="23" customWidth="1"/>
    <col min="11" max="11" width="70.42578125" style="23" customWidth="1"/>
    <col min="12" max="16384" width="8.85546875" style="10"/>
  </cols>
  <sheetData>
    <row r="1" spans="1:11" ht="30" customHeight="1" x14ac:dyDescent="0.25">
      <c r="A1" s="178" t="s">
        <v>0</v>
      </c>
      <c r="B1" s="180" t="s">
        <v>117</v>
      </c>
      <c r="C1" s="182" t="s">
        <v>20</v>
      </c>
      <c r="D1" s="183"/>
      <c r="E1" s="183"/>
      <c r="F1" s="183"/>
      <c r="G1" s="183"/>
      <c r="H1" s="183"/>
      <c r="I1" s="183"/>
      <c r="J1" s="184"/>
      <c r="K1" s="75"/>
    </row>
    <row r="2" spans="1:11" ht="30" customHeight="1" thickBot="1" x14ac:dyDescent="0.3">
      <c r="A2" s="179"/>
      <c r="B2" s="181"/>
      <c r="C2" s="50" t="s">
        <v>1</v>
      </c>
      <c r="D2" s="51" t="s">
        <v>2</v>
      </c>
      <c r="E2" s="7" t="s">
        <v>25</v>
      </c>
      <c r="F2" s="7" t="s">
        <v>42</v>
      </c>
      <c r="G2" s="7" t="s">
        <v>4</v>
      </c>
      <c r="H2" s="7" t="s">
        <v>29</v>
      </c>
      <c r="I2" s="7" t="s">
        <v>28</v>
      </c>
      <c r="J2" s="79" t="s">
        <v>73</v>
      </c>
      <c r="K2" s="22" t="s">
        <v>26</v>
      </c>
    </row>
    <row r="3" spans="1:11" ht="44.25" customHeight="1" x14ac:dyDescent="0.2">
      <c r="A3" s="26" t="s">
        <v>89</v>
      </c>
      <c r="B3" s="90">
        <f>Research!B3*'USD x rate'!$B$4</f>
        <v>193500</v>
      </c>
      <c r="C3" s="52"/>
      <c r="D3" s="53"/>
      <c r="E3" s="24"/>
      <c r="F3" s="24"/>
      <c r="G3" s="24"/>
      <c r="H3" s="24"/>
      <c r="I3" s="24"/>
      <c r="J3" s="80">
        <f>Research!J3*'USD x rate'!$B$4</f>
        <v>193500</v>
      </c>
      <c r="K3" s="76"/>
    </row>
    <row r="4" spans="1:11" ht="30" customHeight="1" thickBot="1" x14ac:dyDescent="0.25">
      <c r="A4" s="27" t="s">
        <v>34</v>
      </c>
      <c r="B4" s="91">
        <f>Research!B4*'USD x rate'!$B$4</f>
        <v>25800</v>
      </c>
      <c r="C4" s="54"/>
      <c r="D4" s="55"/>
      <c r="E4" s="25"/>
      <c r="F4" s="25"/>
      <c r="G4" s="25"/>
      <c r="H4" s="25"/>
      <c r="I4" s="25"/>
      <c r="J4" s="81">
        <f>Research!J4*'USD x rate'!$B$4</f>
        <v>25800</v>
      </c>
      <c r="K4" s="77"/>
    </row>
    <row r="5" spans="1:11" ht="30" customHeight="1" thickBot="1" x14ac:dyDescent="0.25">
      <c r="A5" s="121" t="s">
        <v>77</v>
      </c>
      <c r="B5" s="122">
        <f>Research!B5*'USD x rate'!$B$4</f>
        <v>90300</v>
      </c>
      <c r="C5" s="123"/>
      <c r="D5" s="124"/>
      <c r="E5" s="125"/>
      <c r="F5" s="125"/>
      <c r="G5" s="125"/>
      <c r="H5" s="125"/>
      <c r="I5" s="125"/>
      <c r="J5" s="126">
        <f>Research!J5*'USD x rate'!$B$4</f>
        <v>90300</v>
      </c>
      <c r="K5" s="127" t="s">
        <v>88</v>
      </c>
    </row>
    <row r="6" spans="1:11" ht="30" customHeight="1" thickBot="1" x14ac:dyDescent="0.25">
      <c r="A6" s="29" t="s">
        <v>21</v>
      </c>
      <c r="B6" s="30">
        <f>SUM(B3:B5)</f>
        <v>309600</v>
      </c>
      <c r="C6" s="56">
        <f t="shared" ref="C6:I6" si="0">SUM(C3:C4)</f>
        <v>0</v>
      </c>
      <c r="D6" s="28">
        <f t="shared" si="0"/>
        <v>0</v>
      </c>
      <c r="E6" s="28">
        <f t="shared" si="0"/>
        <v>0</v>
      </c>
      <c r="F6" s="28">
        <f t="shared" si="0"/>
        <v>0</v>
      </c>
      <c r="G6" s="28">
        <f t="shared" si="0"/>
        <v>0</v>
      </c>
      <c r="H6" s="28">
        <f t="shared" si="0"/>
        <v>0</v>
      </c>
      <c r="I6" s="28">
        <f t="shared" si="0"/>
        <v>0</v>
      </c>
      <c r="J6" s="82">
        <f>SUM(J3:J5)</f>
        <v>309600</v>
      </c>
      <c r="K6" s="78"/>
    </row>
  </sheetData>
  <mergeCells count="3">
    <mergeCell ref="A1:A2"/>
    <mergeCell ref="B1:B2"/>
    <mergeCell ref="C1:J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8.85546875" defaultRowHeight="15" x14ac:dyDescent="0.25"/>
  <cols>
    <col min="1" max="1" width="36.28515625" style="31" bestFit="1" customWidth="1"/>
    <col min="2" max="2" width="14.7109375" style="6" customWidth="1"/>
    <col min="3" max="3" width="9.85546875" style="31" customWidth="1"/>
    <col min="4" max="8" width="8.85546875" style="31"/>
    <col min="9" max="9" width="15.28515625" style="31" customWidth="1"/>
    <col min="10" max="10" width="53.28515625" style="9" customWidth="1"/>
    <col min="11" max="16384" width="8.85546875" style="31"/>
  </cols>
  <sheetData>
    <row r="1" spans="1:10" x14ac:dyDescent="0.25">
      <c r="A1" s="187"/>
      <c r="B1" s="189" t="s">
        <v>118</v>
      </c>
      <c r="C1" s="185" t="s">
        <v>20</v>
      </c>
      <c r="D1" s="186"/>
      <c r="E1" s="186"/>
      <c r="F1" s="186"/>
      <c r="G1" s="186"/>
      <c r="H1" s="186"/>
      <c r="I1" s="65"/>
      <c r="J1" s="35"/>
    </row>
    <row r="2" spans="1:10" ht="30.75" thickBot="1" x14ac:dyDescent="0.3">
      <c r="A2" s="188"/>
      <c r="B2" s="190"/>
      <c r="C2" s="86" t="s">
        <v>1</v>
      </c>
      <c r="D2" s="87" t="s">
        <v>2</v>
      </c>
      <c r="E2" s="87" t="s">
        <v>25</v>
      </c>
      <c r="F2" s="87" t="s">
        <v>3</v>
      </c>
      <c r="G2" s="88" t="s">
        <v>29</v>
      </c>
      <c r="H2" s="88" t="s">
        <v>28</v>
      </c>
      <c r="I2" s="87" t="s">
        <v>73</v>
      </c>
      <c r="J2" s="36" t="s">
        <v>26</v>
      </c>
    </row>
    <row r="3" spans="1:10" ht="40.5" customHeight="1" x14ac:dyDescent="0.2">
      <c r="A3" s="37" t="s">
        <v>22</v>
      </c>
      <c r="B3" s="38">
        <f>'Central costs'!B3*'USD x rate'!$B$4</f>
        <v>2195867.5281000007</v>
      </c>
      <c r="C3" s="39">
        <f>'Central costs'!C3*'USD x rate'!$B$4</f>
        <v>1211676.7986000001</v>
      </c>
      <c r="D3" s="40">
        <f>'Central costs'!D3*'USD x rate'!$B$4</f>
        <v>33956.850599999998</v>
      </c>
      <c r="E3" s="40">
        <f>'Central costs'!E3*'USD x rate'!$B$4</f>
        <v>31256.9967</v>
      </c>
      <c r="F3" s="40">
        <f>'Central costs'!F3*'USD x rate'!$B$4</f>
        <v>49944.93</v>
      </c>
      <c r="G3" s="40">
        <f>'Central costs'!G3*'USD x rate'!$B$4</f>
        <v>0</v>
      </c>
      <c r="H3" s="40">
        <f>'Central costs'!H3*'USD x rate'!$B$4</f>
        <v>20605.782749999998</v>
      </c>
      <c r="I3" s="83">
        <f>B3-SUM(C3:H3)</f>
        <v>848426.16945000063</v>
      </c>
      <c r="J3" s="41"/>
    </row>
    <row r="4" spans="1:10" ht="64.5" customHeight="1" x14ac:dyDescent="0.2">
      <c r="A4" s="42" t="s">
        <v>79</v>
      </c>
      <c r="B4" s="43">
        <f>'Central costs'!B4*'USD x rate'!$B$4</f>
        <v>464400</v>
      </c>
      <c r="C4" s="44">
        <f>'Central costs'!C4*'USD x rate'!$B$4</f>
        <v>240226.21133378378</v>
      </c>
      <c r="D4" s="45">
        <f>'Central costs'!D4*'USD x rate'!$B$4</f>
        <v>12900</v>
      </c>
      <c r="E4" s="45">
        <f>'Central costs'!E4*'USD x rate'!$B$4</f>
        <v>18428.571428571431</v>
      </c>
      <c r="F4" s="45">
        <f>'Central costs'!F4*'USD x rate'!$B$4</f>
        <v>17892.3</v>
      </c>
      <c r="G4" s="45">
        <f>'Central costs'!G4*'USD x rate'!$B$4</f>
        <v>0</v>
      </c>
      <c r="H4" s="45">
        <f>'Central costs'!H4*'USD x rate'!$B$4</f>
        <v>8772</v>
      </c>
      <c r="I4" s="84">
        <f>B4-SUM(C4:H4)</f>
        <v>166180.91723764478</v>
      </c>
      <c r="J4" s="46" t="s">
        <v>58</v>
      </c>
    </row>
    <row r="5" spans="1:10" ht="64.5" customHeight="1" x14ac:dyDescent="0.2">
      <c r="A5" s="42" t="s">
        <v>78</v>
      </c>
      <c r="B5" s="43">
        <f>'Central costs'!B5*'USD x rate'!$B$4</f>
        <v>119970</v>
      </c>
      <c r="C5" s="44"/>
      <c r="D5" s="45"/>
      <c r="E5" s="45"/>
      <c r="F5" s="45"/>
      <c r="G5" s="45"/>
      <c r="H5" s="45"/>
      <c r="I5" s="84">
        <f>B5-SUM(C5:H5)</f>
        <v>119970</v>
      </c>
      <c r="J5" s="46" t="s">
        <v>69</v>
      </c>
    </row>
    <row r="6" spans="1:10" ht="64.5" customHeight="1" x14ac:dyDescent="0.2">
      <c r="A6" s="42" t="s">
        <v>57</v>
      </c>
      <c r="B6" s="43">
        <f>'Central costs'!B6*'USD x rate'!$B$4</f>
        <v>38700</v>
      </c>
      <c r="C6" s="44"/>
      <c r="D6" s="45"/>
      <c r="E6" s="45"/>
      <c r="F6" s="45"/>
      <c r="G6" s="45"/>
      <c r="H6" s="45"/>
      <c r="I6" s="84">
        <f>B6-SUM(C6:H6)</f>
        <v>38700</v>
      </c>
      <c r="J6" s="46"/>
    </row>
    <row r="7" spans="1:10" ht="76.5" customHeight="1" x14ac:dyDescent="0.2">
      <c r="A7" s="42" t="s">
        <v>62</v>
      </c>
      <c r="B7" s="43">
        <f>'Central costs'!B7*'USD x rate'!$B$4</f>
        <v>9030</v>
      </c>
      <c r="C7" s="44"/>
      <c r="D7" s="45"/>
      <c r="E7" s="45"/>
      <c r="F7" s="45"/>
      <c r="G7" s="45"/>
      <c r="H7" s="45"/>
      <c r="I7" s="84">
        <f>B7-SUM(C7:H7)</f>
        <v>9030</v>
      </c>
      <c r="J7" s="46" t="s">
        <v>51</v>
      </c>
    </row>
    <row r="8" spans="1:10" ht="76.5" customHeight="1" x14ac:dyDescent="0.2">
      <c r="A8" s="42" t="s">
        <v>75</v>
      </c>
      <c r="B8" s="43">
        <f>'Central costs'!B8*'USD x rate'!$B$4</f>
        <v>4566.6000000000004</v>
      </c>
      <c r="C8" s="44"/>
      <c r="D8" s="45"/>
      <c r="E8" s="45"/>
      <c r="F8" s="45"/>
      <c r="G8" s="45"/>
      <c r="H8" s="45"/>
      <c r="I8" s="84">
        <f>B8</f>
        <v>4566.6000000000004</v>
      </c>
      <c r="J8" s="46"/>
    </row>
    <row r="9" spans="1:10" ht="76.5" customHeight="1" x14ac:dyDescent="0.2">
      <c r="A9" s="42" t="s">
        <v>70</v>
      </c>
      <c r="B9" s="43">
        <f>'Central costs'!B9*'USD x rate'!$B$4</f>
        <v>45150</v>
      </c>
      <c r="C9" s="44"/>
      <c r="D9" s="45"/>
      <c r="E9" s="45"/>
      <c r="F9" s="45"/>
      <c r="G9" s="45"/>
      <c r="H9" s="45"/>
      <c r="I9" s="84">
        <f>B9-SUM(C9:H9)</f>
        <v>45150</v>
      </c>
      <c r="J9" s="46"/>
    </row>
    <row r="10" spans="1:10" ht="52.5" customHeight="1" x14ac:dyDescent="0.2">
      <c r="A10" s="42" t="s">
        <v>35</v>
      </c>
      <c r="B10" s="43">
        <f>'Central costs'!B10*'USD x rate'!$B$4</f>
        <v>6450</v>
      </c>
      <c r="C10" s="44"/>
      <c r="D10" s="45"/>
      <c r="E10" s="45"/>
      <c r="F10" s="45"/>
      <c r="G10" s="45"/>
      <c r="H10" s="45"/>
      <c r="I10" s="84">
        <f>B10-SUM(C10:H10)</f>
        <v>6450</v>
      </c>
      <c r="J10" s="46" t="s">
        <v>52</v>
      </c>
    </row>
    <row r="11" spans="1:10" ht="40.5" customHeight="1" x14ac:dyDescent="0.25">
      <c r="A11" s="42" t="s">
        <v>23</v>
      </c>
      <c r="B11" s="43">
        <f>'Central costs'!B11*'USD x rate'!$B$4</f>
        <v>64500</v>
      </c>
      <c r="C11" s="44"/>
      <c r="D11" s="45"/>
      <c r="E11" s="45"/>
      <c r="F11" s="47">
        <f>'Central costs'!F11*'USD x rate'!$B$4</f>
        <v>4961.34</v>
      </c>
      <c r="G11" s="45"/>
      <c r="H11" s="45"/>
      <c r="I11" s="84">
        <f>B11-SUM(C11:H11)</f>
        <v>59538.66</v>
      </c>
      <c r="J11" s="46" t="s">
        <v>72</v>
      </c>
    </row>
    <row r="12" spans="1:10" ht="40.5" customHeight="1" x14ac:dyDescent="0.25">
      <c r="A12" s="42" t="s">
        <v>81</v>
      </c>
      <c r="B12" s="43">
        <f>'Central costs'!B12*'USD x rate'!$B$4</f>
        <v>15480</v>
      </c>
      <c r="C12" s="44"/>
      <c r="D12" s="45"/>
      <c r="E12" s="45"/>
      <c r="F12" s="45"/>
      <c r="G12" s="45"/>
      <c r="H12" s="45"/>
      <c r="I12" s="84">
        <f>B12-SUM(C12:H12)</f>
        <v>15480</v>
      </c>
      <c r="J12" s="46" t="s">
        <v>82</v>
      </c>
    </row>
    <row r="13" spans="1:10" ht="40.5" customHeight="1" x14ac:dyDescent="0.25">
      <c r="A13" s="42" t="s">
        <v>80</v>
      </c>
      <c r="B13" s="43">
        <f>'Central costs'!B13*'USD x rate'!$B$4</f>
        <v>9675</v>
      </c>
      <c r="C13" s="44"/>
      <c r="D13" s="45"/>
      <c r="E13" s="45"/>
      <c r="F13" s="45"/>
      <c r="G13" s="45"/>
      <c r="H13" s="45"/>
      <c r="I13" s="84">
        <f>B13</f>
        <v>9675</v>
      </c>
      <c r="J13" s="46" t="s">
        <v>85</v>
      </c>
    </row>
    <row r="14" spans="1:10" ht="40.5" customHeight="1" x14ac:dyDescent="0.25">
      <c r="A14" s="42" t="s">
        <v>83</v>
      </c>
      <c r="B14" s="43">
        <f>'Central costs'!B14*'USD x rate'!$B$4</f>
        <v>6450</v>
      </c>
      <c r="C14" s="44"/>
      <c r="D14" s="45"/>
      <c r="E14" s="45"/>
      <c r="F14" s="45"/>
      <c r="G14" s="45"/>
      <c r="H14" s="45"/>
      <c r="I14" s="84">
        <f>B14</f>
        <v>6450</v>
      </c>
      <c r="J14" s="46"/>
    </row>
    <row r="15" spans="1:10" ht="40.5" customHeight="1" x14ac:dyDescent="0.25">
      <c r="A15" s="42" t="s">
        <v>53</v>
      </c>
      <c r="B15" s="128">
        <f>'Central costs'!B15*'USD x rate'!$B$4</f>
        <v>103200</v>
      </c>
      <c r="C15" s="44"/>
      <c r="D15" s="45"/>
      <c r="E15" s="45"/>
      <c r="F15" s="45"/>
      <c r="G15" s="45"/>
      <c r="H15" s="45"/>
      <c r="I15" s="84">
        <f>B15-SUM(C15:H15)</f>
        <v>103200</v>
      </c>
      <c r="J15" s="46" t="s">
        <v>71</v>
      </c>
    </row>
    <row r="16" spans="1:10" ht="46.5" customHeight="1" x14ac:dyDescent="0.25">
      <c r="A16" s="42" t="s">
        <v>67</v>
      </c>
      <c r="B16" s="43">
        <f>'Central costs'!B16*'USD x rate'!$B$4</f>
        <v>3870</v>
      </c>
      <c r="C16" s="48"/>
      <c r="D16" s="49"/>
      <c r="E16" s="45"/>
      <c r="F16" s="45"/>
      <c r="G16" s="49"/>
      <c r="H16" s="49"/>
      <c r="I16" s="84">
        <f>B16-SUM(C16:H16)</f>
        <v>3870</v>
      </c>
      <c r="J16" s="46" t="s">
        <v>84</v>
      </c>
    </row>
    <row r="17" spans="1:10" ht="33.75" customHeight="1" x14ac:dyDescent="0.25">
      <c r="A17" s="42" t="s">
        <v>61</v>
      </c>
      <c r="B17" s="43">
        <f>'Central costs'!B17*'USD x rate'!$B$4</f>
        <v>64500</v>
      </c>
      <c r="C17" s="92"/>
      <c r="D17" s="93"/>
      <c r="E17" s="93"/>
      <c r="F17" s="93"/>
      <c r="G17" s="93"/>
      <c r="H17" s="93"/>
      <c r="I17" s="84">
        <f>B17-SUM(C17:H17)</f>
        <v>64500</v>
      </c>
      <c r="J17" s="46"/>
    </row>
    <row r="18" spans="1:10" ht="33.75" customHeight="1" x14ac:dyDescent="0.25">
      <c r="A18" s="160" t="s">
        <v>108</v>
      </c>
      <c r="B18" s="161">
        <f>'Central costs'!B18*'USD x rate'!$B$4</f>
        <v>32250</v>
      </c>
      <c r="C18" s="162"/>
      <c r="D18" s="162"/>
      <c r="E18" s="162"/>
      <c r="F18" s="162"/>
      <c r="G18" s="162"/>
      <c r="H18" s="162"/>
      <c r="I18" s="163">
        <f>B18</f>
        <v>32250</v>
      </c>
      <c r="J18" s="164"/>
    </row>
    <row r="19" spans="1:10" ht="33.75" customHeight="1" thickBot="1" x14ac:dyDescent="0.3">
      <c r="A19" s="94" t="s">
        <v>59</v>
      </c>
      <c r="B19" s="95">
        <f>'Central costs'!B19*'USD x rate'!$B$4</f>
        <v>38700</v>
      </c>
      <c r="C19" s="96"/>
      <c r="D19" s="96"/>
      <c r="E19" s="96"/>
      <c r="F19" s="96"/>
      <c r="G19" s="96"/>
      <c r="H19" s="96"/>
      <c r="I19" s="97">
        <f>B19</f>
        <v>38700</v>
      </c>
      <c r="J19" s="98" t="s">
        <v>63</v>
      </c>
    </row>
    <row r="20" spans="1:10" s="3" customFormat="1" ht="29.25" customHeight="1" thickBot="1" x14ac:dyDescent="0.3">
      <c r="A20" s="68" t="s">
        <v>36</v>
      </c>
      <c r="B20" s="69">
        <f>SUM(B3:B19)</f>
        <v>3222759.1281000008</v>
      </c>
      <c r="C20" s="70">
        <f>SUM(C3:C17)</f>
        <v>1451903.0099337839</v>
      </c>
      <c r="D20" s="70">
        <f>SUM(D3:D17)</f>
        <v>46856.850599999998</v>
      </c>
      <c r="E20" s="70">
        <f>SUM(E3:E17)</f>
        <v>49685.568128571431</v>
      </c>
      <c r="F20" s="70">
        <f>SUM(F3:F19)</f>
        <v>72798.569999999992</v>
      </c>
      <c r="G20" s="70">
        <f>SUM(G3:G17)</f>
        <v>0</v>
      </c>
      <c r="H20" s="70">
        <f>SUM(H3:H17)</f>
        <v>29377.782749999998</v>
      </c>
      <c r="I20" s="85">
        <f>SUM(I3:I19)</f>
        <v>1572137.3466876454</v>
      </c>
      <c r="J20" s="71"/>
    </row>
    <row r="21" spans="1:10" x14ac:dyDescent="0.25">
      <c r="C21" s="4"/>
      <c r="D21" s="4"/>
      <c r="E21" s="4"/>
      <c r="F21" s="4"/>
      <c r="G21" s="4"/>
      <c r="H21" s="4"/>
      <c r="I21" s="4"/>
    </row>
    <row r="22" spans="1:10" x14ac:dyDescent="0.25">
      <c r="C22" s="4"/>
      <c r="D22" s="4"/>
      <c r="E22" s="4"/>
      <c r="F22" s="4"/>
      <c r="G22" s="4"/>
      <c r="H22" s="4"/>
      <c r="I22" s="4"/>
    </row>
    <row r="23" spans="1:10" x14ac:dyDescent="0.25">
      <c r="C23" s="4"/>
      <c r="D23" s="4"/>
      <c r="E23" s="4"/>
      <c r="F23" s="4"/>
      <c r="G23" s="4"/>
      <c r="H23" s="4"/>
      <c r="I23" s="4"/>
    </row>
    <row r="24" spans="1:10" x14ac:dyDescent="0.25">
      <c r="C24" s="4"/>
      <c r="D24" s="4"/>
      <c r="E24" s="4"/>
      <c r="F24" s="4"/>
      <c r="G24" s="4"/>
      <c r="H24" s="4"/>
      <c r="I24" s="4"/>
    </row>
    <row r="25" spans="1:10" x14ac:dyDescent="0.25">
      <c r="C25" s="4"/>
      <c r="D25" s="4"/>
      <c r="E25" s="4"/>
      <c r="F25" s="4"/>
      <c r="G25" s="4"/>
      <c r="H25" s="4"/>
      <c r="I25" s="4"/>
    </row>
    <row r="26" spans="1:10" x14ac:dyDescent="0.25">
      <c r="C26" s="4"/>
      <c r="D26" s="4"/>
      <c r="E26" s="4"/>
      <c r="F26" s="4"/>
      <c r="G26" s="4"/>
      <c r="H26" s="4"/>
      <c r="I26" s="4"/>
    </row>
    <row r="27" spans="1:10" x14ac:dyDescent="0.25">
      <c r="C27" s="4"/>
      <c r="D27" s="4"/>
      <c r="E27" s="4"/>
      <c r="F27" s="4"/>
      <c r="G27" s="4"/>
      <c r="H27" s="4"/>
      <c r="I27" s="4"/>
    </row>
    <row r="28" spans="1:10" x14ac:dyDescent="0.25">
      <c r="C28" s="4"/>
      <c r="D28" s="4"/>
      <c r="E28" s="4"/>
      <c r="F28" s="4"/>
      <c r="G28" s="4"/>
      <c r="H28" s="4"/>
      <c r="I28" s="4"/>
    </row>
    <row r="29" spans="1:10" x14ac:dyDescent="0.25">
      <c r="C29" s="5"/>
      <c r="D29" s="5"/>
      <c r="E29" s="5"/>
      <c r="F29" s="5"/>
      <c r="G29" s="5"/>
      <c r="H29" s="5"/>
      <c r="I29" s="5"/>
    </row>
    <row r="30" spans="1:10" x14ac:dyDescent="0.25">
      <c r="C30" s="4"/>
      <c r="D30" s="4"/>
      <c r="E30" s="4"/>
      <c r="F30" s="4"/>
      <c r="G30" s="4"/>
      <c r="H30" s="4"/>
      <c r="I30" s="4"/>
    </row>
    <row r="31" spans="1:10" x14ac:dyDescent="0.25">
      <c r="C31" s="4"/>
      <c r="D31" s="4"/>
      <c r="E31" s="4"/>
      <c r="F31" s="4"/>
      <c r="G31" s="4"/>
      <c r="H31" s="4"/>
      <c r="I31" s="4"/>
    </row>
    <row r="32" spans="1:10" x14ac:dyDescent="0.25">
      <c r="C32" s="4"/>
      <c r="D32" s="4"/>
      <c r="E32" s="4"/>
      <c r="F32" s="4"/>
      <c r="G32" s="4"/>
      <c r="H32" s="4"/>
      <c r="I32" s="4"/>
    </row>
    <row r="33" spans="3:9" x14ac:dyDescent="0.25">
      <c r="C33" s="4"/>
      <c r="D33" s="4"/>
      <c r="E33" s="4"/>
      <c r="F33" s="4"/>
      <c r="G33" s="4"/>
      <c r="H33" s="4"/>
      <c r="I33" s="4"/>
    </row>
    <row r="34" spans="3:9" x14ac:dyDescent="0.25">
      <c r="C34" s="4"/>
      <c r="D34" s="4"/>
      <c r="E34" s="4"/>
      <c r="F34" s="4"/>
      <c r="G34" s="4"/>
      <c r="H34" s="4"/>
      <c r="I34" s="4"/>
    </row>
    <row r="35" spans="3:9" x14ac:dyDescent="0.25">
      <c r="C35" s="4"/>
      <c r="D35" s="4"/>
      <c r="E35" s="4"/>
      <c r="F35" s="4"/>
      <c r="G35" s="4"/>
      <c r="H35" s="4"/>
      <c r="I35" s="4"/>
    </row>
    <row r="36" spans="3:9" x14ac:dyDescent="0.25">
      <c r="C36" s="4"/>
      <c r="D36" s="4"/>
      <c r="E36" s="4"/>
      <c r="F36" s="4"/>
      <c r="G36" s="4"/>
      <c r="H36" s="4"/>
      <c r="I36" s="4"/>
    </row>
    <row r="37" spans="3:9" x14ac:dyDescent="0.25">
      <c r="C37" s="4"/>
      <c r="D37" s="4"/>
      <c r="E37" s="4"/>
      <c r="F37" s="4"/>
      <c r="G37" s="4"/>
      <c r="H37" s="4"/>
      <c r="I37" s="4"/>
    </row>
  </sheetData>
  <mergeCells count="3">
    <mergeCell ref="A1:A2"/>
    <mergeCell ref="B1:B2"/>
    <mergeCell ref="C1:H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"/>
  <sheetViews>
    <sheetView workbookViewId="0"/>
  </sheetViews>
  <sheetFormatPr defaultColWidth="8.85546875" defaultRowHeight="15" x14ac:dyDescent="0.25"/>
  <cols>
    <col min="1" max="1" width="30.140625" customWidth="1"/>
    <col min="2" max="2" width="13.7109375" customWidth="1"/>
    <col min="3" max="3" width="43.140625" style="9" customWidth="1"/>
    <col min="9" max="9" width="20.85546875" customWidth="1"/>
  </cols>
  <sheetData>
    <row r="1" spans="1:5" ht="45" customHeight="1" thickBot="1" x14ac:dyDescent="0.25">
      <c r="A1" s="34"/>
      <c r="B1" s="62" t="s">
        <v>43</v>
      </c>
      <c r="C1" s="63" t="s">
        <v>44</v>
      </c>
    </row>
    <row r="2" spans="1:5" s="31" customFormat="1" ht="45" customHeight="1" x14ac:dyDescent="0.25">
      <c r="A2" s="72" t="s">
        <v>73</v>
      </c>
      <c r="B2" s="144">
        <f>466440+2441009+180000+10809960</f>
        <v>13897409</v>
      </c>
      <c r="C2" s="129" t="s">
        <v>107</v>
      </c>
    </row>
    <row r="3" spans="1:5" ht="45" customHeight="1" x14ac:dyDescent="0.2">
      <c r="A3" s="33" t="s">
        <v>30</v>
      </c>
      <c r="B3" s="101">
        <f>4398701+'Rolled over budget'!C13</f>
        <v>5285582</v>
      </c>
      <c r="C3" s="61" t="s">
        <v>45</v>
      </c>
      <c r="E3" s="6"/>
    </row>
    <row r="4" spans="1:5" ht="53.25" customHeight="1" x14ac:dyDescent="0.2">
      <c r="A4" s="33" t="s">
        <v>31</v>
      </c>
      <c r="B4" s="101">
        <f>308754+'Rolled over budget'!D13</f>
        <v>322880</v>
      </c>
      <c r="C4" s="61" t="s">
        <v>46</v>
      </c>
      <c r="E4" s="6"/>
    </row>
    <row r="5" spans="1:5" ht="81" customHeight="1" x14ac:dyDescent="0.2">
      <c r="A5" s="33" t="s">
        <v>32</v>
      </c>
      <c r="B5" s="101">
        <f>(303557.22+13681.71)/1.75</f>
        <v>181279.38857142857</v>
      </c>
      <c r="C5" s="61" t="s">
        <v>49</v>
      </c>
      <c r="E5" s="6"/>
    </row>
    <row r="6" spans="1:5" ht="90" x14ac:dyDescent="0.2">
      <c r="A6" s="33" t="s">
        <v>33</v>
      </c>
      <c r="B6" s="101">
        <f>139488-9231+52200+3100+'Rolled over budget'!F13</f>
        <v>324670</v>
      </c>
      <c r="C6" s="61" t="s">
        <v>55</v>
      </c>
      <c r="D6" s="6"/>
      <c r="E6" s="6"/>
    </row>
    <row r="7" spans="1:5" ht="33" customHeight="1" x14ac:dyDescent="0.2">
      <c r="A7" s="33" t="s">
        <v>48</v>
      </c>
      <c r="B7" s="101">
        <v>0</v>
      </c>
      <c r="C7" s="61" t="s">
        <v>68</v>
      </c>
    </row>
    <row r="8" spans="1:5" ht="52.5" customHeight="1" thickBot="1" x14ac:dyDescent="0.25">
      <c r="A8" s="59" t="s">
        <v>47</v>
      </c>
      <c r="B8" s="102">
        <f>'Central costs'!H20</f>
        <v>22773.474999999999</v>
      </c>
      <c r="C8" s="64" t="s">
        <v>50</v>
      </c>
    </row>
    <row r="9" spans="1:5" ht="40.5" customHeight="1" thickBot="1" x14ac:dyDescent="0.25">
      <c r="A9" s="73" t="s">
        <v>36</v>
      </c>
      <c r="B9" s="103">
        <f>SUM(B2:B8)</f>
        <v>20034593.863571431</v>
      </c>
      <c r="C9" s="74"/>
    </row>
    <row r="11" spans="1:5" x14ac:dyDescent="0.25">
      <c r="B11" s="6"/>
    </row>
  </sheetData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6"/>
  <sheetViews>
    <sheetView zoomScaleNormal="100" zoomScalePageLayoutView="130" workbookViewId="0">
      <pane xSplit="1" ySplit="3" topLeftCell="B9" activePane="bottomRight" state="frozen"/>
      <selection activeCell="O11" sqref="O11"/>
      <selection pane="topRight" activeCell="O11" sqref="O11"/>
      <selection pane="bottomLeft" activeCell="O11" sqref="O11"/>
      <selection pane="bottomRight"/>
    </sheetView>
  </sheetViews>
  <sheetFormatPr defaultColWidth="8.85546875" defaultRowHeight="15" x14ac:dyDescent="0.25"/>
  <cols>
    <col min="1" max="1" width="13.7109375" style="31" customWidth="1"/>
    <col min="2" max="2" width="14" style="12" customWidth="1"/>
    <col min="3" max="3" width="13.7109375" style="13" customWidth="1"/>
    <col min="4" max="4" width="13.7109375" style="12" customWidth="1"/>
    <col min="5" max="5" width="14.140625" style="13" customWidth="1"/>
    <col min="6" max="7" width="14.85546875" style="13" customWidth="1"/>
    <col min="8" max="8" width="14.7109375" style="13" customWidth="1"/>
    <col min="9" max="10" width="18.42578125" style="13" customWidth="1"/>
    <col min="11" max="11" width="36.7109375" style="9" customWidth="1"/>
    <col min="12" max="12" width="50" style="31" customWidth="1"/>
    <col min="13" max="13" width="18.7109375" style="31" customWidth="1"/>
    <col min="14" max="16384" width="8.85546875" style="31"/>
  </cols>
  <sheetData>
    <row r="1" spans="1:12" ht="15.95" thickBot="1" x14ac:dyDescent="0.25"/>
    <row r="2" spans="1:12" ht="30" customHeight="1" x14ac:dyDescent="0.25">
      <c r="A2" s="168" t="s">
        <v>0</v>
      </c>
      <c r="B2" s="170" t="s">
        <v>64</v>
      </c>
      <c r="C2" s="172" t="s">
        <v>74</v>
      </c>
      <c r="D2" s="174" t="s">
        <v>56</v>
      </c>
      <c r="E2" s="176" t="s">
        <v>20</v>
      </c>
      <c r="F2" s="177"/>
      <c r="G2" s="177"/>
      <c r="H2" s="177"/>
      <c r="I2" s="177"/>
      <c r="J2" s="117"/>
      <c r="K2" s="168" t="s">
        <v>44</v>
      </c>
    </row>
    <row r="3" spans="1:12" ht="30" customHeight="1" thickBot="1" x14ac:dyDescent="0.3">
      <c r="A3" s="169"/>
      <c r="B3" s="171"/>
      <c r="C3" s="173"/>
      <c r="D3" s="175"/>
      <c r="E3" s="118" t="s">
        <v>1</v>
      </c>
      <c r="F3" s="88" t="s">
        <v>2</v>
      </c>
      <c r="G3" s="88" t="s">
        <v>25</v>
      </c>
      <c r="H3" s="89" t="s">
        <v>3</v>
      </c>
      <c r="I3" s="88" t="s">
        <v>66</v>
      </c>
      <c r="J3" s="109" t="s">
        <v>65</v>
      </c>
      <c r="K3" s="169"/>
    </row>
    <row r="4" spans="1:12" ht="30" customHeight="1" x14ac:dyDescent="0.2">
      <c r="A4" s="130" t="s">
        <v>109</v>
      </c>
      <c r="B4" s="131"/>
      <c r="C4" s="165">
        <v>136459</v>
      </c>
      <c r="D4" s="133"/>
      <c r="E4" s="134">
        <f>C4</f>
        <v>136459</v>
      </c>
      <c r="F4" s="132"/>
      <c r="G4" s="132"/>
      <c r="H4" s="132"/>
      <c r="I4" s="132"/>
      <c r="J4" s="135"/>
      <c r="K4" s="130"/>
    </row>
    <row r="5" spans="1:12" ht="30" customHeight="1" x14ac:dyDescent="0.2">
      <c r="A5" s="32" t="s">
        <v>15</v>
      </c>
      <c r="B5" s="111">
        <f>951819</f>
        <v>951819</v>
      </c>
      <c r="C5" s="106">
        <v>139441</v>
      </c>
      <c r="D5" s="115">
        <f>C5/B5</f>
        <v>0.14649949202526952</v>
      </c>
      <c r="E5" s="119"/>
      <c r="F5" s="14"/>
      <c r="G5" s="14"/>
      <c r="H5" s="14"/>
      <c r="I5" s="104"/>
      <c r="J5" s="136">
        <f>C5</f>
        <v>139441</v>
      </c>
      <c r="K5" s="105" t="s">
        <v>86</v>
      </c>
    </row>
    <row r="6" spans="1:12" ht="45" x14ac:dyDescent="0.2">
      <c r="A6" s="1" t="s">
        <v>5</v>
      </c>
      <c r="B6" s="111">
        <v>2625544</v>
      </c>
      <c r="C6" s="147">
        <v>629951</v>
      </c>
      <c r="D6" s="115">
        <f t="shared" ref="D6:D21" si="0">C6/B6</f>
        <v>0.23993161036341421</v>
      </c>
      <c r="E6" s="119">
        <v>445000</v>
      </c>
      <c r="F6" s="14"/>
      <c r="G6" s="14"/>
      <c r="H6" s="14"/>
      <c r="I6" s="104">
        <f>C6-E6</f>
        <v>184951</v>
      </c>
      <c r="J6" s="136"/>
      <c r="K6" s="66" t="s">
        <v>92</v>
      </c>
    </row>
    <row r="7" spans="1:12" ht="45" x14ac:dyDescent="0.2">
      <c r="A7" s="1" t="s">
        <v>13</v>
      </c>
      <c r="B7" s="111">
        <v>11000000</v>
      </c>
      <c r="C7" s="145">
        <v>1750000</v>
      </c>
      <c r="D7" s="115">
        <f t="shared" si="0"/>
        <v>0.15909090909090909</v>
      </c>
      <c r="E7" s="119">
        <v>500880</v>
      </c>
      <c r="F7" s="14"/>
      <c r="G7" s="14"/>
      <c r="H7" s="14"/>
      <c r="I7" s="104">
        <f>C7-E7</f>
        <v>1249120</v>
      </c>
      <c r="J7" s="137"/>
      <c r="K7" s="66" t="s">
        <v>96</v>
      </c>
    </row>
    <row r="8" spans="1:12" ht="75" x14ac:dyDescent="0.2">
      <c r="A8" s="1" t="s">
        <v>14</v>
      </c>
      <c r="B8" s="20">
        <v>16400000</v>
      </c>
      <c r="C8" s="145">
        <v>1900000</v>
      </c>
      <c r="D8" s="115">
        <f t="shared" si="0"/>
        <v>0.11585365853658537</v>
      </c>
      <c r="E8" s="120">
        <v>200000</v>
      </c>
      <c r="F8" s="15"/>
      <c r="G8" s="15">
        <f>'Income analysis'!B5-'Central costs'!E20</f>
        <v>142763.4442857143</v>
      </c>
      <c r="H8" s="138"/>
      <c r="I8" s="104">
        <f>C8-E8-G8</f>
        <v>1557236.5557142857</v>
      </c>
      <c r="J8" s="137"/>
      <c r="K8" s="66" t="s">
        <v>97</v>
      </c>
    </row>
    <row r="9" spans="1:12" x14ac:dyDescent="0.2">
      <c r="A9" s="1" t="s">
        <v>6</v>
      </c>
      <c r="B9" s="112">
        <v>1362241</v>
      </c>
      <c r="C9" s="148">
        <v>381000</v>
      </c>
      <c r="D9" s="115">
        <f t="shared" si="0"/>
        <v>0.27968619355899582</v>
      </c>
      <c r="E9" s="119">
        <v>80000</v>
      </c>
      <c r="F9" s="14"/>
      <c r="G9" s="14"/>
      <c r="H9" s="14">
        <v>52200</v>
      </c>
      <c r="I9" s="104">
        <f>C9-E9-H9</f>
        <v>248800</v>
      </c>
      <c r="J9" s="136"/>
      <c r="K9" s="66" t="s">
        <v>98</v>
      </c>
      <c r="L9" s="31">
        <f>B9*0.28</f>
        <v>381427.48000000004</v>
      </c>
    </row>
    <row r="10" spans="1:12" ht="30" x14ac:dyDescent="0.2">
      <c r="A10" s="1" t="s">
        <v>16</v>
      </c>
      <c r="B10" s="6">
        <v>4460057</v>
      </c>
      <c r="C10" s="149">
        <f>1055713</f>
        <v>1055713</v>
      </c>
      <c r="D10" s="115">
        <f t="shared" si="0"/>
        <v>0.23670392553279027</v>
      </c>
      <c r="E10" s="119"/>
      <c r="F10" s="139">
        <v>272431</v>
      </c>
      <c r="G10" s="14"/>
      <c r="H10" s="14"/>
      <c r="I10" s="104">
        <f>C10-F10-J10</f>
        <v>728282</v>
      </c>
      <c r="J10" s="136">
        <v>55000</v>
      </c>
      <c r="K10" s="66" t="s">
        <v>93</v>
      </c>
      <c r="L10" s="31">
        <f>0.18*B10</f>
        <v>802810.26</v>
      </c>
    </row>
    <row r="11" spans="1:12" ht="30" x14ac:dyDescent="0.2">
      <c r="A11" s="1" t="s">
        <v>7</v>
      </c>
      <c r="B11" s="111">
        <v>8480739</v>
      </c>
      <c r="C11" s="108">
        <v>1028718</v>
      </c>
      <c r="D11" s="115">
        <f>C11/B11</f>
        <v>0.12130051402360101</v>
      </c>
      <c r="E11" s="119">
        <v>300000</v>
      </c>
      <c r="F11" s="14"/>
      <c r="G11" s="14"/>
      <c r="H11" s="14"/>
      <c r="I11" s="104">
        <f>C11-E11</f>
        <v>728718</v>
      </c>
      <c r="J11" s="136"/>
      <c r="K11" s="66" t="s">
        <v>99</v>
      </c>
    </row>
    <row r="12" spans="1:12" ht="30" customHeight="1" x14ac:dyDescent="0.2">
      <c r="A12" s="1" t="s">
        <v>19</v>
      </c>
      <c r="B12" s="111">
        <v>178734</v>
      </c>
      <c r="C12" s="108">
        <v>52897</v>
      </c>
      <c r="D12" s="115">
        <f t="shared" si="0"/>
        <v>0.29595376369353343</v>
      </c>
      <c r="E12" s="119"/>
      <c r="F12" s="14"/>
      <c r="G12" s="14"/>
      <c r="H12" s="14"/>
      <c r="I12" s="104">
        <f>C12</f>
        <v>52897</v>
      </c>
      <c r="J12" s="136"/>
      <c r="K12" s="66"/>
    </row>
    <row r="13" spans="1:12" ht="30" customHeight="1" x14ac:dyDescent="0.2">
      <c r="A13" s="1" t="s">
        <v>8</v>
      </c>
      <c r="B13" s="111">
        <v>7200000</v>
      </c>
      <c r="C13" s="145">
        <v>900000</v>
      </c>
      <c r="D13" s="115">
        <f t="shared" si="0"/>
        <v>0.125</v>
      </c>
      <c r="E13" s="119">
        <v>325608</v>
      </c>
      <c r="F13" s="14"/>
      <c r="G13" s="14"/>
      <c r="H13" s="14"/>
      <c r="I13" s="104">
        <f>C13-E13</f>
        <v>574392</v>
      </c>
      <c r="J13" s="136"/>
      <c r="K13" s="66" t="s">
        <v>100</v>
      </c>
    </row>
    <row r="14" spans="1:12" ht="31.5" customHeight="1" x14ac:dyDescent="0.2">
      <c r="A14" s="1" t="s">
        <v>11</v>
      </c>
      <c r="B14" s="111">
        <f>2038808+1546202</f>
        <v>3585010</v>
      </c>
      <c r="C14" s="146">
        <v>521696.82981973368</v>
      </c>
      <c r="D14" s="115">
        <f t="shared" si="0"/>
        <v>0.14552172234379646</v>
      </c>
      <c r="E14" s="119">
        <v>165600</v>
      </c>
      <c r="F14" s="14"/>
      <c r="G14" s="14"/>
      <c r="H14" s="14"/>
      <c r="I14" s="104">
        <f>C14-E14</f>
        <v>356096.82981973368</v>
      </c>
      <c r="J14" s="136"/>
      <c r="K14" s="66" t="s">
        <v>101</v>
      </c>
    </row>
    <row r="15" spans="1:12" ht="105" x14ac:dyDescent="0.2">
      <c r="A15" s="1" t="s">
        <v>27</v>
      </c>
      <c r="B15" s="111">
        <f>C15/0.25</f>
        <v>1600000</v>
      </c>
      <c r="C15" s="145">
        <v>400000</v>
      </c>
      <c r="D15" s="115">
        <f>C15/B15</f>
        <v>0.25</v>
      </c>
      <c r="E15" s="119"/>
      <c r="F15" s="14"/>
      <c r="G15" s="14"/>
      <c r="H15" s="14"/>
      <c r="I15" s="104">
        <f>C15</f>
        <v>400000</v>
      </c>
      <c r="J15" s="136"/>
      <c r="K15" s="66" t="s">
        <v>94</v>
      </c>
    </row>
    <row r="16" spans="1:12" ht="75" x14ac:dyDescent="0.2">
      <c r="A16" s="1" t="s">
        <v>18</v>
      </c>
      <c r="B16" s="111">
        <v>7500000</v>
      </c>
      <c r="C16" s="146">
        <f>1587283+1587283*0.06</f>
        <v>1682519.98</v>
      </c>
      <c r="D16" s="115">
        <f t="shared" si="0"/>
        <v>0.22433599733333334</v>
      </c>
      <c r="E16" s="119"/>
      <c r="F16" s="14"/>
      <c r="G16" s="14"/>
      <c r="H16" s="14"/>
      <c r="I16" s="104">
        <f>C16</f>
        <v>1682519.98</v>
      </c>
      <c r="J16" s="136"/>
      <c r="K16" s="66" t="s">
        <v>95</v>
      </c>
    </row>
    <row r="17" spans="1:12" ht="45" x14ac:dyDescent="0.25">
      <c r="A17" s="1" t="s">
        <v>9</v>
      </c>
      <c r="B17" s="112">
        <v>3950000</v>
      </c>
      <c r="C17" s="146">
        <f>B17*D17+100000</f>
        <v>1048000</v>
      </c>
      <c r="D17" s="115">
        <v>0.24</v>
      </c>
      <c r="E17" s="119">
        <v>454600</v>
      </c>
      <c r="F17" s="14"/>
      <c r="G17" s="14"/>
      <c r="H17" s="14"/>
      <c r="I17" s="104">
        <f>C17-E17</f>
        <v>593400</v>
      </c>
      <c r="J17" s="136"/>
      <c r="K17" s="66" t="s">
        <v>76</v>
      </c>
    </row>
    <row r="18" spans="1:12" ht="30" customHeight="1" x14ac:dyDescent="0.25">
      <c r="A18" s="1" t="s">
        <v>12</v>
      </c>
      <c r="B18" s="111">
        <v>6080504</v>
      </c>
      <c r="C18" s="108">
        <f>476520+3357</f>
        <v>479877</v>
      </c>
      <c r="D18" s="115">
        <f>C18/B18</f>
        <v>7.8920596055853262E-2</v>
      </c>
      <c r="E18" s="119">
        <v>290440</v>
      </c>
      <c r="F18" s="14"/>
      <c r="G18" s="14"/>
      <c r="H18" s="14"/>
      <c r="I18" s="104">
        <f>C18-E18</f>
        <v>189437</v>
      </c>
      <c r="J18" s="136"/>
      <c r="K18" s="66" t="s">
        <v>87</v>
      </c>
    </row>
    <row r="19" spans="1:12" ht="30" customHeight="1" x14ac:dyDescent="0.25">
      <c r="A19" s="1" t="s">
        <v>17</v>
      </c>
      <c r="B19" s="113">
        <v>0</v>
      </c>
      <c r="C19" s="150">
        <v>76923</v>
      </c>
      <c r="D19" s="115">
        <v>0</v>
      </c>
      <c r="E19" s="120"/>
      <c r="F19" s="15"/>
      <c r="G19" s="15"/>
      <c r="H19" s="15">
        <v>76923</v>
      </c>
      <c r="I19" s="104"/>
      <c r="J19" s="136"/>
      <c r="K19" s="66" t="s">
        <v>102</v>
      </c>
    </row>
    <row r="20" spans="1:12" ht="30" customHeight="1" x14ac:dyDescent="0.25">
      <c r="A20" s="1" t="s">
        <v>10</v>
      </c>
      <c r="B20" s="111">
        <v>2426224</v>
      </c>
      <c r="C20" s="108">
        <v>500309.38285714283</v>
      </c>
      <c r="D20" s="115">
        <f t="shared" si="0"/>
        <v>0.20620906513872703</v>
      </c>
      <c r="E20" s="119">
        <v>285600</v>
      </c>
      <c r="F20" s="14"/>
      <c r="G20" s="14"/>
      <c r="H20" s="14"/>
      <c r="I20" s="104">
        <f>C20-E20</f>
        <v>214709.38285714283</v>
      </c>
      <c r="J20" s="136"/>
      <c r="K20" s="66"/>
    </row>
    <row r="21" spans="1:12" ht="30" customHeight="1" thickBot="1" x14ac:dyDescent="0.3">
      <c r="A21" s="1" t="s">
        <v>54</v>
      </c>
      <c r="B21" s="111">
        <v>2334432</v>
      </c>
      <c r="C21" s="108">
        <v>576350.13</v>
      </c>
      <c r="D21" s="115">
        <f t="shared" si="0"/>
        <v>0.24689094820495949</v>
      </c>
      <c r="E21" s="140">
        <v>107000</v>
      </c>
      <c r="F21" s="141"/>
      <c r="G21" s="141"/>
      <c r="H21" s="141"/>
      <c r="I21" s="142">
        <f>C21-E21</f>
        <v>469350.13</v>
      </c>
      <c r="J21" s="143"/>
      <c r="K21" s="66"/>
      <c r="L21" s="6"/>
    </row>
    <row r="22" spans="1:12" ht="30" customHeight="1" thickBot="1" x14ac:dyDescent="0.3">
      <c r="A22" s="8" t="s">
        <v>21</v>
      </c>
      <c r="B22" s="21">
        <f>SUM(B5:B21)</f>
        <v>80135304</v>
      </c>
      <c r="C22" s="17">
        <f>SUM(C4:C21)</f>
        <v>13259855.322676877</v>
      </c>
      <c r="D22" s="116">
        <f>C22/B22</f>
        <v>0.16546833493857935</v>
      </c>
      <c r="E22" s="16">
        <f>SUM(E4:E21)</f>
        <v>3291187</v>
      </c>
      <c r="F22" s="17">
        <f t="shared" ref="F22:J22" si="1">SUM(F4:F21)</f>
        <v>272431</v>
      </c>
      <c r="G22" s="17">
        <f t="shared" si="1"/>
        <v>142763.4442857143</v>
      </c>
      <c r="H22" s="17">
        <f t="shared" si="1"/>
        <v>129123</v>
      </c>
      <c r="I22" s="17">
        <f t="shared" si="1"/>
        <v>9229909.8783911616</v>
      </c>
      <c r="J22" s="114">
        <f t="shared" si="1"/>
        <v>194441</v>
      </c>
      <c r="K22" s="67"/>
      <c r="L22" s="6"/>
    </row>
    <row r="23" spans="1:12" ht="37.5" customHeight="1" x14ac:dyDescent="0.25">
      <c r="L23" s="2"/>
    </row>
    <row r="24" spans="1:12" x14ac:dyDescent="0.25">
      <c r="C24" s="18"/>
    </row>
    <row r="25" spans="1:12" x14ac:dyDescent="0.25">
      <c r="D25" s="11"/>
    </row>
    <row r="26" spans="1:12" x14ac:dyDescent="0.25">
      <c r="E26" s="19"/>
      <c r="F26" s="19"/>
    </row>
  </sheetData>
  <autoFilter ref="A1:I23"/>
  <mergeCells count="6">
    <mergeCell ref="K2:K3"/>
    <mergeCell ref="A2:A3"/>
    <mergeCell ref="B2:B3"/>
    <mergeCell ref="C2:C3"/>
    <mergeCell ref="D2:D3"/>
    <mergeCell ref="E2:I2"/>
  </mergeCells>
  <pageMargins left="0.7" right="0.7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zoomScalePageLayoutView="130" workbookViewId="0">
      <pane xSplit="1" ySplit="3" topLeftCell="B4" activePane="bottomRight" state="frozen"/>
      <selection activeCell="O11" sqref="O11"/>
      <selection pane="topRight" activeCell="O11" sqref="O11"/>
      <selection pane="bottomLeft" activeCell="O11" sqref="O11"/>
      <selection pane="bottomRight"/>
    </sheetView>
  </sheetViews>
  <sheetFormatPr defaultColWidth="8.85546875" defaultRowHeight="15" x14ac:dyDescent="0.25"/>
  <cols>
    <col min="1" max="1" width="13.7109375" style="31" customWidth="1"/>
    <col min="2" max="2" width="13.7109375" style="13" customWidth="1"/>
    <col min="3" max="3" width="14.140625" style="13" customWidth="1"/>
    <col min="4" max="5" width="14.85546875" style="13" customWidth="1"/>
    <col min="6" max="6" width="14.7109375" style="13" customWidth="1"/>
    <col min="7" max="8" width="18.42578125" style="13" customWidth="1"/>
    <col min="9" max="9" width="36.7109375" style="9" customWidth="1"/>
    <col min="10" max="10" width="50" style="31" customWidth="1"/>
    <col min="11" max="11" width="18.7109375" style="6" customWidth="1"/>
    <col min="12" max="16384" width="8.85546875" style="31"/>
  </cols>
  <sheetData>
    <row r="1" spans="1:13" ht="15.95" thickBot="1" x14ac:dyDescent="0.25"/>
    <row r="2" spans="1:13" ht="30" customHeight="1" x14ac:dyDescent="0.25">
      <c r="A2" s="168" t="s">
        <v>0</v>
      </c>
      <c r="B2" s="172" t="s">
        <v>74</v>
      </c>
      <c r="C2" s="176" t="s">
        <v>20</v>
      </c>
      <c r="D2" s="177"/>
      <c r="E2" s="177"/>
      <c r="F2" s="177"/>
      <c r="G2" s="177"/>
      <c r="H2" s="117"/>
      <c r="I2" s="168" t="s">
        <v>44</v>
      </c>
    </row>
    <row r="3" spans="1:13" s="6" customFormat="1" ht="30" customHeight="1" thickBot="1" x14ac:dyDescent="0.3">
      <c r="A3" s="169"/>
      <c r="B3" s="173"/>
      <c r="C3" s="118" t="s">
        <v>1</v>
      </c>
      <c r="D3" s="88" t="s">
        <v>2</v>
      </c>
      <c r="E3" s="88" t="s">
        <v>25</v>
      </c>
      <c r="F3" s="89" t="s">
        <v>3</v>
      </c>
      <c r="G3" s="88" t="s">
        <v>66</v>
      </c>
      <c r="H3" s="109" t="s">
        <v>65</v>
      </c>
      <c r="I3" s="169"/>
      <c r="J3" s="31"/>
      <c r="L3" s="31"/>
      <c r="M3" s="31"/>
    </row>
    <row r="4" spans="1:13" s="6" customFormat="1" ht="30" customHeight="1" x14ac:dyDescent="0.2">
      <c r="A4" s="154" t="s">
        <v>15</v>
      </c>
      <c r="B4" s="156">
        <v>472</v>
      </c>
      <c r="C4" s="157"/>
      <c r="D4" s="158"/>
      <c r="E4" s="158"/>
      <c r="F4" s="159"/>
      <c r="G4" s="158">
        <v>472</v>
      </c>
      <c r="H4" s="153"/>
      <c r="I4" s="152"/>
      <c r="J4" s="31"/>
      <c r="L4" s="31"/>
      <c r="M4" s="31"/>
    </row>
    <row r="5" spans="1:13" s="6" customFormat="1" ht="30" customHeight="1" x14ac:dyDescent="0.2">
      <c r="A5" s="155" t="s">
        <v>5</v>
      </c>
      <c r="B5" s="147">
        <v>25660</v>
      </c>
      <c r="C5" s="119"/>
      <c r="D5" s="14"/>
      <c r="E5" s="14"/>
      <c r="F5" s="14"/>
      <c r="G5" s="104">
        <f>B5-C5</f>
        <v>25660</v>
      </c>
      <c r="H5" s="136"/>
      <c r="I5" s="66"/>
      <c r="J5" s="31"/>
    </row>
    <row r="6" spans="1:13" s="6" customFormat="1" ht="30" customHeight="1" x14ac:dyDescent="0.2">
      <c r="A6" s="155" t="s">
        <v>13</v>
      </c>
      <c r="B6" s="107">
        <f>84531/1.3</f>
        <v>65023.846153846149</v>
      </c>
      <c r="C6" s="119"/>
      <c r="D6" s="14"/>
      <c r="E6" s="14"/>
      <c r="F6" s="14"/>
      <c r="G6" s="104">
        <f>B6-C6</f>
        <v>65023.846153846149</v>
      </c>
      <c r="H6" s="137"/>
      <c r="I6" s="66" t="s">
        <v>103</v>
      </c>
      <c r="J6" s="31"/>
    </row>
    <row r="7" spans="1:13" s="6" customFormat="1" ht="30" customHeight="1" x14ac:dyDescent="0.2">
      <c r="A7" s="155" t="s">
        <v>14</v>
      </c>
      <c r="B7" s="107">
        <f>139113+63294</f>
        <v>202407</v>
      </c>
      <c r="C7" s="120"/>
      <c r="D7" s="15"/>
      <c r="E7" s="15"/>
      <c r="F7" s="138">
        <v>139113</v>
      </c>
      <c r="G7" s="104">
        <f>B7-SUM(C7:F7)</f>
        <v>63294</v>
      </c>
      <c r="H7" s="137"/>
      <c r="I7" s="66"/>
      <c r="J7" s="31"/>
    </row>
    <row r="8" spans="1:13" s="6" customFormat="1" ht="30" customHeight="1" x14ac:dyDescent="0.2">
      <c r="A8" s="155" t="s">
        <v>16</v>
      </c>
      <c r="B8" s="149">
        <f>14126+848</f>
        <v>14974</v>
      </c>
      <c r="C8" s="119"/>
      <c r="D8" s="139">
        <v>14126</v>
      </c>
      <c r="E8" s="14"/>
      <c r="F8" s="14"/>
      <c r="G8" s="104">
        <v>848</v>
      </c>
      <c r="H8" s="136"/>
      <c r="I8" s="66"/>
      <c r="J8" s="31"/>
    </row>
    <row r="9" spans="1:13" s="6" customFormat="1" ht="30" customHeight="1" x14ac:dyDescent="0.2">
      <c r="A9" s="155" t="s">
        <v>11</v>
      </c>
      <c r="B9" s="151">
        <f>117587+28980+14880</f>
        <v>161447</v>
      </c>
      <c r="C9" s="119">
        <f>117587+14880</f>
        <v>132467</v>
      </c>
      <c r="D9" s="14"/>
      <c r="E9" s="14"/>
      <c r="F9" s="14"/>
      <c r="G9" s="104">
        <f>28980</f>
        <v>28980</v>
      </c>
      <c r="H9" s="136"/>
      <c r="I9" s="66"/>
      <c r="J9" s="31"/>
    </row>
    <row r="10" spans="1:13" s="6" customFormat="1" ht="30" customHeight="1" x14ac:dyDescent="0.2">
      <c r="A10" s="155" t="s">
        <v>9</v>
      </c>
      <c r="B10" s="151">
        <v>610552</v>
      </c>
      <c r="C10" s="119">
        <v>459414</v>
      </c>
      <c r="D10" s="14"/>
      <c r="E10" s="14"/>
      <c r="F10" s="14"/>
      <c r="G10" s="104">
        <v>151138</v>
      </c>
      <c r="H10" s="136"/>
      <c r="I10" s="66" t="s">
        <v>104</v>
      </c>
      <c r="J10" s="31"/>
    </row>
    <row r="11" spans="1:13" s="6" customFormat="1" ht="30" customHeight="1" x14ac:dyDescent="0.2">
      <c r="A11" s="155" t="s">
        <v>10</v>
      </c>
      <c r="B11" s="108">
        <v>360268</v>
      </c>
      <c r="C11" s="119">
        <v>285000</v>
      </c>
      <c r="D11" s="14"/>
      <c r="E11" s="14"/>
      <c r="F11" s="14"/>
      <c r="G11" s="104">
        <f>B11-C11</f>
        <v>75268</v>
      </c>
      <c r="H11" s="136"/>
      <c r="I11" s="66"/>
      <c r="J11" s="31"/>
    </row>
    <row r="12" spans="1:13" s="6" customFormat="1" ht="30" customHeight="1" thickBot="1" x14ac:dyDescent="0.25">
      <c r="A12" s="155" t="s">
        <v>54</v>
      </c>
      <c r="B12" s="108">
        <v>20000</v>
      </c>
      <c r="C12" s="140">
        <v>10000</v>
      </c>
      <c r="D12" s="141"/>
      <c r="E12" s="141"/>
      <c r="F12" s="141"/>
      <c r="G12" s="142">
        <f>B12-C12</f>
        <v>10000</v>
      </c>
      <c r="H12" s="143"/>
      <c r="I12" s="66"/>
    </row>
    <row r="13" spans="1:13" s="6" customFormat="1" ht="30" customHeight="1" thickBot="1" x14ac:dyDescent="0.25">
      <c r="A13" s="8" t="s">
        <v>21</v>
      </c>
      <c r="B13" s="17">
        <f t="shared" ref="B13:G13" si="0">SUM(B4:B12)</f>
        <v>1460803.846153846</v>
      </c>
      <c r="C13" s="16">
        <f t="shared" si="0"/>
        <v>886881</v>
      </c>
      <c r="D13" s="17">
        <f t="shared" si="0"/>
        <v>14126</v>
      </c>
      <c r="E13" s="17">
        <f t="shared" si="0"/>
        <v>0</v>
      </c>
      <c r="F13" s="17">
        <f t="shared" si="0"/>
        <v>139113</v>
      </c>
      <c r="G13" s="17">
        <f t="shared" si="0"/>
        <v>420683.84615384613</v>
      </c>
      <c r="H13" s="114">
        <f>SUM(H5:H12)</f>
        <v>0</v>
      </c>
      <c r="I13" s="67"/>
    </row>
    <row r="14" spans="1:13" s="6" customFormat="1" ht="37.5" customHeight="1" x14ac:dyDescent="0.2">
      <c r="A14" s="31"/>
      <c r="B14" s="13"/>
      <c r="C14" s="13"/>
      <c r="D14" s="13"/>
      <c r="E14" s="13"/>
      <c r="F14" s="13"/>
      <c r="G14" s="13"/>
      <c r="H14" s="13"/>
      <c r="I14" s="9"/>
      <c r="J14" s="2"/>
    </row>
    <row r="15" spans="1:13" s="6" customFormat="1" x14ac:dyDescent="0.2">
      <c r="A15" s="31"/>
      <c r="B15" s="18"/>
      <c r="C15" s="13"/>
      <c r="D15" s="13"/>
      <c r="E15" s="13"/>
      <c r="F15" s="13"/>
      <c r="G15" s="13"/>
      <c r="H15" s="13"/>
      <c r="I15" s="9"/>
      <c r="J15" s="31"/>
    </row>
    <row r="16" spans="1:13" s="6" customFormat="1" x14ac:dyDescent="0.2">
      <c r="A16" s="31"/>
      <c r="B16" s="13"/>
      <c r="C16" s="13"/>
      <c r="D16" s="13"/>
      <c r="E16" s="13"/>
      <c r="F16" s="13"/>
      <c r="G16" s="13"/>
      <c r="H16" s="13"/>
      <c r="I16" s="9"/>
      <c r="J16" s="31"/>
    </row>
    <row r="17" spans="1:10" s="6" customFormat="1" x14ac:dyDescent="0.2">
      <c r="A17" s="31"/>
      <c r="B17" s="13"/>
      <c r="C17" s="19"/>
      <c r="D17" s="19"/>
      <c r="E17" s="13"/>
      <c r="F17" s="13"/>
      <c r="G17" s="13"/>
      <c r="H17" s="13"/>
      <c r="I17" s="9"/>
      <c r="J17" s="31"/>
    </row>
  </sheetData>
  <autoFilter ref="A1:G14"/>
  <mergeCells count="4">
    <mergeCell ref="A2:A3"/>
    <mergeCell ref="B2:B3"/>
    <mergeCell ref="C2:G2"/>
    <mergeCell ref="I2:I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zoomScaleNormal="100" zoomScalePageLayoutView="90" workbookViewId="0">
      <pane xSplit="1" ySplit="2" topLeftCell="B3" activePane="bottomRight" state="frozen"/>
      <selection activeCell="O11" sqref="O11"/>
      <selection pane="topRight" activeCell="O11" sqref="O11"/>
      <selection pane="bottomLeft" activeCell="O11" sqref="O11"/>
      <selection pane="bottomRight" sqref="A1:A2"/>
    </sheetView>
  </sheetViews>
  <sheetFormatPr defaultColWidth="8.85546875" defaultRowHeight="15" x14ac:dyDescent="0.25"/>
  <cols>
    <col min="1" max="1" width="19.28515625" style="10" customWidth="1"/>
    <col min="2" max="6" width="13.7109375" style="23" customWidth="1"/>
    <col min="7" max="9" width="13.85546875" style="23" customWidth="1"/>
    <col min="10" max="10" width="14.7109375" style="23" customWidth="1"/>
    <col min="11" max="11" width="70.42578125" style="23" customWidth="1"/>
    <col min="12" max="16384" width="8.85546875" style="10"/>
  </cols>
  <sheetData>
    <row r="1" spans="1:11" ht="30" customHeight="1" x14ac:dyDescent="0.25">
      <c r="A1" s="178" t="s">
        <v>0</v>
      </c>
      <c r="B1" s="180" t="s">
        <v>24</v>
      </c>
      <c r="C1" s="182" t="s">
        <v>20</v>
      </c>
      <c r="D1" s="183"/>
      <c r="E1" s="183"/>
      <c r="F1" s="183"/>
      <c r="G1" s="183"/>
      <c r="H1" s="183"/>
      <c r="I1" s="183"/>
      <c r="J1" s="184"/>
      <c r="K1" s="75"/>
    </row>
    <row r="2" spans="1:11" ht="30" customHeight="1" thickBot="1" x14ac:dyDescent="0.3">
      <c r="A2" s="179"/>
      <c r="B2" s="181"/>
      <c r="C2" s="50" t="s">
        <v>1</v>
      </c>
      <c r="D2" s="51" t="s">
        <v>2</v>
      </c>
      <c r="E2" s="7" t="s">
        <v>25</v>
      </c>
      <c r="F2" s="7" t="s">
        <v>42</v>
      </c>
      <c r="G2" s="7" t="s">
        <v>4</v>
      </c>
      <c r="H2" s="7" t="s">
        <v>29</v>
      </c>
      <c r="I2" s="7" t="s">
        <v>28</v>
      </c>
      <c r="J2" s="79" t="s">
        <v>73</v>
      </c>
      <c r="K2" s="22" t="s">
        <v>26</v>
      </c>
    </row>
    <row r="3" spans="1:11" ht="44.25" customHeight="1" x14ac:dyDescent="0.2">
      <c r="A3" s="26" t="s">
        <v>89</v>
      </c>
      <c r="B3" s="90">
        <v>150000</v>
      </c>
      <c r="C3" s="52"/>
      <c r="D3" s="53"/>
      <c r="E3" s="24"/>
      <c r="F3" s="24"/>
      <c r="G3" s="24"/>
      <c r="H3" s="24"/>
      <c r="I3" s="24"/>
      <c r="J3" s="80">
        <f>B3</f>
        <v>150000</v>
      </c>
      <c r="K3" s="76"/>
    </row>
    <row r="4" spans="1:11" ht="30" customHeight="1" thickBot="1" x14ac:dyDescent="0.25">
      <c r="A4" s="27" t="s">
        <v>34</v>
      </c>
      <c r="B4" s="91">
        <v>20000</v>
      </c>
      <c r="C4" s="54"/>
      <c r="D4" s="55"/>
      <c r="E4" s="25"/>
      <c r="F4" s="25"/>
      <c r="G4" s="25"/>
      <c r="H4" s="25"/>
      <c r="I4" s="25"/>
      <c r="J4" s="81">
        <v>20000</v>
      </c>
      <c r="K4" s="77"/>
    </row>
    <row r="5" spans="1:11" ht="30" customHeight="1" thickBot="1" x14ac:dyDescent="0.25">
      <c r="A5" s="121" t="s">
        <v>77</v>
      </c>
      <c r="B5" s="122">
        <v>70000</v>
      </c>
      <c r="C5" s="123"/>
      <c r="D5" s="124"/>
      <c r="E5" s="125"/>
      <c r="F5" s="125"/>
      <c r="G5" s="125"/>
      <c r="H5" s="125"/>
      <c r="I5" s="125"/>
      <c r="J5" s="126">
        <f>B5</f>
        <v>70000</v>
      </c>
      <c r="K5" s="127" t="s">
        <v>88</v>
      </c>
    </row>
    <row r="6" spans="1:11" ht="30" customHeight="1" thickBot="1" x14ac:dyDescent="0.25">
      <c r="A6" s="29" t="s">
        <v>21</v>
      </c>
      <c r="B6" s="30">
        <f>SUM(B3:B5)</f>
        <v>240000</v>
      </c>
      <c r="C6" s="56">
        <f t="shared" ref="C6:I6" si="0">SUM(C3:C4)</f>
        <v>0</v>
      </c>
      <c r="D6" s="28">
        <f t="shared" si="0"/>
        <v>0</v>
      </c>
      <c r="E6" s="28">
        <f t="shared" si="0"/>
        <v>0</v>
      </c>
      <c r="F6" s="28">
        <f t="shared" si="0"/>
        <v>0</v>
      </c>
      <c r="G6" s="28">
        <f t="shared" si="0"/>
        <v>0</v>
      </c>
      <c r="H6" s="28">
        <f t="shared" si="0"/>
        <v>0</v>
      </c>
      <c r="I6" s="28">
        <f t="shared" si="0"/>
        <v>0</v>
      </c>
      <c r="J6" s="82">
        <f>SUM(J3:J5)</f>
        <v>240000</v>
      </c>
      <c r="K6" s="78"/>
    </row>
  </sheetData>
  <mergeCells count="3">
    <mergeCell ref="A1:A2"/>
    <mergeCell ref="B1:B2"/>
    <mergeCell ref="C1:J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8.85546875" defaultRowHeight="15" x14ac:dyDescent="0.25"/>
  <cols>
    <col min="1" max="1" width="36.28515625" bestFit="1" customWidth="1"/>
    <col min="2" max="2" width="14.7109375" style="6" customWidth="1"/>
    <col min="3" max="3" width="9.85546875" customWidth="1"/>
    <col min="7" max="8" width="8.85546875" style="31"/>
    <col min="9" max="9" width="15.28515625" style="31" customWidth="1"/>
    <col min="10" max="10" width="53.28515625" style="9" customWidth="1"/>
  </cols>
  <sheetData>
    <row r="1" spans="1:10" x14ac:dyDescent="0.25">
      <c r="A1" s="187"/>
      <c r="B1" s="189" t="s">
        <v>60</v>
      </c>
      <c r="C1" s="185" t="s">
        <v>20</v>
      </c>
      <c r="D1" s="186"/>
      <c r="E1" s="186"/>
      <c r="F1" s="186"/>
      <c r="G1" s="186"/>
      <c r="H1" s="186"/>
      <c r="I1" s="65"/>
      <c r="J1" s="35"/>
    </row>
    <row r="2" spans="1:10" ht="30.75" thickBot="1" x14ac:dyDescent="0.3">
      <c r="A2" s="188"/>
      <c r="B2" s="190"/>
      <c r="C2" s="86" t="s">
        <v>1</v>
      </c>
      <c r="D2" s="87" t="s">
        <v>2</v>
      </c>
      <c r="E2" s="87" t="s">
        <v>25</v>
      </c>
      <c r="F2" s="87" t="s">
        <v>3</v>
      </c>
      <c r="G2" s="88" t="s">
        <v>29</v>
      </c>
      <c r="H2" s="88" t="s">
        <v>28</v>
      </c>
      <c r="I2" s="87" t="s">
        <v>73</v>
      </c>
      <c r="J2" s="36" t="s">
        <v>26</v>
      </c>
    </row>
    <row r="3" spans="1:10" ht="40.5" customHeight="1" x14ac:dyDescent="0.2">
      <c r="A3" s="37" t="s">
        <v>22</v>
      </c>
      <c r="B3" s="38">
        <v>1702222.8900000004</v>
      </c>
      <c r="C3" s="39">
        <v>939284.34</v>
      </c>
      <c r="D3" s="40">
        <v>26323.14</v>
      </c>
      <c r="E3" s="40">
        <v>24230.23</v>
      </c>
      <c r="F3" s="40">
        <v>38717</v>
      </c>
      <c r="G3" s="40">
        <v>0</v>
      </c>
      <c r="H3" s="40">
        <v>15973.474999999999</v>
      </c>
      <c r="I3" s="83">
        <f>B3-SUM(C3:H3)</f>
        <v>657694.70500000042</v>
      </c>
      <c r="J3" s="41"/>
    </row>
    <row r="4" spans="1:10" ht="64.5" customHeight="1" x14ac:dyDescent="0.2">
      <c r="A4" s="42" t="s">
        <v>79</v>
      </c>
      <c r="B4" s="43">
        <f>(31*3000*3)+(9*3*3000)</f>
        <v>360000</v>
      </c>
      <c r="C4" s="44">
        <v>186221.86925099517</v>
      </c>
      <c r="D4" s="45">
        <v>10000</v>
      </c>
      <c r="E4" s="45">
        <f>25000/1.75</f>
        <v>14285.714285714286</v>
      </c>
      <c r="F4" s="45">
        <f>5385*2+3100</f>
        <v>13870</v>
      </c>
      <c r="G4" s="45">
        <v>0</v>
      </c>
      <c r="H4" s="45">
        <f>13600/2</f>
        <v>6800</v>
      </c>
      <c r="I4" s="84">
        <f>B4-SUM(C4:H4)</f>
        <v>128822.41646329054</v>
      </c>
      <c r="J4" s="46" t="s">
        <v>58</v>
      </c>
    </row>
    <row r="5" spans="1:10" ht="64.5" customHeight="1" x14ac:dyDescent="0.2">
      <c r="A5" s="42" t="s">
        <v>78</v>
      </c>
      <c r="B5" s="43">
        <f>3000*31</f>
        <v>93000</v>
      </c>
      <c r="C5" s="44"/>
      <c r="D5" s="45"/>
      <c r="E5" s="45"/>
      <c r="F5" s="45"/>
      <c r="G5" s="45"/>
      <c r="H5" s="45"/>
      <c r="I5" s="84">
        <f>B5-SUM(C5:H5)</f>
        <v>93000</v>
      </c>
      <c r="J5" s="46" t="s">
        <v>69</v>
      </c>
    </row>
    <row r="6" spans="1:10" s="31" customFormat="1" ht="64.5" customHeight="1" x14ac:dyDescent="0.2">
      <c r="A6" s="42" t="s">
        <v>57</v>
      </c>
      <c r="B6" s="43">
        <f>6*5000</f>
        <v>30000</v>
      </c>
      <c r="C6" s="44"/>
      <c r="D6" s="45"/>
      <c r="E6" s="45"/>
      <c r="F6" s="45"/>
      <c r="G6" s="45"/>
      <c r="H6" s="45"/>
      <c r="I6" s="84">
        <f>B6-SUM(C6:H6)</f>
        <v>30000</v>
      </c>
      <c r="J6" s="46"/>
    </row>
    <row r="7" spans="1:10" ht="76.5" customHeight="1" x14ac:dyDescent="0.2">
      <c r="A7" s="42" t="s">
        <v>62</v>
      </c>
      <c r="B7" s="43">
        <v>7000</v>
      </c>
      <c r="C7" s="44"/>
      <c r="D7" s="45"/>
      <c r="E7" s="45"/>
      <c r="F7" s="45"/>
      <c r="G7" s="45"/>
      <c r="H7" s="45"/>
      <c r="I7" s="84">
        <f>B7-SUM(C7:H7)</f>
        <v>7000</v>
      </c>
      <c r="J7" s="46" t="s">
        <v>51</v>
      </c>
    </row>
    <row r="8" spans="1:10" s="31" customFormat="1" ht="76.5" customHeight="1" x14ac:dyDescent="0.2">
      <c r="A8" s="42" t="s">
        <v>75</v>
      </c>
      <c r="B8" s="43">
        <f>885*4</f>
        <v>3540</v>
      </c>
      <c r="C8" s="44"/>
      <c r="D8" s="45"/>
      <c r="E8" s="45"/>
      <c r="F8" s="45"/>
      <c r="G8" s="45"/>
      <c r="H8" s="45"/>
      <c r="I8" s="84">
        <f>B8</f>
        <v>3540</v>
      </c>
      <c r="J8" s="46"/>
    </row>
    <row r="9" spans="1:10" s="31" customFormat="1" ht="76.5" customHeight="1" x14ac:dyDescent="0.2">
      <c r="A9" s="42" t="s">
        <v>70</v>
      </c>
      <c r="B9" s="43">
        <v>35000</v>
      </c>
      <c r="C9" s="44"/>
      <c r="D9" s="45"/>
      <c r="E9" s="45"/>
      <c r="F9" s="45"/>
      <c r="G9" s="45"/>
      <c r="H9" s="45"/>
      <c r="I9" s="84">
        <f>B9-SUM(C9:H9)</f>
        <v>35000</v>
      </c>
      <c r="J9" s="46"/>
    </row>
    <row r="10" spans="1:10" ht="52.5" customHeight="1" x14ac:dyDescent="0.2">
      <c r="A10" s="42" t="s">
        <v>35</v>
      </c>
      <c r="B10" s="43">
        <v>5000</v>
      </c>
      <c r="C10" s="44"/>
      <c r="D10" s="45"/>
      <c r="E10" s="45"/>
      <c r="F10" s="45"/>
      <c r="G10" s="45"/>
      <c r="H10" s="45"/>
      <c r="I10" s="84">
        <f>B10-SUM(C10:H10)</f>
        <v>5000</v>
      </c>
      <c r="J10" s="46" t="s">
        <v>52</v>
      </c>
    </row>
    <row r="11" spans="1:10" ht="40.5" customHeight="1" x14ac:dyDescent="0.25">
      <c r="A11" s="42" t="s">
        <v>23</v>
      </c>
      <c r="B11" s="43">
        <v>50000</v>
      </c>
      <c r="C11" s="44"/>
      <c r="D11" s="45"/>
      <c r="E11" s="45"/>
      <c r="F11" s="47">
        <v>3846</v>
      </c>
      <c r="G11" s="45"/>
      <c r="H11" s="45"/>
      <c r="I11" s="84">
        <f>B11-SUM(C11:H11)</f>
        <v>46154</v>
      </c>
      <c r="J11" s="46" t="s">
        <v>72</v>
      </c>
    </row>
    <row r="12" spans="1:10" ht="40.5" customHeight="1" x14ac:dyDescent="0.25">
      <c r="A12" s="42" t="s">
        <v>81</v>
      </c>
      <c r="B12" s="43">
        <f>3000*4</f>
        <v>12000</v>
      </c>
      <c r="C12" s="44"/>
      <c r="D12" s="45"/>
      <c r="E12" s="45"/>
      <c r="F12" s="45"/>
      <c r="G12" s="45"/>
      <c r="H12" s="45"/>
      <c r="I12" s="84">
        <f>B12-SUM(C12:H12)</f>
        <v>12000</v>
      </c>
      <c r="J12" s="46" t="s">
        <v>82</v>
      </c>
    </row>
    <row r="13" spans="1:10" s="31" customFormat="1" ht="40.5" customHeight="1" x14ac:dyDescent="0.25">
      <c r="A13" s="42" t="s">
        <v>80</v>
      </c>
      <c r="B13" s="43">
        <v>7500</v>
      </c>
      <c r="C13" s="44"/>
      <c r="D13" s="45"/>
      <c r="E13" s="45"/>
      <c r="F13" s="45"/>
      <c r="G13" s="45"/>
      <c r="H13" s="45"/>
      <c r="I13" s="84">
        <f>B13</f>
        <v>7500</v>
      </c>
      <c r="J13" s="46" t="s">
        <v>85</v>
      </c>
    </row>
    <row r="14" spans="1:10" s="31" customFormat="1" ht="40.5" customHeight="1" x14ac:dyDescent="0.25">
      <c r="A14" s="42" t="s">
        <v>83</v>
      </c>
      <c r="B14" s="43">
        <v>5000</v>
      </c>
      <c r="C14" s="44"/>
      <c r="D14" s="45"/>
      <c r="E14" s="45"/>
      <c r="F14" s="45"/>
      <c r="G14" s="45"/>
      <c r="H14" s="45"/>
      <c r="I14" s="84">
        <f>B14</f>
        <v>5000</v>
      </c>
      <c r="J14" s="46"/>
    </row>
    <row r="15" spans="1:10" ht="40.5" customHeight="1" x14ac:dyDescent="0.25">
      <c r="A15" s="42" t="s">
        <v>53</v>
      </c>
      <c r="B15" s="128">
        <v>80000</v>
      </c>
      <c r="C15" s="44"/>
      <c r="D15" s="45"/>
      <c r="E15" s="45"/>
      <c r="F15" s="45"/>
      <c r="G15" s="45"/>
      <c r="H15" s="45"/>
      <c r="I15" s="84">
        <f>B15-SUM(C15:H15)</f>
        <v>80000</v>
      </c>
      <c r="J15" s="46" t="s">
        <v>71</v>
      </c>
    </row>
    <row r="16" spans="1:10" ht="46.5" customHeight="1" x14ac:dyDescent="0.25">
      <c r="A16" s="42" t="s">
        <v>67</v>
      </c>
      <c r="B16" s="43">
        <v>3000</v>
      </c>
      <c r="C16" s="48"/>
      <c r="D16" s="49"/>
      <c r="E16" s="45"/>
      <c r="F16" s="45"/>
      <c r="G16" s="49"/>
      <c r="H16" s="49"/>
      <c r="I16" s="84">
        <f>B16-SUM(C16:H16)</f>
        <v>3000</v>
      </c>
      <c r="J16" s="46" t="s">
        <v>84</v>
      </c>
    </row>
    <row r="17" spans="1:10" ht="33.75" customHeight="1" x14ac:dyDescent="0.25">
      <c r="A17" s="42" t="s">
        <v>61</v>
      </c>
      <c r="B17" s="43">
        <v>50000</v>
      </c>
      <c r="C17" s="92"/>
      <c r="D17" s="93"/>
      <c r="E17" s="93"/>
      <c r="F17" s="93"/>
      <c r="G17" s="93"/>
      <c r="H17" s="93"/>
      <c r="I17" s="84">
        <f>B17-SUM(C17:H17)</f>
        <v>50000</v>
      </c>
      <c r="J17" s="46"/>
    </row>
    <row r="18" spans="1:10" s="31" customFormat="1" ht="33.75" customHeight="1" x14ac:dyDescent="0.25">
      <c r="A18" s="160" t="s">
        <v>108</v>
      </c>
      <c r="B18" s="161">
        <v>25000</v>
      </c>
      <c r="C18" s="162"/>
      <c r="D18" s="162"/>
      <c r="E18" s="162"/>
      <c r="F18" s="162"/>
      <c r="G18" s="162"/>
      <c r="H18" s="162"/>
      <c r="I18" s="163">
        <f>B18</f>
        <v>25000</v>
      </c>
      <c r="J18" s="164"/>
    </row>
    <row r="19" spans="1:10" s="31" customFormat="1" ht="33.75" customHeight="1" thickBot="1" x14ac:dyDescent="0.3">
      <c r="A19" s="94" t="s">
        <v>59</v>
      </c>
      <c r="B19" s="95">
        <v>30000</v>
      </c>
      <c r="C19" s="96"/>
      <c r="D19" s="96"/>
      <c r="E19" s="96"/>
      <c r="F19" s="96"/>
      <c r="G19" s="96"/>
      <c r="H19" s="96"/>
      <c r="I19" s="97">
        <f>B19</f>
        <v>30000</v>
      </c>
      <c r="J19" s="98" t="s">
        <v>63</v>
      </c>
    </row>
    <row r="20" spans="1:10" s="3" customFormat="1" ht="29.25" customHeight="1" thickBot="1" x14ac:dyDescent="0.3">
      <c r="A20" s="68" t="s">
        <v>36</v>
      </c>
      <c r="B20" s="69">
        <f>SUM(B3:B19)</f>
        <v>2498262.8900000006</v>
      </c>
      <c r="C20" s="70">
        <f>SUM(C3:C17)</f>
        <v>1125506.2092509952</v>
      </c>
      <c r="D20" s="70">
        <f>SUM(D3:D17)</f>
        <v>36323.14</v>
      </c>
      <c r="E20" s="70">
        <f>SUM(E3:E17)</f>
        <v>38515.944285714286</v>
      </c>
      <c r="F20" s="70">
        <f>SUM(F3:F19)</f>
        <v>56433</v>
      </c>
      <c r="G20" s="70">
        <f>SUM(G3:G17)</f>
        <v>0</v>
      </c>
      <c r="H20" s="70">
        <f>SUM(H3:H17)</f>
        <v>22773.474999999999</v>
      </c>
      <c r="I20" s="85">
        <f>SUM(I3:I19)</f>
        <v>1218711.1214632909</v>
      </c>
      <c r="J20" s="71"/>
    </row>
    <row r="21" spans="1:10" x14ac:dyDescent="0.25">
      <c r="C21" s="4"/>
      <c r="D21" s="4"/>
      <c r="E21" s="4"/>
      <c r="F21" s="4"/>
      <c r="G21" s="4"/>
      <c r="H21" s="4"/>
      <c r="I21" s="4"/>
    </row>
    <row r="22" spans="1:10" x14ac:dyDescent="0.25">
      <c r="C22" s="4"/>
      <c r="D22" s="4"/>
      <c r="E22" s="4"/>
      <c r="F22" s="4"/>
      <c r="G22" s="4"/>
      <c r="H22" s="4"/>
      <c r="I22" s="4"/>
    </row>
    <row r="23" spans="1:10" x14ac:dyDescent="0.25">
      <c r="C23" s="4"/>
      <c r="D23" s="4"/>
      <c r="E23" s="4"/>
      <c r="F23" s="4"/>
      <c r="G23" s="4"/>
      <c r="H23" s="4"/>
      <c r="I23" s="4"/>
    </row>
    <row r="24" spans="1:10" x14ac:dyDescent="0.25">
      <c r="C24" s="4"/>
      <c r="D24" s="4"/>
      <c r="E24" s="4"/>
      <c r="F24" s="4"/>
      <c r="G24" s="4"/>
      <c r="H24" s="4"/>
      <c r="I24" s="4"/>
    </row>
    <row r="25" spans="1:10" x14ac:dyDescent="0.25">
      <c r="C25" s="4"/>
      <c r="D25" s="4"/>
      <c r="E25" s="4"/>
      <c r="F25" s="4"/>
      <c r="G25" s="4"/>
      <c r="H25" s="4"/>
      <c r="I25" s="4"/>
    </row>
    <row r="26" spans="1:10" x14ac:dyDescent="0.25">
      <c r="C26" s="4"/>
      <c r="D26" s="4"/>
      <c r="E26" s="4"/>
      <c r="F26" s="4"/>
      <c r="G26" s="4"/>
      <c r="H26" s="4"/>
      <c r="I26" s="4"/>
    </row>
    <row r="27" spans="1:10" x14ac:dyDescent="0.25">
      <c r="C27" s="4"/>
      <c r="D27" s="4"/>
      <c r="E27" s="4"/>
      <c r="F27" s="4"/>
      <c r="G27" s="4"/>
      <c r="H27" s="4"/>
      <c r="I27" s="4"/>
    </row>
    <row r="28" spans="1:10" x14ac:dyDescent="0.25">
      <c r="C28" s="4"/>
      <c r="D28" s="4"/>
      <c r="E28" s="4"/>
      <c r="F28" s="4"/>
      <c r="G28" s="4"/>
      <c r="H28" s="4"/>
      <c r="I28" s="4"/>
    </row>
    <row r="29" spans="1:10" x14ac:dyDescent="0.25">
      <c r="C29" s="5"/>
      <c r="D29" s="5"/>
      <c r="E29" s="5"/>
      <c r="F29" s="5"/>
      <c r="G29" s="5"/>
      <c r="H29" s="5"/>
      <c r="I29" s="5"/>
    </row>
    <row r="30" spans="1:10" x14ac:dyDescent="0.25">
      <c r="C30" s="4"/>
      <c r="D30" s="4"/>
      <c r="E30" s="4"/>
      <c r="F30" s="4"/>
      <c r="G30" s="4"/>
      <c r="H30" s="4"/>
      <c r="I30" s="4"/>
    </row>
    <row r="31" spans="1:10" x14ac:dyDescent="0.25">
      <c r="C31" s="4"/>
      <c r="D31" s="4"/>
      <c r="E31" s="4"/>
      <c r="F31" s="4"/>
      <c r="G31" s="4"/>
      <c r="H31" s="4"/>
      <c r="I31" s="4"/>
    </row>
    <row r="32" spans="1:10" x14ac:dyDescent="0.25">
      <c r="C32" s="4"/>
      <c r="D32" s="4"/>
      <c r="E32" s="4"/>
      <c r="F32" s="4"/>
      <c r="G32" s="4"/>
      <c r="H32" s="4"/>
      <c r="I32" s="4"/>
    </row>
    <row r="33" spans="3:9" x14ac:dyDescent="0.25">
      <c r="C33" s="4"/>
      <c r="D33" s="4"/>
      <c r="E33" s="4"/>
      <c r="F33" s="4"/>
      <c r="G33" s="4"/>
      <c r="H33" s="4"/>
      <c r="I33" s="4"/>
    </row>
    <row r="34" spans="3:9" x14ac:dyDescent="0.25">
      <c r="C34" s="4"/>
      <c r="D34" s="4"/>
      <c r="E34" s="4"/>
      <c r="F34" s="4"/>
      <c r="G34" s="4"/>
      <c r="H34" s="4"/>
      <c r="I34" s="4"/>
    </row>
    <row r="35" spans="3:9" x14ac:dyDescent="0.25">
      <c r="C35" s="4"/>
      <c r="D35" s="4"/>
      <c r="E35" s="4"/>
      <c r="F35" s="4"/>
      <c r="G35" s="4"/>
      <c r="H35" s="4"/>
      <c r="I35" s="4"/>
    </row>
    <row r="36" spans="3:9" x14ac:dyDescent="0.25">
      <c r="C36" s="4"/>
      <c r="D36" s="4"/>
      <c r="E36" s="4"/>
      <c r="F36" s="4"/>
      <c r="G36" s="4"/>
      <c r="H36" s="4"/>
      <c r="I36" s="4"/>
    </row>
    <row r="37" spans="3:9" x14ac:dyDescent="0.25">
      <c r="C37" s="4"/>
      <c r="D37" s="4"/>
      <c r="E37" s="4"/>
      <c r="F37" s="4"/>
      <c r="G37" s="4"/>
      <c r="H37" s="4"/>
      <c r="I37" s="4"/>
    </row>
  </sheetData>
  <mergeCells count="3">
    <mergeCell ref="C1:H1"/>
    <mergeCell ref="A1:A2"/>
    <mergeCell ref="B1:B2"/>
  </mergeCells>
  <pageMargins left="0.7" right="0.7" top="0.75" bottom="0.75" header="0.3" footer="0.3"/>
  <pageSetup paperSize="9" orientation="portrait" r:id="rId1"/>
  <ignoredErrors>
    <ignoredError sqref="I13" 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/>
  </sheetViews>
  <sheetFormatPr defaultColWidth="11.42578125" defaultRowHeight="15" x14ac:dyDescent="0.25"/>
  <cols>
    <col min="1" max="1" width="15.28515625" customWidth="1"/>
  </cols>
  <sheetData>
    <row r="1" spans="1:4" x14ac:dyDescent="0.2">
      <c r="A1" s="166" t="s">
        <v>111</v>
      </c>
    </row>
    <row r="2" spans="1:4" s="31" customFormat="1" x14ac:dyDescent="0.2">
      <c r="A2" s="166"/>
    </row>
    <row r="3" spans="1:4" x14ac:dyDescent="0.2">
      <c r="B3" s="3" t="s">
        <v>112</v>
      </c>
      <c r="C3" s="3" t="s">
        <v>113</v>
      </c>
      <c r="D3" s="3" t="s">
        <v>26</v>
      </c>
    </row>
    <row r="4" spans="1:4" x14ac:dyDescent="0.2">
      <c r="A4" t="s">
        <v>110</v>
      </c>
      <c r="B4">
        <v>1.29</v>
      </c>
      <c r="C4" t="s">
        <v>114</v>
      </c>
      <c r="D4" t="s">
        <v>115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zoomScaleNormal="100" zoomScalePageLayoutView="125" workbookViewId="0"/>
  </sheetViews>
  <sheetFormatPr defaultColWidth="8.85546875" defaultRowHeight="15" x14ac:dyDescent="0.25"/>
  <cols>
    <col min="1" max="1" width="2.42578125" style="31" customWidth="1"/>
    <col min="2" max="2" width="29.42578125" style="31" customWidth="1"/>
    <col min="3" max="3" width="24.140625" style="6" customWidth="1"/>
    <col min="4" max="4" width="54.7109375" style="9" customWidth="1"/>
    <col min="5" max="16384" width="8.85546875" style="31"/>
  </cols>
  <sheetData>
    <row r="2" spans="2:4" ht="32.25" customHeight="1" thickBot="1" x14ac:dyDescent="0.25">
      <c r="B2" s="3" t="s">
        <v>91</v>
      </c>
    </row>
    <row r="3" spans="2:4" ht="24.75" customHeight="1" x14ac:dyDescent="0.2">
      <c r="B3" s="57"/>
      <c r="C3" s="58" t="s">
        <v>119</v>
      </c>
    </row>
    <row r="4" spans="2:4" ht="28.5" customHeight="1" x14ac:dyDescent="0.2">
      <c r="B4" s="33" t="s">
        <v>37</v>
      </c>
      <c r="C4" s="99">
        <f>summary!C4*'USD x rate'!$B$4</f>
        <v>17105213.366253171</v>
      </c>
    </row>
    <row r="5" spans="2:4" ht="83.25" customHeight="1" x14ac:dyDescent="0.2">
      <c r="B5" s="33" t="s">
        <v>38</v>
      </c>
      <c r="C5" s="99">
        <f>summary!C5*'USD x rate'!$B$4</f>
        <v>1884436.9615384615</v>
      </c>
      <c r="D5" s="9" t="s">
        <v>105</v>
      </c>
    </row>
    <row r="6" spans="2:4" ht="28.5" customHeight="1" x14ac:dyDescent="0.2">
      <c r="B6" s="33" t="s">
        <v>39</v>
      </c>
      <c r="C6" s="99">
        <f>summary!C6*'USD x rate'!$B$4</f>
        <v>309600</v>
      </c>
    </row>
    <row r="7" spans="2:4" ht="28.5" customHeight="1" x14ac:dyDescent="0.2">
      <c r="B7" s="33" t="s">
        <v>40</v>
      </c>
      <c r="C7" s="99">
        <f>summary!C7*'USD x rate'!$B$4</f>
        <v>3222759.1281000008</v>
      </c>
    </row>
    <row r="8" spans="2:4" ht="28.5" customHeight="1" thickBot="1" x14ac:dyDescent="0.25">
      <c r="B8" s="59" t="s">
        <v>106</v>
      </c>
      <c r="C8" s="100">
        <f>SUM(C4:C7)/12</f>
        <v>1876834.1213243026</v>
      </c>
    </row>
    <row r="9" spans="2:4" ht="28.5" customHeight="1" thickBot="1" x14ac:dyDescent="0.25">
      <c r="B9" s="60" t="s">
        <v>41</v>
      </c>
      <c r="C9" s="85">
        <f>summary!C9*'USD x rate'!$B$4</f>
        <v>24398843.57721594</v>
      </c>
    </row>
    <row r="11" spans="2:4" x14ac:dyDescent="0.2">
      <c r="D11" s="167"/>
    </row>
    <row r="12" spans="2:4" x14ac:dyDescent="0.2">
      <c r="D12" s="110"/>
    </row>
    <row r="13" spans="2:4" x14ac:dyDescent="0.2">
      <c r="D13" s="110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defaultColWidth="8.85546875" defaultRowHeight="15" x14ac:dyDescent="0.25"/>
  <cols>
    <col min="1" max="1" width="30.140625" style="31" customWidth="1"/>
    <col min="2" max="2" width="13.7109375" style="31" customWidth="1"/>
    <col min="3" max="3" width="43.140625" style="9" customWidth="1"/>
    <col min="4" max="8" width="8.85546875" style="31"/>
    <col min="9" max="9" width="20.85546875" style="31" customWidth="1"/>
    <col min="10" max="16384" width="8.85546875" style="31"/>
  </cols>
  <sheetData>
    <row r="1" spans="1:6" ht="45" customHeight="1" thickBot="1" x14ac:dyDescent="0.25">
      <c r="A1" s="34"/>
      <c r="B1" s="62" t="s">
        <v>43</v>
      </c>
      <c r="C1" s="63" t="s">
        <v>44</v>
      </c>
    </row>
    <row r="2" spans="1:6" ht="45" customHeight="1" x14ac:dyDescent="0.25">
      <c r="A2" s="72" t="s">
        <v>73</v>
      </c>
      <c r="B2" s="144">
        <f>'Income analysis'!B2*'USD x rate'!$B$4</f>
        <v>17927657.609999999</v>
      </c>
      <c r="C2" s="129" t="s">
        <v>107</v>
      </c>
    </row>
    <row r="3" spans="1:6" ht="45" customHeight="1" x14ac:dyDescent="0.2">
      <c r="A3" s="33" t="s">
        <v>30</v>
      </c>
      <c r="B3" s="101">
        <f>'Income analysis'!B3*'USD x rate'!$B$4</f>
        <v>6818400.7800000003</v>
      </c>
      <c r="C3" s="61" t="s">
        <v>45</v>
      </c>
      <c r="E3" s="6"/>
    </row>
    <row r="4" spans="1:6" ht="53.25" customHeight="1" x14ac:dyDescent="0.2">
      <c r="A4" s="33" t="s">
        <v>31</v>
      </c>
      <c r="B4" s="101">
        <f>'Income analysis'!B4*'USD x rate'!$B$4</f>
        <v>416515.2</v>
      </c>
      <c r="C4" s="61" t="s">
        <v>46</v>
      </c>
      <c r="E4" s="6"/>
    </row>
    <row r="5" spans="1:6" ht="81" customHeight="1" x14ac:dyDescent="0.2">
      <c r="A5" s="33" t="s">
        <v>32</v>
      </c>
      <c r="B5" s="101">
        <f>'Income analysis'!B5*'USD x rate'!$B$4</f>
        <v>233850.41125714287</v>
      </c>
      <c r="C5" s="61" t="s">
        <v>49</v>
      </c>
      <c r="E5" s="6"/>
    </row>
    <row r="6" spans="1:6" ht="90" x14ac:dyDescent="0.2">
      <c r="A6" s="33" t="s">
        <v>33</v>
      </c>
      <c r="B6" s="101">
        <f>'Income analysis'!B6*'USD x rate'!$B$4</f>
        <v>418824.3</v>
      </c>
      <c r="C6" s="61" t="s">
        <v>55</v>
      </c>
      <c r="D6" s="6"/>
      <c r="E6" s="6"/>
      <c r="F6" s="6"/>
    </row>
    <row r="7" spans="1:6" ht="33" customHeight="1" x14ac:dyDescent="0.2">
      <c r="A7" s="33" t="s">
        <v>48</v>
      </c>
      <c r="B7" s="101">
        <f>'Income analysis'!B7*'USD x rate'!$B$4</f>
        <v>0</v>
      </c>
      <c r="C7" s="61" t="s">
        <v>68</v>
      </c>
    </row>
    <row r="8" spans="1:6" ht="52.5" customHeight="1" thickBot="1" x14ac:dyDescent="0.25">
      <c r="A8" s="59" t="s">
        <v>47</v>
      </c>
      <c r="B8" s="102">
        <f>'Income analysis'!B8*'USD x rate'!$B$4</f>
        <v>29377.782749999998</v>
      </c>
      <c r="C8" s="64" t="s">
        <v>50</v>
      </c>
    </row>
    <row r="9" spans="1:6" ht="40.5" customHeight="1" thickBot="1" x14ac:dyDescent="0.25">
      <c r="A9" s="73" t="s">
        <v>36</v>
      </c>
      <c r="B9" s="103">
        <f>SUM(B2:B8)</f>
        <v>25844626.084007144</v>
      </c>
      <c r="C9" s="74"/>
    </row>
    <row r="11" spans="1:6" x14ac:dyDescent="0.25">
      <c r="B11" s="6"/>
    </row>
  </sheetData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</vt:lpstr>
      <vt:lpstr>Income analysis</vt:lpstr>
      <vt:lpstr>Implementation</vt:lpstr>
      <vt:lpstr>Rolled over budget</vt:lpstr>
      <vt:lpstr>Research</vt:lpstr>
      <vt:lpstr>Central costs</vt:lpstr>
      <vt:lpstr>USD x rate</vt:lpstr>
      <vt:lpstr>summary USD</vt:lpstr>
      <vt:lpstr>Income analysis USD</vt:lpstr>
      <vt:lpstr>Implementation USD</vt:lpstr>
      <vt:lpstr>Rolled over budget USD</vt:lpstr>
      <vt:lpstr>Research USD</vt:lpstr>
      <vt:lpstr>Central costs USD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2017-11-15T22:38:49Z</dcterms:created>
  <dcterms:modified xsi:type="dcterms:W3CDTF">2017-11-15T22:42:26Z</dcterms:modified>
</cp:coreProperties>
</file>