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24240" windowHeight="13740"/>
  </bookViews>
  <sheets>
    <sheet name="Funding Gap Analysis" sheetId="3" r:id="rId1"/>
    <sheet name="PCT targets SCH" sheetId="4" r:id="rId2"/>
    <sheet name="PZQ Supply 2016" sheetId="5" r:id="rId3"/>
    <sheet name="Est PZQ Supply 2017" sheetId="6" r:id="rId4"/>
    <sheet name="Country 2017 requests" sheetId="7" r:id="rId5"/>
    <sheet name="2016 budget cost per treatment" sheetId="8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22_0__123Grap" localSheetId="1" hidden="1">#REF!</definedName>
    <definedName name="_22_0__123Grap" hidden="1">#REF!</definedName>
    <definedName name="_xlnm._FilterDatabase" localSheetId="5" hidden="1">'2016 budget cost per treatment'!$A$1:$J$26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LBCOST" localSheetId="3">#REF!</definedName>
    <definedName name="ALBCOST">#REF!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ew" localSheetId="1" hidden="1">#REF!</definedName>
    <definedName name="ew" hidden="1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Merck2012">[2]PZQ!$J$86</definedName>
    <definedName name="_xlnm.Print_Area" localSheetId="1">'PCT targets SCH'!$A$3:$V$20</definedName>
    <definedName name="sorts" localSheetId="1" hidden="1">#REF!</definedName>
    <definedName name="sorts" hidden="1">#REF!</definedName>
    <definedName name="UKInf" localSheetId="1">#REF!</definedName>
    <definedName name="UKInf">#REF!</definedName>
    <definedName name="wrn.All._.Grant._.Forms." localSheetId="3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3" hidden="1">{"One Year",#N/A,FALSE,"Summary"}</definedName>
    <definedName name="wrn.Summary._.1._.Year." hidden="1">{"One Year",#N/A,FALSE,"Summary"}</definedName>
    <definedName name="Year">[3]MDT!$K$2012</definedName>
    <definedName name="YearALB" localSheetId="3">#REF!</definedName>
    <definedName name="YearALB">#REF!</definedName>
    <definedName name="YearPZQ" localSheetId="3">#REF!</definedName>
    <definedName name="YearPZQ">#REF!</definedName>
    <definedName name="YearTCZ" localSheetId="3">#REF!</definedName>
    <definedName name="YearTCZ">#REF!</definedName>
    <definedName name="YearTCZRDD" localSheetId="3">#REF!</definedName>
    <definedName name="YearTCZRDD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3" l="1"/>
  <c r="M38" i="3"/>
  <c r="N38" i="3"/>
  <c r="Q38" i="3"/>
  <c r="R38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2" i="3"/>
  <c r="G23" i="3"/>
  <c r="G24" i="3"/>
  <c r="G25" i="3"/>
  <c r="G27" i="3"/>
  <c r="G28" i="3"/>
  <c r="G29" i="3"/>
  <c r="G30" i="3"/>
  <c r="G31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50" i="3"/>
  <c r="G52" i="3"/>
  <c r="G53" i="3"/>
  <c r="G54" i="3"/>
  <c r="G55" i="3"/>
  <c r="G56" i="3"/>
  <c r="H56" i="3"/>
  <c r="I56" i="3"/>
  <c r="J5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2" i="3"/>
  <c r="K23" i="3"/>
  <c r="K24" i="3"/>
  <c r="K25" i="3"/>
  <c r="K27" i="3"/>
  <c r="K28" i="3"/>
  <c r="K29" i="3"/>
  <c r="K30" i="3"/>
  <c r="K31" i="3"/>
  <c r="K33" i="3"/>
  <c r="K34" i="3"/>
  <c r="K35" i="3"/>
  <c r="K36" i="3"/>
  <c r="K37" i="3"/>
  <c r="K39" i="3"/>
  <c r="K40" i="3"/>
  <c r="K41" i="3"/>
  <c r="K42" i="3"/>
  <c r="K43" i="3"/>
  <c r="K44" i="3"/>
  <c r="K45" i="3"/>
  <c r="K46" i="3"/>
  <c r="K47" i="3"/>
  <c r="K48" i="3"/>
  <c r="K50" i="3"/>
  <c r="K52" i="3"/>
  <c r="K53" i="3"/>
  <c r="K54" i="3"/>
  <c r="K55" i="3"/>
  <c r="K56" i="3"/>
  <c r="L5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2" i="3"/>
  <c r="M23" i="3"/>
  <c r="M24" i="3"/>
  <c r="M25" i="3"/>
  <c r="M27" i="3"/>
  <c r="M28" i="3"/>
  <c r="M29" i="3"/>
  <c r="M30" i="3"/>
  <c r="M31" i="3"/>
  <c r="M33" i="3"/>
  <c r="M34" i="3"/>
  <c r="M35" i="3"/>
  <c r="M36" i="3"/>
  <c r="M37" i="3"/>
  <c r="M39" i="3"/>
  <c r="M40" i="3"/>
  <c r="M41" i="3"/>
  <c r="M42" i="3"/>
  <c r="M43" i="3"/>
  <c r="M44" i="3"/>
  <c r="M45" i="3"/>
  <c r="M46" i="3"/>
  <c r="M47" i="3"/>
  <c r="M48" i="3"/>
  <c r="M50" i="3"/>
  <c r="M52" i="3"/>
  <c r="M53" i="3"/>
  <c r="M54" i="3"/>
  <c r="M55" i="3"/>
  <c r="M5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2" i="3"/>
  <c r="N23" i="3"/>
  <c r="N24" i="3"/>
  <c r="N25" i="3"/>
  <c r="N27" i="3"/>
  <c r="N28" i="3"/>
  <c r="N29" i="3"/>
  <c r="N30" i="3"/>
  <c r="N31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N48" i="3"/>
  <c r="N50" i="3"/>
  <c r="N52" i="3"/>
  <c r="N53" i="3"/>
  <c r="N54" i="3"/>
  <c r="N55" i="3"/>
  <c r="N56" i="3"/>
  <c r="P9" i="3"/>
  <c r="P11" i="3"/>
  <c r="P13" i="3"/>
  <c r="P14" i="3"/>
  <c r="P15" i="3"/>
  <c r="P16" i="3"/>
  <c r="P17" i="3"/>
  <c r="P18" i="3"/>
  <c r="P19" i="3"/>
  <c r="P20" i="3"/>
  <c r="P22" i="3"/>
  <c r="P23" i="3"/>
  <c r="P27" i="3"/>
  <c r="P29" i="3"/>
  <c r="P30" i="3"/>
  <c r="P31" i="3"/>
  <c r="P34" i="3"/>
  <c r="P35" i="3"/>
  <c r="P36" i="3"/>
  <c r="P37" i="3"/>
  <c r="P40" i="3"/>
  <c r="P43" i="3"/>
  <c r="P44" i="3"/>
  <c r="P45" i="3"/>
  <c r="P46" i="3"/>
  <c r="P48" i="3"/>
  <c r="P50" i="3"/>
  <c r="P52" i="3"/>
  <c r="P54" i="3"/>
  <c r="P55" i="3"/>
  <c r="P56" i="3"/>
  <c r="Q7" i="3"/>
  <c r="Q11" i="3"/>
  <c r="Q12" i="3"/>
  <c r="Q16" i="3"/>
  <c r="Q17" i="3"/>
  <c r="Q20" i="3"/>
  <c r="Q29" i="3"/>
  <c r="Q30" i="3"/>
  <c r="Q31" i="3"/>
  <c r="Q34" i="3"/>
  <c r="Q35" i="3"/>
  <c r="Q37" i="3"/>
  <c r="Q45" i="3"/>
  <c r="Q48" i="3"/>
  <c r="Q50" i="3"/>
  <c r="Q52" i="3"/>
  <c r="Q54" i="3"/>
  <c r="Q56" i="3"/>
  <c r="R9" i="3"/>
  <c r="R13" i="3"/>
  <c r="R14" i="3"/>
  <c r="R15" i="3"/>
  <c r="R18" i="3"/>
  <c r="R19" i="3"/>
  <c r="R22" i="3"/>
  <c r="R23" i="3"/>
  <c r="R27" i="3"/>
  <c r="R36" i="3"/>
  <c r="R40" i="3"/>
  <c r="R43" i="3"/>
  <c r="R44" i="3"/>
  <c r="R46" i="3"/>
  <c r="R53" i="3"/>
  <c r="R55" i="3"/>
  <c r="R56" i="3"/>
  <c r="F56" i="3"/>
  <c r="C8" i="8"/>
  <c r="G8" i="8"/>
  <c r="J8" i="8"/>
  <c r="J15" i="8"/>
  <c r="J25" i="8"/>
  <c r="I25" i="8"/>
  <c r="H25" i="8"/>
  <c r="G25" i="8"/>
  <c r="F25" i="8"/>
  <c r="E4" i="8"/>
  <c r="E25" i="8"/>
  <c r="C5" i="8"/>
  <c r="C9" i="8"/>
  <c r="C12" i="8"/>
  <c r="C13" i="8"/>
  <c r="C16" i="8"/>
  <c r="C22" i="8"/>
  <c r="C23" i="8"/>
  <c r="C24" i="8"/>
  <c r="C25" i="8"/>
  <c r="B15" i="8"/>
  <c r="B25" i="8"/>
  <c r="D25" i="8"/>
  <c r="D21" i="8"/>
  <c r="D20" i="8"/>
  <c r="D19" i="8"/>
  <c r="D18" i="8"/>
  <c r="D14" i="8"/>
  <c r="D11" i="8"/>
  <c r="D10" i="8"/>
  <c r="D8" i="8"/>
  <c r="D7" i="8"/>
  <c r="D6" i="8"/>
  <c r="V68" i="6"/>
  <c r="U68" i="6"/>
  <c r="S68" i="6"/>
  <c r="R68" i="6"/>
  <c r="P68" i="6"/>
  <c r="O68" i="6"/>
  <c r="M68" i="6"/>
  <c r="L68" i="6"/>
  <c r="J68" i="6"/>
  <c r="I68" i="6"/>
  <c r="H68" i="6"/>
  <c r="F68" i="6"/>
  <c r="E68" i="6"/>
  <c r="D68" i="6"/>
  <c r="C68" i="6"/>
  <c r="T67" i="6"/>
  <c r="Q67" i="6"/>
  <c r="N67" i="6"/>
  <c r="K67" i="6"/>
  <c r="G67" i="6"/>
  <c r="W67" i="6"/>
  <c r="T66" i="6"/>
  <c r="Q66" i="6"/>
  <c r="N66" i="6"/>
  <c r="K66" i="6"/>
  <c r="G66" i="6"/>
  <c r="W66" i="6"/>
  <c r="T65" i="6"/>
  <c r="W65" i="6"/>
  <c r="Q65" i="6"/>
  <c r="N65" i="6"/>
  <c r="K65" i="6"/>
  <c r="G65" i="6"/>
  <c r="T64" i="6"/>
  <c r="T68" i="6"/>
  <c r="Q64" i="6"/>
  <c r="Q68" i="6"/>
  <c r="N64" i="6"/>
  <c r="W64" i="6"/>
  <c r="K64" i="6"/>
  <c r="K68" i="6"/>
  <c r="G64" i="6"/>
  <c r="G68" i="6"/>
  <c r="V63" i="6"/>
  <c r="U63" i="6"/>
  <c r="S63" i="6"/>
  <c r="R63" i="6"/>
  <c r="P63" i="6"/>
  <c r="O63" i="6"/>
  <c r="N63" i="6"/>
  <c r="M63" i="6"/>
  <c r="L63" i="6"/>
  <c r="K63" i="6"/>
  <c r="J63" i="6"/>
  <c r="I63" i="6"/>
  <c r="H63" i="6"/>
  <c r="F63" i="6"/>
  <c r="E63" i="6"/>
  <c r="D63" i="6"/>
  <c r="C63" i="6"/>
  <c r="W62" i="6"/>
  <c r="W63" i="6"/>
  <c r="T62" i="6"/>
  <c r="T63" i="6"/>
  <c r="Q62" i="6"/>
  <c r="Q63" i="6"/>
  <c r="N62" i="6"/>
  <c r="K62" i="6"/>
  <c r="G62" i="6"/>
  <c r="G63" i="6"/>
  <c r="V61" i="6"/>
  <c r="U61" i="6"/>
  <c r="S61" i="6"/>
  <c r="R61" i="6"/>
  <c r="P61" i="6"/>
  <c r="O61" i="6"/>
  <c r="M61" i="6"/>
  <c r="L61" i="6"/>
  <c r="J61" i="6"/>
  <c r="I61" i="6"/>
  <c r="H61" i="6"/>
  <c r="F61" i="6"/>
  <c r="E61" i="6"/>
  <c r="D61" i="6"/>
  <c r="C61" i="6"/>
  <c r="T60" i="6"/>
  <c r="Q60" i="6"/>
  <c r="N60" i="6"/>
  <c r="K60" i="6"/>
  <c r="G60" i="6"/>
  <c r="W60" i="6"/>
  <c r="T59" i="6"/>
  <c r="Q59" i="6"/>
  <c r="N59" i="6"/>
  <c r="K59" i="6"/>
  <c r="G59" i="6"/>
  <c r="W59" i="6"/>
  <c r="T58" i="6"/>
  <c r="W58" i="6"/>
  <c r="Q58" i="6"/>
  <c r="N58" i="6"/>
  <c r="K58" i="6"/>
  <c r="G58" i="6"/>
  <c r="T57" i="6"/>
  <c r="Q57" i="6"/>
  <c r="N57" i="6"/>
  <c r="W57" i="6"/>
  <c r="K57" i="6"/>
  <c r="G57" i="6"/>
  <c r="T56" i="6"/>
  <c r="Q56" i="6"/>
  <c r="N56" i="6"/>
  <c r="K56" i="6"/>
  <c r="G56" i="6"/>
  <c r="W56" i="6"/>
  <c r="T55" i="6"/>
  <c r="Q55" i="6"/>
  <c r="N55" i="6"/>
  <c r="K55" i="6"/>
  <c r="G55" i="6"/>
  <c r="W55" i="6"/>
  <c r="T54" i="6"/>
  <c r="W54" i="6"/>
  <c r="Q54" i="6"/>
  <c r="N54" i="6"/>
  <c r="K54" i="6"/>
  <c r="G54" i="6"/>
  <c r="T53" i="6"/>
  <c r="Q53" i="6"/>
  <c r="N53" i="6"/>
  <c r="W53" i="6"/>
  <c r="K53" i="6"/>
  <c r="G53" i="6"/>
  <c r="T52" i="6"/>
  <c r="T61" i="6"/>
  <c r="Q52" i="6"/>
  <c r="Q61" i="6"/>
  <c r="N52" i="6"/>
  <c r="K52" i="6"/>
  <c r="K61" i="6"/>
  <c r="G52" i="6"/>
  <c r="W52" i="6"/>
  <c r="V51" i="6"/>
  <c r="U51" i="6"/>
  <c r="S51" i="6"/>
  <c r="S69" i="6"/>
  <c r="R51" i="6"/>
  <c r="P51" i="6"/>
  <c r="P69" i="6"/>
  <c r="O51" i="6"/>
  <c r="M51" i="6"/>
  <c r="L51" i="6"/>
  <c r="L69" i="6"/>
  <c r="J51" i="6"/>
  <c r="I51" i="6"/>
  <c r="H51" i="6"/>
  <c r="H69" i="6"/>
  <c r="F51" i="6"/>
  <c r="E51" i="6"/>
  <c r="D51" i="6"/>
  <c r="D69" i="6"/>
  <c r="C51" i="6"/>
  <c r="C69" i="6"/>
  <c r="T50" i="6"/>
  <c r="Q50" i="6"/>
  <c r="Q51" i="6"/>
  <c r="N50" i="6"/>
  <c r="K50" i="6"/>
  <c r="W50" i="6"/>
  <c r="G50" i="6"/>
  <c r="T49" i="6"/>
  <c r="T51" i="6"/>
  <c r="Q49" i="6"/>
  <c r="N49" i="6"/>
  <c r="K49" i="6"/>
  <c r="W49" i="6"/>
  <c r="G49" i="6"/>
  <c r="T48" i="6"/>
  <c r="Q48" i="6"/>
  <c r="N48" i="6"/>
  <c r="K48" i="6"/>
  <c r="G48" i="6"/>
  <c r="W48" i="6"/>
  <c r="W47" i="6"/>
  <c r="T47" i="6"/>
  <c r="Q47" i="6"/>
  <c r="N47" i="6"/>
  <c r="N51" i="6"/>
  <c r="K47" i="6"/>
  <c r="G47" i="6"/>
  <c r="G51" i="6"/>
  <c r="V46" i="6"/>
  <c r="V69" i="6"/>
  <c r="U46" i="6"/>
  <c r="U69" i="6"/>
  <c r="S46" i="6"/>
  <c r="R46" i="6"/>
  <c r="R69" i="6"/>
  <c r="P46" i="6"/>
  <c r="O46" i="6"/>
  <c r="O69" i="6"/>
  <c r="M46" i="6"/>
  <c r="M69" i="6"/>
  <c r="L46" i="6"/>
  <c r="J46" i="6"/>
  <c r="J69" i="6"/>
  <c r="I46" i="6"/>
  <c r="I69" i="6"/>
  <c r="H46" i="6"/>
  <c r="F46" i="6"/>
  <c r="F69" i="6"/>
  <c r="E46" i="6"/>
  <c r="E69" i="6"/>
  <c r="D46" i="6"/>
  <c r="C46" i="6"/>
  <c r="T45" i="6"/>
  <c r="Q45" i="6"/>
  <c r="N45" i="6"/>
  <c r="K45" i="6"/>
  <c r="G45" i="6"/>
  <c r="W45" i="6"/>
  <c r="Q44" i="6"/>
  <c r="N44" i="6"/>
  <c r="K44" i="6"/>
  <c r="G44" i="6"/>
  <c r="W44" i="6"/>
  <c r="Q43" i="6"/>
  <c r="N43" i="6"/>
  <c r="K43" i="6"/>
  <c r="G43" i="6"/>
  <c r="W43" i="6"/>
  <c r="Q42" i="6"/>
  <c r="K42" i="6"/>
  <c r="G42" i="6"/>
  <c r="W42" i="6"/>
  <c r="Q41" i="6"/>
  <c r="W41" i="6"/>
  <c r="K41" i="6"/>
  <c r="G41" i="6"/>
  <c r="T40" i="6"/>
  <c r="N40" i="6"/>
  <c r="K40" i="6"/>
  <c r="G40" i="6"/>
  <c r="W40" i="6"/>
  <c r="W39" i="6"/>
  <c r="T39" i="6"/>
  <c r="Q39" i="6"/>
  <c r="N39" i="6"/>
  <c r="K39" i="6"/>
  <c r="G39" i="6"/>
  <c r="T38" i="6"/>
  <c r="Q38" i="6"/>
  <c r="N38" i="6"/>
  <c r="K38" i="6"/>
  <c r="W38" i="6"/>
  <c r="G38" i="6"/>
  <c r="T37" i="6"/>
  <c r="Q37" i="6"/>
  <c r="N37" i="6"/>
  <c r="K37" i="6"/>
  <c r="W37" i="6"/>
  <c r="G37" i="6"/>
  <c r="T36" i="6"/>
  <c r="N36" i="6"/>
  <c r="K36" i="6"/>
  <c r="W36" i="6"/>
  <c r="G36" i="6"/>
  <c r="T35" i="6"/>
  <c r="W35" i="6"/>
  <c r="Q35" i="6"/>
  <c r="N35" i="6"/>
  <c r="K35" i="6"/>
  <c r="G35" i="6"/>
  <c r="T34" i="6"/>
  <c r="Q34" i="6"/>
  <c r="N34" i="6"/>
  <c r="W34" i="6"/>
  <c r="K34" i="6"/>
  <c r="G34" i="6"/>
  <c r="T33" i="6"/>
  <c r="Q33" i="6"/>
  <c r="N33" i="6"/>
  <c r="K33" i="6"/>
  <c r="G33" i="6"/>
  <c r="W33" i="6"/>
  <c r="T32" i="6"/>
  <c r="Q32" i="6"/>
  <c r="N32" i="6"/>
  <c r="K32" i="6"/>
  <c r="G32" i="6"/>
  <c r="W32" i="6"/>
  <c r="Q31" i="6"/>
  <c r="W31" i="6"/>
  <c r="N31" i="6"/>
  <c r="K31" i="6"/>
  <c r="G31" i="6"/>
  <c r="T30" i="6"/>
  <c r="Q30" i="6"/>
  <c r="N30" i="6"/>
  <c r="K30" i="6"/>
  <c r="W30" i="6"/>
  <c r="G30" i="6"/>
  <c r="Q29" i="6"/>
  <c r="N29" i="6"/>
  <c r="K29" i="6"/>
  <c r="W29" i="6"/>
  <c r="G29" i="6"/>
  <c r="T28" i="6"/>
  <c r="W28" i="6"/>
  <c r="Q28" i="6"/>
  <c r="N28" i="6"/>
  <c r="K28" i="6"/>
  <c r="G28" i="6"/>
  <c r="T27" i="6"/>
  <c r="Q27" i="6"/>
  <c r="K27" i="6"/>
  <c r="W27" i="6"/>
  <c r="G27" i="6"/>
  <c r="Q26" i="6"/>
  <c r="N26" i="6"/>
  <c r="K26" i="6"/>
  <c r="W26" i="6"/>
  <c r="G26" i="6"/>
  <c r="T25" i="6"/>
  <c r="W25" i="6"/>
  <c r="Q25" i="6"/>
  <c r="N25" i="6"/>
  <c r="K25" i="6"/>
  <c r="G25" i="6"/>
  <c r="T24" i="6"/>
  <c r="Q24" i="6"/>
  <c r="N24" i="6"/>
  <c r="W24" i="6"/>
  <c r="K24" i="6"/>
  <c r="G24" i="6"/>
  <c r="T23" i="6"/>
  <c r="Q23" i="6"/>
  <c r="N23" i="6"/>
  <c r="K23" i="6"/>
  <c r="G23" i="6"/>
  <c r="W23" i="6"/>
  <c r="T22" i="6"/>
  <c r="Q22" i="6"/>
  <c r="N22" i="6"/>
  <c r="K22" i="6"/>
  <c r="G22" i="6"/>
  <c r="W22" i="6"/>
  <c r="T21" i="6"/>
  <c r="W21" i="6"/>
  <c r="Q21" i="6"/>
  <c r="K21" i="6"/>
  <c r="G21" i="6"/>
  <c r="T20" i="6"/>
  <c r="Q20" i="6"/>
  <c r="N20" i="6"/>
  <c r="K20" i="6"/>
  <c r="W20" i="6"/>
  <c r="G20" i="6"/>
  <c r="T19" i="6"/>
  <c r="Q19" i="6"/>
  <c r="N19" i="6"/>
  <c r="K19" i="6"/>
  <c r="G19" i="6"/>
  <c r="W19" i="6"/>
  <c r="W18" i="6"/>
  <c r="T18" i="6"/>
  <c r="Q18" i="6"/>
  <c r="N18" i="6"/>
  <c r="K18" i="6"/>
  <c r="G18" i="6"/>
  <c r="Q17" i="6"/>
  <c r="N17" i="6"/>
  <c r="K17" i="6"/>
  <c r="G17" i="6"/>
  <c r="W17" i="6"/>
  <c r="T16" i="6"/>
  <c r="Q16" i="6"/>
  <c r="N16" i="6"/>
  <c r="K16" i="6"/>
  <c r="G16" i="6"/>
  <c r="W16" i="6"/>
  <c r="T15" i="6"/>
  <c r="Q15" i="6"/>
  <c r="N15" i="6"/>
  <c r="K15" i="6"/>
  <c r="G15" i="6"/>
  <c r="W15" i="6"/>
  <c r="Q14" i="6"/>
  <c r="W14" i="6"/>
  <c r="N14" i="6"/>
  <c r="K14" i="6"/>
  <c r="G14" i="6"/>
  <c r="T13" i="6"/>
  <c r="Q13" i="6"/>
  <c r="N13" i="6"/>
  <c r="K13" i="6"/>
  <c r="W13" i="6"/>
  <c r="G13" i="6"/>
  <c r="T12" i="6"/>
  <c r="Q12" i="6"/>
  <c r="N12" i="6"/>
  <c r="K12" i="6"/>
  <c r="G12" i="6"/>
  <c r="W12" i="6"/>
  <c r="W11" i="6"/>
  <c r="T11" i="6"/>
  <c r="Q11" i="6"/>
  <c r="N11" i="6"/>
  <c r="K11" i="6"/>
  <c r="G11" i="6"/>
  <c r="T10" i="6"/>
  <c r="Q10" i="6"/>
  <c r="N10" i="6"/>
  <c r="K10" i="6"/>
  <c r="W10" i="6"/>
  <c r="G10" i="6"/>
  <c r="T9" i="6"/>
  <c r="Q9" i="6"/>
  <c r="N9" i="6"/>
  <c r="K9" i="6"/>
  <c r="W9" i="6"/>
  <c r="G9" i="6"/>
  <c r="T8" i="6"/>
  <c r="Q8" i="6"/>
  <c r="N8" i="6"/>
  <c r="K8" i="6"/>
  <c r="G8" i="6"/>
  <c r="W8" i="6"/>
  <c r="W7" i="6"/>
  <c r="T7" i="6"/>
  <c r="N7" i="6"/>
  <c r="K7" i="6"/>
  <c r="G7" i="6"/>
  <c r="T6" i="6"/>
  <c r="Q6" i="6"/>
  <c r="N6" i="6"/>
  <c r="W6" i="6"/>
  <c r="K6" i="6"/>
  <c r="G6" i="6"/>
  <c r="T5" i="6"/>
  <c r="Q5" i="6"/>
  <c r="Q46" i="6"/>
  <c r="K5" i="6"/>
  <c r="G5" i="6"/>
  <c r="W5" i="6"/>
  <c r="W4" i="6"/>
  <c r="T4" i="6"/>
  <c r="T46" i="6"/>
  <c r="Q4" i="6"/>
  <c r="N4" i="6"/>
  <c r="K4" i="6"/>
  <c r="K46" i="6"/>
  <c r="G4" i="6"/>
  <c r="G46" i="6"/>
  <c r="G4" i="5"/>
  <c r="K4" i="5"/>
  <c r="N4" i="5"/>
  <c r="Q4" i="5"/>
  <c r="T4" i="5"/>
  <c r="T46" i="5"/>
  <c r="W4" i="5"/>
  <c r="G5" i="5"/>
  <c r="W5" i="5"/>
  <c r="K5" i="5"/>
  <c r="N5" i="5"/>
  <c r="Q5" i="5"/>
  <c r="T5" i="5"/>
  <c r="G6" i="5"/>
  <c r="W6" i="5"/>
  <c r="K6" i="5"/>
  <c r="N6" i="5"/>
  <c r="N46" i="5"/>
  <c r="Q6" i="5"/>
  <c r="Q46" i="5"/>
  <c r="T6" i="5"/>
  <c r="G7" i="5"/>
  <c r="K7" i="5"/>
  <c r="N7" i="5"/>
  <c r="T7" i="5"/>
  <c r="W7" i="5"/>
  <c r="G8" i="5"/>
  <c r="W8" i="5"/>
  <c r="K8" i="5"/>
  <c r="N8" i="5"/>
  <c r="Q8" i="5"/>
  <c r="T8" i="5"/>
  <c r="G9" i="5"/>
  <c r="W9" i="5"/>
  <c r="K9" i="5"/>
  <c r="N9" i="5"/>
  <c r="Q9" i="5"/>
  <c r="T9" i="5"/>
  <c r="G10" i="5"/>
  <c r="W10" i="5"/>
  <c r="K10" i="5"/>
  <c r="N10" i="5"/>
  <c r="Q10" i="5"/>
  <c r="T10" i="5"/>
  <c r="G11" i="5"/>
  <c r="K11" i="5"/>
  <c r="N11" i="5"/>
  <c r="Q11" i="5"/>
  <c r="T11" i="5"/>
  <c r="W11" i="5"/>
  <c r="G12" i="5"/>
  <c r="W12" i="5"/>
  <c r="K12" i="5"/>
  <c r="N12" i="5"/>
  <c r="Q12" i="5"/>
  <c r="T12" i="5"/>
  <c r="G13" i="5"/>
  <c r="W13" i="5"/>
  <c r="K13" i="5"/>
  <c r="N13" i="5"/>
  <c r="Q13" i="5"/>
  <c r="T13" i="5"/>
  <c r="G14" i="5"/>
  <c r="W14" i="5"/>
  <c r="K14" i="5"/>
  <c r="N14" i="5"/>
  <c r="Q14" i="5"/>
  <c r="T14" i="5"/>
  <c r="G15" i="5"/>
  <c r="K15" i="5"/>
  <c r="N15" i="5"/>
  <c r="Q15" i="5"/>
  <c r="T15" i="5"/>
  <c r="W15" i="5"/>
  <c r="G16" i="5"/>
  <c r="W16" i="5"/>
  <c r="K16" i="5"/>
  <c r="N16" i="5"/>
  <c r="Q16" i="5"/>
  <c r="T16" i="5"/>
  <c r="G17" i="5"/>
  <c r="W17" i="5"/>
  <c r="K17" i="5"/>
  <c r="N17" i="5"/>
  <c r="Q17" i="5"/>
  <c r="T17" i="5"/>
  <c r="G18" i="5"/>
  <c r="W18" i="5"/>
  <c r="K18" i="5"/>
  <c r="N18" i="5"/>
  <c r="Q18" i="5"/>
  <c r="T18" i="5"/>
  <c r="G19" i="5"/>
  <c r="K19" i="5"/>
  <c r="N19" i="5"/>
  <c r="Q19" i="5"/>
  <c r="T19" i="5"/>
  <c r="W19" i="5"/>
  <c r="G20" i="5"/>
  <c r="W20" i="5"/>
  <c r="K20" i="5"/>
  <c r="N20" i="5"/>
  <c r="Q20" i="5"/>
  <c r="T20" i="5"/>
  <c r="G21" i="5"/>
  <c r="W21" i="5"/>
  <c r="K21" i="5"/>
  <c r="N21" i="5"/>
  <c r="Q21" i="5"/>
  <c r="T21" i="5"/>
  <c r="G22" i="5"/>
  <c r="W22" i="5"/>
  <c r="K22" i="5"/>
  <c r="N22" i="5"/>
  <c r="Q22" i="5"/>
  <c r="T22" i="5"/>
  <c r="G23" i="5"/>
  <c r="K23" i="5"/>
  <c r="N23" i="5"/>
  <c r="Q23" i="5"/>
  <c r="T23" i="5"/>
  <c r="W23" i="5"/>
  <c r="G24" i="5"/>
  <c r="W24" i="5"/>
  <c r="K24" i="5"/>
  <c r="N24" i="5"/>
  <c r="Q24" i="5"/>
  <c r="T24" i="5"/>
  <c r="G25" i="5"/>
  <c r="W25" i="5"/>
  <c r="K25" i="5"/>
  <c r="N25" i="5"/>
  <c r="Q25" i="5"/>
  <c r="T25" i="5"/>
  <c r="G26" i="5"/>
  <c r="K26" i="5"/>
  <c r="N26" i="5"/>
  <c r="Q26" i="5"/>
  <c r="W26" i="5"/>
  <c r="G27" i="5"/>
  <c r="K27" i="5"/>
  <c r="N27" i="5"/>
  <c r="Q27" i="5"/>
  <c r="T27" i="5"/>
  <c r="W27" i="5"/>
  <c r="G28" i="5"/>
  <c r="W28" i="5"/>
  <c r="K28" i="5"/>
  <c r="N28" i="5"/>
  <c r="Q28" i="5"/>
  <c r="T28" i="5"/>
  <c r="G29" i="5"/>
  <c r="W29" i="5"/>
  <c r="K29" i="5"/>
  <c r="N29" i="5"/>
  <c r="Q29" i="5"/>
  <c r="T29" i="5"/>
  <c r="G30" i="5"/>
  <c r="K30" i="5"/>
  <c r="N30" i="5"/>
  <c r="Q30" i="5"/>
  <c r="T30" i="5"/>
  <c r="W30" i="5"/>
  <c r="G31" i="5"/>
  <c r="K31" i="5"/>
  <c r="N31" i="5"/>
  <c r="T31" i="5"/>
  <c r="W31" i="5"/>
  <c r="G32" i="5"/>
  <c r="W32" i="5"/>
  <c r="K32" i="5"/>
  <c r="N32" i="5"/>
  <c r="Q32" i="5"/>
  <c r="T32" i="5"/>
  <c r="G33" i="5"/>
  <c r="W33" i="5"/>
  <c r="K33" i="5"/>
  <c r="N33" i="5"/>
  <c r="Q33" i="5"/>
  <c r="T33" i="5"/>
  <c r="G34" i="5"/>
  <c r="K34" i="5"/>
  <c r="N34" i="5"/>
  <c r="Q34" i="5"/>
  <c r="T34" i="5"/>
  <c r="W34" i="5"/>
  <c r="G35" i="5"/>
  <c r="W35" i="5"/>
  <c r="K35" i="5"/>
  <c r="N35" i="5"/>
  <c r="Q35" i="5"/>
  <c r="T35" i="5"/>
  <c r="G36" i="5"/>
  <c r="W36" i="5"/>
  <c r="K36" i="5"/>
  <c r="N36" i="5"/>
  <c r="T36" i="5"/>
  <c r="G37" i="5"/>
  <c r="K37" i="5"/>
  <c r="N37" i="5"/>
  <c r="Q37" i="5"/>
  <c r="T37" i="5"/>
  <c r="W37" i="5"/>
  <c r="G38" i="5"/>
  <c r="K38" i="5"/>
  <c r="N38" i="5"/>
  <c r="Q38" i="5"/>
  <c r="T38" i="5"/>
  <c r="W38" i="5"/>
  <c r="G39" i="5"/>
  <c r="W39" i="5"/>
  <c r="K39" i="5"/>
  <c r="N39" i="5"/>
  <c r="Q39" i="5"/>
  <c r="T39" i="5"/>
  <c r="G40" i="5"/>
  <c r="W40" i="5"/>
  <c r="K40" i="5"/>
  <c r="N40" i="5"/>
  <c r="T40" i="5"/>
  <c r="G41" i="5"/>
  <c r="K41" i="5"/>
  <c r="N41" i="5"/>
  <c r="Q41" i="5"/>
  <c r="T41" i="5"/>
  <c r="W41" i="5"/>
  <c r="G42" i="5"/>
  <c r="W42" i="5"/>
  <c r="K42" i="5"/>
  <c r="N42" i="5"/>
  <c r="Q42" i="5"/>
  <c r="T42" i="5"/>
  <c r="G43" i="5"/>
  <c r="W43" i="5"/>
  <c r="K43" i="5"/>
  <c r="N43" i="5"/>
  <c r="Q43" i="5"/>
  <c r="T43" i="5"/>
  <c r="G44" i="5"/>
  <c r="W44" i="5"/>
  <c r="K44" i="5"/>
  <c r="N44" i="5"/>
  <c r="Q44" i="5"/>
  <c r="T44" i="5"/>
  <c r="G45" i="5"/>
  <c r="K45" i="5"/>
  <c r="N45" i="5"/>
  <c r="Q45" i="5"/>
  <c r="T45" i="5"/>
  <c r="W45" i="5"/>
  <c r="C46" i="5"/>
  <c r="C69" i="5"/>
  <c r="D46" i="5"/>
  <c r="E46" i="5"/>
  <c r="F46" i="5"/>
  <c r="H46" i="5"/>
  <c r="H69" i="5"/>
  <c r="I46" i="5"/>
  <c r="I69" i="5"/>
  <c r="J46" i="5"/>
  <c r="J69" i="5"/>
  <c r="K46" i="5"/>
  <c r="L46" i="5"/>
  <c r="M46" i="5"/>
  <c r="O46" i="5"/>
  <c r="O69" i="5"/>
  <c r="P46" i="5"/>
  <c r="P69" i="5"/>
  <c r="R46" i="5"/>
  <c r="R69" i="5"/>
  <c r="S46" i="5"/>
  <c r="S69" i="5"/>
  <c r="U46" i="5"/>
  <c r="V46" i="5"/>
  <c r="G47" i="5"/>
  <c r="G51" i="5"/>
  <c r="K47" i="5"/>
  <c r="K51" i="5"/>
  <c r="N47" i="5"/>
  <c r="Q47" i="5"/>
  <c r="Q51" i="5"/>
  <c r="T47" i="5"/>
  <c r="G48" i="5"/>
  <c r="K48" i="5"/>
  <c r="N48" i="5"/>
  <c r="Q48" i="5"/>
  <c r="T48" i="5"/>
  <c r="T51" i="5"/>
  <c r="W48" i="5"/>
  <c r="G49" i="5"/>
  <c r="K49" i="5"/>
  <c r="N49" i="5"/>
  <c r="Q49" i="5"/>
  <c r="T49" i="5"/>
  <c r="W49" i="5"/>
  <c r="G50" i="5"/>
  <c r="W50" i="5"/>
  <c r="K50" i="5"/>
  <c r="N50" i="5"/>
  <c r="Q50" i="5"/>
  <c r="T50" i="5"/>
  <c r="C51" i="5"/>
  <c r="D51" i="5"/>
  <c r="E51" i="5"/>
  <c r="F51" i="5"/>
  <c r="H51" i="5"/>
  <c r="I51" i="5"/>
  <c r="J51" i="5"/>
  <c r="L51" i="5"/>
  <c r="M51" i="5"/>
  <c r="N51" i="5"/>
  <c r="O51" i="5"/>
  <c r="P51" i="5"/>
  <c r="R51" i="5"/>
  <c r="S51" i="5"/>
  <c r="U51" i="5"/>
  <c r="V51" i="5"/>
  <c r="G52" i="5"/>
  <c r="K52" i="5"/>
  <c r="N52" i="5"/>
  <c r="N61" i="5"/>
  <c r="Q52" i="5"/>
  <c r="T52" i="5"/>
  <c r="T61" i="5"/>
  <c r="W52" i="5"/>
  <c r="G53" i="5"/>
  <c r="W53" i="5"/>
  <c r="K53" i="5"/>
  <c r="N53" i="5"/>
  <c r="Q53" i="5"/>
  <c r="T53" i="5"/>
  <c r="G54" i="5"/>
  <c r="W54" i="5"/>
  <c r="K54" i="5"/>
  <c r="N54" i="5"/>
  <c r="Q54" i="5"/>
  <c r="T54" i="5"/>
  <c r="G55" i="5"/>
  <c r="W55" i="5"/>
  <c r="K55" i="5"/>
  <c r="N55" i="5"/>
  <c r="Q55" i="5"/>
  <c r="Q61" i="5"/>
  <c r="T55" i="5"/>
  <c r="G56" i="5"/>
  <c r="K56" i="5"/>
  <c r="N56" i="5"/>
  <c r="Q56" i="5"/>
  <c r="T56" i="5"/>
  <c r="W56" i="5"/>
  <c r="G57" i="5"/>
  <c r="W57" i="5"/>
  <c r="K57" i="5"/>
  <c r="N57" i="5"/>
  <c r="Q57" i="5"/>
  <c r="T57" i="5"/>
  <c r="G58" i="5"/>
  <c r="W58" i="5"/>
  <c r="K58" i="5"/>
  <c r="N58" i="5"/>
  <c r="Q58" i="5"/>
  <c r="T58" i="5"/>
  <c r="G59" i="5"/>
  <c r="W59" i="5"/>
  <c r="K59" i="5"/>
  <c r="N59" i="5"/>
  <c r="Q59" i="5"/>
  <c r="T59" i="5"/>
  <c r="G60" i="5"/>
  <c r="K60" i="5"/>
  <c r="N60" i="5"/>
  <c r="Q60" i="5"/>
  <c r="T60" i="5"/>
  <c r="W60" i="5"/>
  <c r="C61" i="5"/>
  <c r="D61" i="5"/>
  <c r="E61" i="5"/>
  <c r="F61" i="5"/>
  <c r="H61" i="5"/>
  <c r="I61" i="5"/>
  <c r="J61" i="5"/>
  <c r="K61" i="5"/>
  <c r="L61" i="5"/>
  <c r="M61" i="5"/>
  <c r="O61" i="5"/>
  <c r="P61" i="5"/>
  <c r="R61" i="5"/>
  <c r="S61" i="5"/>
  <c r="U61" i="5"/>
  <c r="V61" i="5"/>
  <c r="G62" i="5"/>
  <c r="W62" i="5"/>
  <c r="W63" i="5"/>
  <c r="K62" i="5"/>
  <c r="K63" i="5"/>
  <c r="N62" i="5"/>
  <c r="N63" i="5"/>
  <c r="Q62" i="5"/>
  <c r="Q63" i="5"/>
  <c r="T62" i="5"/>
  <c r="C63" i="5"/>
  <c r="D63" i="5"/>
  <c r="E63" i="5"/>
  <c r="F63" i="5"/>
  <c r="G63" i="5"/>
  <c r="H63" i="5"/>
  <c r="I63" i="5"/>
  <c r="J63" i="5"/>
  <c r="L63" i="5"/>
  <c r="M63" i="5"/>
  <c r="O63" i="5"/>
  <c r="P63" i="5"/>
  <c r="R63" i="5"/>
  <c r="S63" i="5"/>
  <c r="T63" i="5"/>
  <c r="U63" i="5"/>
  <c r="V63" i="5"/>
  <c r="G64" i="5"/>
  <c r="W64" i="5"/>
  <c r="K64" i="5"/>
  <c r="N64" i="5"/>
  <c r="Q64" i="5"/>
  <c r="T64" i="5"/>
  <c r="T68" i="5"/>
  <c r="G65" i="5"/>
  <c r="W65" i="5"/>
  <c r="K65" i="5"/>
  <c r="N65" i="5"/>
  <c r="N68" i="5"/>
  <c r="Q65" i="5"/>
  <c r="T65" i="5"/>
  <c r="G66" i="5"/>
  <c r="W66" i="5"/>
  <c r="K66" i="5"/>
  <c r="N66" i="5"/>
  <c r="Q66" i="5"/>
  <c r="Q68" i="5"/>
  <c r="T66" i="5"/>
  <c r="G67" i="5"/>
  <c r="K67" i="5"/>
  <c r="N67" i="5"/>
  <c r="Q67" i="5"/>
  <c r="T67" i="5"/>
  <c r="W67" i="5"/>
  <c r="C68" i="5"/>
  <c r="D68" i="5"/>
  <c r="E68" i="5"/>
  <c r="F68" i="5"/>
  <c r="H68" i="5"/>
  <c r="I68" i="5"/>
  <c r="J68" i="5"/>
  <c r="K68" i="5"/>
  <c r="L68" i="5"/>
  <c r="M68" i="5"/>
  <c r="O68" i="5"/>
  <c r="P68" i="5"/>
  <c r="R68" i="5"/>
  <c r="S68" i="5"/>
  <c r="U68" i="5"/>
  <c r="V68" i="5"/>
  <c r="D69" i="5"/>
  <c r="E69" i="5"/>
  <c r="F69" i="5"/>
  <c r="L69" i="5"/>
  <c r="M69" i="5"/>
  <c r="U69" i="5"/>
  <c r="V69" i="5"/>
  <c r="Q69" i="6"/>
  <c r="W51" i="6"/>
  <c r="T69" i="6"/>
  <c r="W68" i="6"/>
  <c r="G69" i="6"/>
  <c r="W61" i="6"/>
  <c r="W46" i="6"/>
  <c r="W69" i="6"/>
  <c r="N46" i="6"/>
  <c r="N61" i="6"/>
  <c r="N68" i="6"/>
  <c r="G61" i="6"/>
  <c r="K51" i="6"/>
  <c r="K69" i="6"/>
  <c r="T69" i="5"/>
  <c r="K69" i="5"/>
  <c r="Q69" i="5"/>
  <c r="W46" i="5"/>
  <c r="W61" i="5"/>
  <c r="N69" i="5"/>
  <c r="G68" i="5"/>
  <c r="W68" i="5"/>
  <c r="G61" i="5"/>
  <c r="G46" i="5"/>
  <c r="G69" i="5"/>
  <c r="W47" i="5"/>
  <c r="W51" i="5"/>
  <c r="U17" i="4"/>
  <c r="S17" i="4"/>
  <c r="R17" i="4"/>
  <c r="N17" i="4"/>
  <c r="M17" i="4"/>
  <c r="K17" i="4"/>
  <c r="J17" i="4"/>
  <c r="F17" i="4"/>
  <c r="E17" i="4"/>
  <c r="U16" i="4"/>
  <c r="T16" i="4"/>
  <c r="T17" i="4"/>
  <c r="S16" i="4"/>
  <c r="R16" i="4"/>
  <c r="Q16" i="4"/>
  <c r="Q17" i="4"/>
  <c r="P16" i="4"/>
  <c r="P17" i="4"/>
  <c r="O16" i="4"/>
  <c r="O17" i="4"/>
  <c r="N16" i="4"/>
  <c r="M16" i="4"/>
  <c r="L16" i="4"/>
  <c r="L17" i="4"/>
  <c r="K16" i="4"/>
  <c r="J16" i="4"/>
  <c r="I16" i="4"/>
  <c r="I17" i="4"/>
  <c r="H16" i="4"/>
  <c r="H17" i="4"/>
  <c r="G16" i="4"/>
  <c r="G17" i="4"/>
  <c r="F16" i="4"/>
  <c r="E16" i="4"/>
  <c r="D16" i="4"/>
  <c r="D17" i="4"/>
  <c r="S14" i="4"/>
  <c r="R14" i="4"/>
  <c r="P14" i="4"/>
  <c r="O14" i="4"/>
  <c r="K14" i="4"/>
  <c r="J14" i="4"/>
  <c r="H14" i="4"/>
  <c r="G14" i="4"/>
  <c r="U13" i="4"/>
  <c r="U14" i="4"/>
  <c r="T13" i="4"/>
  <c r="T14" i="4"/>
  <c r="S13" i="4"/>
  <c r="R13" i="4"/>
  <c r="Q13" i="4"/>
  <c r="Q14" i="4"/>
  <c r="P13" i="4"/>
  <c r="O13" i="4"/>
  <c r="N13" i="4"/>
  <c r="N14" i="4"/>
  <c r="M13" i="4"/>
  <c r="M14" i="4"/>
  <c r="L13" i="4"/>
  <c r="L14" i="4"/>
  <c r="K13" i="4"/>
  <c r="J13" i="4"/>
  <c r="I13" i="4"/>
  <c r="I14" i="4"/>
  <c r="H13" i="4"/>
  <c r="G13" i="4"/>
  <c r="F13" i="4"/>
  <c r="F14" i="4"/>
  <c r="E13" i="4"/>
  <c r="E14" i="4"/>
  <c r="D13" i="4"/>
  <c r="D14" i="4"/>
  <c r="U11" i="4"/>
  <c r="U18" i="4"/>
  <c r="T11" i="4"/>
  <c r="T18" i="4"/>
  <c r="P11" i="4"/>
  <c r="P18" i="4"/>
  <c r="O11" i="4"/>
  <c r="M11" i="4"/>
  <c r="L11" i="4"/>
  <c r="H11" i="4"/>
  <c r="G11" i="4"/>
  <c r="E11" i="4"/>
  <c r="E18" i="4"/>
  <c r="D11" i="4"/>
  <c r="D18" i="4"/>
  <c r="U10" i="4"/>
  <c r="T10" i="4"/>
  <c r="S10" i="4"/>
  <c r="S11" i="4"/>
  <c r="S18" i="4"/>
  <c r="R10" i="4"/>
  <c r="R11" i="4"/>
  <c r="R18" i="4"/>
  <c r="Q10" i="4"/>
  <c r="Q11" i="4"/>
  <c r="P10" i="4"/>
  <c r="O10" i="4"/>
  <c r="N10" i="4"/>
  <c r="N11" i="4"/>
  <c r="N18" i="4"/>
  <c r="M10" i="4"/>
  <c r="L10" i="4"/>
  <c r="K10" i="4"/>
  <c r="K11" i="4"/>
  <c r="K18" i="4"/>
  <c r="J10" i="4"/>
  <c r="J11" i="4"/>
  <c r="J18" i="4"/>
  <c r="I10" i="4"/>
  <c r="I11" i="4"/>
  <c r="H10" i="4"/>
  <c r="G10" i="4"/>
  <c r="F10" i="4"/>
  <c r="F11" i="4"/>
  <c r="F18" i="4"/>
  <c r="E10" i="4"/>
  <c r="D10" i="4"/>
  <c r="V8" i="4"/>
  <c r="V7" i="4"/>
  <c r="N69" i="6"/>
  <c r="W69" i="5"/>
  <c r="G18" i="4"/>
  <c r="V14" i="4"/>
  <c r="I18" i="4"/>
  <c r="Q18" i="4"/>
  <c r="H18" i="4"/>
  <c r="L18" i="4"/>
  <c r="V17" i="4"/>
  <c r="V18" i="4"/>
  <c r="M18" i="4"/>
  <c r="O18" i="4"/>
  <c r="V11" i="4"/>
  <c r="C17" i="3"/>
  <c r="C16" i="3"/>
  <c r="C55" i="3"/>
  <c r="C54" i="3"/>
  <c r="C53" i="3"/>
  <c r="C50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1" i="3"/>
  <c r="C30" i="3"/>
  <c r="C29" i="3"/>
  <c r="C28" i="3"/>
  <c r="C27" i="3"/>
  <c r="C25" i="3"/>
  <c r="C24" i="3"/>
  <c r="C23" i="3"/>
  <c r="C22" i="3"/>
  <c r="C20" i="3"/>
  <c r="C19" i="3"/>
  <c r="C18" i="3"/>
  <c r="C15" i="3"/>
  <c r="C14" i="3"/>
  <c r="C13" i="3"/>
  <c r="C12" i="3"/>
  <c r="C11" i="3"/>
  <c r="C10" i="3"/>
  <c r="C9" i="3"/>
  <c r="C8" i="3"/>
  <c r="C7" i="3"/>
</calcChain>
</file>

<file path=xl/comments1.xml><?xml version="1.0" encoding="utf-8"?>
<comments xmlns="http://schemas.openxmlformats.org/spreadsheetml/2006/main">
  <authors>
    <author>Author</author>
  </authors>
  <commentList>
    <comment ref="N5" authorId="0">
      <text>
        <r>
          <rPr>
            <sz val="9"/>
            <color indexed="81"/>
            <rFont val="Tahoma"/>
            <family val="2"/>
          </rPr>
          <t>Based on published Benchmarks by Fitzpatrick et al £0.23 for control and £0.30 for elimination
For SCI countries, 2015-16 budgeted cost per treatment used</t>
        </r>
      </text>
    </comment>
    <comment ref="P5" authorId="0">
      <text>
        <r>
          <rPr>
            <sz val="9"/>
            <color indexed="81"/>
            <rFont val="Tahoma"/>
            <family val="2"/>
          </rPr>
          <t>Assumes all PZQ tablets are delivered during 2017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Assumes no remaining stock from 2016 except in DRC </t>
        </r>
      </text>
    </comment>
    <comment ref="H50" authorId="0">
      <text>
        <r>
          <rPr>
            <sz val="9"/>
            <color indexed="81"/>
            <rFont val="Tahoma"/>
            <family val="2"/>
          </rPr>
          <t>Assuming 6.6m allocated to ZNZ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L41" authorId="0">
      <text>
        <r>
          <rPr>
            <sz val="9"/>
            <color indexed="81"/>
            <rFont val="Tahoma"/>
            <family val="2"/>
          </rPr>
          <t xml:space="preserve">2.9M adults targeted </t>
        </r>
      </text>
    </comment>
    <comment ref="R41" authorId="0">
      <text>
        <r>
          <rPr>
            <sz val="9"/>
            <color indexed="81"/>
            <rFont val="Tahoma"/>
            <family val="2"/>
          </rPr>
          <t xml:space="preserve">SCI to confrm how many children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only children</t>
        </r>
      </text>
    </comment>
    <comment ref="R42" authorId="0">
      <text>
        <r>
          <rPr>
            <sz val="9"/>
            <color indexed="81"/>
            <rFont val="Tahoma"/>
            <family val="2"/>
          </rPr>
          <t>only children</t>
        </r>
      </text>
    </comment>
    <comment ref="H43" authorId="0">
      <text>
        <r>
          <rPr>
            <sz val="9"/>
            <color indexed="81"/>
            <rFont val="Tahoma"/>
            <family val="2"/>
          </rPr>
          <t>waiting for country to submit request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color indexed="81"/>
            <rFont val="Tahoma"/>
            <family val="2"/>
          </rPr>
          <t>Liverpool management fees to manage Mozambique and Zambia</t>
        </r>
      </text>
    </comment>
    <comment ref="B5" authorId="0">
      <text>
        <r>
          <rPr>
            <sz val="9"/>
            <color indexed="81"/>
            <rFont val="Tahoma"/>
            <family val="2"/>
          </rPr>
          <t>AF estimate when reviewing complexity factor Mar 2016</t>
        </r>
      </text>
    </comment>
    <comment ref="C7" authorId="0">
      <text>
        <r>
          <rPr>
            <sz val="9"/>
            <color indexed="81"/>
            <rFont val="Tahoma"/>
            <family val="2"/>
          </rPr>
          <t>Assuming scenario 3 from Sarah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15/16 per treatment cost is 0.15 but is for re-treatment and no management costs
</t>
        </r>
      </text>
    </comment>
    <comment ref="B12" authorId="0">
      <text>
        <r>
          <rPr>
            <sz val="9"/>
            <color indexed="81"/>
            <rFont val="Tahoma"/>
            <family val="2"/>
          </rPr>
          <t>Assuming delivery of 0.5m PZQ from WHO</t>
        </r>
      </text>
    </comment>
    <comment ref="C12" authorId="0">
      <text>
        <r>
          <rPr>
            <sz val="9"/>
            <color indexed="81"/>
            <rFont val="Tahoma"/>
            <family val="2"/>
          </rPr>
          <t>Assuming same level of support as in 2015/16</t>
        </r>
      </text>
    </comment>
    <comment ref="D13" authorId="0">
      <text>
        <r>
          <rPr>
            <sz val="9"/>
            <color indexed="81"/>
            <rFont val="Tahoma"/>
            <family val="2"/>
          </rPr>
          <t>taken from 15/16 contract - assuming person treated with any medication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no work-plan and budget finalised yet but an estimate allocation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AF estimate when reviewing complexity factor Mar 2016</t>
        </r>
      </text>
    </comment>
    <comment ref="C18" authorId="0">
      <text>
        <r>
          <rPr>
            <sz val="9"/>
            <color indexed="81"/>
            <rFont val="Tahoma"/>
            <family val="2"/>
          </rPr>
          <t>50% of required cost - matched by Sudanese Govt</t>
        </r>
      </text>
    </comment>
    <comment ref="B22" authorId="0">
      <text>
        <r>
          <rPr>
            <sz val="9"/>
            <color indexed="81"/>
            <rFont val="Tahoma"/>
            <family val="2"/>
          </rPr>
          <t>taken from PCT plan</t>
        </r>
      </text>
    </comment>
    <comment ref="D22" authorId="0">
      <text>
        <r>
          <rPr>
            <sz val="9"/>
            <color indexed="81"/>
            <rFont val="Tahoma"/>
            <family val="2"/>
          </rPr>
          <t>taken from 2015/16 contract</t>
        </r>
      </text>
    </comment>
  </commentList>
</comments>
</file>

<file path=xl/sharedStrings.xml><?xml version="1.0" encoding="utf-8"?>
<sst xmlns="http://schemas.openxmlformats.org/spreadsheetml/2006/main" count="619" uniqueCount="201">
  <si>
    <t>Planned</t>
  </si>
  <si>
    <t>Actual</t>
  </si>
  <si>
    <t>SAC</t>
  </si>
  <si>
    <t>Adults</t>
  </si>
  <si>
    <t>Cote d'Ivoire</t>
  </si>
  <si>
    <t>DRC</t>
  </si>
  <si>
    <t>Ethiopia</t>
  </si>
  <si>
    <t>-</t>
  </si>
  <si>
    <t>Liberia</t>
  </si>
  <si>
    <t>Malawi</t>
  </si>
  <si>
    <t>Mozambique</t>
  </si>
  <si>
    <t xml:space="preserve">Niger </t>
  </si>
  <si>
    <t>Tanzania</t>
  </si>
  <si>
    <t>Uganda</t>
  </si>
  <si>
    <t>Zambia</t>
  </si>
  <si>
    <t>Zanzibar</t>
  </si>
  <si>
    <t>Burundi</t>
  </si>
  <si>
    <t>Madagascar</t>
  </si>
  <si>
    <t>Mauritania</t>
  </si>
  <si>
    <t>Nigeria</t>
  </si>
  <si>
    <t>Rwanda</t>
  </si>
  <si>
    <t>Senegal</t>
  </si>
  <si>
    <t>Sudan</t>
  </si>
  <si>
    <t>Yemen</t>
  </si>
  <si>
    <t>Country</t>
  </si>
  <si>
    <t>Angola</t>
  </si>
  <si>
    <t>Benin</t>
  </si>
  <si>
    <t>Botswana</t>
  </si>
  <si>
    <t>Burkina Faso</t>
  </si>
  <si>
    <t>Cameroon</t>
  </si>
  <si>
    <t>Central African Republic</t>
  </si>
  <si>
    <t>Chad</t>
  </si>
  <si>
    <t>Congo</t>
  </si>
  <si>
    <t>Democratic Republic of the Congo</t>
  </si>
  <si>
    <t>Equatorial Guinea</t>
  </si>
  <si>
    <t>Eritrea</t>
  </si>
  <si>
    <t>Gabon</t>
  </si>
  <si>
    <t>Gambia</t>
  </si>
  <si>
    <t>Ghana</t>
  </si>
  <si>
    <t>Guinea</t>
  </si>
  <si>
    <t>Guinea-Bissau</t>
  </si>
  <si>
    <t>Kenya</t>
  </si>
  <si>
    <t>Mali</t>
  </si>
  <si>
    <t>Namibia</t>
  </si>
  <si>
    <t>Niger</t>
  </si>
  <si>
    <t>Sao Tome and Principe</t>
  </si>
  <si>
    <t>Sierra Leone</t>
  </si>
  <si>
    <t>South Africa</t>
  </si>
  <si>
    <t>South Sudan</t>
  </si>
  <si>
    <t>Swaziland</t>
  </si>
  <si>
    <t>Togo</t>
  </si>
  <si>
    <t>United Republic of Tanzania</t>
  </si>
  <si>
    <t>Zimbabwe</t>
  </si>
  <si>
    <t xml:space="preserve">Total </t>
  </si>
  <si>
    <t>2016 PCT</t>
  </si>
  <si>
    <t>2015 PCT</t>
  </si>
  <si>
    <t xml:space="preserve">No PCT </t>
  </si>
  <si>
    <t>SCH Current Donor</t>
  </si>
  <si>
    <t>END Fund</t>
  </si>
  <si>
    <t>END in Africa/USAID</t>
  </si>
  <si>
    <t>SCI</t>
  </si>
  <si>
    <t>ENVISION/USAID</t>
  </si>
  <si>
    <t>WHO data on populations in need of treatment 2014</t>
  </si>
  <si>
    <t>SCI/DFID</t>
  </si>
  <si>
    <t>SCI/DFID,
 END in Africa/USAID</t>
  </si>
  <si>
    <t>SCI/DFID,
ENVISION/USAID</t>
  </si>
  <si>
    <t>SCI/DFID,
END in Africa/USAID</t>
  </si>
  <si>
    <t>SCI/DFID,
 END in Africa/USAID,
END Fund</t>
  </si>
  <si>
    <t>SCI/END Fund, 
World Bank</t>
  </si>
  <si>
    <t>2017-18</t>
  </si>
  <si>
    <t>SCH ONLY</t>
  </si>
  <si>
    <t>SCH Treatment numbers by country by year - predicted</t>
  </si>
  <si>
    <t>YEAR</t>
  </si>
  <si>
    <t>Cote D'Ivoire</t>
  </si>
  <si>
    <t xml:space="preserve">Malawi </t>
  </si>
  <si>
    <t xml:space="preserve">Mozambique </t>
  </si>
  <si>
    <t xml:space="preserve">DRC </t>
  </si>
  <si>
    <t xml:space="preserve">Ethiopia </t>
  </si>
  <si>
    <t>TOTAL</t>
  </si>
  <si>
    <t>No.of treatments delivered and distributed  to countries in line with WHO treatment stategy</t>
  </si>
  <si>
    <t>1st October 2010 - 31st March 2016</t>
  </si>
  <si>
    <t>Actual Treatment numbers</t>
  </si>
  <si>
    <t>1st April 2016 - 31st March 2017</t>
  </si>
  <si>
    <t>Delayed treatment from 15/16</t>
  </si>
  <si>
    <t xml:space="preserve">Target Treatment Numbers </t>
  </si>
  <si>
    <t>Assuming 80% coverage</t>
  </si>
  <si>
    <t>Total number of treatments</t>
  </si>
  <si>
    <t>1st April 2017 - 31st March 2018</t>
  </si>
  <si>
    <t>1st April 2018 - 30th December 2019</t>
  </si>
  <si>
    <t xml:space="preserve">Total treatments by 2019 </t>
  </si>
  <si>
    <t>GLOBAL TOTAL</t>
  </si>
  <si>
    <t xml:space="preserve">WPR SUBTOTAL </t>
  </si>
  <si>
    <t>Philippines</t>
  </si>
  <si>
    <t>WPR</t>
  </si>
  <si>
    <t>Lao PDR</t>
  </si>
  <si>
    <t>China</t>
  </si>
  <si>
    <t>Cambodia</t>
  </si>
  <si>
    <t>SEAR SUBTOTAL</t>
  </si>
  <si>
    <t>Indonesia</t>
  </si>
  <si>
    <t xml:space="preserve">SEAR </t>
  </si>
  <si>
    <t xml:space="preserve">EMR SUBTOTAL </t>
  </si>
  <si>
    <t>EMR</t>
  </si>
  <si>
    <t>Somalia</t>
  </si>
  <si>
    <t>Saudi Arabia</t>
  </si>
  <si>
    <t>Oman</t>
  </si>
  <si>
    <t>Libyan Arab Jamahiriya</t>
  </si>
  <si>
    <t>Lebanon</t>
  </si>
  <si>
    <t>Iraq</t>
  </si>
  <si>
    <t>Egypt</t>
  </si>
  <si>
    <t xml:space="preserve">AMR SUBTOTAL </t>
  </si>
  <si>
    <t>Venezuela</t>
  </si>
  <si>
    <t>AMR</t>
  </si>
  <si>
    <t>Suriname</t>
  </si>
  <si>
    <t>Dominican Republic</t>
  </si>
  <si>
    <t>Brazil</t>
  </si>
  <si>
    <t xml:space="preserve">AFR SUBTOTAL </t>
  </si>
  <si>
    <t>AFR</t>
  </si>
  <si>
    <t>Tanzania - Zanzibar</t>
  </si>
  <si>
    <t>Tanzania - Mainland</t>
  </si>
  <si>
    <t>Côte d'Ivoire</t>
  </si>
  <si>
    <t>CAR</t>
  </si>
  <si>
    <t>ADULTS</t>
  </si>
  <si>
    <t>Global total</t>
  </si>
  <si>
    <t>MDA Period</t>
  </si>
  <si>
    <t>SCI/CA</t>
  </si>
  <si>
    <t xml:space="preserve">USAID/FHI </t>
  </si>
  <si>
    <t>USAID/RTI/ENVISION</t>
  </si>
  <si>
    <t>World Vision</t>
  </si>
  <si>
    <t>WHO/MERCK</t>
  </si>
  <si>
    <t xml:space="preserve">Local procurement </t>
  </si>
  <si>
    <t>Estimated number of tablets needed to treat adults 
(from JRSM)</t>
  </si>
  <si>
    <t>Number of tablets requested for SAC
(from JRSM)</t>
  </si>
  <si>
    <t xml:space="preserve">List of countries requiring PZQ for PC intervention </t>
  </si>
  <si>
    <t>USAID/RTI</t>
  </si>
  <si>
    <t>USAID/FHI /ENDfund</t>
  </si>
  <si>
    <t>SCI/CA* the calader year is overlapping</t>
  </si>
  <si>
    <t>Merck/WHO</t>
  </si>
  <si>
    <t>USAID</t>
  </si>
  <si>
    <t>DFID</t>
  </si>
  <si>
    <t>WHO SAC target</t>
  </si>
  <si>
    <t>PZQ Available for SAC</t>
  </si>
  <si>
    <t>PZQ required to treat all SAC</t>
  </si>
  <si>
    <t>Total PZQ Available</t>
  </si>
  <si>
    <t>Potential Treatments (assumes 2.5 PZQ)</t>
  </si>
  <si>
    <t>Medicine</t>
  </si>
  <si>
    <t>Region</t>
  </si>
  <si>
    <t xml:space="preserve">TabletsOrdered </t>
  </si>
  <si>
    <t>PO</t>
  </si>
  <si>
    <t>USE</t>
  </si>
  <si>
    <t>PlannedPC</t>
  </si>
  <si>
    <t>PZQ600</t>
  </si>
  <si>
    <t>AFRO</t>
  </si>
  <si>
    <t xml:space="preserve">        11,764,000 </t>
  </si>
  <si>
    <t>SCH</t>
  </si>
  <si>
    <t xml:space="preserve">          8,122,000 </t>
  </si>
  <si>
    <t xml:space="preserve">        16,975,000 </t>
  </si>
  <si>
    <t xml:space="preserve">             332,000 </t>
  </si>
  <si>
    <t xml:space="preserve">          2,325,000 </t>
  </si>
  <si>
    <t xml:space="preserve">          3,720,000 </t>
  </si>
  <si>
    <t xml:space="preserve">        69,996,000 </t>
  </si>
  <si>
    <t xml:space="preserve">          6,638,000 </t>
  </si>
  <si>
    <t xml:space="preserve">        14,573,000 </t>
  </si>
  <si>
    <t xml:space="preserve">          4,820,000 </t>
  </si>
  <si>
    <t>Guinea Bissau</t>
  </si>
  <si>
    <t xml:space="preserve">             361,000 </t>
  </si>
  <si>
    <t xml:space="preserve">          3,380,000 </t>
  </si>
  <si>
    <t xml:space="preserve">                45,000 </t>
  </si>
  <si>
    <t xml:space="preserve">        19,094,000 </t>
  </si>
  <si>
    <t xml:space="preserve">             261,000 </t>
  </si>
  <si>
    <t>D.R. Congo</t>
  </si>
  <si>
    <t xml:space="preserve">          5,993,000 </t>
  </si>
  <si>
    <t xml:space="preserve">          6,564,000 </t>
  </si>
  <si>
    <t xml:space="preserve">             284,000 </t>
  </si>
  <si>
    <t xml:space="preserve">          7,042,000 </t>
  </si>
  <si>
    <t xml:space="preserve">          6,580,000 </t>
  </si>
  <si>
    <t xml:space="preserve">          1,609,000 </t>
  </si>
  <si>
    <t xml:space="preserve">          7,295,000 </t>
  </si>
  <si>
    <t>Summary table of requested amounts of PZQ from each country for 2017</t>
  </si>
  <si>
    <t>Reference: E-mail from Willemijn on 2nd October 2016</t>
  </si>
  <si>
    <t>Subject to RPRG approval</t>
  </si>
  <si>
    <t>Expected PZQ STOCK</t>
  </si>
  <si>
    <t>Funding required for Delivery (conservative)</t>
  </si>
  <si>
    <t>Funding Gap</t>
  </si>
  <si>
    <t>Evidence Action/CIFF</t>
  </si>
  <si>
    <t>SCI Fundraising Required - current countries</t>
  </si>
  <si>
    <t>SCI Fundraising Required - potential countries</t>
  </si>
  <si>
    <t>SCI/DFID, END Fund</t>
  </si>
  <si>
    <t xml:space="preserve"> # of Treatments</t>
  </si>
  <si>
    <t>Proposed Budget from Countries in GBP</t>
  </si>
  <si>
    <t>in country cost  per PZQ treatment</t>
  </si>
  <si>
    <t>Funding Source Allocation</t>
  </si>
  <si>
    <t>UBS</t>
  </si>
  <si>
    <t>CIFF</t>
  </si>
  <si>
    <t>Unrestricted ICT</t>
  </si>
  <si>
    <t>Unrestricted IC</t>
  </si>
  <si>
    <t xml:space="preserve">Central </t>
  </si>
  <si>
    <t>Zanzibar Pemba</t>
  </si>
  <si>
    <t>Zanzibar Unguja</t>
  </si>
  <si>
    <t>TOTALS</t>
  </si>
  <si>
    <t>ENVISION/USAID,
Sightsavers/DFID, SCI</t>
  </si>
  <si>
    <t>FUNDING GAP ANALYSIS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</si>
</sst>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.0"/>
    <numFmt numFmtId="168" formatCode="#,##0_ ;\-#,##0\ "/>
    <numFmt numFmtId="169" formatCode="&quot;£&quot;#,##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1F497D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DB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FF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3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3" fillId="0" borderId="0"/>
    <xf numFmtId="0" fontId="24" fillId="19" borderId="0">
      <alignment vertical="center"/>
    </xf>
    <xf numFmtId="0" fontId="24" fillId="19" borderId="0">
      <alignment vertical="center"/>
    </xf>
    <xf numFmtId="0" fontId="24" fillId="19" borderId="0">
      <alignment vertical="center"/>
    </xf>
  </cellStyleXfs>
  <cellXfs count="357">
    <xf numFmtId="0" fontId="0" fillId="0" borderId="0" xfId="0"/>
    <xf numFmtId="0" fontId="8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2" fillId="5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3" fontId="0" fillId="12" borderId="9" xfId="0" applyNumberFormat="1" applyFont="1" applyFill="1" applyBorder="1" applyAlignment="1">
      <alignment horizontal="right"/>
    </xf>
    <xf numFmtId="3" fontId="0" fillId="12" borderId="10" xfId="0" applyNumberFormat="1" applyFont="1" applyFill="1" applyBorder="1" applyAlignment="1">
      <alignment horizontal="right"/>
    </xf>
    <xf numFmtId="3" fontId="0" fillId="12" borderId="10" xfId="0" applyNumberFormat="1" applyFont="1" applyFill="1" applyBorder="1" applyAlignment="1">
      <alignment horizontal="right" wrapText="1"/>
    </xf>
    <xf numFmtId="0" fontId="0" fillId="12" borderId="10" xfId="0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vertical="center" wrapText="1"/>
    </xf>
    <xf numFmtId="3" fontId="13" fillId="5" borderId="9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3" fontId="13" fillId="5" borderId="10" xfId="0" applyNumberFormat="1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vertical="center" wrapText="1"/>
    </xf>
    <xf numFmtId="3" fontId="13" fillId="5" borderId="11" xfId="0" applyNumberFormat="1" applyFont="1" applyFill="1" applyBorder="1" applyAlignment="1">
      <alignment vertical="center" wrapText="1"/>
    </xf>
    <xf numFmtId="0" fontId="4" fillId="14" borderId="0" xfId="0" applyFont="1" applyFill="1"/>
    <xf numFmtId="0" fontId="15" fillId="0" borderId="0" xfId="88" applyFont="1"/>
    <xf numFmtId="0" fontId="14" fillId="0" borderId="0" xfId="88"/>
    <xf numFmtId="0" fontId="16" fillId="7" borderId="12" xfId="88" applyFont="1" applyFill="1" applyBorder="1" applyAlignment="1">
      <alignment horizontal="left" vertical="top" wrapText="1"/>
    </xf>
    <xf numFmtId="0" fontId="16" fillId="7" borderId="13" xfId="88" applyFont="1" applyFill="1" applyBorder="1" applyAlignment="1">
      <alignment horizontal="center" vertical="top" wrapText="1"/>
    </xf>
    <xf numFmtId="0" fontId="16" fillId="7" borderId="14" xfId="88" applyFont="1" applyFill="1" applyBorder="1" applyAlignment="1">
      <alignment horizontal="left" vertical="top" wrapText="1"/>
    </xf>
    <xf numFmtId="0" fontId="16" fillId="7" borderId="14" xfId="88" applyFont="1" applyFill="1" applyBorder="1" applyAlignment="1">
      <alignment horizontal="center" vertical="top" wrapText="1"/>
    </xf>
    <xf numFmtId="0" fontId="16" fillId="7" borderId="14" xfId="88" applyFont="1" applyFill="1" applyBorder="1" applyAlignment="1">
      <alignment vertical="top" wrapText="1"/>
    </xf>
    <xf numFmtId="0" fontId="17" fillId="3" borderId="16" xfId="88" applyFont="1" applyFill="1" applyBorder="1" applyAlignment="1">
      <alignment horizontal="center" vertical="center" wrapText="1"/>
    </xf>
    <xf numFmtId="0" fontId="18" fillId="2" borderId="16" xfId="88" applyFont="1" applyFill="1" applyBorder="1" applyAlignment="1">
      <alignment horizontal="left" vertical="center" wrapText="1"/>
    </xf>
    <xf numFmtId="166" fontId="19" fillId="2" borderId="16" xfId="88" applyNumberFormat="1" applyFont="1" applyFill="1" applyBorder="1" applyAlignment="1">
      <alignment horizontal="center" vertical="center" wrapText="1"/>
    </xf>
    <xf numFmtId="166" fontId="20" fillId="2" borderId="16" xfId="88" applyNumberFormat="1" applyFont="1" applyFill="1" applyBorder="1" applyAlignment="1">
      <alignment horizontal="center" vertical="center" wrapText="1"/>
    </xf>
    <xf numFmtId="0" fontId="21" fillId="10" borderId="5" xfId="88" applyFont="1" applyFill="1" applyBorder="1" applyAlignment="1">
      <alignment horizontal="left" vertical="top" wrapText="1"/>
    </xf>
    <xf numFmtId="166" fontId="22" fillId="10" borderId="5" xfId="88" applyNumberFormat="1" applyFont="1" applyFill="1" applyBorder="1" applyAlignment="1">
      <alignment horizontal="center" vertical="center" wrapText="1"/>
    </xf>
    <xf numFmtId="0" fontId="21" fillId="13" borderId="5" xfId="88" applyFont="1" applyFill="1" applyBorder="1" applyAlignment="1">
      <alignment horizontal="left" vertical="top" wrapText="1"/>
    </xf>
    <xf numFmtId="166" fontId="22" fillId="13" borderId="5" xfId="88" applyNumberFormat="1" applyFont="1" applyFill="1" applyBorder="1" applyAlignment="1">
      <alignment horizontal="center" vertical="center" wrapText="1"/>
    </xf>
    <xf numFmtId="166" fontId="23" fillId="13" borderId="5" xfId="88" applyNumberFormat="1" applyFont="1" applyFill="1" applyBorder="1" applyAlignment="1">
      <alignment horizontal="center" vertical="center" wrapText="1"/>
    </xf>
    <xf numFmtId="0" fontId="21" fillId="13" borderId="6" xfId="88" applyFont="1" applyFill="1" applyBorder="1" applyAlignment="1">
      <alignment horizontal="left" vertical="top" wrapText="1"/>
    </xf>
    <xf numFmtId="166" fontId="22" fillId="13" borderId="18" xfId="88" applyNumberFormat="1" applyFont="1" applyFill="1" applyBorder="1" applyAlignment="1">
      <alignment horizontal="center" vertical="center" wrapText="1"/>
    </xf>
    <xf numFmtId="166" fontId="23" fillId="13" borderId="18" xfId="88" applyNumberFormat="1" applyFont="1" applyFill="1" applyBorder="1" applyAlignment="1">
      <alignment horizontal="center" vertical="center" wrapText="1"/>
    </xf>
    <xf numFmtId="0" fontId="18" fillId="2" borderId="16" xfId="88" applyFont="1" applyFill="1" applyBorder="1" applyAlignment="1">
      <alignment horizontal="left" vertical="top" wrapText="1"/>
    </xf>
    <xf numFmtId="0" fontId="18" fillId="2" borderId="14" xfId="88" applyFont="1" applyFill="1" applyBorder="1" applyAlignment="1">
      <alignment horizontal="left" vertical="top" wrapText="1"/>
    </xf>
    <xf numFmtId="166" fontId="19" fillId="2" borderId="14" xfId="88" applyNumberFormat="1" applyFont="1" applyFill="1" applyBorder="1" applyAlignment="1">
      <alignment horizontal="center" vertical="center" wrapText="1"/>
    </xf>
    <xf numFmtId="166" fontId="20" fillId="2" borderId="14" xfId="88" applyNumberFormat="1" applyFont="1" applyFill="1" applyBorder="1" applyAlignment="1">
      <alignment horizontal="center" vertical="center" wrapText="1"/>
    </xf>
    <xf numFmtId="0" fontId="18" fillId="2" borderId="21" xfId="88" applyFont="1" applyFill="1" applyBorder="1" applyAlignment="1">
      <alignment horizontal="left" vertical="top" wrapText="1"/>
    </xf>
    <xf numFmtId="167" fontId="20" fillId="2" borderId="16" xfId="88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4" fillId="0" borderId="0" xfId="90" applyFont="1" applyFill="1" applyAlignment="1">
      <alignment vertical="center"/>
    </xf>
    <xf numFmtId="0" fontId="18" fillId="0" borderId="0" xfId="90" applyFont="1" applyFill="1" applyAlignment="1">
      <alignment vertical="center"/>
    </xf>
    <xf numFmtId="3" fontId="16" fillId="16" borderId="23" xfId="91" quotePrefix="1" applyNumberFormat="1" applyFont="1" applyFill="1" applyBorder="1" applyAlignment="1">
      <alignment horizontal="right" vertical="center" wrapText="1"/>
    </xf>
    <xf numFmtId="3" fontId="16" fillId="16" borderId="24" xfId="91" quotePrefix="1" applyNumberFormat="1" applyFont="1" applyFill="1" applyBorder="1" applyAlignment="1">
      <alignment horizontal="right" vertical="center" wrapText="1"/>
    </xf>
    <xf numFmtId="3" fontId="16" fillId="16" borderId="25" xfId="91" quotePrefix="1" applyNumberFormat="1" applyFont="1" applyFill="1" applyBorder="1" applyAlignment="1">
      <alignment horizontal="right" vertical="center" wrapText="1"/>
    </xf>
    <xf numFmtId="3" fontId="18" fillId="0" borderId="27" xfId="91" applyNumberFormat="1" applyFont="1" applyFill="1" applyBorder="1" applyAlignment="1">
      <alignment horizontal="right" vertical="center"/>
    </xf>
    <xf numFmtId="3" fontId="18" fillId="11" borderId="28" xfId="91" quotePrefix="1" applyNumberFormat="1" applyFont="1" applyFill="1" applyBorder="1" applyAlignment="1">
      <alignment horizontal="right" vertical="center" wrapText="1"/>
    </xf>
    <xf numFmtId="3" fontId="18" fillId="11" borderId="21" xfId="91" quotePrefix="1" applyNumberFormat="1" applyFont="1" applyFill="1" applyBorder="1" applyAlignment="1">
      <alignment horizontal="right" vertical="center" wrapText="1"/>
    </xf>
    <xf numFmtId="3" fontId="18" fillId="11" borderId="29" xfId="91" quotePrefix="1" applyNumberFormat="1" applyFont="1" applyFill="1" applyBorder="1" applyAlignment="1">
      <alignment horizontal="right" vertical="center" wrapText="1"/>
    </xf>
    <xf numFmtId="3" fontId="18" fillId="11" borderId="25" xfId="91" quotePrefix="1" applyNumberFormat="1" applyFont="1" applyFill="1" applyBorder="1" applyAlignment="1">
      <alignment horizontal="right" vertical="center" wrapText="1"/>
    </xf>
    <xf numFmtId="3" fontId="18" fillId="11" borderId="23" xfId="91" quotePrefix="1" applyNumberFormat="1" applyFont="1" applyFill="1" applyBorder="1" applyAlignment="1">
      <alignment horizontal="right" vertical="center" wrapText="1"/>
    </xf>
    <xf numFmtId="3" fontId="14" fillId="0" borderId="1" xfId="91" applyNumberFormat="1" applyFont="1" applyFill="1" applyBorder="1" applyAlignment="1">
      <alignment horizontal="right" vertical="center"/>
    </xf>
    <xf numFmtId="3" fontId="14" fillId="0" borderId="30" xfId="91" applyNumberFormat="1" applyFont="1" applyFill="1" applyBorder="1" applyAlignment="1">
      <alignment horizontal="right" vertical="center"/>
    </xf>
    <xf numFmtId="3" fontId="14" fillId="0" borderId="31" xfId="91" applyNumberFormat="1" applyFont="1" applyFill="1" applyBorder="1" applyAlignment="1">
      <alignment horizontal="right" vertical="center"/>
    </xf>
    <xf numFmtId="3" fontId="14" fillId="0" borderId="32" xfId="91" applyNumberFormat="1" applyFont="1" applyFill="1" applyBorder="1" applyAlignment="1">
      <alignment horizontal="right" vertical="center"/>
    </xf>
    <xf numFmtId="3" fontId="14" fillId="0" borderId="33" xfId="91" applyNumberFormat="1" applyFont="1" applyFill="1" applyBorder="1" applyAlignment="1">
      <alignment horizontal="right" vertical="center"/>
    </xf>
    <xf numFmtId="3" fontId="14" fillId="0" borderId="34" xfId="91" applyNumberFormat="1" applyFont="1" applyFill="1" applyBorder="1" applyAlignment="1">
      <alignment horizontal="right" vertical="center"/>
    </xf>
    <xf numFmtId="3" fontId="14" fillId="0" borderId="35" xfId="91" applyNumberFormat="1" applyFont="1" applyFill="1" applyBorder="1" applyAlignment="1">
      <alignment horizontal="right" vertical="center" wrapText="1"/>
    </xf>
    <xf numFmtId="3" fontId="14" fillId="0" borderId="34" xfId="91" applyNumberFormat="1" applyFont="1" applyFill="1" applyBorder="1" applyAlignment="1">
      <alignment horizontal="right" vertical="center" wrapText="1"/>
    </xf>
    <xf numFmtId="0" fontId="14" fillId="0" borderId="33" xfId="91" applyFont="1" applyFill="1" applyBorder="1" applyAlignment="1">
      <alignment vertical="center" wrapText="1"/>
    </xf>
    <xf numFmtId="0" fontId="14" fillId="0" borderId="30" xfId="91" applyFont="1" applyFill="1" applyBorder="1" applyAlignment="1">
      <alignment vertical="center" wrapText="1"/>
    </xf>
    <xf numFmtId="3" fontId="14" fillId="0" borderId="6" xfId="91" applyNumberFormat="1" applyFont="1" applyFill="1" applyBorder="1" applyAlignment="1">
      <alignment horizontal="right" vertical="center"/>
    </xf>
    <xf numFmtId="3" fontId="14" fillId="0" borderId="36" xfId="91" applyNumberFormat="1" applyFont="1" applyFill="1" applyBorder="1" applyAlignment="1">
      <alignment horizontal="right" vertical="center"/>
    </xf>
    <xf numFmtId="3" fontId="14" fillId="0" borderId="2" xfId="91" applyNumberFormat="1" applyFont="1" applyFill="1" applyBorder="1" applyAlignment="1">
      <alignment horizontal="right" vertical="center"/>
    </xf>
    <xf numFmtId="3" fontId="14" fillId="0" borderId="4" xfId="91" applyNumberFormat="1" applyFont="1" applyFill="1" applyBorder="1" applyAlignment="1">
      <alignment horizontal="right" vertical="center"/>
    </xf>
    <xf numFmtId="3" fontId="14" fillId="0" borderId="27" xfId="91" applyNumberFormat="1" applyFont="1" applyFill="1" applyBorder="1" applyAlignment="1">
      <alignment horizontal="right" vertical="center"/>
    </xf>
    <xf numFmtId="3" fontId="14" fillId="0" borderId="37" xfId="91" applyNumberFormat="1" applyFont="1" applyFill="1" applyBorder="1" applyAlignment="1">
      <alignment horizontal="right" vertical="center"/>
    </xf>
    <xf numFmtId="3" fontId="14" fillId="0" borderId="3" xfId="91" quotePrefix="1" applyNumberFormat="1" applyFont="1" applyFill="1" applyBorder="1" applyAlignment="1">
      <alignment horizontal="right" vertical="center" wrapText="1"/>
    </xf>
    <xf numFmtId="3" fontId="14" fillId="0" borderId="37" xfId="91" quotePrefix="1" applyNumberFormat="1" applyFont="1" applyFill="1" applyBorder="1" applyAlignment="1">
      <alignment horizontal="right" vertical="center" wrapText="1"/>
    </xf>
    <xf numFmtId="0" fontId="14" fillId="0" borderId="27" xfId="91" quotePrefix="1" applyFont="1" applyFill="1" applyBorder="1" applyAlignment="1">
      <alignment horizontal="left" vertical="center" wrapText="1"/>
    </xf>
    <xf numFmtId="0" fontId="14" fillId="0" borderId="36" xfId="91" applyFont="1" applyFill="1" applyBorder="1" applyAlignment="1">
      <alignment vertical="center" wrapText="1"/>
    </xf>
    <xf numFmtId="3" fontId="14" fillId="0" borderId="3" xfId="91" applyNumberFormat="1" applyFont="1" applyFill="1" applyBorder="1" applyAlignment="1">
      <alignment horizontal="right" vertical="center" wrapText="1"/>
    </xf>
    <xf numFmtId="3" fontId="14" fillId="0" borderId="37" xfId="91" applyNumberFormat="1" applyFont="1" applyFill="1" applyBorder="1" applyAlignment="1">
      <alignment horizontal="right" vertical="center" wrapText="1"/>
    </xf>
    <xf numFmtId="0" fontId="14" fillId="0" borderId="27" xfId="91" applyFont="1" applyFill="1" applyBorder="1" applyAlignment="1">
      <alignment vertical="center" wrapText="1"/>
    </xf>
    <xf numFmtId="3" fontId="14" fillId="0" borderId="5" xfId="91" applyNumberFormat="1" applyFont="1" applyFill="1" applyBorder="1" applyAlignment="1">
      <alignment horizontal="right" vertical="center"/>
    </xf>
    <xf numFmtId="3" fontId="14" fillId="0" borderId="38" xfId="91" applyNumberFormat="1" applyFont="1" applyFill="1" applyBorder="1" applyAlignment="1">
      <alignment horizontal="right" vertical="center"/>
    </xf>
    <xf numFmtId="3" fontId="14" fillId="0" borderId="39" xfId="91" applyNumberFormat="1" applyFont="1" applyFill="1" applyBorder="1" applyAlignment="1">
      <alignment horizontal="right" vertical="center"/>
    </xf>
    <xf numFmtId="3" fontId="14" fillId="0" borderId="40" xfId="91" applyNumberFormat="1" applyFont="1" applyFill="1" applyBorder="1" applyAlignment="1">
      <alignment horizontal="right" vertical="center"/>
    </xf>
    <xf numFmtId="3" fontId="14" fillId="0" borderId="41" xfId="91" applyNumberFormat="1" applyFont="1" applyFill="1" applyBorder="1" applyAlignment="1">
      <alignment horizontal="right" vertical="center"/>
    </xf>
    <xf numFmtId="3" fontId="14" fillId="0" borderId="42" xfId="91" applyNumberFormat="1" applyFont="1" applyFill="1" applyBorder="1" applyAlignment="1">
      <alignment horizontal="right" vertical="center"/>
    </xf>
    <xf numFmtId="3" fontId="14" fillId="0" borderId="22" xfId="91" applyNumberFormat="1" applyFont="1" applyFill="1" applyBorder="1" applyAlignment="1">
      <alignment horizontal="right" vertical="center" wrapText="1"/>
    </xf>
    <xf numFmtId="3" fontId="14" fillId="0" borderId="42" xfId="91" applyNumberFormat="1" applyFont="1" applyFill="1" applyBorder="1" applyAlignment="1">
      <alignment horizontal="right" vertical="center" wrapText="1"/>
    </xf>
    <xf numFmtId="0" fontId="14" fillId="0" borderId="41" xfId="91" applyFont="1" applyFill="1" applyBorder="1" applyAlignment="1">
      <alignment vertical="center" wrapText="1"/>
    </xf>
    <xf numFmtId="0" fontId="14" fillId="0" borderId="38" xfId="91" applyFont="1" applyFill="1" applyBorder="1" applyAlignment="1">
      <alignment vertical="center" wrapText="1"/>
    </xf>
    <xf numFmtId="3" fontId="18" fillId="11" borderId="24" xfId="91" quotePrefix="1" applyNumberFormat="1" applyFont="1" applyFill="1" applyBorder="1" applyAlignment="1">
      <alignment horizontal="right" vertical="center" wrapText="1"/>
    </xf>
    <xf numFmtId="3" fontId="14" fillId="0" borderId="7" xfId="91" applyNumberFormat="1" applyFont="1" applyFill="1" applyBorder="1" applyAlignment="1">
      <alignment horizontal="right" vertical="center"/>
    </xf>
    <xf numFmtId="3" fontId="14" fillId="0" borderId="43" xfId="91" applyNumberFormat="1" applyFont="1" applyFill="1" applyBorder="1" applyAlignment="1">
      <alignment horizontal="right" vertical="center"/>
    </xf>
    <xf numFmtId="3" fontId="14" fillId="0" borderId="44" xfId="91" applyNumberFormat="1" applyFont="1" applyFill="1" applyBorder="1" applyAlignment="1">
      <alignment horizontal="right" vertical="center"/>
    </xf>
    <xf numFmtId="3" fontId="14" fillId="0" borderId="45" xfId="91" applyNumberFormat="1" applyFont="1" applyFill="1" applyBorder="1" applyAlignment="1">
      <alignment horizontal="right" vertical="center"/>
    </xf>
    <xf numFmtId="3" fontId="14" fillId="0" borderId="8" xfId="91" applyNumberFormat="1" applyFont="1" applyFill="1" applyBorder="1" applyAlignment="1">
      <alignment horizontal="right" vertical="center"/>
    </xf>
    <xf numFmtId="3" fontId="14" fillId="0" borderId="46" xfId="91" applyNumberFormat="1" applyFont="1" applyFill="1" applyBorder="1" applyAlignment="1">
      <alignment horizontal="right" vertical="center"/>
    </xf>
    <xf numFmtId="3" fontId="14" fillId="0" borderId="0" xfId="91" applyNumberFormat="1" applyFont="1" applyFill="1" applyBorder="1" applyAlignment="1">
      <alignment horizontal="right" vertical="center" wrapText="1"/>
    </xf>
    <xf numFmtId="3" fontId="14" fillId="0" borderId="46" xfId="91" applyNumberFormat="1" applyFont="1" applyFill="1" applyBorder="1" applyAlignment="1">
      <alignment horizontal="right" vertical="center" wrapText="1"/>
    </xf>
    <xf numFmtId="0" fontId="14" fillId="0" borderId="44" xfId="91" applyFont="1" applyFill="1" applyBorder="1" applyAlignment="1">
      <alignment horizontal="left" vertical="center" wrapText="1"/>
    </xf>
    <xf numFmtId="0" fontId="14" fillId="0" borderId="43" xfId="91" applyFont="1" applyFill="1" applyBorder="1" applyAlignment="1">
      <alignment horizontal="left" vertical="center" wrapText="1"/>
    </xf>
    <xf numFmtId="3" fontId="14" fillId="0" borderId="35" xfId="91" quotePrefix="1" applyNumberFormat="1" applyFont="1" applyFill="1" applyBorder="1" applyAlignment="1">
      <alignment horizontal="right" vertical="center" wrapText="1"/>
    </xf>
    <xf numFmtId="3" fontId="14" fillId="0" borderId="34" xfId="91" quotePrefix="1" applyNumberFormat="1" applyFont="1" applyFill="1" applyBorder="1" applyAlignment="1">
      <alignment horizontal="right" vertical="center" wrapText="1"/>
    </xf>
    <xf numFmtId="0" fontId="14" fillId="0" borderId="33" xfId="91" quotePrefix="1" applyFont="1" applyFill="1" applyBorder="1" applyAlignment="1">
      <alignment horizontal="left" vertical="center" wrapText="1"/>
    </xf>
    <xf numFmtId="3" fontId="14" fillId="0" borderId="1" xfId="92" applyNumberFormat="1" applyFont="1" applyFill="1" applyBorder="1" applyAlignment="1">
      <alignment horizontal="right" vertical="center"/>
    </xf>
    <xf numFmtId="3" fontId="14" fillId="0" borderId="32" xfId="92" applyNumberFormat="1" applyFont="1" applyFill="1" applyBorder="1" applyAlignment="1">
      <alignment horizontal="right" vertical="center"/>
    </xf>
    <xf numFmtId="3" fontId="14" fillId="0" borderId="6" xfId="92" applyNumberFormat="1" applyFont="1" applyFill="1" applyBorder="1" applyAlignment="1">
      <alignment horizontal="right" vertical="center"/>
    </xf>
    <xf numFmtId="3" fontId="14" fillId="0" borderId="4" xfId="92" applyNumberFormat="1" applyFont="1" applyFill="1" applyBorder="1" applyAlignment="1">
      <alignment horizontal="right" vertical="center"/>
    </xf>
    <xf numFmtId="3" fontId="14" fillId="14" borderId="27" xfId="91" applyNumberFormat="1" applyFont="1" applyFill="1" applyBorder="1" applyAlignment="1">
      <alignment horizontal="right" vertical="center"/>
    </xf>
    <xf numFmtId="3" fontId="14" fillId="14" borderId="2" xfId="91" applyNumberFormat="1" applyFont="1" applyFill="1" applyBorder="1" applyAlignment="1">
      <alignment horizontal="right" vertical="center"/>
    </xf>
    <xf numFmtId="3" fontId="14" fillId="14" borderId="37" xfId="91" applyNumberFormat="1" applyFont="1" applyFill="1" applyBorder="1" applyAlignment="1">
      <alignment horizontal="right" vertical="center"/>
    </xf>
    <xf numFmtId="3" fontId="14" fillId="0" borderId="6" xfId="92" quotePrefix="1" applyNumberFormat="1" applyFont="1" applyFill="1" applyBorder="1" applyAlignment="1">
      <alignment horizontal="right" vertical="center"/>
    </xf>
    <xf numFmtId="3" fontId="14" fillId="0" borderId="4" xfId="92" quotePrefix="1" applyNumberFormat="1" applyFont="1" applyFill="1" applyBorder="1" applyAlignment="1">
      <alignment horizontal="right" vertical="center"/>
    </xf>
    <xf numFmtId="3" fontId="14" fillId="0" borderId="5" xfId="92" applyNumberFormat="1" applyFont="1" applyFill="1" applyBorder="1" applyAlignment="1">
      <alignment horizontal="right" vertical="center"/>
    </xf>
    <xf numFmtId="3" fontId="14" fillId="0" borderId="40" xfId="92" applyNumberFormat="1" applyFont="1" applyFill="1" applyBorder="1" applyAlignment="1">
      <alignment horizontal="right" vertical="center"/>
    </xf>
    <xf numFmtId="0" fontId="14" fillId="0" borderId="47" xfId="91" applyFont="1" applyFill="1" applyBorder="1" applyAlignment="1">
      <alignment vertical="center" wrapText="1"/>
    </xf>
    <xf numFmtId="0" fontId="14" fillId="0" borderId="12" xfId="91" applyFont="1" applyFill="1" applyBorder="1" applyAlignment="1">
      <alignment vertical="center" wrapText="1"/>
    </xf>
    <xf numFmtId="3" fontId="18" fillId="17" borderId="18" xfId="91" applyNumberFormat="1" applyFont="1" applyFill="1" applyBorder="1" applyAlignment="1" applyProtection="1">
      <alignment horizontal="center" vertical="center"/>
      <protection locked="0"/>
    </xf>
    <xf numFmtId="3" fontId="18" fillId="17" borderId="49" xfId="91" applyNumberFormat="1" applyFont="1" applyFill="1" applyBorder="1" applyAlignment="1" applyProtection="1">
      <alignment horizontal="center" vertical="center"/>
      <protection locked="0"/>
    </xf>
    <xf numFmtId="3" fontId="18" fillId="17" borderId="50" xfId="91" applyNumberFormat="1" applyFont="1" applyFill="1" applyBorder="1" applyAlignment="1" applyProtection="1">
      <alignment horizontal="center" vertical="center"/>
      <protection locked="0"/>
    </xf>
    <xf numFmtId="3" fontId="18" fillId="17" borderId="51" xfId="91" applyNumberFormat="1" applyFont="1" applyFill="1" applyBorder="1" applyAlignment="1" applyProtection="1">
      <alignment horizontal="center" vertical="center"/>
      <protection locked="0"/>
    </xf>
    <xf numFmtId="3" fontId="18" fillId="17" borderId="52" xfId="91" applyNumberFormat="1" applyFont="1" applyFill="1" applyBorder="1" applyAlignment="1" applyProtection="1">
      <alignment horizontal="center" vertical="center"/>
      <protection locked="0"/>
    </xf>
    <xf numFmtId="0" fontId="18" fillId="0" borderId="0" xfId="90" applyFont="1" applyFill="1" applyBorder="1" applyAlignment="1">
      <alignment vertical="center"/>
    </xf>
    <xf numFmtId="0" fontId="18" fillId="0" borderId="0" xfId="91" applyFont="1" applyFill="1" applyBorder="1" applyAlignment="1">
      <alignment vertical="center"/>
    </xf>
    <xf numFmtId="0" fontId="18" fillId="0" borderId="0" xfId="91" quotePrefix="1" applyFont="1" applyFill="1" applyBorder="1" applyAlignment="1">
      <alignment vertical="center"/>
    </xf>
    <xf numFmtId="0" fontId="18" fillId="0" borderId="0" xfId="91" applyFont="1" applyFill="1" applyBorder="1" applyAlignment="1">
      <alignment horizontal="center" vertical="center"/>
    </xf>
    <xf numFmtId="3" fontId="18" fillId="0" borderId="60" xfId="91" applyNumberFormat="1" applyFont="1" applyFill="1" applyBorder="1" applyAlignment="1" applyProtection="1">
      <alignment horizontal="center" vertical="center"/>
      <protection locked="0"/>
    </xf>
    <xf numFmtId="3" fontId="18" fillId="0" borderId="54" xfId="91" applyNumberFormat="1" applyFont="1" applyFill="1" applyBorder="1" applyAlignment="1" applyProtection="1">
      <alignment horizontal="center" vertical="center"/>
      <protection locked="0"/>
    </xf>
    <xf numFmtId="3" fontId="14" fillId="14" borderId="39" xfId="91" applyNumberFormat="1" applyFont="1" applyFill="1" applyBorder="1" applyAlignment="1">
      <alignment horizontal="right" vertical="center"/>
    </xf>
    <xf numFmtId="3" fontId="14" fillId="14" borderId="6" xfId="91" applyNumberFormat="1" applyFont="1" applyFill="1" applyBorder="1" applyAlignment="1">
      <alignment horizontal="right" vertical="center"/>
    </xf>
    <xf numFmtId="3" fontId="18" fillId="0" borderId="23" xfId="91" quotePrefix="1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wrapText="1"/>
    </xf>
    <xf numFmtId="3" fontId="13" fillId="5" borderId="10" xfId="0" applyNumberFormat="1" applyFont="1" applyFill="1" applyBorder="1" applyAlignment="1">
      <alignment wrapText="1"/>
    </xf>
    <xf numFmtId="3" fontId="0" fillId="12" borderId="61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20" borderId="6" xfId="0" applyFont="1" applyFill="1" applyBorder="1" applyAlignment="1">
      <alignment horizontal="center" wrapText="1"/>
    </xf>
    <xf numFmtId="165" fontId="1" fillId="6" borderId="9" xfId="1" applyNumberFormat="1" applyFont="1" applyFill="1" applyBorder="1"/>
    <xf numFmtId="165" fontId="1" fillId="6" borderId="10" xfId="1" applyNumberFormat="1" applyFont="1" applyFill="1" applyBorder="1"/>
    <xf numFmtId="168" fontId="1" fillId="6" borderId="10" xfId="1" applyNumberFormat="1" applyFont="1" applyFill="1" applyBorder="1"/>
    <xf numFmtId="165" fontId="1" fillId="6" borderId="11" xfId="1" applyNumberFormat="1" applyFont="1" applyFill="1" applyBorder="1"/>
    <xf numFmtId="165" fontId="5" fillId="5" borderId="63" xfId="1" applyNumberFormat="1" applyFont="1" applyFill="1" applyBorder="1"/>
    <xf numFmtId="165" fontId="5" fillId="9" borderId="63" xfId="1" applyNumberFormat="1" applyFont="1" applyFill="1" applyBorder="1" applyAlignment="1">
      <alignment horizontal="right"/>
    </xf>
    <xf numFmtId="165" fontId="5" fillId="20" borderId="68" xfId="1" applyNumberFormat="1" applyFont="1" applyFill="1" applyBorder="1" applyAlignment="1">
      <alignment horizontal="right"/>
    </xf>
    <xf numFmtId="168" fontId="5" fillId="5" borderId="64" xfId="1" applyNumberFormat="1" applyFont="1" applyFill="1" applyBorder="1"/>
    <xf numFmtId="165" fontId="5" fillId="9" borderId="64" xfId="1" applyNumberFormat="1" applyFont="1" applyFill="1" applyBorder="1" applyAlignment="1">
      <alignment horizontal="right"/>
    </xf>
    <xf numFmtId="165" fontId="5" fillId="20" borderId="69" xfId="1" applyNumberFormat="1" applyFont="1" applyFill="1" applyBorder="1" applyAlignment="1">
      <alignment horizontal="right"/>
    </xf>
    <xf numFmtId="165" fontId="5" fillId="5" borderId="64" xfId="1" applyNumberFormat="1" applyFont="1" applyFill="1" applyBorder="1"/>
    <xf numFmtId="165" fontId="5" fillId="5" borderId="65" xfId="1" applyNumberFormat="1" applyFont="1" applyFill="1" applyBorder="1"/>
    <xf numFmtId="0" fontId="5" fillId="9" borderId="65" xfId="0" applyFont="1" applyFill="1" applyBorder="1"/>
    <xf numFmtId="0" fontId="5" fillId="20" borderId="70" xfId="0" applyFont="1" applyFill="1" applyBorder="1"/>
    <xf numFmtId="0" fontId="8" fillId="6" borderId="2" xfId="0" applyFont="1" applyFill="1" applyBorder="1" applyAlignment="1">
      <alignment horizontal="center" wrapText="1"/>
    </xf>
    <xf numFmtId="3" fontId="13" fillId="2" borderId="9" xfId="0" applyNumberFormat="1" applyFont="1" applyFill="1" applyBorder="1" applyAlignment="1">
      <alignment vertical="center" wrapText="1"/>
    </xf>
    <xf numFmtId="165" fontId="1" fillId="18" borderId="9" xfId="1" applyNumberFormat="1" applyFont="1" applyFill="1" applyBorder="1"/>
    <xf numFmtId="3" fontId="13" fillId="2" borderId="10" xfId="0" applyNumberFormat="1" applyFont="1" applyFill="1" applyBorder="1" applyAlignment="1">
      <alignment vertical="center" wrapText="1"/>
    </xf>
    <xf numFmtId="165" fontId="1" fillId="18" borderId="10" xfId="1" applyNumberFormat="1" applyFont="1" applyFill="1" applyBorder="1"/>
    <xf numFmtId="3" fontId="13" fillId="2" borderId="10" xfId="0" applyNumberFormat="1" applyFont="1" applyFill="1" applyBorder="1" applyAlignment="1">
      <alignment horizontal="right" wrapText="1"/>
    </xf>
    <xf numFmtId="3" fontId="13" fillId="2" borderId="10" xfId="0" applyNumberFormat="1" applyFont="1" applyFill="1" applyBorder="1" applyAlignment="1">
      <alignment wrapText="1"/>
    </xf>
    <xf numFmtId="165" fontId="1" fillId="18" borderId="11" xfId="1" applyNumberFormat="1" applyFont="1" applyFill="1" applyBorder="1"/>
    <xf numFmtId="3" fontId="13" fillId="2" borderId="11" xfId="0" applyNumberFormat="1" applyFont="1" applyFill="1" applyBorder="1" applyAlignment="1">
      <alignment vertical="center" wrapText="1"/>
    </xf>
    <xf numFmtId="165" fontId="5" fillId="9" borderId="66" xfId="1" applyNumberFormat="1" applyFont="1" applyFill="1" applyBorder="1" applyAlignment="1">
      <alignment horizontal="center"/>
    </xf>
    <xf numFmtId="165" fontId="5" fillId="9" borderId="67" xfId="1" applyNumberFormat="1" applyFont="1" applyFill="1" applyBorder="1" applyAlignment="1">
      <alignment horizontal="center"/>
    </xf>
    <xf numFmtId="165" fontId="26" fillId="17" borderId="10" xfId="0" applyNumberFormat="1" applyFont="1" applyFill="1" applyBorder="1"/>
    <xf numFmtId="168" fontId="26" fillId="17" borderId="10" xfId="0" applyNumberFormat="1" applyFont="1" applyFill="1" applyBorder="1"/>
    <xf numFmtId="168" fontId="26" fillId="17" borderId="11" xfId="0" applyNumberFormat="1" applyFont="1" applyFill="1" applyBorder="1"/>
    <xf numFmtId="3" fontId="2" fillId="0" borderId="1" xfId="0" applyNumberFormat="1" applyFon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0" fontId="1" fillId="0" borderId="0" xfId="0" applyFont="1" applyFill="1"/>
    <xf numFmtId="0" fontId="28" fillId="21" borderId="71" xfId="0" applyFont="1" applyFill="1" applyBorder="1" applyAlignment="1">
      <alignment vertical="center"/>
    </xf>
    <xf numFmtId="0" fontId="29" fillId="22" borderId="72" xfId="0" applyFont="1" applyFill="1" applyBorder="1" applyAlignment="1">
      <alignment vertical="center"/>
    </xf>
    <xf numFmtId="0" fontId="27" fillId="22" borderId="72" xfId="0" applyFont="1" applyFill="1" applyBorder="1"/>
    <xf numFmtId="17" fontId="29" fillId="22" borderId="72" xfId="0" applyNumberFormat="1" applyFont="1" applyFill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27" fillId="0" borderId="72" xfId="0" applyFont="1" applyBorder="1"/>
    <xf numFmtId="17" fontId="29" fillId="0" borderId="72" xfId="0" applyNumberFormat="1" applyFont="1" applyBorder="1" applyAlignment="1">
      <alignment vertical="center"/>
    </xf>
    <xf numFmtId="0" fontId="25" fillId="17" borderId="6" xfId="0" applyFont="1" applyFill="1" applyBorder="1" applyAlignment="1">
      <alignment horizontal="center" wrapText="1"/>
    </xf>
    <xf numFmtId="169" fontId="1" fillId="3" borderId="63" xfId="1" applyNumberFormat="1" applyFont="1" applyFill="1" applyBorder="1"/>
    <xf numFmtId="169" fontId="1" fillId="3" borderId="64" xfId="1" applyNumberFormat="1" applyFont="1" applyFill="1" applyBorder="1"/>
    <xf numFmtId="169" fontId="1" fillId="3" borderId="65" xfId="1" applyNumberFormat="1" applyFont="1" applyFill="1" applyBorder="1"/>
    <xf numFmtId="169" fontId="0" fillId="23" borderId="63" xfId="0" applyNumberFormat="1" applyFont="1" applyFill="1" applyBorder="1" applyAlignment="1">
      <alignment horizontal="right"/>
    </xf>
    <xf numFmtId="169" fontId="2" fillId="23" borderId="64" xfId="0" applyNumberFormat="1" applyFont="1" applyFill="1" applyBorder="1"/>
    <xf numFmtId="169" fontId="2" fillId="23" borderId="65" xfId="0" applyNumberFormat="1" applyFont="1" applyFill="1" applyBorder="1"/>
    <xf numFmtId="169" fontId="2" fillId="0" borderId="9" xfId="0" applyNumberFormat="1" applyFont="1" applyBorder="1"/>
    <xf numFmtId="169" fontId="2" fillId="0" borderId="10" xfId="0" applyNumberFormat="1" applyFont="1" applyBorder="1"/>
    <xf numFmtId="169" fontId="2" fillId="0" borderId="11" xfId="0" applyNumberFormat="1" applyFont="1" applyBorder="1"/>
    <xf numFmtId="165" fontId="1" fillId="0" borderId="45" xfId="1" applyNumberFormat="1" applyFont="1" applyBorder="1" applyAlignment="1">
      <alignment horizontal="center"/>
    </xf>
    <xf numFmtId="165" fontId="1" fillId="0" borderId="45" xfId="1" applyNumberFormat="1" applyFont="1" applyBorder="1"/>
    <xf numFmtId="168" fontId="1" fillId="0" borderId="45" xfId="1" applyNumberFormat="1" applyFont="1" applyBorder="1"/>
    <xf numFmtId="168" fontId="1" fillId="0" borderId="45" xfId="1" applyNumberFormat="1" applyFont="1" applyBorder="1" applyAlignment="1">
      <alignment horizontal="right"/>
    </xf>
    <xf numFmtId="0" fontId="2" fillId="0" borderId="0" xfId="0" applyFont="1" applyBorder="1"/>
    <xf numFmtId="3" fontId="0" fillId="0" borderId="0" xfId="0" applyNumberFormat="1"/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0" fillId="0" borderId="20" xfId="0" applyNumberFormat="1" applyFont="1" applyBorder="1" applyAlignment="1">
      <alignment horizontal="right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0" fillId="0" borderId="75" xfId="0" applyNumberFormat="1" applyFont="1" applyBorder="1" applyAlignment="1">
      <alignment horizontal="right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3" fontId="30" fillId="0" borderId="47" xfId="0" applyNumberFormat="1" applyFont="1" applyBorder="1" applyAlignment="1">
      <alignment horizontal="right" vertical="center" wrapText="1"/>
    </xf>
    <xf numFmtId="0" fontId="18" fillId="0" borderId="42" xfId="0" applyFont="1" applyFill="1" applyBorder="1" applyAlignment="1">
      <alignment horizontal="center" vertical="center" wrapText="1"/>
    </xf>
    <xf numFmtId="165" fontId="3" fillId="0" borderId="38" xfId="1" applyNumberFormat="1" applyFont="1" applyBorder="1" applyAlignment="1">
      <alignment horizontal="right" vertical="center"/>
    </xf>
    <xf numFmtId="165" fontId="14" fillId="0" borderId="5" xfId="1" applyNumberFormat="1" applyFont="1" applyFill="1" applyBorder="1" applyAlignment="1">
      <alignment horizontal="right" vertical="center" wrapText="1"/>
    </xf>
    <xf numFmtId="2" fontId="14" fillId="0" borderId="5" xfId="1" applyNumberFormat="1" applyFont="1" applyFill="1" applyBorder="1" applyAlignment="1">
      <alignment horizontal="right" vertical="center" wrapText="1"/>
    </xf>
    <xf numFmtId="3" fontId="0" fillId="0" borderId="4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18" fillId="0" borderId="37" xfId="0" applyFont="1" applyFill="1" applyBorder="1" applyAlignment="1">
      <alignment horizontal="center" vertical="center" wrapText="1"/>
    </xf>
    <xf numFmtId="165" fontId="3" fillId="0" borderId="36" xfId="1" applyNumberFormat="1" applyFont="1" applyBorder="1" applyAlignment="1">
      <alignment horizontal="right" vertical="center"/>
    </xf>
    <xf numFmtId="165" fontId="14" fillId="3" borderId="6" xfId="1" applyNumberFormat="1" applyFont="1" applyFill="1" applyBorder="1" applyAlignment="1">
      <alignment horizontal="right" vertical="center" wrapText="1"/>
    </xf>
    <xf numFmtId="2" fontId="14" fillId="0" borderId="6" xfId="1" applyNumberFormat="1" applyFon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31" fillId="0" borderId="36" xfId="0" applyNumberFormat="1" applyFont="1" applyFill="1" applyBorder="1" applyAlignment="1">
      <alignment horizontal="right" vertical="center" wrapText="1"/>
    </xf>
    <xf numFmtId="165" fontId="14" fillId="0" borderId="6" xfId="1" applyNumberFormat="1" applyFon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6" xfId="1" applyNumberFormat="1" applyFon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5" fontId="6" fillId="3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3" fillId="0" borderId="36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center" vertical="center" wrapText="1"/>
    </xf>
    <xf numFmtId="165" fontId="3" fillId="0" borderId="30" xfId="1" applyNumberFormat="1" applyFont="1" applyBorder="1" applyAlignment="1">
      <alignment horizontal="right" vertical="center"/>
    </xf>
    <xf numFmtId="165" fontId="14" fillId="3" borderId="1" xfId="1" applyNumberFormat="1" applyFont="1" applyFill="1" applyBorder="1" applyAlignment="1">
      <alignment horizontal="right" vertical="center" wrapText="1"/>
    </xf>
    <xf numFmtId="2" fontId="14" fillId="0" borderId="1" xfId="1" applyNumberFormat="1" applyFont="1" applyFill="1" applyBorder="1" applyAlignment="1">
      <alignment horizontal="right" vertical="center" wrapText="1"/>
    </xf>
    <xf numFmtId="3" fontId="0" fillId="0" borderId="3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 wrapText="1"/>
    </xf>
    <xf numFmtId="165" fontId="18" fillId="0" borderId="21" xfId="1" applyNumberFormat="1" applyFont="1" applyFill="1" applyBorder="1" applyAlignment="1">
      <alignment horizontal="right" vertical="center" wrapText="1"/>
    </xf>
    <xf numFmtId="165" fontId="18" fillId="0" borderId="16" xfId="1" applyNumberFormat="1" applyFont="1" applyFill="1" applyBorder="1" applyAlignment="1">
      <alignment horizontal="right" vertical="center" wrapText="1"/>
    </xf>
    <xf numFmtId="164" fontId="18" fillId="0" borderId="16" xfId="1" applyNumberFormat="1" applyFont="1" applyFill="1" applyBorder="1" applyAlignment="1">
      <alignment horizontal="right" vertical="center" wrapText="1"/>
    </xf>
    <xf numFmtId="3" fontId="18" fillId="0" borderId="21" xfId="1" applyNumberFormat="1" applyFont="1" applyFill="1" applyBorder="1" applyAlignment="1">
      <alignment horizontal="right" vertical="center" wrapText="1"/>
    </xf>
    <xf numFmtId="3" fontId="18" fillId="0" borderId="28" xfId="1" applyNumberFormat="1" applyFont="1" applyFill="1" applyBorder="1" applyAlignment="1">
      <alignment horizontal="right" vertical="center" wrapText="1"/>
    </xf>
    <xf numFmtId="3" fontId="18" fillId="0" borderId="16" xfId="1" applyNumberFormat="1" applyFont="1" applyFill="1" applyBorder="1" applyAlignment="1">
      <alignment horizontal="right" vertical="center" wrapText="1"/>
    </xf>
    <xf numFmtId="3" fontId="18" fillId="0" borderId="26" xfId="1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right" vertical="center"/>
    </xf>
    <xf numFmtId="164" fontId="0" fillId="0" borderId="0" xfId="0" applyNumberFormat="1"/>
    <xf numFmtId="3" fontId="32" fillId="0" borderId="0" xfId="0" applyNumberFormat="1" applyFont="1"/>
    <xf numFmtId="4" fontId="0" fillId="0" borderId="0" xfId="0" applyNumberFormat="1" applyAlignment="1">
      <alignment horizontal="right" vertical="center"/>
    </xf>
    <xf numFmtId="0" fontId="1" fillId="0" borderId="6" xfId="0" applyFont="1" applyFill="1" applyBorder="1"/>
    <xf numFmtId="165" fontId="5" fillId="9" borderId="65" xfId="1" applyNumberFormat="1" applyFont="1" applyFill="1" applyBorder="1"/>
    <xf numFmtId="165" fontId="5" fillId="20" borderId="70" xfId="1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5" fillId="5" borderId="66" xfId="1" applyNumberFormat="1" applyFont="1" applyFill="1" applyBorder="1" applyAlignment="1">
      <alignment horizontal="right"/>
    </xf>
    <xf numFmtId="168" fontId="5" fillId="5" borderId="67" xfId="1" applyNumberFormat="1" applyFont="1" applyFill="1" applyBorder="1" applyAlignment="1">
      <alignment horizontal="right"/>
    </xf>
    <xf numFmtId="168" fontId="26" fillId="17" borderId="10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5" fontId="1" fillId="18" borderId="61" xfId="1" applyNumberFormat="1" applyFont="1" applyFill="1" applyBorder="1" applyAlignment="1">
      <alignment horizontal="center"/>
    </xf>
    <xf numFmtId="165" fontId="1" fillId="18" borderId="62" xfId="1" applyNumberFormat="1" applyFont="1" applyFill="1" applyBorder="1" applyAlignment="1">
      <alignment horizontal="center"/>
    </xf>
    <xf numFmtId="165" fontId="5" fillId="5" borderId="66" xfId="1" applyNumberFormat="1" applyFont="1" applyFill="1" applyBorder="1" applyAlignment="1">
      <alignment horizontal="center"/>
    </xf>
    <xf numFmtId="165" fontId="5" fillId="5" borderId="67" xfId="1" applyNumberFormat="1" applyFont="1" applyFill="1" applyBorder="1" applyAlignment="1">
      <alignment horizontal="center"/>
    </xf>
    <xf numFmtId="165" fontId="5" fillId="9" borderId="66" xfId="1" applyNumberFormat="1" applyFont="1" applyFill="1" applyBorder="1" applyAlignment="1">
      <alignment horizontal="center"/>
    </xf>
    <xf numFmtId="165" fontId="5" fillId="9" borderId="67" xfId="1" applyNumberFormat="1" applyFont="1" applyFill="1" applyBorder="1" applyAlignment="1">
      <alignment horizontal="center"/>
    </xf>
    <xf numFmtId="169" fontId="1" fillId="3" borderId="66" xfId="1" applyNumberFormat="1" applyFont="1" applyFill="1" applyBorder="1" applyAlignment="1">
      <alignment horizontal="right"/>
    </xf>
    <xf numFmtId="169" fontId="1" fillId="3" borderId="67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5" fontId="1" fillId="6" borderId="10" xfId="1" applyNumberFormat="1" applyFont="1" applyFill="1" applyBorder="1" applyAlignment="1">
      <alignment horizontal="center"/>
    </xf>
    <xf numFmtId="165" fontId="5" fillId="20" borderId="66" xfId="1" applyNumberFormat="1" applyFont="1" applyFill="1" applyBorder="1" applyAlignment="1">
      <alignment horizontal="right"/>
    </xf>
    <xf numFmtId="165" fontId="5" fillId="20" borderId="67" xfId="1" applyNumberFormat="1" applyFont="1" applyFill="1" applyBorder="1" applyAlignment="1">
      <alignment horizontal="right"/>
    </xf>
    <xf numFmtId="165" fontId="5" fillId="20" borderId="66" xfId="1" applyNumberFormat="1" applyFont="1" applyFill="1" applyBorder="1" applyAlignment="1">
      <alignment horizontal="center"/>
    </xf>
    <xf numFmtId="165" fontId="5" fillId="20" borderId="67" xfId="1" applyNumberFormat="1" applyFont="1" applyFill="1" applyBorder="1" applyAlignment="1">
      <alignment horizontal="center"/>
    </xf>
    <xf numFmtId="169" fontId="1" fillId="3" borderId="64" xfId="1" applyNumberFormat="1" applyFont="1" applyFill="1" applyBorder="1" applyAlignment="1">
      <alignment horizontal="right"/>
    </xf>
    <xf numFmtId="168" fontId="1" fillId="6" borderId="10" xfId="1" applyNumberFormat="1" applyFont="1" applyFill="1" applyBorder="1" applyAlignment="1">
      <alignment horizontal="right"/>
    </xf>
    <xf numFmtId="165" fontId="1" fillId="6" borderId="10" xfId="1" applyNumberFormat="1" applyFont="1" applyFill="1" applyBorder="1" applyAlignment="1">
      <alignment horizontal="right"/>
    </xf>
    <xf numFmtId="169" fontId="2" fillId="0" borderId="61" xfId="0" applyNumberFormat="1" applyFont="1" applyBorder="1" applyAlignment="1">
      <alignment horizontal="right"/>
    </xf>
    <xf numFmtId="169" fontId="2" fillId="0" borderId="62" xfId="0" applyNumberFormat="1" applyFont="1" applyBorder="1" applyAlignment="1">
      <alignment horizontal="right"/>
    </xf>
    <xf numFmtId="3" fontId="13" fillId="2" borderId="61" xfId="0" applyNumberFormat="1" applyFont="1" applyFill="1" applyBorder="1" applyAlignment="1">
      <alignment horizontal="right" wrapText="1"/>
    </xf>
    <xf numFmtId="3" fontId="13" fillId="2" borderId="62" xfId="0" applyNumberFormat="1" applyFont="1" applyFill="1" applyBorder="1" applyAlignment="1">
      <alignment horizontal="right" wrapText="1"/>
    </xf>
    <xf numFmtId="0" fontId="8" fillId="18" borderId="1" xfId="0" applyFont="1" applyFill="1" applyBorder="1" applyAlignment="1">
      <alignment horizontal="center" wrapText="1"/>
    </xf>
    <xf numFmtId="0" fontId="8" fillId="18" borderId="5" xfId="0" applyFont="1" applyFill="1" applyBorder="1" applyAlignment="1">
      <alignment horizontal="center" wrapText="1"/>
    </xf>
    <xf numFmtId="165" fontId="5" fillId="9" borderId="66" xfId="1" applyNumberFormat="1" applyFont="1" applyFill="1" applyBorder="1" applyAlignment="1">
      <alignment horizontal="right"/>
    </xf>
    <xf numFmtId="165" fontId="5" fillId="9" borderId="67" xfId="1" applyNumberFormat="1" applyFont="1" applyFill="1" applyBorder="1" applyAlignment="1">
      <alignment horizontal="right"/>
    </xf>
    <xf numFmtId="165" fontId="1" fillId="18" borderId="61" xfId="1" applyNumberFormat="1" applyFont="1" applyFill="1" applyBorder="1" applyAlignment="1">
      <alignment horizontal="right"/>
    </xf>
    <xf numFmtId="165" fontId="1" fillId="18" borderId="62" xfId="1" applyNumberFormat="1" applyFont="1" applyFill="1" applyBorder="1" applyAlignment="1">
      <alignment horizontal="right"/>
    </xf>
    <xf numFmtId="165" fontId="5" fillId="5" borderId="66" xfId="1" applyNumberFormat="1" applyFont="1" applyFill="1" applyBorder="1" applyAlignment="1">
      <alignment horizontal="right"/>
    </xf>
    <xf numFmtId="165" fontId="5" fillId="5" borderId="67" xfId="1" applyNumberFormat="1" applyFont="1" applyFill="1" applyBorder="1" applyAlignment="1">
      <alignment horizontal="right"/>
    </xf>
    <xf numFmtId="3" fontId="11" fillId="2" borderId="61" xfId="0" applyNumberFormat="1" applyFont="1" applyFill="1" applyBorder="1" applyAlignment="1">
      <alignment horizontal="right" wrapText="1"/>
    </xf>
    <xf numFmtId="3" fontId="11" fillId="2" borderId="62" xfId="0" applyNumberFormat="1" applyFont="1" applyFill="1" applyBorder="1" applyAlignment="1">
      <alignment horizontal="right" wrapText="1"/>
    </xf>
    <xf numFmtId="3" fontId="13" fillId="5" borderId="61" xfId="0" applyNumberFormat="1" applyFont="1" applyFill="1" applyBorder="1" applyAlignment="1">
      <alignment horizontal="right" wrapText="1"/>
    </xf>
    <xf numFmtId="3" fontId="13" fillId="5" borderId="62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horizontal="left" wrapText="1"/>
    </xf>
    <xf numFmtId="3" fontId="0" fillId="12" borderId="61" xfId="0" applyNumberFormat="1" applyFont="1" applyFill="1" applyBorder="1" applyAlignment="1">
      <alignment horizontal="right" wrapText="1"/>
    </xf>
    <xf numFmtId="3" fontId="0" fillId="12" borderId="62" xfId="0" applyNumberFormat="1" applyFont="1" applyFill="1" applyBorder="1" applyAlignment="1">
      <alignment horizontal="right" wrapText="1"/>
    </xf>
    <xf numFmtId="3" fontId="0" fillId="12" borderId="61" xfId="0" applyNumberFormat="1" applyFont="1" applyFill="1" applyBorder="1" applyAlignment="1">
      <alignment horizontal="right"/>
    </xf>
    <xf numFmtId="3" fontId="0" fillId="12" borderId="62" xfId="0" applyNumberFormat="1" applyFont="1" applyFill="1" applyBorder="1" applyAlignment="1">
      <alignment horizontal="right"/>
    </xf>
    <xf numFmtId="165" fontId="0" fillId="12" borderId="61" xfId="0" applyNumberFormat="1" applyFont="1" applyFill="1" applyBorder="1" applyAlignment="1">
      <alignment horizontal="right"/>
    </xf>
    <xf numFmtId="165" fontId="0" fillId="12" borderId="62" xfId="0" applyNumberFormat="1" applyFont="1" applyFill="1" applyBorder="1" applyAlignment="1">
      <alignment horizontal="right"/>
    </xf>
    <xf numFmtId="0" fontId="8" fillId="23" borderId="9" xfId="0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center" wrapText="1"/>
    </xf>
    <xf numFmtId="169" fontId="2" fillId="23" borderId="64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center" wrapText="1"/>
    </xf>
    <xf numFmtId="0" fontId="0" fillId="15" borderId="15" xfId="89" applyFont="1" applyFill="1" applyBorder="1" applyAlignment="1">
      <alignment horizontal="center" vertical="center" wrapText="1"/>
    </xf>
    <xf numFmtId="0" fontId="0" fillId="15" borderId="8" xfId="89" applyFont="1" applyFill="1" applyBorder="1" applyAlignment="1">
      <alignment horizontal="center" vertical="center" wrapText="1"/>
    </xf>
    <xf numFmtId="0" fontId="3" fillId="15" borderId="8" xfId="89" applyFill="1" applyBorder="1" applyAlignment="1">
      <alignment horizontal="center" vertical="center" wrapText="1"/>
    </xf>
    <xf numFmtId="0" fontId="3" fillId="15" borderId="20" xfId="89" applyFill="1" applyBorder="1" applyAlignment="1">
      <alignment horizontal="center" vertical="center" wrapText="1"/>
    </xf>
    <xf numFmtId="0" fontId="18" fillId="15" borderId="17" xfId="88" applyFont="1" applyFill="1" applyBorder="1" applyAlignment="1">
      <alignment horizontal="center" vertical="center" wrapText="1"/>
    </xf>
    <xf numFmtId="0" fontId="18" fillId="15" borderId="7" xfId="88" applyFont="1" applyFill="1" applyBorder="1" applyAlignment="1">
      <alignment horizontal="center" vertical="center" wrapText="1"/>
    </xf>
    <xf numFmtId="0" fontId="18" fillId="15" borderId="19" xfId="88" applyFont="1" applyFill="1" applyBorder="1" applyAlignment="1">
      <alignment horizontal="center" vertical="center" wrapText="1"/>
    </xf>
    <xf numFmtId="0" fontId="18" fillId="17" borderId="12" xfId="91" applyFont="1" applyFill="1" applyBorder="1" applyAlignment="1">
      <alignment horizontal="center" vertical="center" wrapText="1"/>
    </xf>
    <xf numFmtId="0" fontId="18" fillId="17" borderId="56" xfId="91" applyFont="1" applyFill="1" applyBorder="1" applyAlignment="1">
      <alignment horizontal="center" vertical="center" wrapText="1"/>
    </xf>
    <xf numFmtId="0" fontId="18" fillId="17" borderId="49" xfId="91" applyFont="1" applyFill="1" applyBorder="1" applyAlignment="1">
      <alignment horizontal="center" vertical="center" wrapText="1"/>
    </xf>
    <xf numFmtId="0" fontId="18" fillId="17" borderId="50" xfId="91" applyFont="1" applyFill="1" applyBorder="1" applyAlignment="1">
      <alignment horizontal="center" vertical="center" wrapText="1"/>
    </xf>
    <xf numFmtId="0" fontId="18" fillId="17" borderId="60" xfId="91" applyFont="1" applyFill="1" applyBorder="1" applyAlignment="1">
      <alignment horizontal="center" vertical="center" wrapText="1"/>
    </xf>
    <xf numFmtId="0" fontId="18" fillId="17" borderId="54" xfId="91" applyFont="1" applyFill="1" applyBorder="1" applyAlignment="1">
      <alignment horizontal="center" vertical="center" wrapText="1"/>
    </xf>
    <xf numFmtId="3" fontId="18" fillId="17" borderId="59" xfId="91" applyNumberFormat="1" applyFont="1" applyFill="1" applyBorder="1" applyAlignment="1" applyProtection="1">
      <alignment horizontal="center" vertical="center"/>
      <protection locked="0"/>
    </xf>
    <xf numFmtId="3" fontId="18" fillId="17" borderId="58" xfId="91" applyNumberFormat="1" applyFont="1" applyFill="1" applyBorder="1" applyAlignment="1" applyProtection="1">
      <alignment horizontal="center" vertical="center"/>
      <protection locked="0"/>
    </xf>
    <xf numFmtId="3" fontId="18" fillId="17" borderId="57" xfId="91" applyNumberFormat="1" applyFont="1" applyFill="1" applyBorder="1" applyAlignment="1" applyProtection="1">
      <alignment horizontal="center" vertical="center"/>
      <protection locked="0"/>
    </xf>
    <xf numFmtId="3" fontId="18" fillId="17" borderId="13" xfId="91" applyNumberFormat="1" applyFont="1" applyFill="1" applyBorder="1" applyAlignment="1" applyProtection="1">
      <alignment horizontal="center" vertical="center"/>
      <protection locked="0"/>
    </xf>
    <xf numFmtId="3" fontId="18" fillId="17" borderId="14" xfId="91" applyNumberFormat="1" applyFont="1" applyFill="1" applyBorder="1" applyAlignment="1" applyProtection="1">
      <alignment horizontal="center" vertical="center"/>
      <protection locked="0"/>
    </xf>
    <xf numFmtId="3" fontId="18" fillId="17" borderId="47" xfId="91" applyNumberFormat="1" applyFont="1" applyFill="1" applyBorder="1" applyAlignment="1" applyProtection="1">
      <alignment horizontal="center" vertical="center"/>
      <protection locked="0"/>
    </xf>
    <xf numFmtId="3" fontId="18" fillId="17" borderId="56" xfId="91" applyNumberFormat="1" applyFont="1" applyFill="1" applyBorder="1" applyAlignment="1" applyProtection="1">
      <alignment horizontal="center" vertical="center"/>
      <protection locked="0"/>
    </xf>
    <xf numFmtId="3" fontId="18" fillId="17" borderId="55" xfId="91" applyNumberFormat="1" applyFont="1" applyFill="1" applyBorder="1" applyAlignment="1" applyProtection="1">
      <alignment horizontal="center" vertical="center"/>
      <protection locked="0"/>
    </xf>
    <xf numFmtId="3" fontId="18" fillId="17" borderId="48" xfId="91" applyNumberFormat="1" applyFont="1" applyFill="1" applyBorder="1" applyAlignment="1" applyProtection="1">
      <alignment horizontal="center" vertical="center"/>
      <protection locked="0"/>
    </xf>
    <xf numFmtId="3" fontId="18" fillId="17" borderId="12" xfId="91" quotePrefix="1" applyNumberFormat="1" applyFont="1" applyFill="1" applyBorder="1" applyAlignment="1" applyProtection="1">
      <alignment horizontal="center" vertical="center"/>
      <protection locked="0"/>
    </xf>
    <xf numFmtId="3" fontId="18" fillId="17" borderId="14" xfId="91" quotePrefix="1" applyNumberFormat="1" applyFont="1" applyFill="1" applyBorder="1" applyAlignment="1" applyProtection="1">
      <alignment horizontal="center" vertical="center"/>
      <protection locked="0"/>
    </xf>
    <xf numFmtId="3" fontId="18" fillId="17" borderId="12" xfId="91" applyNumberFormat="1" applyFont="1" applyFill="1" applyBorder="1" applyAlignment="1" applyProtection="1">
      <alignment horizontal="center" vertical="center"/>
      <protection locked="0"/>
    </xf>
    <xf numFmtId="0" fontId="18" fillId="17" borderId="58" xfId="91" applyFont="1" applyFill="1" applyBorder="1" applyAlignment="1">
      <alignment horizontal="center" vertical="center" wrapText="1"/>
    </xf>
    <xf numFmtId="0" fontId="18" fillId="17" borderId="53" xfId="91" applyFont="1" applyFill="1" applyBorder="1" applyAlignment="1">
      <alignment horizontal="center" vertical="center" wrapText="1"/>
    </xf>
    <xf numFmtId="0" fontId="18" fillId="11" borderId="21" xfId="91" quotePrefix="1" applyFont="1" applyFill="1" applyBorder="1" applyAlignment="1">
      <alignment horizontal="left" vertical="center" wrapText="1"/>
    </xf>
    <xf numFmtId="0" fontId="18" fillId="11" borderId="26" xfId="91" quotePrefix="1" applyFont="1" applyFill="1" applyBorder="1" applyAlignment="1">
      <alignment horizontal="left" vertical="center" wrapText="1"/>
    </xf>
    <xf numFmtId="0" fontId="16" fillId="16" borderId="21" xfId="91" quotePrefix="1" applyFont="1" applyFill="1" applyBorder="1" applyAlignment="1">
      <alignment horizontal="left" vertical="center" wrapText="1"/>
    </xf>
    <xf numFmtId="0" fontId="16" fillId="16" borderId="26" xfId="91" quotePrefix="1" applyFont="1" applyFill="1" applyBorder="1" applyAlignment="1">
      <alignment horizontal="left" vertical="center" wrapText="1"/>
    </xf>
    <xf numFmtId="0" fontId="30" fillId="0" borderId="55" xfId="0" applyFont="1" applyBorder="1" applyAlignment="1">
      <alignment vertical="center" wrapText="1"/>
    </xf>
    <xf numFmtId="0" fontId="30" fillId="0" borderId="48" xfId="0" applyFont="1" applyBorder="1" applyAlignment="1">
      <alignment vertical="center" wrapText="1"/>
    </xf>
    <xf numFmtId="0" fontId="30" fillId="0" borderId="73" xfId="0" applyFont="1" applyBorder="1" applyAlignment="1">
      <alignment vertical="center" wrapText="1"/>
    </xf>
    <xf numFmtId="0" fontId="30" fillId="0" borderId="74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47" xfId="0" applyNumberFormat="1" applyFont="1" applyBorder="1" applyAlignment="1">
      <alignment horizontal="center" vertical="center" wrapText="1"/>
    </xf>
  </cellXfs>
  <cellStyles count="9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  <cellStyle name="Normal 2" xfId="90"/>
    <cellStyle name="Normal 2 2" xfId="88"/>
    <cellStyle name="Normal 7" xfId="89"/>
    <cellStyle name="Normal_Sheet1" xfId="91"/>
    <cellStyle name="Normal_Sheet1 2" xfId="92"/>
  </cellStyles>
  <dxfs count="0"/>
  <tableStyles count="0" defaultTableStyle="TableStyleMedium2" defaultPivotStyle="PivotStyleLight16"/>
  <colors>
    <mruColors>
      <color rgb="FFD9D9FF"/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FID\AWARD%2520DOCS%2520CONTRACT\Rtifile02\cidprojectshares\IDG-Info\Proposal%2520Template%2520Info\T&amp;M%25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NTD%202006-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MDT%201995-20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abdal/AppData/Local/Microsoft/Windows/Temporary%20Internet%20Files/Content.Outlook/MQ3ZL66U/ETH-AnnualBudget%20Apr16-Mar17-EN-V8-19%2004%202016%20draf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I%20-%20post%203%20June%202011\Finance\GiveWell%20Reporting\TO%20GiveWell%2029%20April%202016\GLO-Allocation%20table%20FY%2016-17-En-V1-25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 GSK"/>
      <sheetName val="DEC"/>
      <sheetName val="PZQ"/>
      <sheetName val="Egaten"/>
      <sheetName val="Egaten Geneva"/>
      <sheetName val="ALB Consignees"/>
      <sheetName val="DEC Geneva"/>
      <sheetName val="ALB GSK (2)"/>
      <sheetName val="ALB PURCHASES"/>
      <sheetName val="PZQ Geneva"/>
      <sheetName val="PZQ PURCHASES"/>
      <sheetName val="PZQ Consignees 2009"/>
      <sheetName val="MERCK  2010"/>
      <sheetName val="PZQ 2008-2009"/>
      <sheetName val="IVM"/>
      <sheetName val="IVM Geneva"/>
      <sheetName val="Novartis"/>
      <sheetName val="NTD 2008-2009"/>
    </sheetNames>
    <sheetDataSet>
      <sheetData sheetId="0"/>
      <sheetData sheetId="1" refreshError="1"/>
      <sheetData sheetId="2">
        <row r="86">
          <cell r="J86" t="str">
            <v>2008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iry"/>
      <sheetName val="India"/>
      <sheetName val="Geneva Buffer"/>
      <sheetName val="Novartis Feb 2009"/>
      <sheetName val="MDT"/>
      <sheetName val="MDT GRD"/>
      <sheetName val="CLO"/>
      <sheetName val="CLO GRD"/>
      <sheetName val="Summary 1995-2008"/>
      <sheetName val="France 2009 RDD"/>
      <sheetName val="France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 forecast"/>
      <sheetName val="Budget summary"/>
      <sheetName val="Country Management"/>
      <sheetName val="Relocation Expenses"/>
      <sheetName val="Implementation Activities"/>
      <sheetName val="Advocacy"/>
      <sheetName val="Strategic Planning"/>
      <sheetName val="Mapping"/>
      <sheetName val="Drug Logistics"/>
      <sheetName val="Social Mobilization"/>
      <sheetName val="Drug Distr Training"/>
      <sheetName val="Drug Distr Registration"/>
      <sheetName val="Drug Distribution"/>
      <sheetName val="M&amp;E"/>
    </sheetNames>
    <sheetDataSet>
      <sheetData sheetId="0" refreshError="1"/>
      <sheetData sheetId="1" refreshError="1"/>
      <sheetData sheetId="2">
        <row r="25">
          <cell r="B25">
            <v>44000</v>
          </cell>
        </row>
        <row r="27">
          <cell r="B27">
            <v>1749370.0406391951</v>
          </cell>
        </row>
      </sheetData>
      <sheetData sheetId="3">
        <row r="11">
          <cell r="G11">
            <v>14674.121999999999</v>
          </cell>
        </row>
        <row r="12">
          <cell r="G12">
            <v>14674.121999999999</v>
          </cell>
        </row>
        <row r="13">
          <cell r="G13">
            <v>14674.121999999999</v>
          </cell>
        </row>
        <row r="14">
          <cell r="G14">
            <v>9030.1935483870984</v>
          </cell>
        </row>
        <row r="15">
          <cell r="G15">
            <v>14674.121999999999</v>
          </cell>
        </row>
        <row r="16">
          <cell r="G16">
            <v>20317.93548387097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ome analysis"/>
      <sheetName val="Implementation"/>
      <sheetName val="rolled over implementation"/>
      <sheetName val="Research"/>
      <sheetName val="Central costs"/>
      <sheetName val="Personne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>
        <row r="50">
          <cell r="F50">
            <v>57706.397425155395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7"/>
  <sheetViews>
    <sheetView tabSelected="1" zoomScale="80" zoomScaleNormal="80" workbookViewId="0"/>
  </sheetViews>
  <sheetFormatPr defaultColWidth="8.85546875" defaultRowHeight="15.75" x14ac:dyDescent="0.25"/>
  <cols>
    <col min="1" max="1" width="25" style="2" customWidth="1"/>
    <col min="2" max="2" width="18.85546875" style="2" hidden="1" customWidth="1"/>
    <col min="3" max="3" width="16.42578125" style="2" hidden="1" customWidth="1"/>
    <col min="4" max="4" width="18.5703125" style="2" hidden="1" customWidth="1"/>
    <col min="5" max="5" width="3.5703125" style="2" customWidth="1"/>
    <col min="6" max="6" width="13.5703125" style="2" bestFit="1" customWidth="1"/>
    <col min="7" max="7" width="17.140625" style="2" bestFit="1" customWidth="1"/>
    <col min="8" max="8" width="15.85546875" style="2" bestFit="1" customWidth="1"/>
    <col min="9" max="9" width="15.140625" style="2" customWidth="1"/>
    <col min="10" max="10" width="18" style="2" customWidth="1"/>
    <col min="11" max="11" width="16" style="2" customWidth="1"/>
    <col min="12" max="12" width="14" style="2" customWidth="1"/>
    <col min="13" max="14" width="19.42578125" style="2" customWidth="1"/>
    <col min="15" max="15" width="24.42578125" style="2" customWidth="1"/>
    <col min="16" max="16" width="20.42578125" style="2" customWidth="1"/>
    <col min="17" max="17" width="19.42578125" style="2" customWidth="1"/>
    <col min="18" max="18" width="17.7109375" style="2" customWidth="1"/>
    <col min="19" max="19" width="15.42578125" style="2" customWidth="1"/>
    <col min="20" max="16384" width="8.85546875" style="2"/>
  </cols>
  <sheetData>
    <row r="2" spans="1:20" x14ac:dyDescent="0.25">
      <c r="A2" s="1" t="s">
        <v>200</v>
      </c>
    </row>
    <row r="3" spans="1:20" x14ac:dyDescent="0.25">
      <c r="A3" s="1"/>
      <c r="S3"/>
      <c r="T3" s="195"/>
    </row>
    <row r="4" spans="1:20" x14ac:dyDescent="0.25">
      <c r="A4" s="1"/>
      <c r="F4" s="255" t="s">
        <v>69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95"/>
    </row>
    <row r="5" spans="1:20" ht="31.5" customHeight="1" x14ac:dyDescent="0.25">
      <c r="A5" s="302" t="s">
        <v>24</v>
      </c>
      <c r="B5" s="304" t="s">
        <v>62</v>
      </c>
      <c r="C5" s="304"/>
      <c r="D5" s="304"/>
      <c r="F5" s="275" t="s">
        <v>139</v>
      </c>
      <c r="G5" s="289" t="s">
        <v>141</v>
      </c>
      <c r="H5" s="264" t="s">
        <v>140</v>
      </c>
      <c r="I5" s="265"/>
      <c r="J5" s="265"/>
      <c r="K5" s="265"/>
      <c r="L5" s="266"/>
      <c r="M5" s="262" t="s">
        <v>143</v>
      </c>
      <c r="N5" s="262" t="s">
        <v>181</v>
      </c>
      <c r="O5" s="316" t="s">
        <v>57</v>
      </c>
      <c r="P5" s="313" t="s">
        <v>182</v>
      </c>
      <c r="Q5" s="262" t="s">
        <v>184</v>
      </c>
      <c r="R5" s="262" t="s">
        <v>185</v>
      </c>
      <c r="S5" s="191"/>
      <c r="T5" s="195"/>
    </row>
    <row r="6" spans="1:20" ht="36" customHeight="1" x14ac:dyDescent="0.25">
      <c r="A6" s="303"/>
      <c r="B6" s="9" t="s">
        <v>2</v>
      </c>
      <c r="C6" s="9" t="s">
        <v>3</v>
      </c>
      <c r="D6" s="8" t="s">
        <v>53</v>
      </c>
      <c r="F6" s="276"/>
      <c r="G6" s="290"/>
      <c r="H6" s="139" t="s">
        <v>136</v>
      </c>
      <c r="I6" s="140" t="s">
        <v>137</v>
      </c>
      <c r="J6" s="141" t="s">
        <v>138</v>
      </c>
      <c r="K6" s="156" t="s">
        <v>142</v>
      </c>
      <c r="L6" s="181" t="s">
        <v>180</v>
      </c>
      <c r="M6" s="263"/>
      <c r="N6" s="263"/>
      <c r="O6" s="316"/>
      <c r="P6" s="314"/>
      <c r="Q6" s="263"/>
      <c r="R6" s="263"/>
      <c r="S6" s="192"/>
      <c r="T6" s="195"/>
    </row>
    <row r="7" spans="1:20" x14ac:dyDescent="0.25">
      <c r="A7" s="10" t="s">
        <v>25</v>
      </c>
      <c r="B7" s="17">
        <v>2962094</v>
      </c>
      <c r="C7" s="17">
        <f t="shared" ref="C7:C55" si="0">D7-B7</f>
        <v>1604551</v>
      </c>
      <c r="D7" s="18">
        <v>4566645</v>
      </c>
      <c r="E7" s="3"/>
      <c r="F7" s="157">
        <v>2962094</v>
      </c>
      <c r="G7" s="158">
        <f>F7*2.5</f>
        <v>7405235</v>
      </c>
      <c r="H7" s="146">
        <v>7295000</v>
      </c>
      <c r="I7" s="147"/>
      <c r="J7" s="148"/>
      <c r="K7" s="142">
        <f>SUM(H7:J7)</f>
        <v>7295000</v>
      </c>
      <c r="L7" s="168">
        <v>0</v>
      </c>
      <c r="M7" s="170">
        <f>K7/2.5</f>
        <v>2918000</v>
      </c>
      <c r="N7" s="188">
        <f>M7*0.23</f>
        <v>671140</v>
      </c>
      <c r="O7" s="13" t="s">
        <v>58</v>
      </c>
      <c r="P7" s="185">
        <v>0</v>
      </c>
      <c r="Q7" s="182">
        <f>P7</f>
        <v>0</v>
      </c>
      <c r="R7" s="183">
        <v>0</v>
      </c>
      <c r="S7" s="192"/>
      <c r="T7" s="195"/>
    </row>
    <row r="8" spans="1:20" x14ac:dyDescent="0.25">
      <c r="A8" s="11" t="s">
        <v>26</v>
      </c>
      <c r="B8" s="19">
        <v>586251</v>
      </c>
      <c r="C8" s="19">
        <f t="shared" si="0"/>
        <v>370356</v>
      </c>
      <c r="D8" s="20">
        <v>956607</v>
      </c>
      <c r="F8" s="159">
        <v>586251</v>
      </c>
      <c r="G8" s="160">
        <f t="shared" ref="G8:G55" si="1">F8*2.5</f>
        <v>1465627.5</v>
      </c>
      <c r="H8" s="149">
        <v>1609000</v>
      </c>
      <c r="I8" s="150">
        <v>595000</v>
      </c>
      <c r="J8" s="151"/>
      <c r="K8" s="143">
        <f>SUM(H8:J8)</f>
        <v>2204000</v>
      </c>
      <c r="L8" s="168">
        <v>0</v>
      </c>
      <c r="M8" s="171">
        <f t="shared" ref="M8:M55" si="2">K8/2.5</f>
        <v>881600</v>
      </c>
      <c r="N8" s="189">
        <f t="shared" ref="N8:N55" si="3">M8*0.23</f>
        <v>202768</v>
      </c>
      <c r="O8" s="14" t="s">
        <v>61</v>
      </c>
      <c r="P8" s="186">
        <v>0</v>
      </c>
      <c r="Q8" s="183">
        <v>0</v>
      </c>
      <c r="R8" s="183">
        <v>0</v>
      </c>
      <c r="S8" s="192"/>
      <c r="T8" s="195"/>
    </row>
    <row r="9" spans="1:20" x14ac:dyDescent="0.25">
      <c r="A9" s="11" t="s">
        <v>27</v>
      </c>
      <c r="B9" s="19">
        <v>145568</v>
      </c>
      <c r="C9" s="19">
        <f t="shared" si="0"/>
        <v>24633</v>
      </c>
      <c r="D9" s="20">
        <v>170201</v>
      </c>
      <c r="F9" s="159">
        <v>145568</v>
      </c>
      <c r="G9" s="160">
        <f t="shared" si="1"/>
        <v>363920</v>
      </c>
      <c r="H9" s="152">
        <v>800000</v>
      </c>
      <c r="I9" s="150"/>
      <c r="J9" s="151"/>
      <c r="K9" s="143">
        <f>SUM(H9:J9)</f>
        <v>800000</v>
      </c>
      <c r="L9" s="168">
        <v>0</v>
      </c>
      <c r="M9" s="171">
        <f t="shared" si="2"/>
        <v>320000</v>
      </c>
      <c r="N9" s="189">
        <f t="shared" si="3"/>
        <v>73600</v>
      </c>
      <c r="O9" s="14"/>
      <c r="P9" s="186">
        <f>N9</f>
        <v>73600</v>
      </c>
      <c r="Q9" s="183">
        <v>0</v>
      </c>
      <c r="R9" s="183">
        <f>P9</f>
        <v>73600</v>
      </c>
      <c r="S9" s="192"/>
      <c r="T9" s="195"/>
    </row>
    <row r="10" spans="1:20" x14ac:dyDescent="0.25">
      <c r="A10" s="11" t="s">
        <v>28</v>
      </c>
      <c r="B10" s="19">
        <v>2421011</v>
      </c>
      <c r="C10" s="19">
        <f t="shared" si="0"/>
        <v>1459182</v>
      </c>
      <c r="D10" s="20">
        <v>3880193</v>
      </c>
      <c r="F10" s="159">
        <v>2421011</v>
      </c>
      <c r="G10" s="160">
        <f t="shared" si="1"/>
        <v>6052527.5</v>
      </c>
      <c r="H10" s="149">
        <v>6580000</v>
      </c>
      <c r="I10" s="150">
        <v>9000000</v>
      </c>
      <c r="J10" s="151"/>
      <c r="K10" s="143">
        <f>SUM(H10:J10)</f>
        <v>15580000</v>
      </c>
      <c r="L10" s="168">
        <v>0</v>
      </c>
      <c r="M10" s="171">
        <f t="shared" si="2"/>
        <v>6232000</v>
      </c>
      <c r="N10" s="189">
        <f t="shared" si="3"/>
        <v>1433360</v>
      </c>
      <c r="O10" s="14" t="s">
        <v>59</v>
      </c>
      <c r="P10" s="186">
        <v>0</v>
      </c>
      <c r="Q10" s="183">
        <v>0</v>
      </c>
      <c r="R10" s="183">
        <v>0</v>
      </c>
      <c r="S10" s="192"/>
      <c r="T10" s="195"/>
    </row>
    <row r="11" spans="1:20" x14ac:dyDescent="0.25">
      <c r="A11" s="11" t="s">
        <v>16</v>
      </c>
      <c r="B11" s="19">
        <v>1285399</v>
      </c>
      <c r="C11" s="19">
        <f t="shared" si="0"/>
        <v>1506245</v>
      </c>
      <c r="D11" s="20">
        <v>2791644</v>
      </c>
      <c r="F11" s="159">
        <v>1285399</v>
      </c>
      <c r="G11" s="160">
        <f t="shared" si="1"/>
        <v>3213497.5</v>
      </c>
      <c r="H11" s="152">
        <v>600000</v>
      </c>
      <c r="I11" s="150"/>
      <c r="J11" s="151"/>
      <c r="K11" s="143">
        <f t="shared" ref="K11:K15" si="4">SUM(H11:J11)</f>
        <v>600000</v>
      </c>
      <c r="L11" s="168">
        <v>0</v>
      </c>
      <c r="M11" s="171">
        <f t="shared" si="2"/>
        <v>240000</v>
      </c>
      <c r="N11" s="189">
        <f>M11*0.1</f>
        <v>24000</v>
      </c>
      <c r="O11" s="14" t="s">
        <v>60</v>
      </c>
      <c r="P11" s="186">
        <f>N11</f>
        <v>24000</v>
      </c>
      <c r="Q11" s="183">
        <f>P11</f>
        <v>24000</v>
      </c>
      <c r="R11" s="183">
        <v>0</v>
      </c>
      <c r="S11" s="192"/>
      <c r="T11" s="195"/>
    </row>
    <row r="12" spans="1:20" x14ac:dyDescent="0.25">
      <c r="A12" s="11" t="s">
        <v>29</v>
      </c>
      <c r="B12" s="19">
        <v>1971627</v>
      </c>
      <c r="C12" s="19">
        <f t="shared" si="0"/>
        <v>1497744</v>
      </c>
      <c r="D12" s="20">
        <v>3469371</v>
      </c>
      <c r="F12" s="159">
        <v>1971627</v>
      </c>
      <c r="G12" s="160">
        <f t="shared" si="1"/>
        <v>4929067.5</v>
      </c>
      <c r="H12" s="152">
        <v>7042000</v>
      </c>
      <c r="I12" s="150"/>
      <c r="J12" s="151"/>
      <c r="K12" s="143">
        <f t="shared" si="4"/>
        <v>7042000</v>
      </c>
      <c r="L12" s="168">
        <v>0</v>
      </c>
      <c r="M12" s="171">
        <f t="shared" si="2"/>
        <v>2816800</v>
      </c>
      <c r="N12" s="189">
        <f t="shared" si="3"/>
        <v>647864</v>
      </c>
      <c r="O12" s="14" t="s">
        <v>61</v>
      </c>
      <c r="P12" s="186">
        <v>0</v>
      </c>
      <c r="Q12" s="183">
        <f>P12</f>
        <v>0</v>
      </c>
      <c r="R12" s="183">
        <v>0</v>
      </c>
      <c r="S12" s="192"/>
      <c r="T12" s="195"/>
    </row>
    <row r="13" spans="1:20" x14ac:dyDescent="0.25">
      <c r="A13" s="11" t="s">
        <v>30</v>
      </c>
      <c r="B13" s="19">
        <v>542252</v>
      </c>
      <c r="C13" s="19">
        <f t="shared" si="0"/>
        <v>368408</v>
      </c>
      <c r="D13" s="20">
        <v>910660</v>
      </c>
      <c r="F13" s="159">
        <v>542252</v>
      </c>
      <c r="G13" s="160">
        <f t="shared" si="1"/>
        <v>1355630</v>
      </c>
      <c r="H13" s="152">
        <v>2690000</v>
      </c>
      <c r="I13" s="150"/>
      <c r="J13" s="151"/>
      <c r="K13" s="143">
        <f t="shared" si="4"/>
        <v>2690000</v>
      </c>
      <c r="L13" s="168">
        <v>0</v>
      </c>
      <c r="M13" s="171">
        <f t="shared" si="2"/>
        <v>1076000</v>
      </c>
      <c r="N13" s="189">
        <f t="shared" si="3"/>
        <v>247480</v>
      </c>
      <c r="O13" s="14"/>
      <c r="P13" s="186">
        <f t="shared" ref="P13:P20" si="5">N13</f>
        <v>247480</v>
      </c>
      <c r="Q13" s="183">
        <v>0</v>
      </c>
      <c r="R13" s="183">
        <f>P13</f>
        <v>247480</v>
      </c>
      <c r="S13" s="192"/>
      <c r="T13" s="195"/>
    </row>
    <row r="14" spans="1:20" x14ac:dyDescent="0.25">
      <c r="A14" s="11" t="s">
        <v>31</v>
      </c>
      <c r="B14" s="19">
        <v>1861648</v>
      </c>
      <c r="C14" s="19">
        <f t="shared" si="0"/>
        <v>1821047</v>
      </c>
      <c r="D14" s="20">
        <v>3682695</v>
      </c>
      <c r="F14" s="159">
        <v>1861648</v>
      </c>
      <c r="G14" s="160">
        <f t="shared" si="1"/>
        <v>4654120</v>
      </c>
      <c r="H14" s="152">
        <v>10000000</v>
      </c>
      <c r="I14" s="150"/>
      <c r="J14" s="151"/>
      <c r="K14" s="143">
        <f t="shared" si="4"/>
        <v>10000000</v>
      </c>
      <c r="L14" s="168">
        <v>0</v>
      </c>
      <c r="M14" s="171">
        <f t="shared" si="2"/>
        <v>4000000</v>
      </c>
      <c r="N14" s="189">
        <f t="shared" si="3"/>
        <v>920000</v>
      </c>
      <c r="O14" s="14"/>
      <c r="P14" s="186">
        <f t="shared" si="5"/>
        <v>920000</v>
      </c>
      <c r="Q14" s="183">
        <v>0</v>
      </c>
      <c r="R14" s="183">
        <f>P14</f>
        <v>920000</v>
      </c>
      <c r="S14" s="192"/>
      <c r="T14" s="195"/>
    </row>
    <row r="15" spans="1:20" x14ac:dyDescent="0.25">
      <c r="A15" s="11" t="s">
        <v>32</v>
      </c>
      <c r="B15" s="19">
        <v>301271</v>
      </c>
      <c r="C15" s="19">
        <f t="shared" si="0"/>
        <v>41515</v>
      </c>
      <c r="D15" s="20">
        <v>342786</v>
      </c>
      <c r="F15" s="159">
        <v>301271</v>
      </c>
      <c r="G15" s="160">
        <f t="shared" si="1"/>
        <v>753177.5</v>
      </c>
      <c r="H15" s="152">
        <v>284000</v>
      </c>
      <c r="I15" s="150"/>
      <c r="J15" s="151"/>
      <c r="K15" s="143">
        <f t="shared" si="4"/>
        <v>284000</v>
      </c>
      <c r="L15" s="168">
        <v>0</v>
      </c>
      <c r="M15" s="171">
        <f t="shared" si="2"/>
        <v>113600</v>
      </c>
      <c r="N15" s="189">
        <f t="shared" si="3"/>
        <v>26128</v>
      </c>
      <c r="O15" s="14"/>
      <c r="P15" s="186">
        <f t="shared" si="5"/>
        <v>26128</v>
      </c>
      <c r="Q15" s="183">
        <v>0</v>
      </c>
      <c r="R15" s="183">
        <f>P15</f>
        <v>26128</v>
      </c>
      <c r="S15" s="192"/>
      <c r="T15" s="195"/>
    </row>
    <row r="16" spans="1:20" ht="30" x14ac:dyDescent="0.25">
      <c r="A16" s="135" t="s">
        <v>4</v>
      </c>
      <c r="B16" s="19">
        <v>2717878</v>
      </c>
      <c r="C16" s="19">
        <f t="shared" si="0"/>
        <v>1837885</v>
      </c>
      <c r="D16" s="20">
        <v>4555763</v>
      </c>
      <c r="F16" s="161">
        <v>2717878</v>
      </c>
      <c r="G16" s="160">
        <f t="shared" si="1"/>
        <v>6794695</v>
      </c>
      <c r="H16" s="152">
        <v>6564000</v>
      </c>
      <c r="I16" s="150"/>
      <c r="J16" s="151"/>
      <c r="K16" s="143">
        <f>SUM(H16:J16)</f>
        <v>6564000</v>
      </c>
      <c r="L16" s="168">
        <v>0</v>
      </c>
      <c r="M16" s="171">
        <f t="shared" si="2"/>
        <v>2625600</v>
      </c>
      <c r="N16" s="189">
        <f>M16*0.24</f>
        <v>630144</v>
      </c>
      <c r="O16" s="15" t="s">
        <v>64</v>
      </c>
      <c r="P16" s="186">
        <f t="shared" si="5"/>
        <v>630144</v>
      </c>
      <c r="Q16" s="183">
        <f>P16</f>
        <v>630144</v>
      </c>
      <c r="R16" s="183">
        <v>0</v>
      </c>
      <c r="S16" s="192"/>
      <c r="T16" s="195"/>
    </row>
    <row r="17" spans="1:20" ht="45" x14ac:dyDescent="0.25">
      <c r="A17" s="135" t="s">
        <v>33</v>
      </c>
      <c r="B17" s="136">
        <v>10445511</v>
      </c>
      <c r="C17" s="136">
        <f t="shared" si="0"/>
        <v>8583889</v>
      </c>
      <c r="D17" s="137">
        <v>19029400</v>
      </c>
      <c r="F17" s="162">
        <v>10445511</v>
      </c>
      <c r="G17" s="160">
        <f t="shared" si="1"/>
        <v>26113777.5</v>
      </c>
      <c r="H17" s="152">
        <v>5993000</v>
      </c>
      <c r="I17" s="150"/>
      <c r="J17" s="151"/>
      <c r="K17" s="143">
        <f>SUM(H17:J17)</f>
        <v>5993000</v>
      </c>
      <c r="L17" s="167">
        <v>14500000</v>
      </c>
      <c r="M17" s="171">
        <f>K17+L17/2.5</f>
        <v>11793000</v>
      </c>
      <c r="N17" s="189">
        <f>M17*0.16</f>
        <v>1886880</v>
      </c>
      <c r="O17" s="15" t="s">
        <v>67</v>
      </c>
      <c r="P17" s="186">
        <f t="shared" si="5"/>
        <v>1886880</v>
      </c>
      <c r="Q17" s="183">
        <f>P17</f>
        <v>1886880</v>
      </c>
      <c r="R17" s="183">
        <v>0</v>
      </c>
      <c r="S17" s="192"/>
      <c r="T17" s="195"/>
    </row>
    <row r="18" spans="1:20" x14ac:dyDescent="0.25">
      <c r="A18" s="135" t="s">
        <v>34</v>
      </c>
      <c r="B18" s="19">
        <v>28312</v>
      </c>
      <c r="C18" s="19">
        <f t="shared" si="0"/>
        <v>26970</v>
      </c>
      <c r="D18" s="20">
        <v>55282</v>
      </c>
      <c r="F18" s="159">
        <v>28312</v>
      </c>
      <c r="G18" s="160">
        <f t="shared" si="1"/>
        <v>70780</v>
      </c>
      <c r="H18" s="152">
        <v>135000</v>
      </c>
      <c r="I18" s="150"/>
      <c r="J18" s="151"/>
      <c r="K18" s="143">
        <f>SUM(H18:J18)</f>
        <v>135000</v>
      </c>
      <c r="L18" s="168">
        <v>0</v>
      </c>
      <c r="M18" s="171">
        <f t="shared" si="2"/>
        <v>54000</v>
      </c>
      <c r="N18" s="189">
        <f t="shared" si="3"/>
        <v>12420</v>
      </c>
      <c r="O18" s="14"/>
      <c r="P18" s="186">
        <f t="shared" si="5"/>
        <v>12420</v>
      </c>
      <c r="Q18" s="183">
        <v>0</v>
      </c>
      <c r="R18" s="183">
        <f>P18</f>
        <v>12420</v>
      </c>
      <c r="S18" s="192"/>
      <c r="T18" s="195"/>
    </row>
    <row r="19" spans="1:20" x14ac:dyDescent="0.25">
      <c r="A19" s="135" t="s">
        <v>35</v>
      </c>
      <c r="B19" s="19">
        <v>366492</v>
      </c>
      <c r="C19" s="19">
        <f t="shared" si="0"/>
        <v>181919</v>
      </c>
      <c r="D19" s="20">
        <v>548411</v>
      </c>
      <c r="F19" s="159">
        <v>366492</v>
      </c>
      <c r="G19" s="160">
        <f t="shared" si="1"/>
        <v>916230</v>
      </c>
      <c r="H19" s="152">
        <v>261000</v>
      </c>
      <c r="I19" s="150"/>
      <c r="J19" s="151"/>
      <c r="K19" s="143">
        <f>SUM(H19:J19)</f>
        <v>261000</v>
      </c>
      <c r="L19" s="168">
        <v>0</v>
      </c>
      <c r="M19" s="171">
        <f t="shared" si="2"/>
        <v>104400</v>
      </c>
      <c r="N19" s="189">
        <f t="shared" si="3"/>
        <v>24012</v>
      </c>
      <c r="O19" s="16"/>
      <c r="P19" s="186">
        <f t="shared" si="5"/>
        <v>24012</v>
      </c>
      <c r="Q19" s="183">
        <v>0</v>
      </c>
      <c r="R19" s="183">
        <f>P19</f>
        <v>24012</v>
      </c>
      <c r="S19" s="192"/>
      <c r="T19" s="195"/>
    </row>
    <row r="20" spans="1:20" ht="15.75" customHeight="1" x14ac:dyDescent="0.25">
      <c r="A20" s="301" t="s">
        <v>6</v>
      </c>
      <c r="B20" s="297">
        <v>12285388</v>
      </c>
      <c r="C20" s="297">
        <f>D20-B20</f>
        <v>10957168</v>
      </c>
      <c r="D20" s="299">
        <v>23242556</v>
      </c>
      <c r="F20" s="287">
        <v>12285388</v>
      </c>
      <c r="G20" s="267">
        <f>F20*2.5</f>
        <v>30713470</v>
      </c>
      <c r="H20" s="269">
        <v>19094000</v>
      </c>
      <c r="I20" s="271"/>
      <c r="J20" s="280"/>
      <c r="K20" s="277">
        <f>SUM(H20:J21)</f>
        <v>19094000</v>
      </c>
      <c r="L20" s="260">
        <v>0</v>
      </c>
      <c r="M20" s="261">
        <f t="shared" si="2"/>
        <v>7637600</v>
      </c>
      <c r="N20" s="285">
        <f>M20*0.12</f>
        <v>916512</v>
      </c>
      <c r="O20" s="307" t="s">
        <v>67</v>
      </c>
      <c r="P20" s="315">
        <f t="shared" si="5"/>
        <v>916512</v>
      </c>
      <c r="Q20" s="282">
        <f>P20</f>
        <v>916512</v>
      </c>
      <c r="R20" s="273">
        <v>0</v>
      </c>
      <c r="S20" s="191"/>
      <c r="T20" s="195"/>
    </row>
    <row r="21" spans="1:20" x14ac:dyDescent="0.25">
      <c r="A21" s="301"/>
      <c r="B21" s="298"/>
      <c r="C21" s="298"/>
      <c r="D21" s="300"/>
      <c r="F21" s="288"/>
      <c r="G21" s="268"/>
      <c r="H21" s="270"/>
      <c r="I21" s="272"/>
      <c r="J21" s="281"/>
      <c r="K21" s="277"/>
      <c r="L21" s="260"/>
      <c r="M21" s="261"/>
      <c r="N21" s="286"/>
      <c r="O21" s="308"/>
      <c r="P21" s="315"/>
      <c r="Q21" s="282"/>
      <c r="R21" s="274"/>
      <c r="S21" s="191"/>
      <c r="T21" s="195"/>
    </row>
    <row r="22" spans="1:20" x14ac:dyDescent="0.25">
      <c r="A22" s="135" t="s">
        <v>36</v>
      </c>
      <c r="B22" s="19">
        <v>170724</v>
      </c>
      <c r="C22" s="19">
        <f t="shared" si="0"/>
        <v>165339</v>
      </c>
      <c r="D22" s="20">
        <v>336063</v>
      </c>
      <c r="F22" s="159">
        <v>170724</v>
      </c>
      <c r="G22" s="160">
        <f t="shared" si="1"/>
        <v>426810</v>
      </c>
      <c r="H22" s="152">
        <v>820000</v>
      </c>
      <c r="I22" s="150"/>
      <c r="J22" s="151"/>
      <c r="K22" s="143">
        <f>SUM(H22:J22)</f>
        <v>820000</v>
      </c>
      <c r="L22" s="168">
        <v>0</v>
      </c>
      <c r="M22" s="171">
        <f t="shared" si="2"/>
        <v>328000</v>
      </c>
      <c r="N22" s="189">
        <f t="shared" si="3"/>
        <v>75440</v>
      </c>
      <c r="O22" s="14"/>
      <c r="P22" s="186">
        <f>N22</f>
        <v>75440</v>
      </c>
      <c r="Q22" s="183">
        <v>0</v>
      </c>
      <c r="R22" s="183">
        <f>P22</f>
        <v>75440</v>
      </c>
      <c r="S22" s="192"/>
      <c r="T22" s="195"/>
    </row>
    <row r="23" spans="1:20" x14ac:dyDescent="0.25">
      <c r="A23" s="135" t="s">
        <v>37</v>
      </c>
      <c r="B23" s="19">
        <v>178722</v>
      </c>
      <c r="C23" s="19">
        <f t="shared" si="0"/>
        <v>17122</v>
      </c>
      <c r="D23" s="20">
        <v>195844</v>
      </c>
      <c r="F23" s="159">
        <v>178722</v>
      </c>
      <c r="G23" s="160">
        <f t="shared" si="1"/>
        <v>446805</v>
      </c>
      <c r="H23" s="152">
        <v>45000</v>
      </c>
      <c r="I23" s="150"/>
      <c r="J23" s="151"/>
      <c r="K23" s="143">
        <f t="shared" ref="K23:K24" si="6">SUM(H23:J23)</f>
        <v>45000</v>
      </c>
      <c r="L23" s="168">
        <v>0</v>
      </c>
      <c r="M23" s="171">
        <f t="shared" si="2"/>
        <v>18000</v>
      </c>
      <c r="N23" s="189">
        <f t="shared" si="3"/>
        <v>4140</v>
      </c>
      <c r="O23" s="14"/>
      <c r="P23" s="186">
        <f>N23</f>
        <v>4140</v>
      </c>
      <c r="Q23" s="183">
        <v>0</v>
      </c>
      <c r="R23" s="183">
        <f>P23</f>
        <v>4140</v>
      </c>
      <c r="S23" s="192"/>
      <c r="T23" s="195"/>
    </row>
    <row r="24" spans="1:20" x14ac:dyDescent="0.25">
      <c r="A24" s="135" t="s">
        <v>38</v>
      </c>
      <c r="B24" s="19">
        <v>3843473</v>
      </c>
      <c r="C24" s="19">
        <f t="shared" si="0"/>
        <v>5522990</v>
      </c>
      <c r="D24" s="20">
        <v>9366463</v>
      </c>
      <c r="F24" s="159">
        <v>3843473</v>
      </c>
      <c r="G24" s="160">
        <f t="shared" si="1"/>
        <v>9608682.5</v>
      </c>
      <c r="H24" s="152">
        <v>3380000</v>
      </c>
      <c r="I24" s="150"/>
      <c r="J24" s="151"/>
      <c r="K24" s="143">
        <f t="shared" si="6"/>
        <v>3380000</v>
      </c>
      <c r="L24" s="168">
        <v>0</v>
      </c>
      <c r="M24" s="171">
        <f t="shared" si="2"/>
        <v>1352000</v>
      </c>
      <c r="N24" s="189">
        <f t="shared" si="3"/>
        <v>310960</v>
      </c>
      <c r="O24" s="14" t="s">
        <v>59</v>
      </c>
      <c r="P24" s="186">
        <v>0</v>
      </c>
      <c r="Q24" s="183">
        <v>0</v>
      </c>
      <c r="R24" s="183">
        <v>0</v>
      </c>
      <c r="S24" s="192"/>
      <c r="T24" s="195"/>
    </row>
    <row r="25" spans="1:20" x14ac:dyDescent="0.25">
      <c r="A25" s="301" t="s">
        <v>39</v>
      </c>
      <c r="B25" s="297">
        <v>1281649</v>
      </c>
      <c r="C25" s="297">
        <f>D25-B25</f>
        <v>886592</v>
      </c>
      <c r="D25" s="299">
        <v>2168241</v>
      </c>
      <c r="F25" s="287">
        <v>1281649</v>
      </c>
      <c r="G25" s="293">
        <f t="shared" si="1"/>
        <v>3204122.5</v>
      </c>
      <c r="H25" s="258">
        <v>4820000</v>
      </c>
      <c r="I25" s="271"/>
      <c r="J25" s="278"/>
      <c r="K25" s="277">
        <f>SUM(H25:J26)</f>
        <v>4820000</v>
      </c>
      <c r="L25" s="260">
        <v>0</v>
      </c>
      <c r="M25" s="261">
        <f t="shared" si="2"/>
        <v>1928000</v>
      </c>
      <c r="N25" s="285">
        <f t="shared" si="3"/>
        <v>443440</v>
      </c>
      <c r="O25" s="309" t="s">
        <v>61</v>
      </c>
      <c r="P25" s="315">
        <v>0</v>
      </c>
      <c r="Q25" s="282">
        <v>0</v>
      </c>
      <c r="R25" s="273">
        <v>0</v>
      </c>
      <c r="S25" s="191"/>
      <c r="T25" s="195"/>
    </row>
    <row r="26" spans="1:20" x14ac:dyDescent="0.25">
      <c r="A26" s="301"/>
      <c r="B26" s="298"/>
      <c r="C26" s="298"/>
      <c r="D26" s="300"/>
      <c r="F26" s="288"/>
      <c r="G26" s="294"/>
      <c r="H26" s="259"/>
      <c r="I26" s="272"/>
      <c r="J26" s="279"/>
      <c r="K26" s="277"/>
      <c r="L26" s="260"/>
      <c r="M26" s="261"/>
      <c r="N26" s="286"/>
      <c r="O26" s="310"/>
      <c r="P26" s="315"/>
      <c r="Q26" s="282"/>
      <c r="R26" s="274"/>
      <c r="S26" s="191"/>
      <c r="T26" s="195"/>
    </row>
    <row r="27" spans="1:20" x14ac:dyDescent="0.25">
      <c r="A27" s="135" t="s">
        <v>40</v>
      </c>
      <c r="B27" s="19">
        <v>133602</v>
      </c>
      <c r="C27" s="19">
        <f t="shared" si="0"/>
        <v>54941</v>
      </c>
      <c r="D27" s="20">
        <v>188543</v>
      </c>
      <c r="F27" s="159">
        <v>133602</v>
      </c>
      <c r="G27" s="160">
        <f t="shared" si="1"/>
        <v>334005</v>
      </c>
      <c r="H27" s="152">
        <v>361000</v>
      </c>
      <c r="I27" s="150"/>
      <c r="J27" s="151"/>
      <c r="K27" s="143">
        <f>SUM(H27:J27)</f>
        <v>361000</v>
      </c>
      <c r="L27" s="168">
        <v>0</v>
      </c>
      <c r="M27" s="171">
        <f t="shared" si="2"/>
        <v>144400</v>
      </c>
      <c r="N27" s="189">
        <f t="shared" si="3"/>
        <v>33212</v>
      </c>
      <c r="O27" s="14"/>
      <c r="P27" s="186">
        <f>N27</f>
        <v>33212</v>
      </c>
      <c r="Q27" s="183">
        <v>0</v>
      </c>
      <c r="R27" s="183">
        <f>P27</f>
        <v>33212</v>
      </c>
      <c r="S27" s="192"/>
      <c r="T27" s="195"/>
    </row>
    <row r="28" spans="1:20" x14ac:dyDescent="0.25">
      <c r="A28" s="11" t="s">
        <v>41</v>
      </c>
      <c r="B28" s="19">
        <v>1489422</v>
      </c>
      <c r="C28" s="19">
        <f t="shared" si="0"/>
        <v>685224</v>
      </c>
      <c r="D28" s="20">
        <v>2174646</v>
      </c>
      <c r="F28" s="159">
        <v>1489422</v>
      </c>
      <c r="G28" s="160">
        <f t="shared" si="1"/>
        <v>3723555</v>
      </c>
      <c r="H28" s="152">
        <v>6000000</v>
      </c>
      <c r="I28" s="150"/>
      <c r="J28" s="151"/>
      <c r="K28" s="143">
        <f t="shared" ref="K28:K30" si="7">SUM(H28:J28)</f>
        <v>6000000</v>
      </c>
      <c r="L28" s="168">
        <v>0</v>
      </c>
      <c r="M28" s="171">
        <f t="shared" si="2"/>
        <v>2400000</v>
      </c>
      <c r="N28" s="189">
        <f t="shared" si="3"/>
        <v>552000</v>
      </c>
      <c r="O28" s="14" t="s">
        <v>183</v>
      </c>
      <c r="P28" s="186">
        <v>0</v>
      </c>
      <c r="Q28" s="183">
        <v>0</v>
      </c>
      <c r="R28" s="183">
        <v>0</v>
      </c>
      <c r="S28" s="192"/>
      <c r="T28" s="195"/>
    </row>
    <row r="29" spans="1:20" x14ac:dyDescent="0.25">
      <c r="A29" s="11" t="s">
        <v>8</v>
      </c>
      <c r="B29" s="19">
        <v>422795</v>
      </c>
      <c r="C29" s="19">
        <f t="shared" si="0"/>
        <v>668664</v>
      </c>
      <c r="D29" s="20">
        <v>1091459</v>
      </c>
      <c r="F29" s="159">
        <v>422795</v>
      </c>
      <c r="G29" s="160">
        <f t="shared" si="1"/>
        <v>1056987.5</v>
      </c>
      <c r="H29" s="152">
        <v>2100000</v>
      </c>
      <c r="I29" s="150"/>
      <c r="J29" s="151"/>
      <c r="K29" s="143">
        <f t="shared" si="7"/>
        <v>2100000</v>
      </c>
      <c r="L29" s="168">
        <v>0</v>
      </c>
      <c r="M29" s="171">
        <f t="shared" si="2"/>
        <v>840000</v>
      </c>
      <c r="N29" s="189">
        <f>M29*0.25</f>
        <v>210000</v>
      </c>
      <c r="O29" s="14" t="s">
        <v>186</v>
      </c>
      <c r="P29" s="186">
        <f>N29</f>
        <v>210000</v>
      </c>
      <c r="Q29" s="183">
        <f>P29</f>
        <v>210000</v>
      </c>
      <c r="R29" s="183">
        <v>0</v>
      </c>
      <c r="S29" s="193"/>
      <c r="T29" s="195"/>
    </row>
    <row r="30" spans="1:20" x14ac:dyDescent="0.25">
      <c r="A30" s="11" t="s">
        <v>17</v>
      </c>
      <c r="B30" s="19">
        <v>2907815</v>
      </c>
      <c r="C30" s="19">
        <f t="shared" si="0"/>
        <v>3916258</v>
      </c>
      <c r="D30" s="20">
        <v>6824073</v>
      </c>
      <c r="F30" s="159">
        <v>2907815</v>
      </c>
      <c r="G30" s="160">
        <f t="shared" si="1"/>
        <v>7269537.5</v>
      </c>
      <c r="H30" s="152">
        <v>14753000</v>
      </c>
      <c r="I30" s="150"/>
      <c r="J30" s="151"/>
      <c r="K30" s="143">
        <f t="shared" si="7"/>
        <v>14753000</v>
      </c>
      <c r="L30" s="168">
        <v>0</v>
      </c>
      <c r="M30" s="171">
        <f t="shared" si="2"/>
        <v>5901200</v>
      </c>
      <c r="N30" s="189">
        <f>M30*0.15</f>
        <v>885180</v>
      </c>
      <c r="O30" s="14" t="s">
        <v>60</v>
      </c>
      <c r="P30" s="186">
        <f>N30</f>
        <v>885180</v>
      </c>
      <c r="Q30" s="183">
        <f>P30</f>
        <v>885180</v>
      </c>
      <c r="R30" s="183">
        <v>0</v>
      </c>
      <c r="S30" s="192"/>
      <c r="T30" s="195"/>
    </row>
    <row r="31" spans="1:20" x14ac:dyDescent="0.25">
      <c r="A31" s="306" t="s">
        <v>9</v>
      </c>
      <c r="B31" s="297">
        <v>3091907</v>
      </c>
      <c r="C31" s="297">
        <f>D31-B31</f>
        <v>4083877</v>
      </c>
      <c r="D31" s="299">
        <v>7175784</v>
      </c>
      <c r="F31" s="287">
        <v>3091907</v>
      </c>
      <c r="G31" s="293">
        <f t="shared" si="1"/>
        <v>7729767.5</v>
      </c>
      <c r="H31" s="295">
        <v>4200000</v>
      </c>
      <c r="I31" s="165"/>
      <c r="J31" s="280">
        <v>10000000</v>
      </c>
      <c r="K31" s="283">
        <f>SUM(H31:J32)</f>
        <v>14200000</v>
      </c>
      <c r="L31" s="260">
        <v>0</v>
      </c>
      <c r="M31" s="261">
        <f t="shared" si="2"/>
        <v>5680000</v>
      </c>
      <c r="N31" s="285">
        <f>M31*0.1</f>
        <v>568000</v>
      </c>
      <c r="O31" s="311" t="s">
        <v>63</v>
      </c>
      <c r="P31" s="315">
        <f>N31</f>
        <v>568000</v>
      </c>
      <c r="Q31" s="282">
        <f>P31</f>
        <v>568000</v>
      </c>
      <c r="R31" s="273">
        <v>0</v>
      </c>
      <c r="S31" s="194"/>
      <c r="T31" s="195"/>
    </row>
    <row r="32" spans="1:20" x14ac:dyDescent="0.25">
      <c r="A32" s="306"/>
      <c r="B32" s="298"/>
      <c r="C32" s="298"/>
      <c r="D32" s="300"/>
      <c r="F32" s="288"/>
      <c r="G32" s="294"/>
      <c r="H32" s="296"/>
      <c r="I32" s="166"/>
      <c r="J32" s="281"/>
      <c r="K32" s="283"/>
      <c r="L32" s="260"/>
      <c r="M32" s="261"/>
      <c r="N32" s="286"/>
      <c r="O32" s="312"/>
      <c r="P32" s="315"/>
      <c r="Q32" s="282"/>
      <c r="R32" s="274"/>
      <c r="S32" s="194"/>
      <c r="T32" s="195"/>
    </row>
    <row r="33" spans="1:20" x14ac:dyDescent="0.25">
      <c r="A33" s="11" t="s">
        <v>42</v>
      </c>
      <c r="B33" s="19">
        <v>2484442</v>
      </c>
      <c r="C33" s="19">
        <f t="shared" si="0"/>
        <v>3533260</v>
      </c>
      <c r="D33" s="20">
        <v>6017702</v>
      </c>
      <c r="F33" s="159">
        <v>2484442</v>
      </c>
      <c r="G33" s="160">
        <f t="shared" si="1"/>
        <v>6211105</v>
      </c>
      <c r="H33" s="149">
        <v>6638000</v>
      </c>
      <c r="I33" s="150"/>
      <c r="J33" s="151"/>
      <c r="K33" s="143">
        <f t="shared" ref="K33:K39" si="8">SUM(H33:J33)</f>
        <v>6638000</v>
      </c>
      <c r="L33" s="168">
        <v>0</v>
      </c>
      <c r="M33" s="171">
        <f t="shared" si="2"/>
        <v>2655200</v>
      </c>
      <c r="N33" s="189">
        <f t="shared" si="3"/>
        <v>610696</v>
      </c>
      <c r="O33" s="14" t="s">
        <v>61</v>
      </c>
      <c r="P33" s="186">
        <v>0</v>
      </c>
      <c r="Q33" s="183">
        <v>0</v>
      </c>
      <c r="R33" s="183">
        <v>0</v>
      </c>
      <c r="S33" s="192"/>
      <c r="T33" s="195"/>
    </row>
    <row r="34" spans="1:20" x14ac:dyDescent="0.25">
      <c r="A34" s="11" t="s">
        <v>18</v>
      </c>
      <c r="B34" s="19">
        <v>305645</v>
      </c>
      <c r="C34" s="19">
        <f t="shared" si="0"/>
        <v>375505</v>
      </c>
      <c r="D34" s="20">
        <v>681150</v>
      </c>
      <c r="F34" s="159">
        <v>305645</v>
      </c>
      <c r="G34" s="160">
        <f t="shared" si="1"/>
        <v>764112.5</v>
      </c>
      <c r="H34" s="152">
        <v>738000</v>
      </c>
      <c r="I34" s="150"/>
      <c r="J34" s="151"/>
      <c r="K34" s="143">
        <f t="shared" si="8"/>
        <v>738000</v>
      </c>
      <c r="L34" s="168">
        <v>0</v>
      </c>
      <c r="M34" s="171">
        <f t="shared" si="2"/>
        <v>295200</v>
      </c>
      <c r="N34" s="189">
        <f>M34*0.25</f>
        <v>73800</v>
      </c>
      <c r="O34" s="14" t="s">
        <v>60</v>
      </c>
      <c r="P34" s="186">
        <f>N34</f>
        <v>73800</v>
      </c>
      <c r="Q34" s="183">
        <f>P34</f>
        <v>73800</v>
      </c>
      <c r="R34" s="183">
        <v>0</v>
      </c>
      <c r="S34" s="192"/>
      <c r="T34" s="195"/>
    </row>
    <row r="35" spans="1:20" ht="30" x14ac:dyDescent="0.25">
      <c r="A35" s="11" t="s">
        <v>10</v>
      </c>
      <c r="B35" s="19">
        <v>5241602</v>
      </c>
      <c r="C35" s="19">
        <f t="shared" si="0"/>
        <v>7652037</v>
      </c>
      <c r="D35" s="20">
        <v>12893639</v>
      </c>
      <c r="F35" s="161">
        <v>5241602</v>
      </c>
      <c r="G35" s="160">
        <f t="shared" si="1"/>
        <v>13104005</v>
      </c>
      <c r="H35" s="152">
        <v>18144000</v>
      </c>
      <c r="I35" s="150"/>
      <c r="J35" s="151"/>
      <c r="K35" s="144">
        <f t="shared" si="8"/>
        <v>18144000</v>
      </c>
      <c r="L35" s="168">
        <v>0</v>
      </c>
      <c r="M35" s="171">
        <f t="shared" si="2"/>
        <v>7257600</v>
      </c>
      <c r="N35" s="189">
        <f>M35*0.08</f>
        <v>580608</v>
      </c>
      <c r="O35" s="15" t="s">
        <v>65</v>
      </c>
      <c r="P35" s="186">
        <f>N35</f>
        <v>580608</v>
      </c>
      <c r="Q35" s="183">
        <f>P35</f>
        <v>580608</v>
      </c>
      <c r="R35" s="183">
        <v>0</v>
      </c>
      <c r="S35" s="193"/>
      <c r="T35" s="195"/>
    </row>
    <row r="36" spans="1:20" x14ac:dyDescent="0.25">
      <c r="A36" s="11" t="s">
        <v>43</v>
      </c>
      <c r="B36" s="19">
        <v>197179</v>
      </c>
      <c r="C36" s="19">
        <f t="shared" si="0"/>
        <v>273624</v>
      </c>
      <c r="D36" s="20">
        <v>470803</v>
      </c>
      <c r="F36" s="159">
        <v>197179</v>
      </c>
      <c r="G36" s="160">
        <f t="shared" si="1"/>
        <v>492947.5</v>
      </c>
      <c r="H36" s="152">
        <v>400000</v>
      </c>
      <c r="I36" s="150"/>
      <c r="J36" s="151"/>
      <c r="K36" s="143">
        <f t="shared" si="8"/>
        <v>400000</v>
      </c>
      <c r="L36" s="168">
        <v>0</v>
      </c>
      <c r="M36" s="171">
        <f t="shared" si="2"/>
        <v>160000</v>
      </c>
      <c r="N36" s="189">
        <f t="shared" si="3"/>
        <v>36800</v>
      </c>
      <c r="O36" s="14"/>
      <c r="P36" s="186">
        <f>N36</f>
        <v>36800</v>
      </c>
      <c r="Q36" s="183">
        <v>0</v>
      </c>
      <c r="R36" s="183">
        <f>P36</f>
        <v>36800</v>
      </c>
      <c r="S36" s="192"/>
      <c r="T36" s="195"/>
    </row>
    <row r="37" spans="1:20" ht="30" x14ac:dyDescent="0.25">
      <c r="A37" s="11" t="s">
        <v>44</v>
      </c>
      <c r="B37" s="19">
        <v>3106413</v>
      </c>
      <c r="C37" s="19">
        <f t="shared" si="0"/>
        <v>3087352</v>
      </c>
      <c r="D37" s="20">
        <v>6193765</v>
      </c>
      <c r="F37" s="161">
        <v>3106413</v>
      </c>
      <c r="G37" s="160">
        <f t="shared" si="1"/>
        <v>7766032.5</v>
      </c>
      <c r="H37" s="152">
        <v>21000000</v>
      </c>
      <c r="I37" s="150"/>
      <c r="J37" s="151">
        <v>6800000</v>
      </c>
      <c r="K37" s="143">
        <f t="shared" si="8"/>
        <v>27800000</v>
      </c>
      <c r="L37" s="168">
        <v>0</v>
      </c>
      <c r="M37" s="171">
        <f t="shared" si="2"/>
        <v>11120000</v>
      </c>
      <c r="N37" s="189">
        <f>M37*0.09</f>
        <v>1000800</v>
      </c>
      <c r="O37" s="15" t="s">
        <v>66</v>
      </c>
      <c r="P37" s="186">
        <f>N37/3</f>
        <v>333600</v>
      </c>
      <c r="Q37" s="183">
        <f>P37</f>
        <v>333600</v>
      </c>
      <c r="R37" s="183">
        <v>0</v>
      </c>
      <c r="S37" s="192"/>
      <c r="T37" s="195"/>
    </row>
    <row r="38" spans="1:20" ht="38.25" customHeight="1" x14ac:dyDescent="0.25">
      <c r="A38" s="11" t="s">
        <v>19</v>
      </c>
      <c r="B38" s="19">
        <v>23829716</v>
      </c>
      <c r="C38" s="19">
        <f t="shared" si="0"/>
        <v>40269238</v>
      </c>
      <c r="D38" s="20">
        <v>64098954</v>
      </c>
      <c r="F38" s="159">
        <v>23829716</v>
      </c>
      <c r="G38" s="160">
        <f t="shared" si="1"/>
        <v>59574290</v>
      </c>
      <c r="H38" s="152">
        <v>69996000</v>
      </c>
      <c r="I38" s="150"/>
      <c r="J38" s="151"/>
      <c r="K38" s="143">
        <f t="shared" si="8"/>
        <v>69996000</v>
      </c>
      <c r="L38" s="168">
        <v>0</v>
      </c>
      <c r="M38" s="171">
        <f t="shared" si="2"/>
        <v>27998400</v>
      </c>
      <c r="N38" s="189">
        <f>M38*0.23</f>
        <v>6439632</v>
      </c>
      <c r="O38" s="15" t="s">
        <v>199</v>
      </c>
      <c r="P38" s="186">
        <v>1400000</v>
      </c>
      <c r="Q38" s="183">
        <f>P38</f>
        <v>1400000</v>
      </c>
      <c r="R38" s="183">
        <f>N38-Q38</f>
        <v>5039632</v>
      </c>
      <c r="S38" s="192"/>
      <c r="T38" s="195"/>
    </row>
    <row r="39" spans="1:20" x14ac:dyDescent="0.25">
      <c r="A39" s="11" t="s">
        <v>20</v>
      </c>
      <c r="B39" s="19">
        <v>1424532</v>
      </c>
      <c r="C39" s="19">
        <f t="shared" si="0"/>
        <v>874150</v>
      </c>
      <c r="D39" s="20">
        <v>2298682</v>
      </c>
      <c r="F39" s="159">
        <v>1424532</v>
      </c>
      <c r="G39" s="160">
        <f t="shared" si="1"/>
        <v>3561330</v>
      </c>
      <c r="H39" s="152">
        <v>2514985</v>
      </c>
      <c r="I39" s="150"/>
      <c r="J39" s="151"/>
      <c r="K39" s="143">
        <f t="shared" si="8"/>
        <v>2514985</v>
      </c>
      <c r="L39" s="168">
        <v>0</v>
      </c>
      <c r="M39" s="171">
        <f t="shared" si="2"/>
        <v>1005994</v>
      </c>
      <c r="N39" s="189">
        <f>M39*0.1</f>
        <v>100599.40000000001</v>
      </c>
      <c r="O39" s="14" t="s">
        <v>58</v>
      </c>
      <c r="P39" s="186">
        <v>0</v>
      </c>
      <c r="Q39" s="183">
        <v>0</v>
      </c>
      <c r="R39" s="183">
        <v>0</v>
      </c>
      <c r="S39" s="192"/>
      <c r="T39" s="195"/>
    </row>
    <row r="40" spans="1:20" x14ac:dyDescent="0.25">
      <c r="A40" s="11" t="s">
        <v>45</v>
      </c>
      <c r="B40" s="19">
        <v>4256</v>
      </c>
      <c r="C40" s="19">
        <f t="shared" si="0"/>
        <v>3935</v>
      </c>
      <c r="D40" s="20">
        <v>8191</v>
      </c>
      <c r="F40" s="159">
        <v>4256</v>
      </c>
      <c r="G40" s="160">
        <f t="shared" si="1"/>
        <v>10640</v>
      </c>
      <c r="H40" s="152">
        <v>70000</v>
      </c>
      <c r="I40" s="150"/>
      <c r="J40" s="151"/>
      <c r="K40" s="143">
        <f t="shared" ref="K40:K46" si="9">SUM(H40:J40)</f>
        <v>70000</v>
      </c>
      <c r="L40" s="168">
        <v>0</v>
      </c>
      <c r="M40" s="171">
        <f t="shared" si="2"/>
        <v>28000</v>
      </c>
      <c r="N40" s="189">
        <f t="shared" si="3"/>
        <v>6440</v>
      </c>
      <c r="O40" s="14"/>
      <c r="P40" s="186">
        <f>N40</f>
        <v>6440</v>
      </c>
      <c r="Q40" s="183">
        <v>0</v>
      </c>
      <c r="R40" s="183">
        <f>P40</f>
        <v>6440</v>
      </c>
      <c r="S40" s="192"/>
      <c r="T40" s="195"/>
    </row>
    <row r="41" spans="1:20" x14ac:dyDescent="0.25">
      <c r="A41" s="11" t="s">
        <v>21</v>
      </c>
      <c r="B41" s="19">
        <v>1731652</v>
      </c>
      <c r="C41" s="19">
        <f t="shared" si="0"/>
        <v>1650649</v>
      </c>
      <c r="D41" s="20">
        <v>3382301</v>
      </c>
      <c r="F41" s="159">
        <v>1731652</v>
      </c>
      <c r="G41" s="160">
        <f t="shared" si="1"/>
        <v>4329130</v>
      </c>
      <c r="H41" s="152">
        <v>3720000</v>
      </c>
      <c r="I41" s="150"/>
      <c r="J41" s="151"/>
      <c r="K41" s="143">
        <f t="shared" si="9"/>
        <v>3720000</v>
      </c>
      <c r="L41" s="168">
        <v>0</v>
      </c>
      <c r="M41" s="171">
        <f t="shared" si="2"/>
        <v>1488000</v>
      </c>
      <c r="N41" s="189">
        <f t="shared" si="3"/>
        <v>342240</v>
      </c>
      <c r="O41" s="14" t="s">
        <v>61</v>
      </c>
      <c r="P41" s="186">
        <v>0</v>
      </c>
      <c r="Q41" s="183">
        <v>0</v>
      </c>
      <c r="R41" s="183">
        <v>0</v>
      </c>
      <c r="S41" s="192"/>
      <c r="T41" s="195"/>
    </row>
    <row r="42" spans="1:20" x14ac:dyDescent="0.25">
      <c r="A42" s="11" t="s">
        <v>46</v>
      </c>
      <c r="B42" s="19">
        <v>604654</v>
      </c>
      <c r="C42" s="19">
        <f t="shared" si="0"/>
        <v>889438</v>
      </c>
      <c r="D42" s="20">
        <v>1494092</v>
      </c>
      <c r="F42" s="159">
        <v>604654</v>
      </c>
      <c r="G42" s="160">
        <f t="shared" si="1"/>
        <v>1511635</v>
      </c>
      <c r="H42" s="152">
        <v>2325000</v>
      </c>
      <c r="I42" s="150">
        <v>7700000</v>
      </c>
      <c r="J42" s="151"/>
      <c r="K42" s="143">
        <f t="shared" si="9"/>
        <v>10025000</v>
      </c>
      <c r="L42" s="168">
        <v>0</v>
      </c>
      <c r="M42" s="171">
        <f t="shared" si="2"/>
        <v>4010000</v>
      </c>
      <c r="N42" s="189">
        <f t="shared" si="3"/>
        <v>922300</v>
      </c>
      <c r="O42" s="14" t="s">
        <v>59</v>
      </c>
      <c r="P42" s="186">
        <v>0</v>
      </c>
      <c r="Q42" s="183">
        <v>0</v>
      </c>
      <c r="R42" s="183">
        <v>0</v>
      </c>
      <c r="S42" s="192"/>
      <c r="T42" s="195"/>
    </row>
    <row r="43" spans="1:20" x14ac:dyDescent="0.25">
      <c r="A43" s="11" t="s">
        <v>47</v>
      </c>
      <c r="B43" s="19">
        <v>2493327</v>
      </c>
      <c r="C43" s="19">
        <f t="shared" si="0"/>
        <v>2831172</v>
      </c>
      <c r="D43" s="20">
        <v>5324499</v>
      </c>
      <c r="F43" s="159">
        <v>2493327</v>
      </c>
      <c r="G43" s="160">
        <f t="shared" si="1"/>
        <v>6233317.5</v>
      </c>
      <c r="H43" s="152">
        <v>8000000</v>
      </c>
      <c r="I43" s="150"/>
      <c r="J43" s="151"/>
      <c r="K43" s="143">
        <f t="shared" si="9"/>
        <v>8000000</v>
      </c>
      <c r="L43" s="168">
        <v>0</v>
      </c>
      <c r="M43" s="171">
        <f t="shared" si="2"/>
        <v>3200000</v>
      </c>
      <c r="N43" s="189">
        <f t="shared" si="3"/>
        <v>736000</v>
      </c>
      <c r="O43" s="14"/>
      <c r="P43" s="186">
        <f>N43</f>
        <v>736000</v>
      </c>
      <c r="Q43" s="183">
        <v>0</v>
      </c>
      <c r="R43" s="183">
        <f>P43</f>
        <v>736000</v>
      </c>
      <c r="S43" s="192"/>
      <c r="T43" s="195"/>
    </row>
    <row r="44" spans="1:20" x14ac:dyDescent="0.25">
      <c r="A44" s="11" t="s">
        <v>48</v>
      </c>
      <c r="B44" s="19">
        <v>1400672</v>
      </c>
      <c r="C44" s="19">
        <f t="shared" si="0"/>
        <v>1065742</v>
      </c>
      <c r="D44" s="20">
        <v>2466414</v>
      </c>
      <c r="F44" s="159">
        <v>1400672</v>
      </c>
      <c r="G44" s="160">
        <f t="shared" si="1"/>
        <v>3501680</v>
      </c>
      <c r="H44" s="152">
        <v>720000</v>
      </c>
      <c r="I44" s="150"/>
      <c r="J44" s="151"/>
      <c r="K44" s="143">
        <f t="shared" si="9"/>
        <v>720000</v>
      </c>
      <c r="L44" s="168">
        <v>0</v>
      </c>
      <c r="M44" s="171">
        <f t="shared" si="2"/>
        <v>288000</v>
      </c>
      <c r="N44" s="189">
        <f t="shared" si="3"/>
        <v>66240</v>
      </c>
      <c r="O44" s="14"/>
      <c r="P44" s="186">
        <f>N44</f>
        <v>66240</v>
      </c>
      <c r="Q44" s="183">
        <v>0</v>
      </c>
      <c r="R44" s="183">
        <f>P44</f>
        <v>66240</v>
      </c>
      <c r="S44" s="192"/>
      <c r="T44" s="195"/>
    </row>
    <row r="45" spans="1:20" x14ac:dyDescent="0.25">
      <c r="A45" s="11" t="s">
        <v>22</v>
      </c>
      <c r="B45" s="19">
        <v>4763522</v>
      </c>
      <c r="C45" s="19">
        <f t="shared" si="0"/>
        <v>3782317</v>
      </c>
      <c r="D45" s="20">
        <v>8545839</v>
      </c>
      <c r="F45" s="159">
        <v>4763522</v>
      </c>
      <c r="G45" s="160">
        <f t="shared" si="1"/>
        <v>11908805</v>
      </c>
      <c r="H45" s="152">
        <v>17000000</v>
      </c>
      <c r="I45" s="150"/>
      <c r="J45" s="151"/>
      <c r="K45" s="143">
        <f t="shared" si="9"/>
        <v>17000000</v>
      </c>
      <c r="L45" s="168">
        <v>0</v>
      </c>
      <c r="M45" s="171">
        <f t="shared" si="2"/>
        <v>6800000</v>
      </c>
      <c r="N45" s="189">
        <f t="shared" si="3"/>
        <v>1564000</v>
      </c>
      <c r="O45" s="16" t="s">
        <v>60</v>
      </c>
      <c r="P45" s="186">
        <f>N45</f>
        <v>1564000</v>
      </c>
      <c r="Q45" s="183">
        <f>P45</f>
        <v>1564000</v>
      </c>
      <c r="R45" s="183">
        <v>0</v>
      </c>
      <c r="S45" s="193"/>
      <c r="T45" s="195"/>
    </row>
    <row r="46" spans="1:20" x14ac:dyDescent="0.25">
      <c r="A46" s="11" t="s">
        <v>49</v>
      </c>
      <c r="B46" s="19">
        <v>159286</v>
      </c>
      <c r="C46" s="19">
        <f t="shared" si="0"/>
        <v>156956</v>
      </c>
      <c r="D46" s="20">
        <v>316242</v>
      </c>
      <c r="F46" s="159">
        <v>159286</v>
      </c>
      <c r="G46" s="160">
        <f t="shared" si="1"/>
        <v>398215</v>
      </c>
      <c r="H46" s="152">
        <v>332000</v>
      </c>
      <c r="I46" s="150"/>
      <c r="J46" s="151"/>
      <c r="K46" s="143">
        <f t="shared" si="9"/>
        <v>332000</v>
      </c>
      <c r="L46" s="168">
        <v>0</v>
      </c>
      <c r="M46" s="171">
        <f t="shared" si="2"/>
        <v>132800</v>
      </c>
      <c r="N46" s="189">
        <f t="shared" si="3"/>
        <v>30544</v>
      </c>
      <c r="O46" s="14"/>
      <c r="P46" s="186">
        <f>N46</f>
        <v>30544</v>
      </c>
      <c r="Q46" s="183">
        <v>0</v>
      </c>
      <c r="R46" s="183">
        <f>P46</f>
        <v>30544</v>
      </c>
      <c r="S46" s="192"/>
      <c r="T46" s="195"/>
    </row>
    <row r="47" spans="1:20" x14ac:dyDescent="0.25">
      <c r="A47" s="11" t="s">
        <v>50</v>
      </c>
      <c r="B47" s="19">
        <v>1585616</v>
      </c>
      <c r="C47" s="19">
        <f t="shared" si="0"/>
        <v>2267424</v>
      </c>
      <c r="D47" s="20">
        <v>3853040</v>
      </c>
      <c r="F47" s="159">
        <v>1585616</v>
      </c>
      <c r="G47" s="160">
        <f t="shared" si="1"/>
        <v>3964040</v>
      </c>
      <c r="H47" s="149">
        <v>0</v>
      </c>
      <c r="I47" s="150">
        <v>8700000</v>
      </c>
      <c r="J47" s="151"/>
      <c r="K47" s="143">
        <f>SUM(H47:J47)</f>
        <v>8700000</v>
      </c>
      <c r="L47" s="168">
        <v>0</v>
      </c>
      <c r="M47" s="171">
        <f t="shared" si="2"/>
        <v>3480000</v>
      </c>
      <c r="N47" s="189">
        <f t="shared" si="3"/>
        <v>800400</v>
      </c>
      <c r="O47" s="14" t="s">
        <v>59</v>
      </c>
      <c r="P47" s="186">
        <v>0</v>
      </c>
      <c r="Q47" s="183">
        <v>0</v>
      </c>
      <c r="R47" s="183">
        <v>0</v>
      </c>
      <c r="S47" s="192"/>
      <c r="T47" s="195"/>
    </row>
    <row r="48" spans="1:20" ht="15.75" customHeight="1" x14ac:dyDescent="0.25">
      <c r="A48" s="305" t="s">
        <v>13</v>
      </c>
      <c r="B48" s="297">
        <v>5078441</v>
      </c>
      <c r="C48" s="297">
        <f>D48-B48</f>
        <v>5330636</v>
      </c>
      <c r="D48" s="299">
        <v>10409077</v>
      </c>
      <c r="F48" s="287">
        <v>5078441</v>
      </c>
      <c r="G48" s="293">
        <f t="shared" si="1"/>
        <v>12696102.5</v>
      </c>
      <c r="H48" s="258">
        <v>8122000</v>
      </c>
      <c r="I48" s="291">
        <v>6800000</v>
      </c>
      <c r="J48" s="278">
        <v>4600000</v>
      </c>
      <c r="K48" s="284">
        <f>SUM(H48:J49)</f>
        <v>19522000</v>
      </c>
      <c r="L48" s="260">
        <v>0</v>
      </c>
      <c r="M48" s="261">
        <f t="shared" si="2"/>
        <v>7808800</v>
      </c>
      <c r="N48" s="285">
        <f>M48*0.2</f>
        <v>1561760</v>
      </c>
      <c r="O48" s="307" t="s">
        <v>65</v>
      </c>
      <c r="P48" s="315">
        <f>N48*0.25</f>
        <v>390440</v>
      </c>
      <c r="Q48" s="273">
        <f>P48</f>
        <v>390440</v>
      </c>
      <c r="R48" s="273">
        <v>0</v>
      </c>
      <c r="S48" s="191"/>
      <c r="T48" s="195"/>
    </row>
    <row r="49" spans="1:20" x14ac:dyDescent="0.25">
      <c r="A49" s="305"/>
      <c r="B49" s="298"/>
      <c r="C49" s="298"/>
      <c r="D49" s="300"/>
      <c r="F49" s="288"/>
      <c r="G49" s="294"/>
      <c r="H49" s="259"/>
      <c r="I49" s="292"/>
      <c r="J49" s="279"/>
      <c r="K49" s="284"/>
      <c r="L49" s="260"/>
      <c r="M49" s="261"/>
      <c r="N49" s="286"/>
      <c r="O49" s="308"/>
      <c r="P49" s="315"/>
      <c r="Q49" s="274"/>
      <c r="R49" s="274"/>
      <c r="S49" s="191"/>
      <c r="T49" s="195"/>
    </row>
    <row r="50" spans="1:20" ht="15.75" customHeight="1" x14ac:dyDescent="0.25">
      <c r="A50" s="301" t="s">
        <v>51</v>
      </c>
      <c r="B50" s="297">
        <v>6357534</v>
      </c>
      <c r="C50" s="297">
        <f>D50-B50</f>
        <v>4408412</v>
      </c>
      <c r="D50" s="299">
        <v>10765946</v>
      </c>
      <c r="F50" s="287">
        <v>6357534</v>
      </c>
      <c r="G50" s="267">
        <f t="shared" si="1"/>
        <v>15893835</v>
      </c>
      <c r="H50" s="258">
        <v>10375000</v>
      </c>
      <c r="I50" s="291">
        <v>10700000</v>
      </c>
      <c r="J50" s="278">
        <v>6200000</v>
      </c>
      <c r="K50" s="277">
        <f>SUM(H50:J51)</f>
        <v>27275000</v>
      </c>
      <c r="L50" s="260">
        <v>0</v>
      </c>
      <c r="M50" s="261">
        <f t="shared" si="2"/>
        <v>10910000</v>
      </c>
      <c r="N50" s="285">
        <f>M50*0.24</f>
        <v>2618400</v>
      </c>
      <c r="O50" s="307" t="s">
        <v>65</v>
      </c>
      <c r="P50" s="315">
        <f>N50/4</f>
        <v>654600</v>
      </c>
      <c r="Q50" s="273">
        <f>P50</f>
        <v>654600</v>
      </c>
      <c r="R50" s="273">
        <v>0</v>
      </c>
      <c r="S50" s="191"/>
      <c r="T50" s="195"/>
    </row>
    <row r="51" spans="1:20" x14ac:dyDescent="0.25">
      <c r="A51" s="301"/>
      <c r="B51" s="298"/>
      <c r="C51" s="298"/>
      <c r="D51" s="300"/>
      <c r="F51" s="288"/>
      <c r="G51" s="268"/>
      <c r="H51" s="259"/>
      <c r="I51" s="292"/>
      <c r="J51" s="279"/>
      <c r="K51" s="277"/>
      <c r="L51" s="260"/>
      <c r="M51" s="261"/>
      <c r="N51" s="286"/>
      <c r="O51" s="308"/>
      <c r="P51" s="315"/>
      <c r="Q51" s="274"/>
      <c r="R51" s="274"/>
      <c r="S51" s="191"/>
      <c r="T51" s="195"/>
    </row>
    <row r="52" spans="1:20" x14ac:dyDescent="0.25">
      <c r="A52" s="11" t="s">
        <v>15</v>
      </c>
      <c r="B52" s="19"/>
      <c r="C52" s="19"/>
      <c r="D52" s="20"/>
      <c r="F52" s="159"/>
      <c r="G52" s="160">
        <f t="shared" si="1"/>
        <v>0</v>
      </c>
      <c r="H52" s="152">
        <v>6600000</v>
      </c>
      <c r="I52" s="150"/>
      <c r="J52" s="151"/>
      <c r="K52" s="144">
        <f>SUM(G52:J52)</f>
        <v>6600000</v>
      </c>
      <c r="L52" s="168">
        <v>0</v>
      </c>
      <c r="M52" s="171">
        <f t="shared" si="2"/>
        <v>2640000</v>
      </c>
      <c r="N52" s="189">
        <f>M52*0.19</f>
        <v>501600</v>
      </c>
      <c r="O52" s="14" t="s">
        <v>63</v>
      </c>
      <c r="P52" s="186">
        <f>N52</f>
        <v>501600</v>
      </c>
      <c r="Q52" s="183">
        <f>P52</f>
        <v>501600</v>
      </c>
      <c r="R52" s="183">
        <v>0</v>
      </c>
      <c r="S52" s="193"/>
      <c r="T52" s="195"/>
    </row>
    <row r="53" spans="1:20" ht="30" x14ac:dyDescent="0.25">
      <c r="A53" s="11" t="s">
        <v>23</v>
      </c>
      <c r="B53" s="19">
        <v>3015648</v>
      </c>
      <c r="C53" s="19">
        <f t="shared" si="0"/>
        <v>6291016</v>
      </c>
      <c r="D53" s="20">
        <v>9306664</v>
      </c>
      <c r="F53" s="161">
        <v>3015648</v>
      </c>
      <c r="G53" s="160">
        <f t="shared" si="1"/>
        <v>7539120</v>
      </c>
      <c r="H53" s="149">
        <v>0</v>
      </c>
      <c r="I53" s="150"/>
      <c r="J53" s="151"/>
      <c r="K53" s="143">
        <f>SUM(H53:J53)</f>
        <v>0</v>
      </c>
      <c r="L53" s="168">
        <v>0</v>
      </c>
      <c r="M53" s="171">
        <f t="shared" si="2"/>
        <v>0</v>
      </c>
      <c r="N53" s="189">
        <f t="shared" si="3"/>
        <v>0</v>
      </c>
      <c r="O53" s="15" t="s">
        <v>68</v>
      </c>
      <c r="P53" s="186">
        <v>0</v>
      </c>
      <c r="Q53" s="183">
        <v>0</v>
      </c>
      <c r="R53" s="183">
        <f>M53-Q53</f>
        <v>0</v>
      </c>
      <c r="S53" s="192"/>
      <c r="T53" s="195"/>
    </row>
    <row r="54" spans="1:20" x14ac:dyDescent="0.25">
      <c r="A54" s="11" t="s">
        <v>14</v>
      </c>
      <c r="B54" s="19">
        <v>2394434</v>
      </c>
      <c r="C54" s="19">
        <f t="shared" si="0"/>
        <v>2542731</v>
      </c>
      <c r="D54" s="20">
        <v>4937165</v>
      </c>
      <c r="F54" s="159">
        <v>2394434</v>
      </c>
      <c r="G54" s="160">
        <f t="shared" si="1"/>
        <v>5986085</v>
      </c>
      <c r="H54" s="149">
        <v>0</v>
      </c>
      <c r="I54" s="150"/>
      <c r="J54" s="151">
        <v>6850000</v>
      </c>
      <c r="K54" s="144">
        <f>SUM(H54:J54)</f>
        <v>6850000</v>
      </c>
      <c r="L54" s="168">
        <v>0</v>
      </c>
      <c r="M54" s="171">
        <f t="shared" si="2"/>
        <v>2740000</v>
      </c>
      <c r="N54" s="189">
        <f>M54*0.19</f>
        <v>520600</v>
      </c>
      <c r="O54" s="14" t="s">
        <v>63</v>
      </c>
      <c r="P54" s="186">
        <f>N54</f>
        <v>520600</v>
      </c>
      <c r="Q54" s="183">
        <f>P54</f>
        <v>520600</v>
      </c>
      <c r="R54" s="183">
        <v>0</v>
      </c>
      <c r="S54" s="193"/>
      <c r="T54" s="195"/>
    </row>
    <row r="55" spans="1:20" x14ac:dyDescent="0.25">
      <c r="A55" s="12" t="s">
        <v>52</v>
      </c>
      <c r="B55" s="21">
        <v>1590414</v>
      </c>
      <c r="C55" s="21">
        <f t="shared" si="0"/>
        <v>1664653</v>
      </c>
      <c r="D55" s="22">
        <v>3255067</v>
      </c>
      <c r="F55" s="164">
        <v>1590414</v>
      </c>
      <c r="G55" s="163">
        <f t="shared" si="1"/>
        <v>3976035</v>
      </c>
      <c r="H55" s="153">
        <v>11764000</v>
      </c>
      <c r="I55" s="154"/>
      <c r="J55" s="155"/>
      <c r="K55" s="145">
        <f>SUM(H55:J55)</f>
        <v>11764000</v>
      </c>
      <c r="L55" s="169">
        <v>0</v>
      </c>
      <c r="M55" s="172">
        <f t="shared" si="2"/>
        <v>4705600</v>
      </c>
      <c r="N55" s="190">
        <f t="shared" si="3"/>
        <v>1082288</v>
      </c>
      <c r="O55" s="138" t="s">
        <v>58</v>
      </c>
      <c r="P55" s="187">
        <f>N55</f>
        <v>1082288</v>
      </c>
      <c r="Q55" s="184">
        <v>0</v>
      </c>
      <c r="R55" s="184">
        <f>P55</f>
        <v>1082288</v>
      </c>
      <c r="S55" s="191"/>
      <c r="T55" s="195"/>
    </row>
    <row r="56" spans="1:20" x14ac:dyDescent="0.25">
      <c r="A56" s="252" t="s">
        <v>78</v>
      </c>
      <c r="B56" s="4"/>
      <c r="C56" s="4"/>
      <c r="D56" s="4"/>
      <c r="F56" s="164">
        <f>SUM(F7:F55)</f>
        <v>119209796</v>
      </c>
      <c r="G56" s="163">
        <f t="shared" ref="G56:R56" si="10">SUM(G7:G55)</f>
        <v>298024490</v>
      </c>
      <c r="H56" s="153">
        <f t="shared" si="10"/>
        <v>293884985</v>
      </c>
      <c r="I56" s="253">
        <f t="shared" si="10"/>
        <v>43495000</v>
      </c>
      <c r="J56" s="254">
        <f t="shared" si="10"/>
        <v>34450000</v>
      </c>
      <c r="K56" s="145">
        <f t="shared" si="10"/>
        <v>371829985</v>
      </c>
      <c r="L56" s="169">
        <f t="shared" si="10"/>
        <v>14500000</v>
      </c>
      <c r="M56" s="172">
        <f t="shared" si="10"/>
        <v>158127794</v>
      </c>
      <c r="N56" s="190">
        <f t="shared" si="10"/>
        <v>30394427.399999999</v>
      </c>
      <c r="O56" s="170"/>
      <c r="P56" s="187">
        <f t="shared" si="10"/>
        <v>14514708</v>
      </c>
      <c r="Q56" s="184">
        <f t="shared" si="10"/>
        <v>11139964</v>
      </c>
      <c r="R56" s="184">
        <f t="shared" si="10"/>
        <v>8414376</v>
      </c>
      <c r="T56" s="195"/>
    </row>
    <row r="57" spans="1:20" x14ac:dyDescent="0.25">
      <c r="A57" s="173"/>
      <c r="B57" s="4"/>
      <c r="C57" s="4"/>
      <c r="D57" s="4"/>
      <c r="T57" s="195"/>
    </row>
  </sheetData>
  <mergeCells count="96">
    <mergeCell ref="R48:R49"/>
    <mergeCell ref="R50:R51"/>
    <mergeCell ref="N5:N6"/>
    <mergeCell ref="P5:P6"/>
    <mergeCell ref="P20:P21"/>
    <mergeCell ref="P25:P26"/>
    <mergeCell ref="P31:P32"/>
    <mergeCell ref="P48:P49"/>
    <mergeCell ref="P50:P51"/>
    <mergeCell ref="R25:R26"/>
    <mergeCell ref="R31:R32"/>
    <mergeCell ref="O5:O6"/>
    <mergeCell ref="M50:M51"/>
    <mergeCell ref="O20:O21"/>
    <mergeCell ref="O25:O26"/>
    <mergeCell ref="O31:O32"/>
    <mergeCell ref="O48:O49"/>
    <mergeCell ref="O50:O51"/>
    <mergeCell ref="N20:N21"/>
    <mergeCell ref="N25:N26"/>
    <mergeCell ref="N31:N32"/>
    <mergeCell ref="A5:A6"/>
    <mergeCell ref="B5:D5"/>
    <mergeCell ref="A50:A51"/>
    <mergeCell ref="B50:B51"/>
    <mergeCell ref="C50:C51"/>
    <mergeCell ref="D50:D51"/>
    <mergeCell ref="A48:A49"/>
    <mergeCell ref="B48:B49"/>
    <mergeCell ref="C48:C49"/>
    <mergeCell ref="D48:D49"/>
    <mergeCell ref="A31:A32"/>
    <mergeCell ref="B31:B32"/>
    <mergeCell ref="C31:C32"/>
    <mergeCell ref="D31:D32"/>
    <mergeCell ref="A25:A26"/>
    <mergeCell ref="B25:B26"/>
    <mergeCell ref="C25:C26"/>
    <mergeCell ref="D25:D26"/>
    <mergeCell ref="A20:A21"/>
    <mergeCell ref="B20:B21"/>
    <mergeCell ref="C20:C21"/>
    <mergeCell ref="D20:D21"/>
    <mergeCell ref="G5:G6"/>
    <mergeCell ref="G50:G51"/>
    <mergeCell ref="H50:H51"/>
    <mergeCell ref="I50:I51"/>
    <mergeCell ref="H25:H26"/>
    <mergeCell ref="G25:G26"/>
    <mergeCell ref="G31:G32"/>
    <mergeCell ref="H31:H32"/>
    <mergeCell ref="I48:I49"/>
    <mergeCell ref="G48:G49"/>
    <mergeCell ref="F20:F21"/>
    <mergeCell ref="F25:F26"/>
    <mergeCell ref="F31:F32"/>
    <mergeCell ref="F48:F49"/>
    <mergeCell ref="F50:F51"/>
    <mergeCell ref="J20:J21"/>
    <mergeCell ref="J31:J32"/>
    <mergeCell ref="Q48:Q49"/>
    <mergeCell ref="Q50:Q51"/>
    <mergeCell ref="Q20:Q21"/>
    <mergeCell ref="Q25:Q26"/>
    <mergeCell ref="Q31:Q32"/>
    <mergeCell ref="L31:L32"/>
    <mergeCell ref="L48:L49"/>
    <mergeCell ref="K20:K21"/>
    <mergeCell ref="K25:K26"/>
    <mergeCell ref="K31:K32"/>
    <mergeCell ref="K48:K49"/>
    <mergeCell ref="M48:M49"/>
    <mergeCell ref="N48:N49"/>
    <mergeCell ref="N50:N51"/>
    <mergeCell ref="L25:L26"/>
    <mergeCell ref="I25:I26"/>
    <mergeCell ref="K50:K51"/>
    <mergeCell ref="J25:J26"/>
    <mergeCell ref="J48:J49"/>
    <mergeCell ref="J50:J51"/>
    <mergeCell ref="F4:R4"/>
    <mergeCell ref="H48:H49"/>
    <mergeCell ref="L50:L51"/>
    <mergeCell ref="M20:M21"/>
    <mergeCell ref="M25:M26"/>
    <mergeCell ref="M31:M32"/>
    <mergeCell ref="M5:M6"/>
    <mergeCell ref="H5:L5"/>
    <mergeCell ref="G20:G21"/>
    <mergeCell ref="H20:H21"/>
    <mergeCell ref="I20:I21"/>
    <mergeCell ref="L20:L21"/>
    <mergeCell ref="R5:R6"/>
    <mergeCell ref="R20:R21"/>
    <mergeCell ref="F5:F6"/>
    <mergeCell ref="Q5:Q6"/>
  </mergeCells>
  <pageMargins left="0.75" right="0.75" top="1" bottom="1" header="0.5" footer="0.5"/>
  <pageSetup orientation="portrait" horizontalDpi="4294967292" verticalDpi="4294967292" r:id="rId1"/>
  <ignoredErrors>
    <ignoredError sqref="N11 N16 M17 N37 N39" 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/>
  </sheetViews>
  <sheetFormatPr defaultRowHeight="15" x14ac:dyDescent="0.25"/>
  <cols>
    <col min="1" max="1" width="23.85546875" customWidth="1"/>
    <col min="2" max="2" width="17.28515625" customWidth="1"/>
    <col min="3" max="3" width="29.140625" customWidth="1"/>
    <col min="4" max="4" width="12.140625" customWidth="1"/>
    <col min="5" max="5" width="10.140625" customWidth="1"/>
    <col min="6" max="6" width="10" customWidth="1"/>
    <col min="7" max="7" width="14" customWidth="1"/>
    <col min="8" max="8" width="11.5703125" customWidth="1"/>
    <col min="9" max="9" width="10" customWidth="1"/>
    <col min="10" max="10" width="11" customWidth="1"/>
    <col min="11" max="17" width="9.140625" customWidth="1"/>
    <col min="18" max="18" width="12.5703125" customWidth="1"/>
    <col min="19" max="21" width="11.42578125" customWidth="1"/>
  </cols>
  <sheetData>
    <row r="1" spans="1:22" x14ac:dyDescent="0.25">
      <c r="A1" s="23" t="s">
        <v>70</v>
      </c>
    </row>
    <row r="3" spans="1:22" x14ac:dyDescent="0.25">
      <c r="A3" s="24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2" ht="15.75" thickBot="1" x14ac:dyDescent="0.3">
      <c r="D5" s="5" t="s">
        <v>54</v>
      </c>
      <c r="E5" s="7" t="s">
        <v>56</v>
      </c>
      <c r="F5" s="6" t="s">
        <v>55</v>
      </c>
      <c r="G5" s="7" t="s">
        <v>56</v>
      </c>
      <c r="H5" s="5" t="s">
        <v>54</v>
      </c>
      <c r="I5" s="6" t="s">
        <v>55</v>
      </c>
      <c r="J5" s="6" t="s">
        <v>55</v>
      </c>
      <c r="K5" s="5" t="s">
        <v>54</v>
      </c>
      <c r="L5" s="5" t="s">
        <v>54</v>
      </c>
      <c r="M5" s="7" t="s">
        <v>56</v>
      </c>
      <c r="N5" s="5" t="s">
        <v>54</v>
      </c>
      <c r="O5" s="7" t="s">
        <v>56</v>
      </c>
      <c r="P5" s="6" t="s">
        <v>55</v>
      </c>
      <c r="Q5" s="6" t="s">
        <v>55</v>
      </c>
      <c r="R5" s="6" t="s">
        <v>55</v>
      </c>
      <c r="S5" s="7" t="s">
        <v>56</v>
      </c>
      <c r="T5" s="7" t="s">
        <v>56</v>
      </c>
      <c r="U5" s="7" t="s">
        <v>56</v>
      </c>
    </row>
    <row r="6" spans="1:22" ht="26.25" thickBot="1" x14ac:dyDescent="0.3">
      <c r="A6" s="26"/>
      <c r="B6" s="27" t="s">
        <v>72</v>
      </c>
      <c r="C6" s="28"/>
      <c r="D6" s="29" t="s">
        <v>73</v>
      </c>
      <c r="E6" s="29" t="s">
        <v>8</v>
      </c>
      <c r="F6" s="29" t="s">
        <v>74</v>
      </c>
      <c r="G6" s="29" t="s">
        <v>75</v>
      </c>
      <c r="H6" s="29" t="s">
        <v>12</v>
      </c>
      <c r="I6" s="29" t="s">
        <v>14</v>
      </c>
      <c r="J6" s="29" t="s">
        <v>11</v>
      </c>
      <c r="K6" s="29" t="s">
        <v>13</v>
      </c>
      <c r="L6" s="29" t="s">
        <v>15</v>
      </c>
      <c r="M6" s="29" t="s">
        <v>76</v>
      </c>
      <c r="N6" s="29" t="s">
        <v>77</v>
      </c>
      <c r="O6" s="29" t="s">
        <v>22</v>
      </c>
      <c r="P6" s="29" t="s">
        <v>20</v>
      </c>
      <c r="Q6" s="29" t="s">
        <v>16</v>
      </c>
      <c r="R6" s="29" t="s">
        <v>17</v>
      </c>
      <c r="S6" s="29" t="s">
        <v>18</v>
      </c>
      <c r="T6" s="29" t="s">
        <v>23</v>
      </c>
      <c r="U6" s="29" t="s">
        <v>19</v>
      </c>
      <c r="V6" s="30" t="s">
        <v>78</v>
      </c>
    </row>
    <row r="7" spans="1:22" ht="26.25" thickBot="1" x14ac:dyDescent="0.3">
      <c r="A7" s="317" t="s">
        <v>79</v>
      </c>
      <c r="B7" s="31" t="s">
        <v>80</v>
      </c>
      <c r="C7" s="32" t="s">
        <v>81</v>
      </c>
      <c r="D7" s="33">
        <v>5.9855159999999996</v>
      </c>
      <c r="E7" s="33">
        <v>0.67039000000000004</v>
      </c>
      <c r="F7" s="33">
        <v>14.604198999999999</v>
      </c>
      <c r="G7" s="33">
        <v>18.721436000000001</v>
      </c>
      <c r="H7" s="33">
        <v>7.206639</v>
      </c>
      <c r="I7" s="33">
        <v>1.0447519999999999</v>
      </c>
      <c r="J7" s="33">
        <v>3.6525829999999999</v>
      </c>
      <c r="K7" s="33">
        <v>1.8676569999999999</v>
      </c>
      <c r="L7" s="33">
        <v>6.8085740000000001</v>
      </c>
      <c r="M7" s="33">
        <v>3.757609</v>
      </c>
      <c r="N7" s="33">
        <v>8.1792359999999995</v>
      </c>
      <c r="O7" s="33"/>
      <c r="P7" s="33"/>
      <c r="Q7" s="33"/>
      <c r="R7" s="33"/>
      <c r="S7" s="33"/>
      <c r="T7" s="33"/>
      <c r="U7" s="33"/>
      <c r="V7" s="34">
        <f>SUM(D7:U7)</f>
        <v>72.498591000000005</v>
      </c>
    </row>
    <row r="8" spans="1:22" x14ac:dyDescent="0.25">
      <c r="A8" s="318"/>
      <c r="B8" s="321" t="s">
        <v>82</v>
      </c>
      <c r="C8" s="35" t="s">
        <v>83</v>
      </c>
      <c r="D8" s="36">
        <v>0</v>
      </c>
      <c r="E8" s="36">
        <v>0.3</v>
      </c>
      <c r="F8" s="36">
        <v>0</v>
      </c>
      <c r="G8" s="36">
        <v>0</v>
      </c>
      <c r="H8" s="36">
        <v>0</v>
      </c>
      <c r="I8" s="36"/>
      <c r="J8" s="36">
        <v>0.24099999999999999</v>
      </c>
      <c r="K8" s="36">
        <v>0</v>
      </c>
      <c r="L8" s="36">
        <v>0</v>
      </c>
      <c r="M8" s="36">
        <v>0</v>
      </c>
      <c r="N8" s="36"/>
      <c r="O8" s="36"/>
      <c r="P8" s="36"/>
      <c r="Q8" s="36"/>
      <c r="R8" s="36"/>
      <c r="S8" s="36"/>
      <c r="T8" s="36"/>
      <c r="U8" s="36"/>
      <c r="V8" s="36">
        <f>SUM(D8:U8)</f>
        <v>0.54099999999999993</v>
      </c>
    </row>
    <row r="9" spans="1:22" ht="15" customHeight="1" x14ac:dyDescent="0.25">
      <c r="A9" s="319"/>
      <c r="B9" s="322"/>
      <c r="C9" s="37" t="s">
        <v>84</v>
      </c>
      <c r="D9" s="38">
        <v>2.415</v>
      </c>
      <c r="E9" s="38">
        <v>0.3</v>
      </c>
      <c r="F9" s="38">
        <v>8.8000000000000007</v>
      </c>
      <c r="G9" s="38">
        <v>5.7858580000000002</v>
      </c>
      <c r="H9" s="38">
        <v>2.4704619999999999</v>
      </c>
      <c r="I9" s="38">
        <v>2</v>
      </c>
      <c r="J9" s="38">
        <v>1.982</v>
      </c>
      <c r="K9" s="38">
        <v>1.1457550000000001</v>
      </c>
      <c r="L9" s="38">
        <v>2</v>
      </c>
      <c r="M9" s="38">
        <v>3.640047</v>
      </c>
      <c r="N9" s="38">
        <v>10.384</v>
      </c>
      <c r="O9" s="38">
        <v>0</v>
      </c>
      <c r="P9" s="38">
        <v>1.0503709999999999</v>
      </c>
      <c r="Q9" s="38">
        <v>0.35879800000000001</v>
      </c>
      <c r="R9" s="38">
        <v>0.74204199999999998</v>
      </c>
      <c r="S9" s="38">
        <v>0.2</v>
      </c>
      <c r="T9" s="38"/>
      <c r="U9" s="38">
        <v>1.6</v>
      </c>
      <c r="V9" s="39"/>
    </row>
    <row r="10" spans="1:22" ht="15.75" thickBot="1" x14ac:dyDescent="0.3">
      <c r="A10" s="319"/>
      <c r="B10" s="322"/>
      <c r="C10" s="40" t="s">
        <v>85</v>
      </c>
      <c r="D10" s="41">
        <f>D9*0.8</f>
        <v>1.9320000000000002</v>
      </c>
      <c r="E10" s="41">
        <f t="shared" ref="E10:U10" si="0">E9*0.8</f>
        <v>0.24</v>
      </c>
      <c r="F10" s="41">
        <f t="shared" si="0"/>
        <v>7.0400000000000009</v>
      </c>
      <c r="G10" s="41">
        <f t="shared" si="0"/>
        <v>4.6286864000000003</v>
      </c>
      <c r="H10" s="41">
        <f t="shared" si="0"/>
        <v>1.9763695999999999</v>
      </c>
      <c r="I10" s="41">
        <f t="shared" si="0"/>
        <v>1.6</v>
      </c>
      <c r="J10" s="41">
        <f t="shared" si="0"/>
        <v>1.5856000000000001</v>
      </c>
      <c r="K10" s="41">
        <f t="shared" si="0"/>
        <v>0.91660400000000009</v>
      </c>
      <c r="L10" s="41">
        <f t="shared" si="0"/>
        <v>1.6</v>
      </c>
      <c r="M10" s="41">
        <f t="shared" si="0"/>
        <v>2.9120376000000001</v>
      </c>
      <c r="N10" s="41">
        <f t="shared" si="0"/>
        <v>8.3071999999999999</v>
      </c>
      <c r="O10" s="41">
        <f t="shared" si="0"/>
        <v>0</v>
      </c>
      <c r="P10" s="41">
        <f t="shared" si="0"/>
        <v>0.84029679999999995</v>
      </c>
      <c r="Q10" s="41">
        <f t="shared" si="0"/>
        <v>0.28703840000000003</v>
      </c>
      <c r="R10" s="41">
        <f t="shared" si="0"/>
        <v>0.59363359999999998</v>
      </c>
      <c r="S10" s="41">
        <f t="shared" si="0"/>
        <v>0.16000000000000003</v>
      </c>
      <c r="T10" s="41">
        <f t="shared" si="0"/>
        <v>0</v>
      </c>
      <c r="U10" s="41">
        <f t="shared" si="0"/>
        <v>1.2800000000000002</v>
      </c>
      <c r="V10" s="42"/>
    </row>
    <row r="11" spans="1:22" ht="15.75" thickBot="1" x14ac:dyDescent="0.3">
      <c r="A11" s="319"/>
      <c r="B11" s="323"/>
      <c r="C11" s="43" t="s">
        <v>86</v>
      </c>
      <c r="D11" s="33">
        <f>D10</f>
        <v>1.9320000000000002</v>
      </c>
      <c r="E11" s="33">
        <f t="shared" ref="E11:M11" si="1">E10</f>
        <v>0.24</v>
      </c>
      <c r="F11" s="33">
        <f t="shared" si="1"/>
        <v>7.0400000000000009</v>
      </c>
      <c r="G11" s="33">
        <f t="shared" si="1"/>
        <v>4.6286864000000003</v>
      </c>
      <c r="H11" s="33">
        <f t="shared" si="1"/>
        <v>1.9763695999999999</v>
      </c>
      <c r="I11" s="33">
        <f t="shared" si="1"/>
        <v>1.6</v>
      </c>
      <c r="J11" s="33">
        <f t="shared" si="1"/>
        <v>1.5856000000000001</v>
      </c>
      <c r="K11" s="33">
        <f t="shared" si="1"/>
        <v>0.91660400000000009</v>
      </c>
      <c r="L11" s="33">
        <f t="shared" si="1"/>
        <v>1.6</v>
      </c>
      <c r="M11" s="33">
        <f t="shared" si="1"/>
        <v>2.9120376000000001</v>
      </c>
      <c r="N11" s="33">
        <f>N10</f>
        <v>8.3071999999999999</v>
      </c>
      <c r="O11" s="33">
        <f t="shared" ref="O11:U11" si="2">O10</f>
        <v>0</v>
      </c>
      <c r="P11" s="33">
        <f t="shared" si="2"/>
        <v>0.84029679999999995</v>
      </c>
      <c r="Q11" s="33">
        <f t="shared" si="2"/>
        <v>0.28703840000000003</v>
      </c>
      <c r="R11" s="33">
        <f t="shared" si="2"/>
        <v>0.59363359999999998</v>
      </c>
      <c r="S11" s="33">
        <f t="shared" si="2"/>
        <v>0.16000000000000003</v>
      </c>
      <c r="T11" s="33">
        <f t="shared" si="2"/>
        <v>0</v>
      </c>
      <c r="U11" s="33">
        <f t="shared" si="2"/>
        <v>1.2800000000000002</v>
      </c>
      <c r="V11" s="34">
        <f>SUM(D11:U11)</f>
        <v>35.899466399999994</v>
      </c>
    </row>
    <row r="12" spans="1:22" x14ac:dyDescent="0.25">
      <c r="A12" s="319"/>
      <c r="B12" s="321" t="s">
        <v>87</v>
      </c>
      <c r="C12" s="37" t="s">
        <v>84</v>
      </c>
      <c r="D12" s="38">
        <v>2.562446</v>
      </c>
      <c r="E12" s="38">
        <v>0.75</v>
      </c>
      <c r="F12" s="38">
        <v>5.8609999999999998</v>
      </c>
      <c r="G12" s="38">
        <v>7</v>
      </c>
      <c r="H12" s="38">
        <v>2.4704619999999999</v>
      </c>
      <c r="I12" s="38">
        <v>2.6</v>
      </c>
      <c r="J12" s="38">
        <v>2.6989999999999998</v>
      </c>
      <c r="K12" s="38">
        <v>1.834106</v>
      </c>
      <c r="L12" s="38">
        <v>2</v>
      </c>
      <c r="M12" s="38">
        <v>5</v>
      </c>
      <c r="N12" s="38">
        <v>10.384</v>
      </c>
      <c r="O12" s="38">
        <v>5</v>
      </c>
      <c r="P12" s="38">
        <v>1.0503709999999999</v>
      </c>
      <c r="Q12" s="38"/>
      <c r="R12" s="38">
        <v>1.406755</v>
      </c>
      <c r="S12" s="38">
        <v>0.2</v>
      </c>
      <c r="T12" s="38"/>
      <c r="U12" s="38"/>
      <c r="V12" s="39"/>
    </row>
    <row r="13" spans="1:22" ht="15.75" thickBot="1" x14ac:dyDescent="0.3">
      <c r="A13" s="319"/>
      <c r="B13" s="322"/>
      <c r="C13" s="40" t="s">
        <v>85</v>
      </c>
      <c r="D13" s="41">
        <f>D12*0.8</f>
        <v>2.0499567999999999</v>
      </c>
      <c r="E13" s="41">
        <f t="shared" ref="E13:U13" si="3">E12*0.8</f>
        <v>0.60000000000000009</v>
      </c>
      <c r="F13" s="41">
        <f t="shared" si="3"/>
        <v>4.6887999999999996</v>
      </c>
      <c r="G13" s="38">
        <f t="shared" si="3"/>
        <v>5.6000000000000005</v>
      </c>
      <c r="H13" s="38">
        <f t="shared" si="3"/>
        <v>1.9763695999999999</v>
      </c>
      <c r="I13" s="38">
        <f t="shared" si="3"/>
        <v>2.08</v>
      </c>
      <c r="J13" s="38">
        <f t="shared" si="3"/>
        <v>2.1591999999999998</v>
      </c>
      <c r="K13" s="38">
        <f t="shared" si="3"/>
        <v>1.4672848000000001</v>
      </c>
      <c r="L13" s="41">
        <f t="shared" si="3"/>
        <v>1.6</v>
      </c>
      <c r="M13" s="41">
        <f t="shared" si="3"/>
        <v>4</v>
      </c>
      <c r="N13" s="41">
        <f t="shared" si="3"/>
        <v>8.3071999999999999</v>
      </c>
      <c r="O13" s="41">
        <f t="shared" si="3"/>
        <v>4</v>
      </c>
      <c r="P13" s="41">
        <f t="shared" si="3"/>
        <v>0.84029679999999995</v>
      </c>
      <c r="Q13" s="41">
        <f t="shared" si="3"/>
        <v>0</v>
      </c>
      <c r="R13" s="41">
        <f t="shared" si="3"/>
        <v>1.1254040000000001</v>
      </c>
      <c r="S13" s="41">
        <f t="shared" si="3"/>
        <v>0.16000000000000003</v>
      </c>
      <c r="T13" s="41">
        <f t="shared" si="3"/>
        <v>0</v>
      </c>
      <c r="U13" s="41">
        <f t="shared" si="3"/>
        <v>0</v>
      </c>
      <c r="V13" s="42"/>
    </row>
    <row r="14" spans="1:22" ht="15.75" thickBot="1" x14ac:dyDescent="0.3">
      <c r="A14" s="319"/>
      <c r="B14" s="322"/>
      <c r="C14" s="43" t="s">
        <v>86</v>
      </c>
      <c r="D14" s="33">
        <f>D13</f>
        <v>2.0499567999999999</v>
      </c>
      <c r="E14" s="33">
        <f t="shared" ref="E14:U14" si="4">E13</f>
        <v>0.60000000000000009</v>
      </c>
      <c r="F14" s="33">
        <f t="shared" si="4"/>
        <v>4.6887999999999996</v>
      </c>
      <c r="G14" s="33">
        <f t="shared" si="4"/>
        <v>5.6000000000000005</v>
      </c>
      <c r="H14" s="33">
        <f t="shared" si="4"/>
        <v>1.9763695999999999</v>
      </c>
      <c r="I14" s="33">
        <f t="shared" si="4"/>
        <v>2.08</v>
      </c>
      <c r="J14" s="33">
        <f t="shared" si="4"/>
        <v>2.1591999999999998</v>
      </c>
      <c r="K14" s="33">
        <f t="shared" si="4"/>
        <v>1.4672848000000001</v>
      </c>
      <c r="L14" s="33">
        <f t="shared" si="4"/>
        <v>1.6</v>
      </c>
      <c r="M14" s="33">
        <f t="shared" si="4"/>
        <v>4</v>
      </c>
      <c r="N14" s="33">
        <f t="shared" si="4"/>
        <v>8.3071999999999999</v>
      </c>
      <c r="O14" s="33">
        <f t="shared" si="4"/>
        <v>4</v>
      </c>
      <c r="P14" s="33">
        <f t="shared" si="4"/>
        <v>0.84029679999999995</v>
      </c>
      <c r="Q14" s="33">
        <f t="shared" si="4"/>
        <v>0</v>
      </c>
      <c r="R14" s="33">
        <f t="shared" si="4"/>
        <v>1.1254040000000001</v>
      </c>
      <c r="S14" s="33">
        <f t="shared" si="4"/>
        <v>0.16000000000000003</v>
      </c>
      <c r="T14" s="33">
        <f t="shared" si="4"/>
        <v>0</v>
      </c>
      <c r="U14" s="33">
        <f t="shared" si="4"/>
        <v>0</v>
      </c>
      <c r="V14" s="34">
        <f>SUM(D14:U14)</f>
        <v>40.654511999999997</v>
      </c>
    </row>
    <row r="15" spans="1:22" x14ac:dyDescent="0.25">
      <c r="A15" s="319"/>
      <c r="B15" s="321" t="s">
        <v>88</v>
      </c>
      <c r="C15" s="37" t="s">
        <v>84</v>
      </c>
      <c r="D15" s="38">
        <v>2.771468</v>
      </c>
      <c r="E15" s="38">
        <v>0.75</v>
      </c>
      <c r="F15" s="38">
        <v>5.8609999999999998</v>
      </c>
      <c r="G15" s="38">
        <v>7</v>
      </c>
      <c r="H15" s="38">
        <v>3</v>
      </c>
      <c r="I15" s="38">
        <v>2.6</v>
      </c>
      <c r="J15" s="38">
        <v>1.982</v>
      </c>
      <c r="K15" s="38">
        <v>1.1457550000000001</v>
      </c>
      <c r="L15" s="38">
        <v>2</v>
      </c>
      <c r="M15" s="38">
        <v>7</v>
      </c>
      <c r="N15" s="38">
        <v>10.384</v>
      </c>
      <c r="O15" s="38">
        <v>5</v>
      </c>
      <c r="P15" s="38">
        <v>1.0503709999999999</v>
      </c>
      <c r="Q15" s="38"/>
      <c r="R15" s="38">
        <v>0.72404199999999996</v>
      </c>
      <c r="S15" s="38">
        <v>0.2</v>
      </c>
      <c r="T15" s="38"/>
      <c r="U15" s="38"/>
      <c r="V15" s="39"/>
    </row>
    <row r="16" spans="1:22" ht="15.75" thickBot="1" x14ac:dyDescent="0.3">
      <c r="A16" s="319"/>
      <c r="B16" s="322"/>
      <c r="C16" s="40" t="s">
        <v>85</v>
      </c>
      <c r="D16" s="41">
        <f>D15*0.8</f>
        <v>2.2171744000000002</v>
      </c>
      <c r="E16" s="41">
        <f t="shared" ref="E16:U16" si="5">E15*0.8</f>
        <v>0.60000000000000009</v>
      </c>
      <c r="F16" s="41">
        <f t="shared" si="5"/>
        <v>4.6887999999999996</v>
      </c>
      <c r="G16" s="41">
        <f t="shared" si="5"/>
        <v>5.6000000000000005</v>
      </c>
      <c r="H16" s="41">
        <f t="shared" si="5"/>
        <v>2.4000000000000004</v>
      </c>
      <c r="I16" s="41">
        <f t="shared" si="5"/>
        <v>2.08</v>
      </c>
      <c r="J16" s="41">
        <f t="shared" si="5"/>
        <v>1.5856000000000001</v>
      </c>
      <c r="K16" s="41">
        <f t="shared" si="5"/>
        <v>0.91660400000000009</v>
      </c>
      <c r="L16" s="41">
        <f t="shared" si="5"/>
        <v>1.6</v>
      </c>
      <c r="M16" s="41">
        <f t="shared" si="5"/>
        <v>5.6000000000000005</v>
      </c>
      <c r="N16" s="41">
        <f t="shared" si="5"/>
        <v>8.3071999999999999</v>
      </c>
      <c r="O16" s="41">
        <f t="shared" si="5"/>
        <v>4</v>
      </c>
      <c r="P16" s="41">
        <f t="shared" si="5"/>
        <v>0.84029679999999995</v>
      </c>
      <c r="Q16" s="41">
        <f t="shared" si="5"/>
        <v>0</v>
      </c>
      <c r="R16" s="41">
        <f t="shared" si="5"/>
        <v>0.57923360000000002</v>
      </c>
      <c r="S16" s="41">
        <f t="shared" si="5"/>
        <v>0.16000000000000003</v>
      </c>
      <c r="T16" s="41">
        <f t="shared" si="5"/>
        <v>0</v>
      </c>
      <c r="U16" s="41">
        <f t="shared" si="5"/>
        <v>0</v>
      </c>
      <c r="V16" s="42"/>
    </row>
    <row r="17" spans="1:22" ht="15.75" thickBot="1" x14ac:dyDescent="0.3">
      <c r="A17" s="320"/>
      <c r="B17" s="323"/>
      <c r="C17" s="44" t="s">
        <v>86</v>
      </c>
      <c r="D17" s="45">
        <f>D16</f>
        <v>2.2171744000000002</v>
      </c>
      <c r="E17" s="45">
        <f t="shared" ref="E17:U17" si="6">E16</f>
        <v>0.60000000000000009</v>
      </c>
      <c r="F17" s="45">
        <f t="shared" si="6"/>
        <v>4.6887999999999996</v>
      </c>
      <c r="G17" s="45">
        <f t="shared" si="6"/>
        <v>5.6000000000000005</v>
      </c>
      <c r="H17" s="45">
        <f t="shared" si="6"/>
        <v>2.4000000000000004</v>
      </c>
      <c r="I17" s="45">
        <f t="shared" si="6"/>
        <v>2.08</v>
      </c>
      <c r="J17" s="45">
        <f t="shared" si="6"/>
        <v>1.5856000000000001</v>
      </c>
      <c r="K17" s="45">
        <f t="shared" si="6"/>
        <v>0.91660400000000009</v>
      </c>
      <c r="L17" s="45">
        <f t="shared" si="6"/>
        <v>1.6</v>
      </c>
      <c r="M17" s="45">
        <f t="shared" si="6"/>
        <v>5.6000000000000005</v>
      </c>
      <c r="N17" s="45">
        <f t="shared" si="6"/>
        <v>8.3071999999999999</v>
      </c>
      <c r="O17" s="45">
        <f t="shared" si="6"/>
        <v>4</v>
      </c>
      <c r="P17" s="45">
        <f t="shared" si="6"/>
        <v>0.84029679999999995</v>
      </c>
      <c r="Q17" s="45">
        <f t="shared" si="6"/>
        <v>0</v>
      </c>
      <c r="R17" s="45">
        <f t="shared" si="6"/>
        <v>0.57923360000000002</v>
      </c>
      <c r="S17" s="45">
        <f t="shared" si="6"/>
        <v>0.16000000000000003</v>
      </c>
      <c r="T17" s="45">
        <f t="shared" si="6"/>
        <v>0</v>
      </c>
      <c r="U17" s="45">
        <f t="shared" si="6"/>
        <v>0</v>
      </c>
      <c r="V17" s="46">
        <f>SUM(D17:U17)</f>
        <v>41.174908799999997</v>
      </c>
    </row>
    <row r="18" spans="1:22" ht="15.75" thickBot="1" x14ac:dyDescent="0.3">
      <c r="A18" s="25"/>
      <c r="B18" s="25"/>
      <c r="C18" s="47" t="s">
        <v>89</v>
      </c>
      <c r="D18" s="48">
        <f>D7+D11+D14+D17</f>
        <v>12.184647200000001</v>
      </c>
      <c r="E18" s="48">
        <f t="shared" ref="E18:U18" si="7">E7+E11+E14+E17</f>
        <v>2.1103900000000002</v>
      </c>
      <c r="F18" s="48">
        <f t="shared" si="7"/>
        <v>31.021799000000001</v>
      </c>
      <c r="G18" s="48">
        <f t="shared" si="7"/>
        <v>34.550122399999999</v>
      </c>
      <c r="H18" s="48">
        <f t="shared" si="7"/>
        <v>13.559378200000001</v>
      </c>
      <c r="I18" s="48">
        <f t="shared" si="7"/>
        <v>6.8047520000000006</v>
      </c>
      <c r="J18" s="48">
        <f t="shared" si="7"/>
        <v>8.9829829999999991</v>
      </c>
      <c r="K18" s="48">
        <f t="shared" si="7"/>
        <v>5.1681498000000001</v>
      </c>
      <c r="L18" s="48">
        <f t="shared" si="7"/>
        <v>11.608573999999999</v>
      </c>
      <c r="M18" s="48">
        <f t="shared" si="7"/>
        <v>16.269646600000002</v>
      </c>
      <c r="N18" s="48">
        <f>N7+N11+N14+N17</f>
        <v>33.100836000000001</v>
      </c>
      <c r="O18" s="48">
        <f>O7+O11+O14+O17</f>
        <v>8</v>
      </c>
      <c r="P18" s="48">
        <f t="shared" si="7"/>
        <v>2.5208903999999999</v>
      </c>
      <c r="Q18" s="48">
        <f t="shared" si="7"/>
        <v>0.28703840000000003</v>
      </c>
      <c r="R18" s="48">
        <f t="shared" si="7"/>
        <v>2.2982712000000003</v>
      </c>
      <c r="S18" s="48">
        <f t="shared" si="7"/>
        <v>0.48000000000000009</v>
      </c>
      <c r="T18" s="48">
        <f t="shared" si="7"/>
        <v>0</v>
      </c>
      <c r="U18" s="48">
        <f t="shared" si="7"/>
        <v>1.2800000000000002</v>
      </c>
      <c r="V18" s="48">
        <f>SUM(V7:V17)</f>
        <v>190.76847819999998</v>
      </c>
    </row>
    <row r="19" spans="1:22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2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3" spans="1:22" x14ac:dyDescent="0.25">
      <c r="D23" s="49"/>
    </row>
  </sheetData>
  <mergeCells count="4">
    <mergeCell ref="A7:A17"/>
    <mergeCell ref="B8:B11"/>
    <mergeCell ref="B12:B14"/>
    <mergeCell ref="B15:B17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opLeftCell="D15" workbookViewId="0"/>
  </sheetViews>
  <sheetFormatPr defaultColWidth="6.85546875" defaultRowHeight="12.75" x14ac:dyDescent="0.25"/>
  <cols>
    <col min="1" max="1" width="6.85546875" style="50"/>
    <col min="2" max="2" width="24" style="50" customWidth="1"/>
    <col min="3" max="3" width="21.42578125" style="50" customWidth="1"/>
    <col min="4" max="4" width="20.7109375" style="50" customWidth="1"/>
    <col min="5" max="5" width="4.85546875" style="50" bestFit="1" customWidth="1"/>
    <col min="6" max="6" width="8.42578125" style="50" bestFit="1" customWidth="1"/>
    <col min="7" max="7" width="7.140625" style="50" bestFit="1" customWidth="1"/>
    <col min="8" max="22" width="13.5703125" style="50" customWidth="1"/>
    <col min="23" max="23" width="12.5703125" style="51" customWidth="1"/>
    <col min="24" max="16384" width="6.85546875" style="50"/>
  </cols>
  <sheetData>
    <row r="1" spans="1:23" ht="13.5" thickBot="1" x14ac:dyDescent="0.3">
      <c r="A1" s="128"/>
      <c r="B1" s="127"/>
      <c r="C1" s="129"/>
      <c r="D1" s="129"/>
      <c r="E1" s="128"/>
      <c r="F1" s="12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6"/>
    </row>
    <row r="2" spans="1:23" ht="27.75" customHeight="1" thickBot="1" x14ac:dyDescent="0.3">
      <c r="A2" s="324" t="s">
        <v>132</v>
      </c>
      <c r="B2" s="325"/>
      <c r="C2" s="328" t="s">
        <v>131</v>
      </c>
      <c r="D2" s="342" t="s">
        <v>130</v>
      </c>
      <c r="E2" s="330" t="s">
        <v>129</v>
      </c>
      <c r="F2" s="331"/>
      <c r="G2" s="332"/>
      <c r="H2" s="124" t="s">
        <v>128</v>
      </c>
      <c r="I2" s="333" t="s">
        <v>127</v>
      </c>
      <c r="J2" s="334"/>
      <c r="K2" s="335"/>
      <c r="L2" s="333" t="s">
        <v>126</v>
      </c>
      <c r="M2" s="334"/>
      <c r="N2" s="336"/>
      <c r="O2" s="339" t="s">
        <v>125</v>
      </c>
      <c r="P2" s="340"/>
      <c r="Q2" s="335"/>
      <c r="R2" s="333" t="s">
        <v>124</v>
      </c>
      <c r="S2" s="334"/>
      <c r="T2" s="336"/>
      <c r="U2" s="341" t="s">
        <v>123</v>
      </c>
      <c r="V2" s="334"/>
      <c r="W2" s="337" t="s">
        <v>122</v>
      </c>
    </row>
    <row r="3" spans="1:23" ht="29.25" customHeight="1" thickBot="1" x14ac:dyDescent="0.3">
      <c r="A3" s="326"/>
      <c r="B3" s="327"/>
      <c r="C3" s="329"/>
      <c r="D3" s="343"/>
      <c r="E3" s="122" t="s">
        <v>2</v>
      </c>
      <c r="F3" s="121" t="s">
        <v>121</v>
      </c>
      <c r="G3" s="125" t="s">
        <v>78</v>
      </c>
      <c r="H3" s="124" t="s">
        <v>2</v>
      </c>
      <c r="I3" s="124" t="s">
        <v>2</v>
      </c>
      <c r="J3" s="121" t="s">
        <v>121</v>
      </c>
      <c r="K3" s="125" t="s">
        <v>78</v>
      </c>
      <c r="L3" s="124" t="s">
        <v>2</v>
      </c>
      <c r="M3" s="121" t="s">
        <v>121</v>
      </c>
      <c r="N3" s="123" t="s">
        <v>78</v>
      </c>
      <c r="O3" s="122" t="s">
        <v>2</v>
      </c>
      <c r="P3" s="121" t="s">
        <v>121</v>
      </c>
      <c r="Q3" s="125" t="s">
        <v>78</v>
      </c>
      <c r="R3" s="124" t="s">
        <v>2</v>
      </c>
      <c r="S3" s="121" t="s">
        <v>121</v>
      </c>
      <c r="T3" s="123" t="s">
        <v>78</v>
      </c>
      <c r="U3" s="122" t="s">
        <v>0</v>
      </c>
      <c r="V3" s="121" t="s">
        <v>1</v>
      </c>
      <c r="W3" s="338"/>
    </row>
    <row r="4" spans="1:23" ht="15" customHeight="1" x14ac:dyDescent="0.25">
      <c r="A4" s="120" t="s">
        <v>116</v>
      </c>
      <c r="B4" s="119" t="s">
        <v>25</v>
      </c>
      <c r="C4" s="91">
        <v>18199112.5</v>
      </c>
      <c r="D4" s="90">
        <v>5389987.2000000002</v>
      </c>
      <c r="E4" s="85"/>
      <c r="F4" s="84"/>
      <c r="G4" s="86">
        <f t="shared" ref="G4:G45" si="0">E4+F4</f>
        <v>0</v>
      </c>
      <c r="H4" s="89">
        <v>4014000</v>
      </c>
      <c r="I4" s="118"/>
      <c r="J4" s="117"/>
      <c r="K4" s="88">
        <f t="shared" ref="K4:K45" si="1">I4+J4</f>
        <v>0</v>
      </c>
      <c r="L4" s="87"/>
      <c r="M4" s="84"/>
      <c r="N4" s="86">
        <f t="shared" ref="N4:N45" si="2">L4+M4</f>
        <v>0</v>
      </c>
      <c r="O4" s="85"/>
      <c r="P4" s="84"/>
      <c r="Q4" s="88">
        <f>O4+P4</f>
        <v>0</v>
      </c>
      <c r="R4" s="87"/>
      <c r="S4" s="84"/>
      <c r="T4" s="86">
        <f t="shared" ref="T4:T25" si="3">R4+S4</f>
        <v>0</v>
      </c>
      <c r="U4" s="85"/>
      <c r="V4" s="84"/>
      <c r="W4" s="55">
        <f t="shared" ref="W4:W45" si="4">G4+K4+N4+Q4+T4+H4</f>
        <v>4014000</v>
      </c>
    </row>
    <row r="5" spans="1:23" ht="15" customHeight="1" x14ac:dyDescent="0.25">
      <c r="A5" s="80" t="s">
        <v>116</v>
      </c>
      <c r="B5" s="83" t="s">
        <v>26</v>
      </c>
      <c r="C5" s="82">
        <v>2935718</v>
      </c>
      <c r="D5" s="81">
        <v>2419226.4</v>
      </c>
      <c r="E5" s="72"/>
      <c r="F5" s="71"/>
      <c r="G5" s="86">
        <f t="shared" si="0"/>
        <v>0</v>
      </c>
      <c r="H5" s="76"/>
      <c r="I5" s="111"/>
      <c r="J5" s="110"/>
      <c r="K5" s="88">
        <f t="shared" si="1"/>
        <v>0</v>
      </c>
      <c r="L5" s="74">
        <v>2936000</v>
      </c>
      <c r="M5" s="71"/>
      <c r="N5" s="86">
        <f t="shared" si="2"/>
        <v>2936000</v>
      </c>
      <c r="O5" s="72"/>
      <c r="P5" s="71"/>
      <c r="Q5" s="88">
        <f>O5+P5</f>
        <v>0</v>
      </c>
      <c r="R5" s="74"/>
      <c r="S5" s="71"/>
      <c r="T5" s="86">
        <f t="shared" si="3"/>
        <v>0</v>
      </c>
      <c r="U5" s="72"/>
      <c r="V5" s="71"/>
      <c r="W5" s="55">
        <f t="shared" si="4"/>
        <v>2936000</v>
      </c>
    </row>
    <row r="6" spans="1:23" ht="15" customHeight="1" x14ac:dyDescent="0.25">
      <c r="A6" s="80" t="s">
        <v>116</v>
      </c>
      <c r="B6" s="83" t="s">
        <v>27</v>
      </c>
      <c r="C6" s="82"/>
      <c r="D6" s="81"/>
      <c r="E6" s="72"/>
      <c r="F6" s="71"/>
      <c r="G6" s="86">
        <f t="shared" si="0"/>
        <v>0</v>
      </c>
      <c r="H6" s="76">
        <v>800000</v>
      </c>
      <c r="I6" s="111"/>
      <c r="J6" s="110"/>
      <c r="K6" s="88">
        <f t="shared" si="1"/>
        <v>0</v>
      </c>
      <c r="L6" s="74"/>
      <c r="M6" s="71"/>
      <c r="N6" s="86">
        <f t="shared" si="2"/>
        <v>0</v>
      </c>
      <c r="O6" s="72"/>
      <c r="P6" s="71"/>
      <c r="Q6" s="88">
        <f>O6+P6</f>
        <v>0</v>
      </c>
      <c r="R6" s="74"/>
      <c r="S6" s="71"/>
      <c r="T6" s="86">
        <f t="shared" si="3"/>
        <v>0</v>
      </c>
      <c r="U6" s="72"/>
      <c r="V6" s="71"/>
      <c r="W6" s="55">
        <f t="shared" si="4"/>
        <v>800000</v>
      </c>
    </row>
    <row r="7" spans="1:23" ht="15" customHeight="1" x14ac:dyDescent="0.25">
      <c r="A7" s="80" t="s">
        <v>116</v>
      </c>
      <c r="B7" s="83" t="s">
        <v>28</v>
      </c>
      <c r="C7" s="82">
        <v>12986652.5</v>
      </c>
      <c r="D7" s="81">
        <v>15279927</v>
      </c>
      <c r="E7" s="72"/>
      <c r="F7" s="71"/>
      <c r="G7" s="86">
        <f t="shared" si="0"/>
        <v>0</v>
      </c>
      <c r="H7" s="76"/>
      <c r="I7" s="111"/>
      <c r="J7" s="110"/>
      <c r="K7" s="88">
        <f t="shared" si="1"/>
        <v>0</v>
      </c>
      <c r="L7" s="74"/>
      <c r="M7" s="71"/>
      <c r="N7" s="86">
        <f t="shared" si="2"/>
        <v>0</v>
      </c>
      <c r="O7" s="72"/>
      <c r="P7" s="71"/>
      <c r="Q7" s="75">
        <v>29929416</v>
      </c>
      <c r="R7" s="74"/>
      <c r="S7" s="71"/>
      <c r="T7" s="86">
        <f t="shared" si="3"/>
        <v>0</v>
      </c>
      <c r="U7" s="72"/>
      <c r="V7" s="71"/>
      <c r="W7" s="55">
        <f t="shared" si="4"/>
        <v>29929416</v>
      </c>
    </row>
    <row r="8" spans="1:23" ht="15" customHeight="1" x14ac:dyDescent="0.25">
      <c r="A8" s="80" t="s">
        <v>116</v>
      </c>
      <c r="B8" s="83" t="s">
        <v>16</v>
      </c>
      <c r="C8" s="82">
        <v>3600000</v>
      </c>
      <c r="D8" s="81">
        <v>5333000</v>
      </c>
      <c r="E8" s="72"/>
      <c r="F8" s="71"/>
      <c r="G8" s="86">
        <f t="shared" si="0"/>
        <v>0</v>
      </c>
      <c r="H8" s="76"/>
      <c r="I8" s="111"/>
      <c r="J8" s="110">
        <v>500000</v>
      </c>
      <c r="K8" s="88">
        <f t="shared" si="1"/>
        <v>500000</v>
      </c>
      <c r="L8" s="74"/>
      <c r="M8" s="71"/>
      <c r="N8" s="86">
        <f t="shared" si="2"/>
        <v>0</v>
      </c>
      <c r="O8" s="72"/>
      <c r="P8" s="71"/>
      <c r="Q8" s="75">
        <f t="shared" ref="Q8:Q30" si="5">O8+P8</f>
        <v>0</v>
      </c>
      <c r="R8" s="74"/>
      <c r="S8" s="71"/>
      <c r="T8" s="86">
        <f t="shared" si="3"/>
        <v>0</v>
      </c>
      <c r="U8" s="72"/>
      <c r="V8" s="71"/>
      <c r="W8" s="55">
        <f t="shared" si="4"/>
        <v>500000</v>
      </c>
    </row>
    <row r="9" spans="1:23" ht="15" customHeight="1" x14ac:dyDescent="0.25">
      <c r="A9" s="80" t="s">
        <v>116</v>
      </c>
      <c r="B9" s="83" t="s">
        <v>29</v>
      </c>
      <c r="C9" s="82">
        <v>10994350</v>
      </c>
      <c r="D9" s="81">
        <v>4719663.5999999987</v>
      </c>
      <c r="E9" s="72"/>
      <c r="F9" s="71"/>
      <c r="G9" s="86">
        <f t="shared" si="0"/>
        <v>0</v>
      </c>
      <c r="H9" s="76">
        <v>10998000</v>
      </c>
      <c r="I9" s="111"/>
      <c r="J9" s="110"/>
      <c r="K9" s="88">
        <f t="shared" si="1"/>
        <v>0</v>
      </c>
      <c r="L9" s="74"/>
      <c r="M9" s="71"/>
      <c r="N9" s="86">
        <f t="shared" si="2"/>
        <v>0</v>
      </c>
      <c r="O9" s="72"/>
      <c r="P9" s="71"/>
      <c r="Q9" s="75">
        <f t="shared" si="5"/>
        <v>0</v>
      </c>
      <c r="R9" s="74"/>
      <c r="S9" s="71"/>
      <c r="T9" s="86">
        <f t="shared" si="3"/>
        <v>0</v>
      </c>
      <c r="U9" s="72"/>
      <c r="V9" s="71"/>
      <c r="W9" s="55">
        <f t="shared" si="4"/>
        <v>10998000</v>
      </c>
    </row>
    <row r="10" spans="1:23" ht="15" customHeight="1" x14ac:dyDescent="0.25">
      <c r="A10" s="80" t="s">
        <v>116</v>
      </c>
      <c r="B10" s="83" t="s">
        <v>120</v>
      </c>
      <c r="C10" s="82">
        <v>1308312.5</v>
      </c>
      <c r="D10" s="81">
        <v>1185465</v>
      </c>
      <c r="E10" s="72"/>
      <c r="F10" s="71"/>
      <c r="G10" s="86">
        <f t="shared" si="0"/>
        <v>0</v>
      </c>
      <c r="H10" s="76">
        <v>1341000</v>
      </c>
      <c r="I10" s="116"/>
      <c r="J10" s="115"/>
      <c r="K10" s="88">
        <f t="shared" si="1"/>
        <v>0</v>
      </c>
      <c r="L10" s="74"/>
      <c r="M10" s="71"/>
      <c r="N10" s="86">
        <f t="shared" si="2"/>
        <v>0</v>
      </c>
      <c r="O10" s="72"/>
      <c r="P10" s="71"/>
      <c r="Q10" s="75">
        <f t="shared" si="5"/>
        <v>0</v>
      </c>
      <c r="R10" s="74"/>
      <c r="S10" s="71"/>
      <c r="T10" s="86">
        <f t="shared" si="3"/>
        <v>0</v>
      </c>
      <c r="U10" s="72"/>
      <c r="V10" s="71"/>
      <c r="W10" s="55">
        <f t="shared" si="4"/>
        <v>1341000</v>
      </c>
    </row>
    <row r="11" spans="1:23" ht="15" customHeight="1" x14ac:dyDescent="0.25">
      <c r="A11" s="80" t="s">
        <v>116</v>
      </c>
      <c r="B11" s="83" t="s">
        <v>31</v>
      </c>
      <c r="C11" s="82"/>
      <c r="D11" s="81"/>
      <c r="E11" s="72"/>
      <c r="F11" s="71"/>
      <c r="G11" s="86">
        <f t="shared" si="0"/>
        <v>0</v>
      </c>
      <c r="H11" s="76">
        <v>1481768</v>
      </c>
      <c r="I11" s="111"/>
      <c r="J11" s="110"/>
      <c r="K11" s="88">
        <f t="shared" si="1"/>
        <v>0</v>
      </c>
      <c r="L11" s="74"/>
      <c r="M11" s="71"/>
      <c r="N11" s="86">
        <f t="shared" si="2"/>
        <v>0</v>
      </c>
      <c r="O11" s="72"/>
      <c r="P11" s="71"/>
      <c r="Q11" s="75">
        <f t="shared" si="5"/>
        <v>0</v>
      </c>
      <c r="R11" s="74"/>
      <c r="S11" s="71"/>
      <c r="T11" s="86">
        <f t="shared" si="3"/>
        <v>0</v>
      </c>
      <c r="U11" s="72"/>
      <c r="V11" s="71"/>
      <c r="W11" s="55">
        <f t="shared" si="4"/>
        <v>1481768</v>
      </c>
    </row>
    <row r="12" spans="1:23" ht="15" customHeight="1" x14ac:dyDescent="0.25">
      <c r="A12" s="80" t="s">
        <v>116</v>
      </c>
      <c r="B12" s="83" t="s">
        <v>32</v>
      </c>
      <c r="C12" s="82"/>
      <c r="D12" s="81"/>
      <c r="E12" s="72"/>
      <c r="F12" s="71"/>
      <c r="G12" s="86">
        <f t="shared" si="0"/>
        <v>0</v>
      </c>
      <c r="H12" s="76">
        <v>147883</v>
      </c>
      <c r="I12" s="111"/>
      <c r="J12" s="110"/>
      <c r="K12" s="88">
        <f t="shared" si="1"/>
        <v>0</v>
      </c>
      <c r="L12" s="74"/>
      <c r="M12" s="71"/>
      <c r="N12" s="86">
        <f t="shared" si="2"/>
        <v>0</v>
      </c>
      <c r="O12" s="72"/>
      <c r="P12" s="71"/>
      <c r="Q12" s="75">
        <f t="shared" si="5"/>
        <v>0</v>
      </c>
      <c r="R12" s="74"/>
      <c r="S12" s="71"/>
      <c r="T12" s="86">
        <f t="shared" si="3"/>
        <v>0</v>
      </c>
      <c r="U12" s="72"/>
      <c r="V12" s="71"/>
      <c r="W12" s="55">
        <f t="shared" si="4"/>
        <v>147883</v>
      </c>
    </row>
    <row r="13" spans="1:23" ht="15" customHeight="1" x14ac:dyDescent="0.25">
      <c r="A13" s="80" t="s">
        <v>116</v>
      </c>
      <c r="B13" s="83" t="s">
        <v>119</v>
      </c>
      <c r="C13" s="82">
        <v>4865000</v>
      </c>
      <c r="D13" s="81">
        <v>1320000</v>
      </c>
      <c r="E13" s="72"/>
      <c r="F13" s="71"/>
      <c r="G13" s="86">
        <f t="shared" si="0"/>
        <v>0</v>
      </c>
      <c r="H13" s="76"/>
      <c r="I13" s="111"/>
      <c r="J13" s="110"/>
      <c r="K13" s="88">
        <f t="shared" si="1"/>
        <v>0</v>
      </c>
      <c r="L13" s="74"/>
      <c r="M13" s="71"/>
      <c r="N13" s="86">
        <f t="shared" si="2"/>
        <v>0</v>
      </c>
      <c r="O13" s="72"/>
      <c r="P13" s="71"/>
      <c r="Q13" s="75">
        <f t="shared" si="5"/>
        <v>0</v>
      </c>
      <c r="R13" s="74">
        <v>4300000</v>
      </c>
      <c r="S13" s="71"/>
      <c r="T13" s="86">
        <f t="shared" si="3"/>
        <v>4300000</v>
      </c>
      <c r="U13" s="72"/>
      <c r="V13" s="71"/>
      <c r="W13" s="55">
        <f t="shared" si="4"/>
        <v>4300000</v>
      </c>
    </row>
    <row r="14" spans="1:23" ht="15" customHeight="1" x14ac:dyDescent="0.25">
      <c r="A14" s="80" t="s">
        <v>116</v>
      </c>
      <c r="B14" s="79" t="s">
        <v>5</v>
      </c>
      <c r="C14" s="76">
        <v>43380000</v>
      </c>
      <c r="D14" s="77">
        <v>10097000</v>
      </c>
      <c r="E14" s="72"/>
      <c r="F14" s="71"/>
      <c r="G14" s="86">
        <f t="shared" si="0"/>
        <v>0</v>
      </c>
      <c r="H14" s="76">
        <v>25141070</v>
      </c>
      <c r="I14" s="111"/>
      <c r="J14" s="110"/>
      <c r="K14" s="88">
        <f t="shared" si="1"/>
        <v>0</v>
      </c>
      <c r="L14" s="74"/>
      <c r="M14" s="71"/>
      <c r="N14" s="86">
        <f t="shared" si="2"/>
        <v>0</v>
      </c>
      <c r="O14" s="72"/>
      <c r="P14" s="71"/>
      <c r="Q14" s="75">
        <f t="shared" si="5"/>
        <v>0</v>
      </c>
      <c r="R14" s="74"/>
      <c r="S14" s="71"/>
      <c r="T14" s="86">
        <f t="shared" si="3"/>
        <v>0</v>
      </c>
      <c r="U14" s="72"/>
      <c r="V14" s="71"/>
      <c r="W14" s="55">
        <f t="shared" si="4"/>
        <v>25141070</v>
      </c>
    </row>
    <row r="15" spans="1:23" ht="15" customHeight="1" x14ac:dyDescent="0.25">
      <c r="A15" s="80" t="s">
        <v>116</v>
      </c>
      <c r="B15" s="83" t="s">
        <v>34</v>
      </c>
      <c r="C15" s="82"/>
      <c r="D15" s="81"/>
      <c r="E15" s="72"/>
      <c r="F15" s="71"/>
      <c r="G15" s="86">
        <f t="shared" si="0"/>
        <v>0</v>
      </c>
      <c r="H15" s="76">
        <v>500000</v>
      </c>
      <c r="I15" s="111"/>
      <c r="J15" s="110"/>
      <c r="K15" s="88">
        <f t="shared" si="1"/>
        <v>0</v>
      </c>
      <c r="L15" s="74"/>
      <c r="M15" s="71"/>
      <c r="N15" s="86">
        <f t="shared" si="2"/>
        <v>0</v>
      </c>
      <c r="O15" s="72"/>
      <c r="P15" s="71"/>
      <c r="Q15" s="75">
        <f t="shared" si="5"/>
        <v>0</v>
      </c>
      <c r="R15" s="74"/>
      <c r="S15" s="71"/>
      <c r="T15" s="86">
        <f t="shared" si="3"/>
        <v>0</v>
      </c>
      <c r="U15" s="72"/>
      <c r="V15" s="71"/>
      <c r="W15" s="55">
        <f t="shared" si="4"/>
        <v>500000</v>
      </c>
    </row>
    <row r="16" spans="1:23" ht="15" customHeight="1" x14ac:dyDescent="0.25">
      <c r="A16" s="80" t="s">
        <v>116</v>
      </c>
      <c r="B16" s="83" t="s">
        <v>35</v>
      </c>
      <c r="C16" s="82"/>
      <c r="D16" s="81"/>
      <c r="E16" s="72"/>
      <c r="F16" s="71"/>
      <c r="G16" s="86">
        <f t="shared" si="0"/>
        <v>0</v>
      </c>
      <c r="H16" s="76">
        <v>1400000</v>
      </c>
      <c r="I16" s="111"/>
      <c r="J16" s="110"/>
      <c r="K16" s="88">
        <f t="shared" si="1"/>
        <v>0</v>
      </c>
      <c r="L16" s="74"/>
      <c r="M16" s="71"/>
      <c r="N16" s="86">
        <f t="shared" si="2"/>
        <v>0</v>
      </c>
      <c r="O16" s="72"/>
      <c r="P16" s="71"/>
      <c r="Q16" s="75">
        <f t="shared" si="5"/>
        <v>0</v>
      </c>
      <c r="R16" s="74"/>
      <c r="S16" s="71"/>
      <c r="T16" s="86">
        <f t="shared" si="3"/>
        <v>0</v>
      </c>
      <c r="U16" s="72"/>
      <c r="V16" s="71"/>
      <c r="W16" s="55">
        <f t="shared" si="4"/>
        <v>1400000</v>
      </c>
    </row>
    <row r="17" spans="1:23" ht="15" customHeight="1" x14ac:dyDescent="0.25">
      <c r="A17" s="80" t="s">
        <v>116</v>
      </c>
      <c r="B17" s="83" t="s">
        <v>6</v>
      </c>
      <c r="C17" s="82">
        <v>14463000</v>
      </c>
      <c r="D17" s="81">
        <v>31825000</v>
      </c>
      <c r="E17" s="72"/>
      <c r="F17" s="71"/>
      <c r="G17" s="86">
        <f t="shared" si="0"/>
        <v>0</v>
      </c>
      <c r="H17" s="114">
        <v>14463000</v>
      </c>
      <c r="I17" s="116"/>
      <c r="J17" s="115"/>
      <c r="K17" s="88">
        <f t="shared" si="1"/>
        <v>0</v>
      </c>
      <c r="L17" s="74"/>
      <c r="M17" s="71"/>
      <c r="N17" s="86">
        <f t="shared" si="2"/>
        <v>0</v>
      </c>
      <c r="O17" s="72"/>
      <c r="P17" s="71"/>
      <c r="Q17" s="75">
        <f t="shared" si="5"/>
        <v>0</v>
      </c>
      <c r="R17" s="74">
        <v>10300000</v>
      </c>
      <c r="S17" s="71"/>
      <c r="T17" s="86">
        <f t="shared" si="3"/>
        <v>10300000</v>
      </c>
      <c r="U17" s="72"/>
      <c r="V17" s="71"/>
      <c r="W17" s="55">
        <f t="shared" si="4"/>
        <v>24763000</v>
      </c>
    </row>
    <row r="18" spans="1:23" ht="15" customHeight="1" x14ac:dyDescent="0.25">
      <c r="A18" s="80" t="s">
        <v>116</v>
      </c>
      <c r="B18" s="83" t="s">
        <v>36</v>
      </c>
      <c r="C18" s="82"/>
      <c r="D18" s="81"/>
      <c r="E18" s="72"/>
      <c r="F18" s="71"/>
      <c r="G18" s="86">
        <f t="shared" si="0"/>
        <v>0</v>
      </c>
      <c r="H18" s="76"/>
      <c r="I18" s="111"/>
      <c r="J18" s="110"/>
      <c r="K18" s="88">
        <f t="shared" si="1"/>
        <v>0</v>
      </c>
      <c r="L18" s="74"/>
      <c r="M18" s="71"/>
      <c r="N18" s="86">
        <f t="shared" si="2"/>
        <v>0</v>
      </c>
      <c r="O18" s="72"/>
      <c r="P18" s="71"/>
      <c r="Q18" s="75">
        <f t="shared" si="5"/>
        <v>0</v>
      </c>
      <c r="R18" s="74"/>
      <c r="S18" s="71"/>
      <c r="T18" s="73">
        <f t="shared" si="3"/>
        <v>0</v>
      </c>
      <c r="U18" s="72"/>
      <c r="V18" s="71"/>
      <c r="W18" s="55">
        <f t="shared" si="4"/>
        <v>0</v>
      </c>
    </row>
    <row r="19" spans="1:23" ht="15" customHeight="1" x14ac:dyDescent="0.25">
      <c r="A19" s="80" t="s">
        <v>116</v>
      </c>
      <c r="B19" s="83" t="s">
        <v>37</v>
      </c>
      <c r="C19" s="82">
        <v>720000</v>
      </c>
      <c r="D19" s="81">
        <v>309000</v>
      </c>
      <c r="E19" s="72"/>
      <c r="F19" s="71"/>
      <c r="G19" s="86">
        <f t="shared" si="0"/>
        <v>0</v>
      </c>
      <c r="H19" s="76">
        <v>720000</v>
      </c>
      <c r="I19" s="111"/>
      <c r="J19" s="110"/>
      <c r="K19" s="88">
        <f t="shared" si="1"/>
        <v>0</v>
      </c>
      <c r="L19" s="74"/>
      <c r="M19" s="71"/>
      <c r="N19" s="86">
        <f t="shared" si="2"/>
        <v>0</v>
      </c>
      <c r="O19" s="72"/>
      <c r="P19" s="71"/>
      <c r="Q19" s="75">
        <f t="shared" si="5"/>
        <v>0</v>
      </c>
      <c r="R19" s="74"/>
      <c r="S19" s="71"/>
      <c r="T19" s="73">
        <f t="shared" si="3"/>
        <v>0</v>
      </c>
      <c r="U19" s="72"/>
      <c r="V19" s="71"/>
      <c r="W19" s="55">
        <f t="shared" si="4"/>
        <v>720000</v>
      </c>
    </row>
    <row r="20" spans="1:23" ht="15" customHeight="1" x14ac:dyDescent="0.25">
      <c r="A20" s="80" t="s">
        <v>116</v>
      </c>
      <c r="B20" s="83" t="s">
        <v>38</v>
      </c>
      <c r="C20" s="82">
        <v>17577000</v>
      </c>
      <c r="D20" s="81">
        <v>17420000</v>
      </c>
      <c r="E20" s="72"/>
      <c r="F20" s="71"/>
      <c r="G20" s="86">
        <f t="shared" si="0"/>
        <v>0</v>
      </c>
      <c r="H20" s="76">
        <v>17577000</v>
      </c>
      <c r="I20" s="111">
        <v>136000</v>
      </c>
      <c r="J20" s="110"/>
      <c r="K20" s="88">
        <f t="shared" si="1"/>
        <v>136000</v>
      </c>
      <c r="L20" s="74"/>
      <c r="M20" s="71"/>
      <c r="N20" s="86">
        <f t="shared" si="2"/>
        <v>0</v>
      </c>
      <c r="O20" s="72"/>
      <c r="P20" s="71"/>
      <c r="Q20" s="75">
        <f t="shared" si="5"/>
        <v>0</v>
      </c>
      <c r="R20" s="74"/>
      <c r="S20" s="71"/>
      <c r="T20" s="73">
        <f t="shared" si="3"/>
        <v>0</v>
      </c>
      <c r="U20" s="72"/>
      <c r="V20" s="71"/>
      <c r="W20" s="55">
        <f t="shared" si="4"/>
        <v>17713000</v>
      </c>
    </row>
    <row r="21" spans="1:23" ht="15" customHeight="1" x14ac:dyDescent="0.25">
      <c r="A21" s="80" t="s">
        <v>116</v>
      </c>
      <c r="B21" s="83" t="s">
        <v>39</v>
      </c>
      <c r="C21" s="82">
        <v>3153000</v>
      </c>
      <c r="D21" s="81">
        <v>6498000</v>
      </c>
      <c r="E21" s="72"/>
      <c r="F21" s="71"/>
      <c r="G21" s="86">
        <f t="shared" si="0"/>
        <v>0</v>
      </c>
      <c r="H21" s="76">
        <v>3159000</v>
      </c>
      <c r="I21" s="111"/>
      <c r="J21" s="110"/>
      <c r="K21" s="88">
        <f t="shared" si="1"/>
        <v>0</v>
      </c>
      <c r="L21" s="74">
        <v>2693000</v>
      </c>
      <c r="M21" s="71"/>
      <c r="N21" s="86">
        <f t="shared" si="2"/>
        <v>2693000</v>
      </c>
      <c r="O21" s="72"/>
      <c r="P21" s="71"/>
      <c r="Q21" s="75">
        <f t="shared" si="5"/>
        <v>0</v>
      </c>
      <c r="R21" s="74"/>
      <c r="S21" s="71"/>
      <c r="T21" s="73">
        <f t="shared" si="3"/>
        <v>0</v>
      </c>
      <c r="U21" s="72"/>
      <c r="V21" s="71"/>
      <c r="W21" s="55">
        <f t="shared" si="4"/>
        <v>5852000</v>
      </c>
    </row>
    <row r="22" spans="1:23" ht="15" customHeight="1" x14ac:dyDescent="0.25">
      <c r="A22" s="80" t="s">
        <v>116</v>
      </c>
      <c r="B22" s="83" t="s">
        <v>40</v>
      </c>
      <c r="C22" s="82"/>
      <c r="D22" s="81"/>
      <c r="E22" s="72"/>
      <c r="F22" s="71"/>
      <c r="G22" s="86">
        <f t="shared" si="0"/>
        <v>0</v>
      </c>
      <c r="H22" s="76">
        <v>864000</v>
      </c>
      <c r="I22" s="111"/>
      <c r="J22" s="110"/>
      <c r="K22" s="88">
        <f t="shared" si="1"/>
        <v>0</v>
      </c>
      <c r="L22" s="74"/>
      <c r="M22" s="71"/>
      <c r="N22" s="86">
        <f t="shared" si="2"/>
        <v>0</v>
      </c>
      <c r="O22" s="72"/>
      <c r="P22" s="71"/>
      <c r="Q22" s="75">
        <f t="shared" si="5"/>
        <v>0</v>
      </c>
      <c r="R22" s="74"/>
      <c r="S22" s="71"/>
      <c r="T22" s="73">
        <f t="shared" si="3"/>
        <v>0</v>
      </c>
      <c r="U22" s="72"/>
      <c r="V22" s="71"/>
      <c r="W22" s="55">
        <f t="shared" si="4"/>
        <v>864000</v>
      </c>
    </row>
    <row r="23" spans="1:23" ht="15" customHeight="1" x14ac:dyDescent="0.25">
      <c r="A23" s="80" t="s">
        <v>116</v>
      </c>
      <c r="B23" s="83" t="s">
        <v>41</v>
      </c>
      <c r="C23" s="82">
        <v>3951000</v>
      </c>
      <c r="D23" s="81">
        <v>2180000</v>
      </c>
      <c r="E23" s="72"/>
      <c r="F23" s="71"/>
      <c r="G23" s="86">
        <f t="shared" si="0"/>
        <v>0</v>
      </c>
      <c r="H23" s="76">
        <v>3465000</v>
      </c>
      <c r="I23" s="111"/>
      <c r="J23" s="110"/>
      <c r="K23" s="88">
        <f t="shared" si="1"/>
        <v>0</v>
      </c>
      <c r="L23" s="74"/>
      <c r="M23" s="71"/>
      <c r="N23" s="86">
        <f t="shared" si="2"/>
        <v>0</v>
      </c>
      <c r="O23" s="72"/>
      <c r="P23" s="71"/>
      <c r="Q23" s="75">
        <f t="shared" si="5"/>
        <v>0</v>
      </c>
      <c r="R23" s="74"/>
      <c r="S23" s="71"/>
      <c r="T23" s="73">
        <f t="shared" si="3"/>
        <v>0</v>
      </c>
      <c r="U23" s="72"/>
      <c r="V23" s="71"/>
      <c r="W23" s="55">
        <f t="shared" si="4"/>
        <v>3465000</v>
      </c>
    </row>
    <row r="24" spans="1:23" ht="15" customHeight="1" x14ac:dyDescent="0.25">
      <c r="A24" s="80" t="s">
        <v>116</v>
      </c>
      <c r="B24" s="83" t="s">
        <v>8</v>
      </c>
      <c r="C24" s="82">
        <v>1600000</v>
      </c>
      <c r="D24" s="81">
        <v>1922000</v>
      </c>
      <c r="E24" s="72"/>
      <c r="F24" s="71"/>
      <c r="G24" s="86">
        <f t="shared" si="0"/>
        <v>0</v>
      </c>
      <c r="H24" s="76"/>
      <c r="I24" s="111"/>
      <c r="J24" s="110"/>
      <c r="K24" s="88">
        <f t="shared" si="1"/>
        <v>0</v>
      </c>
      <c r="L24" s="74"/>
      <c r="M24" s="71"/>
      <c r="N24" s="86">
        <f t="shared" si="2"/>
        <v>0</v>
      </c>
      <c r="O24" s="72"/>
      <c r="P24" s="71"/>
      <c r="Q24" s="75">
        <f t="shared" si="5"/>
        <v>0</v>
      </c>
      <c r="R24" s="74">
        <v>750000</v>
      </c>
      <c r="S24" s="71"/>
      <c r="T24" s="73">
        <f t="shared" si="3"/>
        <v>750000</v>
      </c>
      <c r="U24" s="72"/>
      <c r="V24" s="71"/>
      <c r="W24" s="55">
        <f t="shared" si="4"/>
        <v>750000</v>
      </c>
    </row>
    <row r="25" spans="1:23" ht="15" customHeight="1" x14ac:dyDescent="0.25">
      <c r="A25" s="80" t="s">
        <v>116</v>
      </c>
      <c r="B25" s="83" t="s">
        <v>17</v>
      </c>
      <c r="C25" s="82">
        <v>3411000</v>
      </c>
      <c r="D25" s="81">
        <v>0</v>
      </c>
      <c r="E25" s="72"/>
      <c r="F25" s="71"/>
      <c r="G25" s="86">
        <f t="shared" si="0"/>
        <v>0</v>
      </c>
      <c r="H25" s="76">
        <v>3411000</v>
      </c>
      <c r="I25" s="111"/>
      <c r="J25" s="110"/>
      <c r="K25" s="88">
        <f t="shared" si="1"/>
        <v>0</v>
      </c>
      <c r="L25" s="74"/>
      <c r="M25" s="71"/>
      <c r="N25" s="86">
        <f t="shared" si="2"/>
        <v>0</v>
      </c>
      <c r="O25" s="72"/>
      <c r="P25" s="71"/>
      <c r="Q25" s="75">
        <f t="shared" si="5"/>
        <v>0</v>
      </c>
      <c r="R25" s="74"/>
      <c r="S25" s="71"/>
      <c r="T25" s="73">
        <f t="shared" si="3"/>
        <v>0</v>
      </c>
      <c r="U25" s="72"/>
      <c r="V25" s="71"/>
      <c r="W25" s="55">
        <f t="shared" si="4"/>
        <v>3411000</v>
      </c>
    </row>
    <row r="26" spans="1:23" ht="15" customHeight="1" x14ac:dyDescent="0.25">
      <c r="A26" s="80" t="s">
        <v>116</v>
      </c>
      <c r="B26" s="83" t="s">
        <v>9</v>
      </c>
      <c r="C26" s="82">
        <v>10952000</v>
      </c>
      <c r="D26" s="81">
        <v>12300000</v>
      </c>
      <c r="E26" s="72"/>
      <c r="F26" s="71"/>
      <c r="G26" s="86">
        <f t="shared" si="0"/>
        <v>0</v>
      </c>
      <c r="H26" s="114">
        <v>6804000</v>
      </c>
      <c r="I26" s="111">
        <v>4000000</v>
      </c>
      <c r="J26" s="110"/>
      <c r="K26" s="88">
        <f t="shared" si="1"/>
        <v>4000000</v>
      </c>
      <c r="L26" s="74"/>
      <c r="M26" s="71"/>
      <c r="N26" s="86">
        <f t="shared" si="2"/>
        <v>0</v>
      </c>
      <c r="O26" s="72"/>
      <c r="P26" s="71"/>
      <c r="Q26" s="75">
        <f t="shared" si="5"/>
        <v>0</v>
      </c>
      <c r="R26" s="74"/>
      <c r="S26" s="71"/>
      <c r="T26" s="113">
        <v>18000000</v>
      </c>
      <c r="U26" s="72"/>
      <c r="V26" s="71"/>
      <c r="W26" s="55">
        <f t="shared" si="4"/>
        <v>28804000</v>
      </c>
    </row>
    <row r="27" spans="1:23" ht="15" customHeight="1" x14ac:dyDescent="0.25">
      <c r="A27" s="80" t="s">
        <v>116</v>
      </c>
      <c r="B27" s="83" t="s">
        <v>42</v>
      </c>
      <c r="C27" s="82">
        <v>10844000</v>
      </c>
      <c r="D27" s="81">
        <v>0</v>
      </c>
      <c r="E27" s="72"/>
      <c r="F27" s="71"/>
      <c r="G27" s="86">
        <f t="shared" si="0"/>
        <v>0</v>
      </c>
      <c r="H27" s="76"/>
      <c r="I27" s="111"/>
      <c r="J27" s="110"/>
      <c r="K27" s="88">
        <f t="shared" si="1"/>
        <v>0</v>
      </c>
      <c r="L27" s="74">
        <v>9735000</v>
      </c>
      <c r="M27" s="71"/>
      <c r="N27" s="86">
        <f t="shared" si="2"/>
        <v>9735000</v>
      </c>
      <c r="O27" s="72"/>
      <c r="P27" s="71"/>
      <c r="Q27" s="75">
        <f t="shared" si="5"/>
        <v>0</v>
      </c>
      <c r="R27" s="74"/>
      <c r="S27" s="71"/>
      <c r="T27" s="73">
        <f t="shared" ref="T27:T45" si="6">R27+S27</f>
        <v>0</v>
      </c>
      <c r="U27" s="72"/>
      <c r="V27" s="71"/>
      <c r="W27" s="55">
        <f t="shared" si="4"/>
        <v>9735000</v>
      </c>
    </row>
    <row r="28" spans="1:23" ht="15" customHeight="1" x14ac:dyDescent="0.25">
      <c r="A28" s="80" t="s">
        <v>116</v>
      </c>
      <c r="B28" s="83" t="s">
        <v>18</v>
      </c>
      <c r="C28" s="82">
        <v>738000</v>
      </c>
      <c r="D28" s="81">
        <v>1193000</v>
      </c>
      <c r="E28" s="72"/>
      <c r="F28" s="71"/>
      <c r="G28" s="86">
        <f t="shared" si="0"/>
        <v>0</v>
      </c>
      <c r="H28" s="76">
        <v>738000</v>
      </c>
      <c r="I28" s="111">
        <v>2500</v>
      </c>
      <c r="J28" s="110"/>
      <c r="K28" s="88">
        <f t="shared" si="1"/>
        <v>2500</v>
      </c>
      <c r="L28" s="74"/>
      <c r="M28" s="71"/>
      <c r="N28" s="86">
        <f t="shared" si="2"/>
        <v>0</v>
      </c>
      <c r="O28" s="72"/>
      <c r="P28" s="71"/>
      <c r="Q28" s="75">
        <f t="shared" si="5"/>
        <v>0</v>
      </c>
      <c r="R28" s="74"/>
      <c r="S28" s="71"/>
      <c r="T28" s="73">
        <f t="shared" si="6"/>
        <v>0</v>
      </c>
      <c r="U28" s="72"/>
      <c r="V28" s="71"/>
      <c r="W28" s="55">
        <f t="shared" si="4"/>
        <v>740500</v>
      </c>
    </row>
    <row r="29" spans="1:23" ht="15" customHeight="1" x14ac:dyDescent="0.25">
      <c r="A29" s="80" t="s">
        <v>116</v>
      </c>
      <c r="B29" s="83" t="s">
        <v>10</v>
      </c>
      <c r="C29" s="82">
        <v>18144000</v>
      </c>
      <c r="D29" s="81">
        <v>24626000</v>
      </c>
      <c r="E29" s="72"/>
      <c r="F29" s="71"/>
      <c r="G29" s="86">
        <f t="shared" si="0"/>
        <v>0</v>
      </c>
      <c r="H29" s="76">
        <v>18144000</v>
      </c>
      <c r="I29" s="111"/>
      <c r="J29" s="110"/>
      <c r="K29" s="88">
        <f t="shared" si="1"/>
        <v>0</v>
      </c>
      <c r="L29" s="74"/>
      <c r="M29" s="71"/>
      <c r="N29" s="86">
        <f t="shared" si="2"/>
        <v>0</v>
      </c>
      <c r="O29" s="72"/>
      <c r="P29" s="71"/>
      <c r="Q29" s="75">
        <f t="shared" si="5"/>
        <v>0</v>
      </c>
      <c r="R29" s="74"/>
      <c r="S29" s="71"/>
      <c r="T29" s="73">
        <f t="shared" si="6"/>
        <v>0</v>
      </c>
      <c r="U29" s="72"/>
      <c r="V29" s="71"/>
      <c r="W29" s="55">
        <f t="shared" si="4"/>
        <v>18144000</v>
      </c>
    </row>
    <row r="30" spans="1:23" ht="15" customHeight="1" x14ac:dyDescent="0.25">
      <c r="A30" s="80" t="s">
        <v>116</v>
      </c>
      <c r="B30" s="83" t="s">
        <v>43</v>
      </c>
      <c r="C30" s="82"/>
      <c r="D30" s="81"/>
      <c r="E30" s="72"/>
      <c r="F30" s="71"/>
      <c r="G30" s="86">
        <f t="shared" si="0"/>
        <v>0</v>
      </c>
      <c r="H30" s="76">
        <v>400000</v>
      </c>
      <c r="I30" s="111"/>
      <c r="J30" s="110"/>
      <c r="K30" s="88">
        <f t="shared" si="1"/>
        <v>0</v>
      </c>
      <c r="L30" s="74"/>
      <c r="M30" s="71"/>
      <c r="N30" s="86">
        <f t="shared" si="2"/>
        <v>0</v>
      </c>
      <c r="O30" s="72"/>
      <c r="P30" s="71"/>
      <c r="Q30" s="75">
        <f t="shared" si="5"/>
        <v>0</v>
      </c>
      <c r="R30" s="74"/>
      <c r="S30" s="71"/>
      <c r="T30" s="73">
        <f t="shared" si="6"/>
        <v>0</v>
      </c>
      <c r="U30" s="72"/>
      <c r="V30" s="71"/>
      <c r="W30" s="55">
        <f t="shared" si="4"/>
        <v>400000</v>
      </c>
    </row>
    <row r="31" spans="1:23" ht="15" customHeight="1" x14ac:dyDescent="0.25">
      <c r="A31" s="80" t="s">
        <v>116</v>
      </c>
      <c r="B31" s="83" t="s">
        <v>44</v>
      </c>
      <c r="C31" s="82">
        <v>8780000</v>
      </c>
      <c r="D31" s="81">
        <v>13124000</v>
      </c>
      <c r="E31" s="72"/>
      <c r="F31" s="71"/>
      <c r="G31" s="86">
        <f t="shared" si="0"/>
        <v>0</v>
      </c>
      <c r="H31" s="76"/>
      <c r="I31" s="111"/>
      <c r="J31" s="110"/>
      <c r="K31" s="88">
        <f t="shared" si="1"/>
        <v>0</v>
      </c>
      <c r="L31" s="74"/>
      <c r="M31" s="71"/>
      <c r="N31" s="86">
        <f t="shared" si="2"/>
        <v>0</v>
      </c>
      <c r="O31" s="72"/>
      <c r="P31" s="71"/>
      <c r="Q31" s="112"/>
      <c r="R31" s="74">
        <v>5000000</v>
      </c>
      <c r="S31" s="71"/>
      <c r="T31" s="73">
        <f t="shared" si="6"/>
        <v>5000000</v>
      </c>
      <c r="U31" s="72"/>
      <c r="V31" s="71"/>
      <c r="W31" s="55">
        <f t="shared" si="4"/>
        <v>5000000</v>
      </c>
    </row>
    <row r="32" spans="1:23" ht="15" customHeight="1" x14ac:dyDescent="0.25">
      <c r="A32" s="80" t="s">
        <v>116</v>
      </c>
      <c r="B32" s="83" t="s">
        <v>19</v>
      </c>
      <c r="C32" s="82">
        <v>34110000</v>
      </c>
      <c r="D32" s="81">
        <v>23360000</v>
      </c>
      <c r="E32" s="72"/>
      <c r="F32" s="71"/>
      <c r="G32" s="86">
        <f t="shared" si="0"/>
        <v>0</v>
      </c>
      <c r="H32" s="76">
        <v>34110000</v>
      </c>
      <c r="I32" s="111"/>
      <c r="J32" s="110"/>
      <c r="K32" s="88">
        <f t="shared" si="1"/>
        <v>0</v>
      </c>
      <c r="L32" s="74"/>
      <c r="M32" s="71"/>
      <c r="N32" s="86">
        <f t="shared" si="2"/>
        <v>0</v>
      </c>
      <c r="O32" s="72"/>
      <c r="P32" s="71"/>
      <c r="Q32" s="75">
        <f>O32+P32</f>
        <v>0</v>
      </c>
      <c r="R32" s="74"/>
      <c r="S32" s="71"/>
      <c r="T32" s="73">
        <f t="shared" si="6"/>
        <v>0</v>
      </c>
      <c r="U32" s="72"/>
      <c r="V32" s="71"/>
      <c r="W32" s="55">
        <f t="shared" si="4"/>
        <v>34110000</v>
      </c>
    </row>
    <row r="33" spans="1:23" ht="15" customHeight="1" x14ac:dyDescent="0.25">
      <c r="A33" s="80" t="s">
        <v>116</v>
      </c>
      <c r="B33" s="83" t="s">
        <v>20</v>
      </c>
      <c r="C33" s="82">
        <v>963000</v>
      </c>
      <c r="D33" s="81">
        <v>2473000</v>
      </c>
      <c r="E33" s="72"/>
      <c r="F33" s="71"/>
      <c r="G33" s="86">
        <f t="shared" si="0"/>
        <v>0</v>
      </c>
      <c r="H33" s="76">
        <v>963000</v>
      </c>
      <c r="I33" s="111">
        <v>5000</v>
      </c>
      <c r="J33" s="110">
        <v>3000</v>
      </c>
      <c r="K33" s="88">
        <f t="shared" si="1"/>
        <v>8000</v>
      </c>
      <c r="L33" s="74"/>
      <c r="M33" s="71"/>
      <c r="N33" s="86">
        <f t="shared" si="2"/>
        <v>0</v>
      </c>
      <c r="O33" s="72"/>
      <c r="P33" s="71"/>
      <c r="Q33" s="75">
        <f>O33+P33</f>
        <v>0</v>
      </c>
      <c r="R33" s="74"/>
      <c r="S33" s="71"/>
      <c r="T33" s="73">
        <f t="shared" si="6"/>
        <v>0</v>
      </c>
      <c r="U33" s="72"/>
      <c r="V33" s="71"/>
      <c r="W33" s="55">
        <f t="shared" si="4"/>
        <v>971000</v>
      </c>
    </row>
    <row r="34" spans="1:23" ht="15" customHeight="1" x14ac:dyDescent="0.25">
      <c r="A34" s="80" t="s">
        <v>116</v>
      </c>
      <c r="B34" s="79" t="s">
        <v>45</v>
      </c>
      <c r="C34" s="78"/>
      <c r="D34" s="77"/>
      <c r="E34" s="72"/>
      <c r="F34" s="71"/>
      <c r="G34" s="86">
        <f t="shared" si="0"/>
        <v>0</v>
      </c>
      <c r="H34" s="76">
        <v>54000</v>
      </c>
      <c r="I34" s="111"/>
      <c r="J34" s="110"/>
      <c r="K34" s="88">
        <f t="shared" si="1"/>
        <v>0</v>
      </c>
      <c r="L34" s="74"/>
      <c r="M34" s="71"/>
      <c r="N34" s="86">
        <f t="shared" si="2"/>
        <v>0</v>
      </c>
      <c r="O34" s="72"/>
      <c r="P34" s="71"/>
      <c r="Q34" s="75">
        <f>O34+P34</f>
        <v>0</v>
      </c>
      <c r="R34" s="74"/>
      <c r="S34" s="71"/>
      <c r="T34" s="73">
        <f t="shared" si="6"/>
        <v>0</v>
      </c>
      <c r="U34" s="72"/>
      <c r="V34" s="71"/>
      <c r="W34" s="55">
        <f t="shared" si="4"/>
        <v>54000</v>
      </c>
    </row>
    <row r="35" spans="1:23" ht="15" customHeight="1" x14ac:dyDescent="0.25">
      <c r="A35" s="80" t="s">
        <v>116</v>
      </c>
      <c r="B35" s="83" t="s">
        <v>21</v>
      </c>
      <c r="C35" s="82">
        <v>1626000</v>
      </c>
      <c r="D35" s="81">
        <v>0</v>
      </c>
      <c r="E35" s="72"/>
      <c r="F35" s="71"/>
      <c r="G35" s="86">
        <f t="shared" si="0"/>
        <v>0</v>
      </c>
      <c r="H35" s="76">
        <v>1626000</v>
      </c>
      <c r="I35" s="111"/>
      <c r="J35" s="110"/>
      <c r="K35" s="88">
        <f t="shared" si="1"/>
        <v>0</v>
      </c>
      <c r="L35" s="74"/>
      <c r="M35" s="71"/>
      <c r="N35" s="86">
        <f t="shared" si="2"/>
        <v>0</v>
      </c>
      <c r="O35" s="72"/>
      <c r="P35" s="71"/>
      <c r="Q35" s="75">
        <f>O35+P35</f>
        <v>0</v>
      </c>
      <c r="R35" s="74"/>
      <c r="S35" s="71"/>
      <c r="T35" s="73">
        <f t="shared" si="6"/>
        <v>0</v>
      </c>
      <c r="U35" s="72"/>
      <c r="V35" s="71"/>
      <c r="W35" s="55">
        <f t="shared" si="4"/>
        <v>1626000</v>
      </c>
    </row>
    <row r="36" spans="1:23" ht="15" customHeight="1" x14ac:dyDescent="0.25">
      <c r="A36" s="80" t="s">
        <v>116</v>
      </c>
      <c r="B36" s="83" t="s">
        <v>46</v>
      </c>
      <c r="C36" s="82">
        <v>2336000</v>
      </c>
      <c r="D36" s="81">
        <v>3256000</v>
      </c>
      <c r="E36" s="72"/>
      <c r="F36" s="71"/>
      <c r="G36" s="86">
        <f t="shared" si="0"/>
        <v>0</v>
      </c>
      <c r="H36" s="76"/>
      <c r="I36" s="111"/>
      <c r="J36" s="110"/>
      <c r="K36" s="88">
        <f t="shared" si="1"/>
        <v>0</v>
      </c>
      <c r="L36" s="74"/>
      <c r="M36" s="71"/>
      <c r="N36" s="86">
        <f t="shared" si="2"/>
        <v>0</v>
      </c>
      <c r="O36" s="72"/>
      <c r="P36" s="71"/>
      <c r="Q36" s="75">
        <v>4929500</v>
      </c>
      <c r="R36" s="74"/>
      <c r="S36" s="71"/>
      <c r="T36" s="73">
        <f t="shared" si="6"/>
        <v>0</v>
      </c>
      <c r="U36" s="72"/>
      <c r="V36" s="71"/>
      <c r="W36" s="55">
        <f t="shared" si="4"/>
        <v>4929500</v>
      </c>
    </row>
    <row r="37" spans="1:23" ht="15" customHeight="1" x14ac:dyDescent="0.25">
      <c r="A37" s="80" t="s">
        <v>116</v>
      </c>
      <c r="B37" s="83" t="s">
        <v>47</v>
      </c>
      <c r="C37" s="82"/>
      <c r="D37" s="81"/>
      <c r="E37" s="72"/>
      <c r="F37" s="71"/>
      <c r="G37" s="86">
        <f t="shared" si="0"/>
        <v>0</v>
      </c>
      <c r="H37" s="76">
        <v>12000000</v>
      </c>
      <c r="I37" s="111"/>
      <c r="J37" s="110"/>
      <c r="K37" s="88">
        <f t="shared" si="1"/>
        <v>0</v>
      </c>
      <c r="L37" s="74"/>
      <c r="M37" s="71"/>
      <c r="N37" s="86">
        <f t="shared" si="2"/>
        <v>0</v>
      </c>
      <c r="O37" s="72"/>
      <c r="P37" s="71"/>
      <c r="Q37" s="75">
        <f>O37+P37</f>
        <v>0</v>
      </c>
      <c r="R37" s="74"/>
      <c r="S37" s="71"/>
      <c r="T37" s="73">
        <f t="shared" si="6"/>
        <v>0</v>
      </c>
      <c r="U37" s="72"/>
      <c r="V37" s="71"/>
      <c r="W37" s="55">
        <f t="shared" si="4"/>
        <v>12000000</v>
      </c>
    </row>
    <row r="38" spans="1:23" ht="15" customHeight="1" x14ac:dyDescent="0.25">
      <c r="A38" s="80" t="s">
        <v>116</v>
      </c>
      <c r="B38" s="83" t="s">
        <v>48</v>
      </c>
      <c r="C38" s="82">
        <v>720000</v>
      </c>
      <c r="D38" s="81">
        <v>1245000</v>
      </c>
      <c r="E38" s="72"/>
      <c r="F38" s="71"/>
      <c r="G38" s="86">
        <f t="shared" si="0"/>
        <v>0</v>
      </c>
      <c r="H38" s="76">
        <v>720000</v>
      </c>
      <c r="I38" s="111"/>
      <c r="J38" s="110"/>
      <c r="K38" s="88">
        <f t="shared" si="1"/>
        <v>0</v>
      </c>
      <c r="L38" s="74"/>
      <c r="M38" s="71"/>
      <c r="N38" s="86">
        <f t="shared" si="2"/>
        <v>0</v>
      </c>
      <c r="O38" s="72"/>
      <c r="P38" s="71"/>
      <c r="Q38" s="75">
        <f>O38+P38</f>
        <v>0</v>
      </c>
      <c r="R38" s="74"/>
      <c r="S38" s="71"/>
      <c r="T38" s="73">
        <f t="shared" si="6"/>
        <v>0</v>
      </c>
      <c r="U38" s="72"/>
      <c r="V38" s="71"/>
      <c r="W38" s="55">
        <f t="shared" si="4"/>
        <v>720000</v>
      </c>
    </row>
    <row r="39" spans="1:23" ht="15" customHeight="1" x14ac:dyDescent="0.25">
      <c r="A39" s="80" t="s">
        <v>116</v>
      </c>
      <c r="B39" s="83" t="s">
        <v>49</v>
      </c>
      <c r="C39" s="82">
        <v>594000</v>
      </c>
      <c r="D39" s="81">
        <v>257000</v>
      </c>
      <c r="E39" s="72"/>
      <c r="F39" s="71"/>
      <c r="G39" s="86">
        <f t="shared" si="0"/>
        <v>0</v>
      </c>
      <c r="H39" s="76">
        <v>594000</v>
      </c>
      <c r="I39" s="111"/>
      <c r="J39" s="110"/>
      <c r="K39" s="88">
        <f t="shared" si="1"/>
        <v>0</v>
      </c>
      <c r="L39" s="74"/>
      <c r="M39" s="71"/>
      <c r="N39" s="86">
        <f t="shared" si="2"/>
        <v>0</v>
      </c>
      <c r="O39" s="72"/>
      <c r="P39" s="71"/>
      <c r="Q39" s="75">
        <f>O39+P39</f>
        <v>0</v>
      </c>
      <c r="R39" s="74"/>
      <c r="S39" s="71"/>
      <c r="T39" s="73">
        <f t="shared" si="6"/>
        <v>0</v>
      </c>
      <c r="U39" s="72"/>
      <c r="V39" s="71"/>
      <c r="W39" s="55">
        <f t="shared" si="4"/>
        <v>594000</v>
      </c>
    </row>
    <row r="40" spans="1:23" ht="15" customHeight="1" x14ac:dyDescent="0.25">
      <c r="A40" s="80" t="s">
        <v>116</v>
      </c>
      <c r="B40" s="83" t="s">
        <v>50</v>
      </c>
      <c r="C40" s="82">
        <v>10662000</v>
      </c>
      <c r="D40" s="81">
        <v>8023000</v>
      </c>
      <c r="E40" s="72"/>
      <c r="F40" s="71"/>
      <c r="G40" s="86">
        <f t="shared" si="0"/>
        <v>0</v>
      </c>
      <c r="H40" s="76"/>
      <c r="I40" s="111"/>
      <c r="J40" s="110"/>
      <c r="K40" s="88">
        <f t="shared" si="1"/>
        <v>0</v>
      </c>
      <c r="L40" s="74"/>
      <c r="M40" s="71"/>
      <c r="N40" s="86">
        <f t="shared" si="2"/>
        <v>0</v>
      </c>
      <c r="O40" s="72"/>
      <c r="P40" s="71"/>
      <c r="Q40" s="112"/>
      <c r="R40" s="74"/>
      <c r="S40" s="71"/>
      <c r="T40" s="73">
        <f t="shared" si="6"/>
        <v>0</v>
      </c>
      <c r="U40" s="72"/>
      <c r="V40" s="71"/>
      <c r="W40" s="55">
        <f t="shared" si="4"/>
        <v>0</v>
      </c>
    </row>
    <row r="41" spans="1:23" ht="15" customHeight="1" x14ac:dyDescent="0.25">
      <c r="A41" s="80" t="s">
        <v>116</v>
      </c>
      <c r="B41" s="83" t="s">
        <v>13</v>
      </c>
      <c r="C41" s="82">
        <v>11906000</v>
      </c>
      <c r="D41" s="81">
        <v>17225000</v>
      </c>
      <c r="E41" s="72"/>
      <c r="F41" s="71"/>
      <c r="G41" s="86">
        <f t="shared" si="0"/>
        <v>0</v>
      </c>
      <c r="H41" s="76"/>
      <c r="I41" s="111"/>
      <c r="J41" s="110"/>
      <c r="K41" s="88">
        <f t="shared" si="1"/>
        <v>0</v>
      </c>
      <c r="L41" s="74">
        <v>12762000</v>
      </c>
      <c r="M41" s="71"/>
      <c r="N41" s="86">
        <f t="shared" si="2"/>
        <v>12762000</v>
      </c>
      <c r="O41" s="72"/>
      <c r="P41" s="71"/>
      <c r="Q41" s="75">
        <f>O41+P41</f>
        <v>0</v>
      </c>
      <c r="R41" s="72">
        <v>3000000</v>
      </c>
      <c r="S41" s="71"/>
      <c r="T41" s="73">
        <f t="shared" si="6"/>
        <v>3000000</v>
      </c>
      <c r="U41" s="72"/>
      <c r="V41" s="71"/>
      <c r="W41" s="55">
        <f t="shared" si="4"/>
        <v>15762000</v>
      </c>
    </row>
    <row r="42" spans="1:23" ht="15" customHeight="1" x14ac:dyDescent="0.25">
      <c r="A42" s="80" t="s">
        <v>116</v>
      </c>
      <c r="B42" s="83" t="s">
        <v>118</v>
      </c>
      <c r="C42" s="82">
        <v>12067000</v>
      </c>
      <c r="D42" s="81">
        <v>13202000</v>
      </c>
      <c r="E42" s="72"/>
      <c r="F42" s="71"/>
      <c r="G42" s="86">
        <f t="shared" si="0"/>
        <v>0</v>
      </c>
      <c r="H42" s="76"/>
      <c r="I42" s="111">
        <v>2000000</v>
      </c>
      <c r="J42" s="110">
        <v>2000000</v>
      </c>
      <c r="K42" s="88">
        <f t="shared" si="1"/>
        <v>4000000</v>
      </c>
      <c r="L42" s="74">
        <v>5238000</v>
      </c>
      <c r="M42" s="71"/>
      <c r="N42" s="86">
        <f t="shared" si="2"/>
        <v>5238000</v>
      </c>
      <c r="O42" s="72"/>
      <c r="P42" s="71"/>
      <c r="Q42" s="75">
        <f>O42+P42</f>
        <v>0</v>
      </c>
      <c r="R42" s="72">
        <v>6200000</v>
      </c>
      <c r="S42" s="71"/>
      <c r="T42" s="73">
        <f t="shared" si="6"/>
        <v>6200000</v>
      </c>
      <c r="U42" s="72"/>
      <c r="V42" s="71"/>
      <c r="W42" s="55">
        <f t="shared" si="4"/>
        <v>15438000</v>
      </c>
    </row>
    <row r="43" spans="1:23" ht="15" customHeight="1" x14ac:dyDescent="0.25">
      <c r="A43" s="80" t="s">
        <v>116</v>
      </c>
      <c r="B43" s="83" t="s">
        <v>117</v>
      </c>
      <c r="C43" s="82">
        <v>6600000</v>
      </c>
      <c r="D43" s="81"/>
      <c r="E43" s="72"/>
      <c r="F43" s="71"/>
      <c r="G43" s="86">
        <f t="shared" si="0"/>
        <v>0</v>
      </c>
      <c r="H43" s="76"/>
      <c r="I43" s="111"/>
      <c r="J43" s="110"/>
      <c r="K43" s="88">
        <f t="shared" si="1"/>
        <v>0</v>
      </c>
      <c r="L43" s="74"/>
      <c r="M43" s="71"/>
      <c r="N43" s="86">
        <f t="shared" si="2"/>
        <v>0</v>
      </c>
      <c r="O43" s="72"/>
      <c r="P43" s="71"/>
      <c r="Q43" s="75">
        <f>O43+P43</f>
        <v>0</v>
      </c>
      <c r="R43" s="74"/>
      <c r="S43" s="71"/>
      <c r="T43" s="73">
        <f t="shared" si="6"/>
        <v>0</v>
      </c>
      <c r="U43" s="72"/>
      <c r="V43" s="71"/>
      <c r="W43" s="55">
        <f t="shared" si="4"/>
        <v>0</v>
      </c>
    </row>
    <row r="44" spans="1:23" ht="15" customHeight="1" x14ac:dyDescent="0.25">
      <c r="A44" s="80" t="s">
        <v>116</v>
      </c>
      <c r="B44" s="83" t="s">
        <v>14</v>
      </c>
      <c r="C44" s="82">
        <v>10281000</v>
      </c>
      <c r="D44" s="81">
        <v>4712000</v>
      </c>
      <c r="E44" s="72"/>
      <c r="F44" s="71"/>
      <c r="G44" s="86">
        <f t="shared" si="0"/>
        <v>0</v>
      </c>
      <c r="H44" s="76"/>
      <c r="I44" s="111">
        <v>41000</v>
      </c>
      <c r="J44" s="110"/>
      <c r="K44" s="88">
        <f t="shared" si="1"/>
        <v>41000</v>
      </c>
      <c r="L44" s="74"/>
      <c r="M44" s="71"/>
      <c r="N44" s="86">
        <f t="shared" si="2"/>
        <v>0</v>
      </c>
      <c r="O44" s="72"/>
      <c r="P44" s="71"/>
      <c r="Q44" s="75">
        <f>O44+P44</f>
        <v>0</v>
      </c>
      <c r="R44" s="74">
        <v>5000000</v>
      </c>
      <c r="S44" s="71"/>
      <c r="T44" s="73">
        <f t="shared" si="6"/>
        <v>5000000</v>
      </c>
      <c r="U44" s="72"/>
      <c r="V44" s="71"/>
      <c r="W44" s="55">
        <f t="shared" si="4"/>
        <v>5041000</v>
      </c>
    </row>
    <row r="45" spans="1:23" ht="15" customHeight="1" thickBot="1" x14ac:dyDescent="0.3">
      <c r="A45" s="70" t="s">
        <v>116</v>
      </c>
      <c r="B45" s="69" t="s">
        <v>52</v>
      </c>
      <c r="C45" s="68">
        <v>11772000</v>
      </c>
      <c r="D45" s="67">
        <v>0</v>
      </c>
      <c r="E45" s="62"/>
      <c r="F45" s="61"/>
      <c r="G45" s="86">
        <f t="shared" si="0"/>
        <v>0</v>
      </c>
      <c r="H45" s="66">
        <v>11772000</v>
      </c>
      <c r="I45" s="109"/>
      <c r="J45" s="108"/>
      <c r="K45" s="88">
        <f t="shared" si="1"/>
        <v>0</v>
      </c>
      <c r="L45" s="64"/>
      <c r="M45" s="61"/>
      <c r="N45" s="86">
        <f t="shared" si="2"/>
        <v>0</v>
      </c>
      <c r="O45" s="62"/>
      <c r="P45" s="61"/>
      <c r="Q45" s="65">
        <f>O45+P45</f>
        <v>0</v>
      </c>
      <c r="R45" s="64"/>
      <c r="S45" s="61"/>
      <c r="T45" s="63">
        <f t="shared" si="6"/>
        <v>0</v>
      </c>
      <c r="U45" s="62"/>
      <c r="V45" s="61"/>
      <c r="W45" s="55">
        <f t="shared" si="4"/>
        <v>11772000</v>
      </c>
    </row>
    <row r="46" spans="1:23" ht="15" customHeight="1" thickBot="1" x14ac:dyDescent="0.3">
      <c r="A46" s="344" t="s">
        <v>115</v>
      </c>
      <c r="B46" s="345"/>
      <c r="C46" s="60">
        <f t="shared" ref="C46:W46" si="7">SUM(C4:C45)</f>
        <v>296239145.5</v>
      </c>
      <c r="D46" s="58">
        <f t="shared" si="7"/>
        <v>230894269.19999999</v>
      </c>
      <c r="E46" s="57">
        <f t="shared" si="7"/>
        <v>0</v>
      </c>
      <c r="F46" s="56">
        <f t="shared" si="7"/>
        <v>0</v>
      </c>
      <c r="G46" s="58">
        <f t="shared" si="7"/>
        <v>0</v>
      </c>
      <c r="H46" s="56">
        <f t="shared" si="7"/>
        <v>177407721</v>
      </c>
      <c r="I46" s="56">
        <f t="shared" si="7"/>
        <v>6184500</v>
      </c>
      <c r="J46" s="56">
        <f t="shared" si="7"/>
        <v>2503000</v>
      </c>
      <c r="K46" s="59">
        <f t="shared" si="7"/>
        <v>8687500</v>
      </c>
      <c r="L46" s="56">
        <f t="shared" si="7"/>
        <v>33364000</v>
      </c>
      <c r="M46" s="56">
        <f t="shared" si="7"/>
        <v>0</v>
      </c>
      <c r="N46" s="58">
        <f t="shared" si="7"/>
        <v>33364000</v>
      </c>
      <c r="O46" s="57">
        <f t="shared" si="7"/>
        <v>0</v>
      </c>
      <c r="P46" s="56">
        <f t="shared" si="7"/>
        <v>0</v>
      </c>
      <c r="Q46" s="59">
        <f t="shared" si="7"/>
        <v>34858916</v>
      </c>
      <c r="R46" s="56">
        <f t="shared" si="7"/>
        <v>34550000</v>
      </c>
      <c r="S46" s="56">
        <f t="shared" si="7"/>
        <v>0</v>
      </c>
      <c r="T46" s="58">
        <f t="shared" si="7"/>
        <v>52550000</v>
      </c>
      <c r="U46" s="57">
        <f t="shared" si="7"/>
        <v>0</v>
      </c>
      <c r="V46" s="56">
        <f t="shared" si="7"/>
        <v>0</v>
      </c>
      <c r="W46" s="59">
        <f t="shared" si="7"/>
        <v>306868137</v>
      </c>
    </row>
    <row r="47" spans="1:23" ht="15" customHeight="1" x14ac:dyDescent="0.25">
      <c r="A47" s="93" t="s">
        <v>111</v>
      </c>
      <c r="B47" s="92" t="s">
        <v>114</v>
      </c>
      <c r="C47" s="91"/>
      <c r="D47" s="90"/>
      <c r="E47" s="85"/>
      <c r="F47" s="84"/>
      <c r="G47" s="86">
        <f>E47+F47</f>
        <v>0</v>
      </c>
      <c r="H47" s="89"/>
      <c r="I47" s="87"/>
      <c r="J47" s="84"/>
      <c r="K47" s="88">
        <f>I47+J47</f>
        <v>0</v>
      </c>
      <c r="L47" s="87"/>
      <c r="M47" s="84"/>
      <c r="N47" s="86">
        <f>L47+M47</f>
        <v>0</v>
      </c>
      <c r="O47" s="85"/>
      <c r="P47" s="84"/>
      <c r="Q47" s="88">
        <f>O47+P47</f>
        <v>0</v>
      </c>
      <c r="R47" s="87"/>
      <c r="S47" s="84"/>
      <c r="T47" s="86">
        <f>R47+S47</f>
        <v>0</v>
      </c>
      <c r="U47" s="85"/>
      <c r="V47" s="84"/>
      <c r="W47" s="55">
        <f>G47+K47+N47+Q47+T47+H47</f>
        <v>0</v>
      </c>
    </row>
    <row r="48" spans="1:23" ht="15" customHeight="1" x14ac:dyDescent="0.25">
      <c r="A48" s="80" t="s">
        <v>111</v>
      </c>
      <c r="B48" s="83" t="s">
        <v>113</v>
      </c>
      <c r="C48" s="82"/>
      <c r="D48" s="81"/>
      <c r="E48" s="72"/>
      <c r="F48" s="71"/>
      <c r="G48" s="73">
        <f>E48+F48</f>
        <v>0</v>
      </c>
      <c r="H48" s="76"/>
      <c r="I48" s="74"/>
      <c r="J48" s="71"/>
      <c r="K48" s="75">
        <f>I48+J48</f>
        <v>0</v>
      </c>
      <c r="L48" s="74"/>
      <c r="M48" s="71"/>
      <c r="N48" s="73">
        <f>L48+M48</f>
        <v>0</v>
      </c>
      <c r="O48" s="72"/>
      <c r="P48" s="71"/>
      <c r="Q48" s="75">
        <f>O48+P48</f>
        <v>0</v>
      </c>
      <c r="R48" s="74"/>
      <c r="S48" s="71"/>
      <c r="T48" s="73">
        <f>R48+S48</f>
        <v>0</v>
      </c>
      <c r="U48" s="72"/>
      <c r="V48" s="71"/>
      <c r="W48" s="55">
        <f>G48+K48+N48+Q48+T48+H48</f>
        <v>0</v>
      </c>
    </row>
    <row r="49" spans="1:23" ht="15" customHeight="1" x14ac:dyDescent="0.25">
      <c r="A49" s="80" t="s">
        <v>111</v>
      </c>
      <c r="B49" s="83" t="s">
        <v>112</v>
      </c>
      <c r="C49" s="82"/>
      <c r="D49" s="81"/>
      <c r="E49" s="72"/>
      <c r="F49" s="71"/>
      <c r="G49" s="73">
        <f>E49+F49</f>
        <v>0</v>
      </c>
      <c r="H49" s="76">
        <v>1000</v>
      </c>
      <c r="I49" s="74"/>
      <c r="J49" s="71"/>
      <c r="K49" s="75">
        <f>I49+J49</f>
        <v>0</v>
      </c>
      <c r="L49" s="74"/>
      <c r="M49" s="71"/>
      <c r="N49" s="73">
        <f>L49+M49</f>
        <v>0</v>
      </c>
      <c r="O49" s="72"/>
      <c r="P49" s="71"/>
      <c r="Q49" s="75">
        <f>O49+P49</f>
        <v>0</v>
      </c>
      <c r="R49" s="74"/>
      <c r="S49" s="71"/>
      <c r="T49" s="73">
        <f>R49+S49</f>
        <v>0</v>
      </c>
      <c r="U49" s="72"/>
      <c r="V49" s="71"/>
      <c r="W49" s="55">
        <f>G49+K49+N49+Q49+T49+H49</f>
        <v>1000</v>
      </c>
    </row>
    <row r="50" spans="1:23" ht="15" customHeight="1" thickBot="1" x14ac:dyDescent="0.3">
      <c r="A50" s="70" t="s">
        <v>111</v>
      </c>
      <c r="B50" s="107" t="s">
        <v>110</v>
      </c>
      <c r="C50" s="106"/>
      <c r="D50" s="105"/>
      <c r="E50" s="62"/>
      <c r="F50" s="61"/>
      <c r="G50" s="63">
        <f>E50+F50</f>
        <v>0</v>
      </c>
      <c r="H50" s="66"/>
      <c r="I50" s="64"/>
      <c r="J50" s="61"/>
      <c r="K50" s="65">
        <f>I50+J50</f>
        <v>0</v>
      </c>
      <c r="L50" s="64"/>
      <c r="M50" s="61"/>
      <c r="N50" s="63">
        <f>L50+M50</f>
        <v>0</v>
      </c>
      <c r="O50" s="62"/>
      <c r="P50" s="61"/>
      <c r="Q50" s="65">
        <f>O50+P50</f>
        <v>0</v>
      </c>
      <c r="R50" s="64"/>
      <c r="S50" s="61"/>
      <c r="T50" s="63">
        <f>R50+S50</f>
        <v>0</v>
      </c>
      <c r="U50" s="62"/>
      <c r="V50" s="61"/>
      <c r="W50" s="55">
        <f>G50+K50+N50+Q50+T50+H50</f>
        <v>0</v>
      </c>
    </row>
    <row r="51" spans="1:23" ht="15" customHeight="1" thickBot="1" x14ac:dyDescent="0.3">
      <c r="A51" s="344" t="s">
        <v>109</v>
      </c>
      <c r="B51" s="345"/>
      <c r="C51" s="60">
        <f t="shared" ref="C51:W51" si="8">SUM(C47:C50)</f>
        <v>0</v>
      </c>
      <c r="D51" s="58">
        <f t="shared" si="8"/>
        <v>0</v>
      </c>
      <c r="E51" s="57">
        <f t="shared" si="8"/>
        <v>0</v>
      </c>
      <c r="F51" s="56">
        <f t="shared" si="8"/>
        <v>0</v>
      </c>
      <c r="G51" s="58">
        <f t="shared" si="8"/>
        <v>0</v>
      </c>
      <c r="H51" s="56">
        <f t="shared" si="8"/>
        <v>1000</v>
      </c>
      <c r="I51" s="56">
        <f t="shared" si="8"/>
        <v>0</v>
      </c>
      <c r="J51" s="56">
        <f t="shared" si="8"/>
        <v>0</v>
      </c>
      <c r="K51" s="58">
        <f t="shared" si="8"/>
        <v>0</v>
      </c>
      <c r="L51" s="57">
        <f t="shared" si="8"/>
        <v>0</v>
      </c>
      <c r="M51" s="56">
        <f t="shared" si="8"/>
        <v>0</v>
      </c>
      <c r="N51" s="59">
        <f t="shared" si="8"/>
        <v>0</v>
      </c>
      <c r="O51" s="56">
        <f t="shared" si="8"/>
        <v>0</v>
      </c>
      <c r="P51" s="56">
        <f t="shared" si="8"/>
        <v>0</v>
      </c>
      <c r="Q51" s="59">
        <f t="shared" si="8"/>
        <v>0</v>
      </c>
      <c r="R51" s="56">
        <f t="shared" si="8"/>
        <v>0</v>
      </c>
      <c r="S51" s="56">
        <f t="shared" si="8"/>
        <v>0</v>
      </c>
      <c r="T51" s="58">
        <f t="shared" si="8"/>
        <v>0</v>
      </c>
      <c r="U51" s="57">
        <f t="shared" si="8"/>
        <v>0</v>
      </c>
      <c r="V51" s="56">
        <f t="shared" si="8"/>
        <v>0</v>
      </c>
      <c r="W51" s="59">
        <f t="shared" si="8"/>
        <v>1000</v>
      </c>
    </row>
    <row r="52" spans="1:23" ht="15" customHeight="1" x14ac:dyDescent="0.25">
      <c r="A52" s="93" t="s">
        <v>101</v>
      </c>
      <c r="B52" s="92" t="s">
        <v>108</v>
      </c>
      <c r="C52" s="91"/>
      <c r="D52" s="90"/>
      <c r="E52" s="85"/>
      <c r="F52" s="84"/>
      <c r="G52" s="86">
        <f t="shared" ref="G52:G60" si="9">E52+F52</f>
        <v>0</v>
      </c>
      <c r="H52" s="89"/>
      <c r="I52" s="87"/>
      <c r="J52" s="84"/>
      <c r="K52" s="86">
        <f t="shared" ref="K52:K60" si="10">I52+J52</f>
        <v>0</v>
      </c>
      <c r="L52" s="85"/>
      <c r="M52" s="84"/>
      <c r="N52" s="88">
        <f t="shared" ref="N52:N60" si="11">L52+M52</f>
        <v>0</v>
      </c>
      <c r="O52" s="87"/>
      <c r="P52" s="84"/>
      <c r="Q52" s="88">
        <f t="shared" ref="Q52:Q60" si="12">O52+P52</f>
        <v>0</v>
      </c>
      <c r="R52" s="87"/>
      <c r="S52" s="84"/>
      <c r="T52" s="86">
        <f t="shared" ref="T52:T60" si="13">R52+S52</f>
        <v>0</v>
      </c>
      <c r="U52" s="85"/>
      <c r="V52" s="84"/>
      <c r="W52" s="55">
        <f t="shared" ref="W52:W60" si="14">G52+K52+N52+Q52+T52+H52</f>
        <v>0</v>
      </c>
    </row>
    <row r="53" spans="1:23" ht="15" customHeight="1" x14ac:dyDescent="0.25">
      <c r="A53" s="80" t="s">
        <v>101</v>
      </c>
      <c r="B53" s="83" t="s">
        <v>107</v>
      </c>
      <c r="C53" s="82"/>
      <c r="D53" s="81"/>
      <c r="E53" s="72"/>
      <c r="F53" s="71"/>
      <c r="G53" s="73">
        <f t="shared" si="9"/>
        <v>0</v>
      </c>
      <c r="H53" s="76">
        <v>5000</v>
      </c>
      <c r="I53" s="74"/>
      <c r="J53" s="71"/>
      <c r="K53" s="73">
        <f t="shared" si="10"/>
        <v>0</v>
      </c>
      <c r="L53" s="72"/>
      <c r="M53" s="71"/>
      <c r="N53" s="75">
        <f t="shared" si="11"/>
        <v>0</v>
      </c>
      <c r="O53" s="74"/>
      <c r="P53" s="71"/>
      <c r="Q53" s="75">
        <f t="shared" si="12"/>
        <v>0</v>
      </c>
      <c r="R53" s="74"/>
      <c r="S53" s="71"/>
      <c r="T53" s="73">
        <f t="shared" si="13"/>
        <v>0</v>
      </c>
      <c r="U53" s="72"/>
      <c r="V53" s="71"/>
      <c r="W53" s="55">
        <f t="shared" si="14"/>
        <v>5000</v>
      </c>
    </row>
    <row r="54" spans="1:23" ht="15" customHeight="1" x14ac:dyDescent="0.25">
      <c r="A54" s="80" t="s">
        <v>101</v>
      </c>
      <c r="B54" s="83" t="s">
        <v>106</v>
      </c>
      <c r="C54" s="82"/>
      <c r="D54" s="81"/>
      <c r="E54" s="72"/>
      <c r="F54" s="71"/>
      <c r="G54" s="73">
        <f t="shared" si="9"/>
        <v>0</v>
      </c>
      <c r="H54" s="76"/>
      <c r="I54" s="74"/>
      <c r="J54" s="71"/>
      <c r="K54" s="73">
        <f t="shared" si="10"/>
        <v>0</v>
      </c>
      <c r="L54" s="72"/>
      <c r="M54" s="71"/>
      <c r="N54" s="75">
        <f t="shared" si="11"/>
        <v>0</v>
      </c>
      <c r="O54" s="74"/>
      <c r="P54" s="71"/>
      <c r="Q54" s="75">
        <f t="shared" si="12"/>
        <v>0</v>
      </c>
      <c r="R54" s="74"/>
      <c r="S54" s="71"/>
      <c r="T54" s="73">
        <f t="shared" si="13"/>
        <v>0</v>
      </c>
      <c r="U54" s="72"/>
      <c r="V54" s="71"/>
      <c r="W54" s="55">
        <f t="shared" si="14"/>
        <v>0</v>
      </c>
    </row>
    <row r="55" spans="1:23" ht="15" customHeight="1" x14ac:dyDescent="0.25">
      <c r="A55" s="80" t="s">
        <v>101</v>
      </c>
      <c r="B55" s="83" t="s">
        <v>105</v>
      </c>
      <c r="C55" s="82"/>
      <c r="D55" s="81"/>
      <c r="E55" s="72"/>
      <c r="F55" s="71"/>
      <c r="G55" s="73">
        <f t="shared" si="9"/>
        <v>0</v>
      </c>
      <c r="H55" s="76"/>
      <c r="I55" s="74"/>
      <c r="J55" s="71"/>
      <c r="K55" s="73">
        <f t="shared" si="10"/>
        <v>0</v>
      </c>
      <c r="L55" s="72"/>
      <c r="M55" s="71"/>
      <c r="N55" s="75">
        <f t="shared" si="11"/>
        <v>0</v>
      </c>
      <c r="O55" s="74"/>
      <c r="P55" s="71"/>
      <c r="Q55" s="75">
        <f t="shared" si="12"/>
        <v>0</v>
      </c>
      <c r="R55" s="74"/>
      <c r="S55" s="71"/>
      <c r="T55" s="73">
        <f t="shared" si="13"/>
        <v>0</v>
      </c>
      <c r="U55" s="72"/>
      <c r="V55" s="71"/>
      <c r="W55" s="55">
        <f t="shared" si="14"/>
        <v>0</v>
      </c>
    </row>
    <row r="56" spans="1:23" ht="15" customHeight="1" x14ac:dyDescent="0.25">
      <c r="A56" s="80" t="s">
        <v>101</v>
      </c>
      <c r="B56" s="83" t="s">
        <v>104</v>
      </c>
      <c r="C56" s="82"/>
      <c r="D56" s="81"/>
      <c r="E56" s="72"/>
      <c r="F56" s="71"/>
      <c r="G56" s="73">
        <f t="shared" si="9"/>
        <v>0</v>
      </c>
      <c r="H56" s="76"/>
      <c r="I56" s="74"/>
      <c r="J56" s="71"/>
      <c r="K56" s="73">
        <f t="shared" si="10"/>
        <v>0</v>
      </c>
      <c r="L56" s="72"/>
      <c r="M56" s="71"/>
      <c r="N56" s="75">
        <f t="shared" si="11"/>
        <v>0</v>
      </c>
      <c r="O56" s="74"/>
      <c r="P56" s="71"/>
      <c r="Q56" s="75">
        <f t="shared" si="12"/>
        <v>0</v>
      </c>
      <c r="R56" s="74"/>
      <c r="S56" s="71"/>
      <c r="T56" s="73">
        <f t="shared" si="13"/>
        <v>0</v>
      </c>
      <c r="U56" s="72"/>
      <c r="V56" s="71"/>
      <c r="W56" s="55">
        <f t="shared" si="14"/>
        <v>0</v>
      </c>
    </row>
    <row r="57" spans="1:23" ht="15" customHeight="1" x14ac:dyDescent="0.25">
      <c r="A57" s="80" t="s">
        <v>101</v>
      </c>
      <c r="B57" s="83" t="s">
        <v>103</v>
      </c>
      <c r="C57" s="82"/>
      <c r="D57" s="81"/>
      <c r="E57" s="72"/>
      <c r="F57" s="71"/>
      <c r="G57" s="73">
        <f t="shared" si="9"/>
        <v>0</v>
      </c>
      <c r="H57" s="76"/>
      <c r="I57" s="74"/>
      <c r="J57" s="71"/>
      <c r="K57" s="73">
        <f t="shared" si="10"/>
        <v>0</v>
      </c>
      <c r="L57" s="72"/>
      <c r="M57" s="71"/>
      <c r="N57" s="75">
        <f t="shared" si="11"/>
        <v>0</v>
      </c>
      <c r="O57" s="74"/>
      <c r="P57" s="71"/>
      <c r="Q57" s="75">
        <f t="shared" si="12"/>
        <v>0</v>
      </c>
      <c r="R57" s="74"/>
      <c r="S57" s="71"/>
      <c r="T57" s="73">
        <f t="shared" si="13"/>
        <v>0</v>
      </c>
      <c r="U57" s="72"/>
      <c r="V57" s="71"/>
      <c r="W57" s="55">
        <f t="shared" si="14"/>
        <v>0</v>
      </c>
    </row>
    <row r="58" spans="1:23" ht="15" customHeight="1" x14ac:dyDescent="0.25">
      <c r="A58" s="80" t="s">
        <v>101</v>
      </c>
      <c r="B58" s="83" t="s">
        <v>102</v>
      </c>
      <c r="C58" s="82">
        <v>2205000</v>
      </c>
      <c r="D58" s="81">
        <v>4925000</v>
      </c>
      <c r="E58" s="72"/>
      <c r="F58" s="71"/>
      <c r="G58" s="73">
        <f t="shared" si="9"/>
        <v>0</v>
      </c>
      <c r="H58" s="76">
        <v>2205000</v>
      </c>
      <c r="I58" s="74"/>
      <c r="J58" s="71"/>
      <c r="K58" s="73">
        <f t="shared" si="10"/>
        <v>0</v>
      </c>
      <c r="L58" s="72"/>
      <c r="M58" s="71"/>
      <c r="N58" s="75">
        <f t="shared" si="11"/>
        <v>0</v>
      </c>
      <c r="O58" s="74"/>
      <c r="P58" s="71"/>
      <c r="Q58" s="75">
        <f t="shared" si="12"/>
        <v>0</v>
      </c>
      <c r="R58" s="74"/>
      <c r="S58" s="71"/>
      <c r="T58" s="73">
        <f t="shared" si="13"/>
        <v>0</v>
      </c>
      <c r="U58" s="72"/>
      <c r="V58" s="71"/>
      <c r="W58" s="55">
        <f t="shared" si="14"/>
        <v>2205000</v>
      </c>
    </row>
    <row r="59" spans="1:23" ht="15" customHeight="1" x14ac:dyDescent="0.25">
      <c r="A59" s="80" t="s">
        <v>101</v>
      </c>
      <c r="B59" s="83" t="s">
        <v>22</v>
      </c>
      <c r="C59" s="82">
        <v>17343000</v>
      </c>
      <c r="D59" s="81">
        <v>31309000</v>
      </c>
      <c r="E59" s="72"/>
      <c r="F59" s="71"/>
      <c r="G59" s="73">
        <f t="shared" si="9"/>
        <v>0</v>
      </c>
      <c r="H59" s="76">
        <v>17343000</v>
      </c>
      <c r="I59" s="74"/>
      <c r="J59" s="71"/>
      <c r="K59" s="73">
        <f t="shared" si="10"/>
        <v>0</v>
      </c>
      <c r="L59" s="72"/>
      <c r="M59" s="71"/>
      <c r="N59" s="75">
        <f t="shared" si="11"/>
        <v>0</v>
      </c>
      <c r="O59" s="74"/>
      <c r="P59" s="71"/>
      <c r="Q59" s="75">
        <f t="shared" si="12"/>
        <v>0</v>
      </c>
      <c r="R59" s="74"/>
      <c r="S59" s="71"/>
      <c r="T59" s="73">
        <f t="shared" si="13"/>
        <v>0</v>
      </c>
      <c r="U59" s="72"/>
      <c r="V59" s="71"/>
      <c r="W59" s="55">
        <f t="shared" si="14"/>
        <v>17343000</v>
      </c>
    </row>
    <row r="60" spans="1:23" ht="15" customHeight="1" thickBot="1" x14ac:dyDescent="0.3">
      <c r="A60" s="70" t="s">
        <v>101</v>
      </c>
      <c r="B60" s="69" t="s">
        <v>23</v>
      </c>
      <c r="C60" s="68"/>
      <c r="D60" s="67"/>
      <c r="E60" s="62"/>
      <c r="F60" s="61"/>
      <c r="G60" s="63">
        <f t="shared" si="9"/>
        <v>0</v>
      </c>
      <c r="H60" s="66"/>
      <c r="I60" s="64"/>
      <c r="J60" s="61"/>
      <c r="K60" s="63">
        <f t="shared" si="10"/>
        <v>0</v>
      </c>
      <c r="L60" s="62"/>
      <c r="M60" s="61"/>
      <c r="N60" s="65">
        <f t="shared" si="11"/>
        <v>0</v>
      </c>
      <c r="O60" s="64"/>
      <c r="P60" s="61"/>
      <c r="Q60" s="65">
        <f t="shared" si="12"/>
        <v>0</v>
      </c>
      <c r="R60" s="64"/>
      <c r="S60" s="61"/>
      <c r="T60" s="63">
        <f t="shared" si="13"/>
        <v>0</v>
      </c>
      <c r="U60" s="62"/>
      <c r="V60" s="61"/>
      <c r="W60" s="55">
        <f t="shared" si="14"/>
        <v>0</v>
      </c>
    </row>
    <row r="61" spans="1:23" ht="15" customHeight="1" thickBot="1" x14ac:dyDescent="0.3">
      <c r="A61" s="344" t="s">
        <v>100</v>
      </c>
      <c r="B61" s="345"/>
      <c r="C61" s="60">
        <f t="shared" ref="C61:W61" si="15">SUM(C52:C60)</f>
        <v>19548000</v>
      </c>
      <c r="D61" s="58">
        <f t="shared" si="15"/>
        <v>36234000</v>
      </c>
      <c r="E61" s="57">
        <f t="shared" si="15"/>
        <v>0</v>
      </c>
      <c r="F61" s="56">
        <f t="shared" si="15"/>
        <v>0</v>
      </c>
      <c r="G61" s="59">
        <f t="shared" si="15"/>
        <v>0</v>
      </c>
      <c r="H61" s="56">
        <f t="shared" si="15"/>
        <v>19553000</v>
      </c>
      <c r="I61" s="56">
        <f t="shared" si="15"/>
        <v>0</v>
      </c>
      <c r="J61" s="56">
        <f t="shared" si="15"/>
        <v>0</v>
      </c>
      <c r="K61" s="58">
        <f t="shared" si="15"/>
        <v>0</v>
      </c>
      <c r="L61" s="57">
        <f t="shared" si="15"/>
        <v>0</v>
      </c>
      <c r="M61" s="56">
        <f t="shared" si="15"/>
        <v>0</v>
      </c>
      <c r="N61" s="59">
        <f t="shared" si="15"/>
        <v>0</v>
      </c>
      <c r="O61" s="56">
        <f t="shared" si="15"/>
        <v>0</v>
      </c>
      <c r="P61" s="56">
        <f t="shared" si="15"/>
        <v>0</v>
      </c>
      <c r="Q61" s="58">
        <f t="shared" si="15"/>
        <v>0</v>
      </c>
      <c r="R61" s="57">
        <f t="shared" si="15"/>
        <v>0</v>
      </c>
      <c r="S61" s="56">
        <f t="shared" si="15"/>
        <v>0</v>
      </c>
      <c r="T61" s="59">
        <f t="shared" si="15"/>
        <v>0</v>
      </c>
      <c r="U61" s="57">
        <f t="shared" si="15"/>
        <v>0</v>
      </c>
      <c r="V61" s="56">
        <f t="shared" si="15"/>
        <v>0</v>
      </c>
      <c r="W61" s="59">
        <f t="shared" si="15"/>
        <v>19553000</v>
      </c>
    </row>
    <row r="62" spans="1:23" ht="15" customHeight="1" thickBot="1" x14ac:dyDescent="0.3">
      <c r="A62" s="104" t="s">
        <v>99</v>
      </c>
      <c r="B62" s="103" t="s">
        <v>98</v>
      </c>
      <c r="C62" s="102">
        <v>54000</v>
      </c>
      <c r="D62" s="101"/>
      <c r="E62" s="96"/>
      <c r="F62" s="95"/>
      <c r="G62" s="97">
        <f>E62+F62</f>
        <v>0</v>
      </c>
      <c r="H62" s="100">
        <v>54000</v>
      </c>
      <c r="I62" s="99"/>
      <c r="J62" s="95"/>
      <c r="K62" s="98">
        <f>I62+J62</f>
        <v>0</v>
      </c>
      <c r="L62" s="96"/>
      <c r="M62" s="95"/>
      <c r="N62" s="97">
        <f>L62+M62</f>
        <v>0</v>
      </c>
      <c r="O62" s="99"/>
      <c r="P62" s="95"/>
      <c r="Q62" s="98">
        <f>O62+P62</f>
        <v>0</v>
      </c>
      <c r="R62" s="96"/>
      <c r="S62" s="95"/>
      <c r="T62" s="97">
        <f>R62+S62</f>
        <v>0</v>
      </c>
      <c r="U62" s="96"/>
      <c r="V62" s="95"/>
      <c r="W62" s="55">
        <f>G62+K62+N62+Q62+T62+H62</f>
        <v>54000</v>
      </c>
    </row>
    <row r="63" spans="1:23" ht="15" customHeight="1" thickBot="1" x14ac:dyDescent="0.3">
      <c r="A63" s="344" t="s">
        <v>97</v>
      </c>
      <c r="B63" s="345"/>
      <c r="C63" s="60">
        <f t="shared" ref="C63:W63" si="16">C62</f>
        <v>54000</v>
      </c>
      <c r="D63" s="58">
        <f t="shared" si="16"/>
        <v>0</v>
      </c>
      <c r="E63" s="94">
        <f t="shared" si="16"/>
        <v>0</v>
      </c>
      <c r="F63" s="58">
        <f t="shared" si="16"/>
        <v>0</v>
      </c>
      <c r="G63" s="59">
        <f t="shared" si="16"/>
        <v>0</v>
      </c>
      <c r="H63" s="56">
        <f t="shared" si="16"/>
        <v>54000</v>
      </c>
      <c r="I63" s="58">
        <f t="shared" si="16"/>
        <v>0</v>
      </c>
      <c r="J63" s="58">
        <f t="shared" si="16"/>
        <v>0</v>
      </c>
      <c r="K63" s="58">
        <f t="shared" si="16"/>
        <v>0</v>
      </c>
      <c r="L63" s="94">
        <f t="shared" si="16"/>
        <v>0</v>
      </c>
      <c r="M63" s="58">
        <f t="shared" si="16"/>
        <v>0</v>
      </c>
      <c r="N63" s="59">
        <f t="shared" si="16"/>
        <v>0</v>
      </c>
      <c r="O63" s="58">
        <f t="shared" si="16"/>
        <v>0</v>
      </c>
      <c r="P63" s="58">
        <f t="shared" si="16"/>
        <v>0</v>
      </c>
      <c r="Q63" s="58">
        <f t="shared" si="16"/>
        <v>0</v>
      </c>
      <c r="R63" s="94">
        <f t="shared" si="16"/>
        <v>0</v>
      </c>
      <c r="S63" s="58">
        <f t="shared" si="16"/>
        <v>0</v>
      </c>
      <c r="T63" s="59">
        <f t="shared" si="16"/>
        <v>0</v>
      </c>
      <c r="U63" s="94">
        <f t="shared" si="16"/>
        <v>0</v>
      </c>
      <c r="V63" s="58">
        <f t="shared" si="16"/>
        <v>0</v>
      </c>
      <c r="W63" s="59">
        <f t="shared" si="16"/>
        <v>54000</v>
      </c>
    </row>
    <row r="64" spans="1:23" ht="15" customHeight="1" x14ac:dyDescent="0.25">
      <c r="A64" s="93" t="s">
        <v>93</v>
      </c>
      <c r="B64" s="92" t="s">
        <v>96</v>
      </c>
      <c r="C64" s="91">
        <v>99000</v>
      </c>
      <c r="D64" s="90"/>
      <c r="E64" s="85"/>
      <c r="F64" s="84"/>
      <c r="G64" s="88">
        <f>E64+F64</f>
        <v>0</v>
      </c>
      <c r="H64" s="89">
        <v>99000</v>
      </c>
      <c r="I64" s="87"/>
      <c r="J64" s="84"/>
      <c r="K64" s="86">
        <f>I64+J64</f>
        <v>0</v>
      </c>
      <c r="L64" s="85"/>
      <c r="M64" s="84"/>
      <c r="N64" s="88">
        <f>L64+M64</f>
        <v>0</v>
      </c>
      <c r="O64" s="87"/>
      <c r="P64" s="84"/>
      <c r="Q64" s="88">
        <f>O64+P64</f>
        <v>0</v>
      </c>
      <c r="R64" s="87"/>
      <c r="S64" s="84"/>
      <c r="T64" s="86">
        <f>R64+S64</f>
        <v>0</v>
      </c>
      <c r="U64" s="85"/>
      <c r="V64" s="84"/>
      <c r="W64" s="55">
        <f>G64+K64+N64+Q64+T64+H64</f>
        <v>99000</v>
      </c>
    </row>
    <row r="65" spans="1:23" ht="15" customHeight="1" x14ac:dyDescent="0.25">
      <c r="A65" s="80" t="s">
        <v>93</v>
      </c>
      <c r="B65" s="83" t="s">
        <v>95</v>
      </c>
      <c r="C65" s="82"/>
      <c r="D65" s="81"/>
      <c r="E65" s="72"/>
      <c r="F65" s="71"/>
      <c r="G65" s="75">
        <f>E65+F65</f>
        <v>0</v>
      </c>
      <c r="H65" s="76"/>
      <c r="I65" s="74"/>
      <c r="J65" s="71"/>
      <c r="K65" s="73">
        <f>I65+J65</f>
        <v>0</v>
      </c>
      <c r="L65" s="72"/>
      <c r="M65" s="71"/>
      <c r="N65" s="75">
        <f>L65+M65</f>
        <v>0</v>
      </c>
      <c r="O65" s="74"/>
      <c r="P65" s="71"/>
      <c r="Q65" s="75">
        <f>O65+P65</f>
        <v>0</v>
      </c>
      <c r="R65" s="74"/>
      <c r="S65" s="71"/>
      <c r="T65" s="73">
        <f>R65+S65</f>
        <v>0</v>
      </c>
      <c r="U65" s="72"/>
      <c r="V65" s="71"/>
      <c r="W65" s="55">
        <f>G65+K65+N65+Q65+T65+H65</f>
        <v>0</v>
      </c>
    </row>
    <row r="66" spans="1:23" ht="15" customHeight="1" x14ac:dyDescent="0.25">
      <c r="A66" s="80" t="s">
        <v>93</v>
      </c>
      <c r="B66" s="79" t="s">
        <v>94</v>
      </c>
      <c r="C66" s="78">
        <v>297000</v>
      </c>
      <c r="D66" s="77"/>
      <c r="E66" s="72"/>
      <c r="F66" s="71"/>
      <c r="G66" s="75">
        <f>E66+F66</f>
        <v>0</v>
      </c>
      <c r="H66" s="76">
        <v>297000</v>
      </c>
      <c r="I66" s="74"/>
      <c r="J66" s="71"/>
      <c r="K66" s="73">
        <f>I66+J66</f>
        <v>0</v>
      </c>
      <c r="L66" s="72"/>
      <c r="M66" s="71"/>
      <c r="N66" s="75">
        <f>L66+M66</f>
        <v>0</v>
      </c>
      <c r="O66" s="74"/>
      <c r="P66" s="71"/>
      <c r="Q66" s="75">
        <f>O66+P66</f>
        <v>0</v>
      </c>
      <c r="R66" s="74"/>
      <c r="S66" s="71"/>
      <c r="T66" s="73">
        <f>R66+S66</f>
        <v>0</v>
      </c>
      <c r="U66" s="72"/>
      <c r="V66" s="71"/>
      <c r="W66" s="55">
        <f>G66+K66+N66+Q66+T66+H66</f>
        <v>297000</v>
      </c>
    </row>
    <row r="67" spans="1:23" ht="15" customHeight="1" thickBot="1" x14ac:dyDescent="0.3">
      <c r="A67" s="70" t="s">
        <v>93</v>
      </c>
      <c r="B67" s="69" t="s">
        <v>92</v>
      </c>
      <c r="C67" s="68">
        <v>1215000</v>
      </c>
      <c r="D67" s="67"/>
      <c r="E67" s="62"/>
      <c r="F67" s="61"/>
      <c r="G67" s="65">
        <f>E67+F67</f>
        <v>0</v>
      </c>
      <c r="H67" s="66"/>
      <c r="I67" s="64"/>
      <c r="J67" s="61"/>
      <c r="K67" s="63">
        <f>I67+J67</f>
        <v>0</v>
      </c>
      <c r="L67" s="62"/>
      <c r="M67" s="61"/>
      <c r="N67" s="65">
        <f>L67+M67</f>
        <v>0</v>
      </c>
      <c r="O67" s="64"/>
      <c r="P67" s="61"/>
      <c r="Q67" s="65">
        <f>O67+P67</f>
        <v>0</v>
      </c>
      <c r="R67" s="64"/>
      <c r="S67" s="61"/>
      <c r="T67" s="63">
        <f>R67+S67</f>
        <v>0</v>
      </c>
      <c r="U67" s="62"/>
      <c r="V67" s="61"/>
      <c r="W67" s="55">
        <f>G67+K67+N67+Q67+T67+H67</f>
        <v>0</v>
      </c>
    </row>
    <row r="68" spans="1:23" ht="15" customHeight="1" thickBot="1" x14ac:dyDescent="0.3">
      <c r="A68" s="344" t="s">
        <v>91</v>
      </c>
      <c r="B68" s="345"/>
      <c r="C68" s="60">
        <f t="shared" ref="C68:V68" si="17">SUM(C64:C67)</f>
        <v>1611000</v>
      </c>
      <c r="D68" s="58">
        <f t="shared" si="17"/>
        <v>0</v>
      </c>
      <c r="E68" s="57">
        <f t="shared" si="17"/>
        <v>0</v>
      </c>
      <c r="F68" s="56">
        <f t="shared" si="17"/>
        <v>0</v>
      </c>
      <c r="G68" s="59">
        <f t="shared" si="17"/>
        <v>0</v>
      </c>
      <c r="H68" s="56">
        <f t="shared" si="17"/>
        <v>396000</v>
      </c>
      <c r="I68" s="56">
        <f t="shared" si="17"/>
        <v>0</v>
      </c>
      <c r="J68" s="56">
        <f t="shared" si="17"/>
        <v>0</v>
      </c>
      <c r="K68" s="58">
        <f t="shared" si="17"/>
        <v>0</v>
      </c>
      <c r="L68" s="57">
        <f t="shared" si="17"/>
        <v>0</v>
      </c>
      <c r="M68" s="56">
        <f t="shared" si="17"/>
        <v>0</v>
      </c>
      <c r="N68" s="59">
        <f t="shared" si="17"/>
        <v>0</v>
      </c>
      <c r="O68" s="56">
        <f t="shared" si="17"/>
        <v>0</v>
      </c>
      <c r="P68" s="56">
        <f t="shared" si="17"/>
        <v>0</v>
      </c>
      <c r="Q68" s="59">
        <f t="shared" si="17"/>
        <v>0</v>
      </c>
      <c r="R68" s="56">
        <f t="shared" si="17"/>
        <v>0</v>
      </c>
      <c r="S68" s="56">
        <f t="shared" si="17"/>
        <v>0</v>
      </c>
      <c r="T68" s="58">
        <f t="shared" si="17"/>
        <v>0</v>
      </c>
      <c r="U68" s="57">
        <f t="shared" si="17"/>
        <v>0</v>
      </c>
      <c r="V68" s="56">
        <f t="shared" si="17"/>
        <v>0</v>
      </c>
      <c r="W68" s="55">
        <f>G68+K68+N68+Q68+T68+H68</f>
        <v>396000</v>
      </c>
    </row>
    <row r="69" spans="1:23" ht="15" customHeight="1" thickBot="1" x14ac:dyDescent="0.3">
      <c r="A69" s="346" t="s">
        <v>90</v>
      </c>
      <c r="B69" s="347"/>
      <c r="C69" s="52">
        <f t="shared" ref="C69:W69" si="18">C46+C51+C61+C63+C68</f>
        <v>317452145.5</v>
      </c>
      <c r="D69" s="53">
        <f t="shared" si="18"/>
        <v>267128269.19999999</v>
      </c>
      <c r="E69" s="52">
        <f t="shared" si="18"/>
        <v>0</v>
      </c>
      <c r="F69" s="52">
        <f t="shared" si="18"/>
        <v>0</v>
      </c>
      <c r="G69" s="52">
        <f t="shared" si="18"/>
        <v>0</v>
      </c>
      <c r="H69" s="53">
        <f t="shared" si="18"/>
        <v>197411721</v>
      </c>
      <c r="I69" s="54">
        <f t="shared" si="18"/>
        <v>6184500</v>
      </c>
      <c r="J69" s="52">
        <f t="shared" si="18"/>
        <v>2503000</v>
      </c>
      <c r="K69" s="53">
        <f t="shared" si="18"/>
        <v>8687500</v>
      </c>
      <c r="L69" s="52">
        <f t="shared" si="18"/>
        <v>33364000</v>
      </c>
      <c r="M69" s="52">
        <f t="shared" si="18"/>
        <v>0</v>
      </c>
      <c r="N69" s="52">
        <f t="shared" si="18"/>
        <v>33364000</v>
      </c>
      <c r="O69" s="54">
        <f t="shared" si="18"/>
        <v>0</v>
      </c>
      <c r="P69" s="52">
        <f t="shared" si="18"/>
        <v>0</v>
      </c>
      <c r="Q69" s="52">
        <f t="shared" si="18"/>
        <v>34858916</v>
      </c>
      <c r="R69" s="54">
        <f t="shared" si="18"/>
        <v>34550000</v>
      </c>
      <c r="S69" s="52">
        <f t="shared" si="18"/>
        <v>0</v>
      </c>
      <c r="T69" s="53">
        <f t="shared" si="18"/>
        <v>52550000</v>
      </c>
      <c r="U69" s="52">
        <f t="shared" si="18"/>
        <v>0</v>
      </c>
      <c r="V69" s="52">
        <f t="shared" si="18"/>
        <v>0</v>
      </c>
      <c r="W69" s="52">
        <f t="shared" si="18"/>
        <v>326872137</v>
      </c>
    </row>
  </sheetData>
  <mergeCells count="16">
    <mergeCell ref="A63:B63"/>
    <mergeCell ref="A68:B68"/>
    <mergeCell ref="A69:B69"/>
    <mergeCell ref="A61:B61"/>
    <mergeCell ref="A46:B46"/>
    <mergeCell ref="A51:B51"/>
    <mergeCell ref="W2:W3"/>
    <mergeCell ref="O2:Q2"/>
    <mergeCell ref="R2:T2"/>
    <mergeCell ref="U2:V2"/>
    <mergeCell ref="D2:D3"/>
    <mergeCell ref="A2:B3"/>
    <mergeCell ref="C2:C3"/>
    <mergeCell ref="E2:G2"/>
    <mergeCell ref="I2:K2"/>
    <mergeCell ref="L2:N2"/>
  </mergeCells>
  <pageMargins left="0.7" right="0.7" top="0.75" bottom="0.75" header="0.3" footer="0.3"/>
  <pageSetup paperSize="8" scale="50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workbookViewId="0"/>
  </sheetViews>
  <sheetFormatPr defaultColWidth="6.85546875" defaultRowHeight="12.75" x14ac:dyDescent="0.25"/>
  <cols>
    <col min="1" max="1" width="6.85546875" style="50"/>
    <col min="2" max="2" width="24" style="50" customWidth="1"/>
    <col min="3" max="3" width="21.42578125" style="50" hidden="1" customWidth="1"/>
    <col min="4" max="4" width="20.7109375" style="50" hidden="1" customWidth="1"/>
    <col min="5" max="5" width="4.85546875" style="50" hidden="1" customWidth="1"/>
    <col min="6" max="6" width="8.42578125" style="50" hidden="1" customWidth="1"/>
    <col min="7" max="7" width="7.140625" style="50" hidden="1" customWidth="1"/>
    <col min="8" max="11" width="13.5703125" style="50" hidden="1" customWidth="1"/>
    <col min="12" max="22" width="13.5703125" style="50" customWidth="1"/>
    <col min="23" max="23" width="12.5703125" style="51" customWidth="1"/>
    <col min="24" max="16384" width="6.85546875" style="50"/>
  </cols>
  <sheetData>
    <row r="1" spans="1:23" ht="13.5" thickBot="1" x14ac:dyDescent="0.3">
      <c r="A1" s="128"/>
      <c r="B1" s="127"/>
      <c r="C1" s="129"/>
      <c r="D1" s="129"/>
      <c r="E1" s="128"/>
      <c r="F1" s="12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6"/>
    </row>
    <row r="2" spans="1:23" ht="27.75" customHeight="1" x14ac:dyDescent="0.25">
      <c r="A2" s="324" t="s">
        <v>132</v>
      </c>
      <c r="B2" s="325"/>
      <c r="C2" s="328" t="s">
        <v>131</v>
      </c>
      <c r="D2" s="342" t="s">
        <v>130</v>
      </c>
      <c r="E2" s="330" t="s">
        <v>129</v>
      </c>
      <c r="F2" s="331"/>
      <c r="G2" s="332"/>
      <c r="H2" s="130" t="s">
        <v>128</v>
      </c>
      <c r="I2" s="333" t="s">
        <v>127</v>
      </c>
      <c r="J2" s="334"/>
      <c r="K2" s="335"/>
      <c r="L2" s="333" t="s">
        <v>133</v>
      </c>
      <c r="M2" s="334"/>
      <c r="N2" s="336"/>
      <c r="O2" s="339" t="s">
        <v>134</v>
      </c>
      <c r="P2" s="340"/>
      <c r="Q2" s="335"/>
      <c r="R2" s="333" t="s">
        <v>135</v>
      </c>
      <c r="S2" s="334"/>
      <c r="T2" s="336"/>
      <c r="U2" s="341" t="s">
        <v>123</v>
      </c>
      <c r="V2" s="334"/>
      <c r="W2" s="337" t="s">
        <v>122</v>
      </c>
    </row>
    <row r="3" spans="1:23" ht="29.25" customHeight="1" thickBot="1" x14ac:dyDescent="0.3">
      <c r="A3" s="326"/>
      <c r="B3" s="327"/>
      <c r="C3" s="329"/>
      <c r="D3" s="343"/>
      <c r="E3" s="122" t="s">
        <v>2</v>
      </c>
      <c r="F3" s="121" t="s">
        <v>121</v>
      </c>
      <c r="G3" s="123" t="s">
        <v>78</v>
      </c>
      <c r="H3" s="131" t="s">
        <v>2</v>
      </c>
      <c r="I3" s="124" t="s">
        <v>2</v>
      </c>
      <c r="J3" s="121" t="s">
        <v>121</v>
      </c>
      <c r="K3" s="125" t="s">
        <v>78</v>
      </c>
      <c r="L3" s="124" t="s">
        <v>2</v>
      </c>
      <c r="M3" s="121" t="s">
        <v>121</v>
      </c>
      <c r="N3" s="123" t="s">
        <v>78</v>
      </c>
      <c r="O3" s="122" t="s">
        <v>2</v>
      </c>
      <c r="P3" s="121" t="s">
        <v>121</v>
      </c>
      <c r="Q3" s="125" t="s">
        <v>78</v>
      </c>
      <c r="R3" s="124" t="s">
        <v>2</v>
      </c>
      <c r="S3" s="121" t="s">
        <v>121</v>
      </c>
      <c r="T3" s="123" t="s">
        <v>78</v>
      </c>
      <c r="U3" s="122" t="s">
        <v>0</v>
      </c>
      <c r="V3" s="121" t="s">
        <v>1</v>
      </c>
      <c r="W3" s="338"/>
    </row>
    <row r="4" spans="1:23" ht="15" customHeight="1" x14ac:dyDescent="0.25">
      <c r="A4" s="120" t="s">
        <v>116</v>
      </c>
      <c r="B4" s="119" t="s">
        <v>25</v>
      </c>
      <c r="C4" s="91"/>
      <c r="D4" s="90"/>
      <c r="E4" s="85"/>
      <c r="F4" s="84"/>
      <c r="G4" s="86">
        <f>E4+F4</f>
        <v>0</v>
      </c>
      <c r="H4" s="89">
        <v>9000000</v>
      </c>
      <c r="I4" s="118"/>
      <c r="J4" s="117"/>
      <c r="K4" s="88">
        <f>I4+J4</f>
        <v>0</v>
      </c>
      <c r="L4" s="87"/>
      <c r="M4" s="84"/>
      <c r="N4" s="86">
        <f>L4+M4</f>
        <v>0</v>
      </c>
      <c r="O4" s="85"/>
      <c r="P4" s="84"/>
      <c r="Q4" s="88">
        <f>O4+P4</f>
        <v>0</v>
      </c>
      <c r="R4" s="87"/>
      <c r="S4" s="84"/>
      <c r="T4" s="86">
        <f>R4+S4</f>
        <v>0</v>
      </c>
      <c r="U4" s="85"/>
      <c r="V4" s="84"/>
      <c r="W4" s="55">
        <f>G4+K4+N4+Q4+T4+H4</f>
        <v>9000000</v>
      </c>
    </row>
    <row r="5" spans="1:23" ht="15" customHeight="1" x14ac:dyDescent="0.25">
      <c r="A5" s="80" t="s">
        <v>116</v>
      </c>
      <c r="B5" s="83" t="s">
        <v>26</v>
      </c>
      <c r="C5" s="82"/>
      <c r="D5" s="81"/>
      <c r="E5" s="72"/>
      <c r="F5" s="71"/>
      <c r="G5" s="86">
        <f t="shared" ref="G5:G67" si="0">E5+F5</f>
        <v>0</v>
      </c>
      <c r="H5" s="114"/>
      <c r="I5" s="111"/>
      <c r="J5" s="110"/>
      <c r="K5" s="88">
        <f t="shared" ref="K5:K67" si="1">I5+J5</f>
        <v>0</v>
      </c>
      <c r="L5" s="74"/>
      <c r="M5" s="71"/>
      <c r="N5" s="132">
        <v>595000</v>
      </c>
      <c r="O5" s="72"/>
      <c r="P5" s="71"/>
      <c r="Q5" s="88">
        <f t="shared" ref="Q5:Q67" si="2">O5+P5</f>
        <v>0</v>
      </c>
      <c r="R5" s="74"/>
      <c r="S5" s="71"/>
      <c r="T5" s="86">
        <f t="shared" ref="T5:T67" si="3">R5+S5</f>
        <v>0</v>
      </c>
      <c r="U5" s="72"/>
      <c r="V5" s="71"/>
      <c r="W5" s="55">
        <f t="shared" ref="W5:W29" si="4">G5+K5+N5+Q5+T5+H5</f>
        <v>595000</v>
      </c>
    </row>
    <row r="6" spans="1:23" ht="15" customHeight="1" x14ac:dyDescent="0.25">
      <c r="A6" s="80" t="s">
        <v>116</v>
      </c>
      <c r="B6" s="83" t="s">
        <v>27</v>
      </c>
      <c r="C6" s="82"/>
      <c r="D6" s="81"/>
      <c r="E6" s="72"/>
      <c r="F6" s="71"/>
      <c r="G6" s="86">
        <f t="shared" si="0"/>
        <v>0</v>
      </c>
      <c r="H6" s="76">
        <v>800000</v>
      </c>
      <c r="I6" s="111"/>
      <c r="J6" s="110"/>
      <c r="K6" s="88">
        <f t="shared" si="1"/>
        <v>0</v>
      </c>
      <c r="L6" s="74"/>
      <c r="M6" s="71"/>
      <c r="N6" s="86">
        <f t="shared" ref="N6:N67" si="5">L6+M6</f>
        <v>0</v>
      </c>
      <c r="O6" s="72"/>
      <c r="P6" s="71"/>
      <c r="Q6" s="88">
        <f t="shared" si="2"/>
        <v>0</v>
      </c>
      <c r="R6" s="74"/>
      <c r="S6" s="71"/>
      <c r="T6" s="86">
        <f t="shared" si="3"/>
        <v>0</v>
      </c>
      <c r="U6" s="72"/>
      <c r="V6" s="71"/>
      <c r="W6" s="55">
        <f t="shared" si="4"/>
        <v>800000</v>
      </c>
    </row>
    <row r="7" spans="1:23" ht="15" customHeight="1" x14ac:dyDescent="0.25">
      <c r="A7" s="80" t="s">
        <v>116</v>
      </c>
      <c r="B7" s="83" t="s">
        <v>28</v>
      </c>
      <c r="C7" s="82"/>
      <c r="D7" s="81"/>
      <c r="E7" s="72"/>
      <c r="F7" s="71"/>
      <c r="G7" s="86">
        <f t="shared" si="0"/>
        <v>0</v>
      </c>
      <c r="H7" s="76"/>
      <c r="I7" s="111"/>
      <c r="J7" s="110"/>
      <c r="K7" s="88">
        <f t="shared" si="1"/>
        <v>0</v>
      </c>
      <c r="L7" s="74"/>
      <c r="M7" s="71"/>
      <c r="N7" s="86">
        <f t="shared" si="5"/>
        <v>0</v>
      </c>
      <c r="O7" s="72"/>
      <c r="P7" s="71"/>
      <c r="Q7" s="133">
        <v>9000000</v>
      </c>
      <c r="R7" s="74"/>
      <c r="S7" s="71"/>
      <c r="T7" s="86">
        <f t="shared" si="3"/>
        <v>0</v>
      </c>
      <c r="U7" s="72"/>
      <c r="V7" s="71"/>
      <c r="W7" s="55">
        <f t="shared" si="4"/>
        <v>9000000</v>
      </c>
    </row>
    <row r="8" spans="1:23" ht="15" customHeight="1" x14ac:dyDescent="0.25">
      <c r="A8" s="80" t="s">
        <v>116</v>
      </c>
      <c r="B8" s="83" t="s">
        <v>16</v>
      </c>
      <c r="C8" s="82"/>
      <c r="D8" s="81"/>
      <c r="E8" s="72"/>
      <c r="F8" s="71"/>
      <c r="G8" s="86">
        <f t="shared" si="0"/>
        <v>0</v>
      </c>
      <c r="H8" s="76">
        <v>600000</v>
      </c>
      <c r="I8" s="111"/>
      <c r="J8" s="110"/>
      <c r="K8" s="88">
        <f t="shared" si="1"/>
        <v>0</v>
      </c>
      <c r="L8" s="74"/>
      <c r="M8" s="71"/>
      <c r="N8" s="86">
        <f t="shared" si="5"/>
        <v>0</v>
      </c>
      <c r="O8" s="72"/>
      <c r="P8" s="71"/>
      <c r="Q8" s="88">
        <f t="shared" si="2"/>
        <v>0</v>
      </c>
      <c r="R8" s="74"/>
      <c r="S8" s="71"/>
      <c r="T8" s="86">
        <f t="shared" si="3"/>
        <v>0</v>
      </c>
      <c r="U8" s="72"/>
      <c r="V8" s="71"/>
      <c r="W8" s="55">
        <f t="shared" si="4"/>
        <v>600000</v>
      </c>
    </row>
    <row r="9" spans="1:23" ht="15" customHeight="1" x14ac:dyDescent="0.25">
      <c r="A9" s="80" t="s">
        <v>116</v>
      </c>
      <c r="B9" s="83" t="s">
        <v>29</v>
      </c>
      <c r="C9" s="82"/>
      <c r="D9" s="81"/>
      <c r="E9" s="72"/>
      <c r="F9" s="71"/>
      <c r="G9" s="86">
        <f t="shared" si="0"/>
        <v>0</v>
      </c>
      <c r="H9" s="76">
        <v>10998000</v>
      </c>
      <c r="I9" s="111"/>
      <c r="J9" s="110"/>
      <c r="K9" s="88">
        <f t="shared" si="1"/>
        <v>0</v>
      </c>
      <c r="L9" s="74"/>
      <c r="M9" s="71"/>
      <c r="N9" s="86">
        <f t="shared" si="5"/>
        <v>0</v>
      </c>
      <c r="O9" s="72"/>
      <c r="P9" s="71"/>
      <c r="Q9" s="75">
        <f t="shared" si="2"/>
        <v>0</v>
      </c>
      <c r="R9" s="74"/>
      <c r="S9" s="71"/>
      <c r="T9" s="86">
        <f t="shared" si="3"/>
        <v>0</v>
      </c>
      <c r="U9" s="72"/>
      <c r="V9" s="71"/>
      <c r="W9" s="55">
        <f t="shared" si="4"/>
        <v>10998000</v>
      </c>
    </row>
    <row r="10" spans="1:23" ht="15" customHeight="1" x14ac:dyDescent="0.25">
      <c r="A10" s="80" t="s">
        <v>116</v>
      </c>
      <c r="B10" s="83" t="s">
        <v>120</v>
      </c>
      <c r="C10" s="82"/>
      <c r="D10" s="81"/>
      <c r="E10" s="72"/>
      <c r="F10" s="71"/>
      <c r="G10" s="86">
        <f t="shared" si="0"/>
        <v>0</v>
      </c>
      <c r="H10" s="76">
        <v>2690000</v>
      </c>
      <c r="I10" s="116"/>
      <c r="J10" s="115"/>
      <c r="K10" s="88">
        <f t="shared" si="1"/>
        <v>0</v>
      </c>
      <c r="L10" s="74"/>
      <c r="M10" s="71"/>
      <c r="N10" s="86">
        <f t="shared" si="5"/>
        <v>0</v>
      </c>
      <c r="O10" s="72"/>
      <c r="P10" s="71"/>
      <c r="Q10" s="75">
        <f t="shared" si="2"/>
        <v>0</v>
      </c>
      <c r="R10" s="74"/>
      <c r="S10" s="71"/>
      <c r="T10" s="86">
        <f t="shared" si="3"/>
        <v>0</v>
      </c>
      <c r="U10" s="72"/>
      <c r="V10" s="71"/>
      <c r="W10" s="55">
        <f t="shared" si="4"/>
        <v>2690000</v>
      </c>
    </row>
    <row r="11" spans="1:23" ht="15" customHeight="1" x14ac:dyDescent="0.25">
      <c r="A11" s="80" t="s">
        <v>116</v>
      </c>
      <c r="B11" s="83" t="s">
        <v>31</v>
      </c>
      <c r="C11" s="82"/>
      <c r="D11" s="81"/>
      <c r="E11" s="72"/>
      <c r="F11" s="71"/>
      <c r="G11" s="86">
        <f t="shared" si="0"/>
        <v>0</v>
      </c>
      <c r="H11" s="76">
        <v>10000000</v>
      </c>
      <c r="I11" s="111"/>
      <c r="J11" s="110"/>
      <c r="K11" s="88">
        <f t="shared" si="1"/>
        <v>0</v>
      </c>
      <c r="L11" s="74"/>
      <c r="M11" s="71"/>
      <c r="N11" s="86">
        <f t="shared" si="5"/>
        <v>0</v>
      </c>
      <c r="O11" s="72"/>
      <c r="P11" s="71"/>
      <c r="Q11" s="75">
        <f t="shared" si="2"/>
        <v>0</v>
      </c>
      <c r="R11" s="74"/>
      <c r="S11" s="71"/>
      <c r="T11" s="86">
        <f t="shared" si="3"/>
        <v>0</v>
      </c>
      <c r="U11" s="72"/>
      <c r="V11" s="71"/>
      <c r="W11" s="55">
        <f t="shared" si="4"/>
        <v>10000000</v>
      </c>
    </row>
    <row r="12" spans="1:23" ht="15" customHeight="1" x14ac:dyDescent="0.25">
      <c r="A12" s="80" t="s">
        <v>116</v>
      </c>
      <c r="B12" s="83" t="s">
        <v>32</v>
      </c>
      <c r="C12" s="82"/>
      <c r="D12" s="81"/>
      <c r="E12" s="72"/>
      <c r="F12" s="71"/>
      <c r="G12" s="86">
        <f t="shared" si="0"/>
        <v>0</v>
      </c>
      <c r="H12" s="76">
        <v>500000</v>
      </c>
      <c r="I12" s="111"/>
      <c r="J12" s="110"/>
      <c r="K12" s="88">
        <f t="shared" si="1"/>
        <v>0</v>
      </c>
      <c r="L12" s="74"/>
      <c r="M12" s="71"/>
      <c r="N12" s="86">
        <f t="shared" si="5"/>
        <v>0</v>
      </c>
      <c r="O12" s="72"/>
      <c r="P12" s="71"/>
      <c r="Q12" s="75">
        <f t="shared" si="2"/>
        <v>0</v>
      </c>
      <c r="R12" s="74"/>
      <c r="S12" s="71"/>
      <c r="T12" s="86">
        <f t="shared" si="3"/>
        <v>0</v>
      </c>
      <c r="U12" s="72"/>
      <c r="V12" s="71"/>
      <c r="W12" s="55">
        <f t="shared" si="4"/>
        <v>500000</v>
      </c>
    </row>
    <row r="13" spans="1:23" ht="15" customHeight="1" x14ac:dyDescent="0.25">
      <c r="A13" s="80" t="s">
        <v>116</v>
      </c>
      <c r="B13" s="83" t="s">
        <v>119</v>
      </c>
      <c r="C13" s="82"/>
      <c r="D13" s="81"/>
      <c r="E13" s="72"/>
      <c r="F13" s="71"/>
      <c r="G13" s="86">
        <f t="shared" si="0"/>
        <v>0</v>
      </c>
      <c r="H13" s="76">
        <v>4500000</v>
      </c>
      <c r="I13" s="111"/>
      <c r="J13" s="110"/>
      <c r="K13" s="88">
        <f t="shared" si="1"/>
        <v>0</v>
      </c>
      <c r="L13" s="74"/>
      <c r="M13" s="71"/>
      <c r="N13" s="86">
        <f t="shared" si="5"/>
        <v>0</v>
      </c>
      <c r="O13" s="72"/>
      <c r="P13" s="71"/>
      <c r="Q13" s="75">
        <f t="shared" si="2"/>
        <v>0</v>
      </c>
      <c r="R13" s="74"/>
      <c r="S13" s="71"/>
      <c r="T13" s="86">
        <f t="shared" si="3"/>
        <v>0</v>
      </c>
      <c r="U13" s="72"/>
      <c r="V13" s="71"/>
      <c r="W13" s="55">
        <f t="shared" si="4"/>
        <v>4500000</v>
      </c>
    </row>
    <row r="14" spans="1:23" ht="15" customHeight="1" x14ac:dyDescent="0.25">
      <c r="A14" s="80" t="s">
        <v>116</v>
      </c>
      <c r="B14" s="79" t="s">
        <v>5</v>
      </c>
      <c r="C14" s="76"/>
      <c r="D14" s="77"/>
      <c r="E14" s="72"/>
      <c r="F14" s="71"/>
      <c r="G14" s="86">
        <f t="shared" si="0"/>
        <v>0</v>
      </c>
      <c r="H14" s="114">
        <v>25000000</v>
      </c>
      <c r="I14" s="111"/>
      <c r="J14" s="110"/>
      <c r="K14" s="88">
        <f t="shared" si="1"/>
        <v>0</v>
      </c>
      <c r="L14" s="74"/>
      <c r="M14" s="71"/>
      <c r="N14" s="86">
        <f t="shared" si="5"/>
        <v>0</v>
      </c>
      <c r="O14" s="72"/>
      <c r="P14" s="71"/>
      <c r="Q14" s="75">
        <f t="shared" si="2"/>
        <v>0</v>
      </c>
      <c r="R14" s="74"/>
      <c r="S14" s="71"/>
      <c r="T14" s="86"/>
      <c r="U14" s="72"/>
      <c r="V14" s="71"/>
      <c r="W14" s="55">
        <f t="shared" si="4"/>
        <v>25000000</v>
      </c>
    </row>
    <row r="15" spans="1:23" ht="15" customHeight="1" x14ac:dyDescent="0.25">
      <c r="A15" s="80" t="s">
        <v>116</v>
      </c>
      <c r="B15" s="83" t="s">
        <v>34</v>
      </c>
      <c r="C15" s="82"/>
      <c r="D15" s="81"/>
      <c r="E15" s="72"/>
      <c r="F15" s="71"/>
      <c r="G15" s="86">
        <f t="shared" si="0"/>
        <v>0</v>
      </c>
      <c r="H15" s="76">
        <v>135000</v>
      </c>
      <c r="I15" s="111"/>
      <c r="J15" s="110"/>
      <c r="K15" s="88">
        <f t="shared" si="1"/>
        <v>0</v>
      </c>
      <c r="L15" s="74"/>
      <c r="M15" s="71"/>
      <c r="N15" s="86">
        <f t="shared" si="5"/>
        <v>0</v>
      </c>
      <c r="O15" s="72"/>
      <c r="P15" s="71"/>
      <c r="Q15" s="75">
        <f t="shared" si="2"/>
        <v>0</v>
      </c>
      <c r="R15" s="74"/>
      <c r="S15" s="71"/>
      <c r="T15" s="86">
        <f t="shared" si="3"/>
        <v>0</v>
      </c>
      <c r="U15" s="72"/>
      <c r="V15" s="71"/>
      <c r="W15" s="55">
        <f t="shared" si="4"/>
        <v>135000</v>
      </c>
    </row>
    <row r="16" spans="1:23" ht="15" customHeight="1" x14ac:dyDescent="0.25">
      <c r="A16" s="80" t="s">
        <v>116</v>
      </c>
      <c r="B16" s="83" t="s">
        <v>35</v>
      </c>
      <c r="C16" s="82"/>
      <c r="D16" s="81"/>
      <c r="E16" s="72"/>
      <c r="F16" s="71"/>
      <c r="G16" s="86">
        <f t="shared" si="0"/>
        <v>0</v>
      </c>
      <c r="H16" s="76">
        <v>260315</v>
      </c>
      <c r="I16" s="111"/>
      <c r="J16" s="110"/>
      <c r="K16" s="88">
        <f t="shared" si="1"/>
        <v>0</v>
      </c>
      <c r="L16" s="74"/>
      <c r="M16" s="71"/>
      <c r="N16" s="86">
        <f t="shared" si="5"/>
        <v>0</v>
      </c>
      <c r="O16" s="72"/>
      <c r="P16" s="71"/>
      <c r="Q16" s="75">
        <f t="shared" si="2"/>
        <v>0</v>
      </c>
      <c r="R16" s="74"/>
      <c r="S16" s="71"/>
      <c r="T16" s="86">
        <f t="shared" si="3"/>
        <v>0</v>
      </c>
      <c r="U16" s="72"/>
      <c r="V16" s="71"/>
      <c r="W16" s="55">
        <f t="shared" si="4"/>
        <v>260315</v>
      </c>
    </row>
    <row r="17" spans="1:23" ht="15" customHeight="1" x14ac:dyDescent="0.25">
      <c r="A17" s="80" t="s">
        <v>116</v>
      </c>
      <c r="B17" s="83" t="s">
        <v>6</v>
      </c>
      <c r="C17" s="82"/>
      <c r="D17" s="81"/>
      <c r="E17" s="72"/>
      <c r="F17" s="71"/>
      <c r="G17" s="86">
        <f t="shared" si="0"/>
        <v>0</v>
      </c>
      <c r="H17" s="76">
        <v>25000000</v>
      </c>
      <c r="I17" s="116"/>
      <c r="J17" s="115"/>
      <c r="K17" s="88">
        <f t="shared" si="1"/>
        <v>0</v>
      </c>
      <c r="L17" s="74"/>
      <c r="M17" s="71"/>
      <c r="N17" s="86">
        <f t="shared" si="5"/>
        <v>0</v>
      </c>
      <c r="O17" s="72"/>
      <c r="P17" s="71"/>
      <c r="Q17" s="75">
        <f t="shared" si="2"/>
        <v>0</v>
      </c>
      <c r="R17" s="74"/>
      <c r="S17" s="71"/>
      <c r="T17" s="73"/>
      <c r="U17" s="72"/>
      <c r="V17" s="71"/>
      <c r="W17" s="55">
        <f t="shared" si="4"/>
        <v>25000000</v>
      </c>
    </row>
    <row r="18" spans="1:23" ht="15" customHeight="1" x14ac:dyDescent="0.25">
      <c r="A18" s="80" t="s">
        <v>116</v>
      </c>
      <c r="B18" s="83" t="s">
        <v>36</v>
      </c>
      <c r="C18" s="82"/>
      <c r="D18" s="81"/>
      <c r="E18" s="72"/>
      <c r="F18" s="71"/>
      <c r="G18" s="86">
        <f t="shared" si="0"/>
        <v>0</v>
      </c>
      <c r="H18" s="76">
        <v>820000</v>
      </c>
      <c r="I18" s="111"/>
      <c r="J18" s="110"/>
      <c r="K18" s="88">
        <f t="shared" si="1"/>
        <v>0</v>
      </c>
      <c r="L18" s="74"/>
      <c r="M18" s="71"/>
      <c r="N18" s="86">
        <f t="shared" si="5"/>
        <v>0</v>
      </c>
      <c r="O18" s="72"/>
      <c r="P18" s="71"/>
      <c r="Q18" s="75">
        <f t="shared" si="2"/>
        <v>0</v>
      </c>
      <c r="R18" s="74"/>
      <c r="S18" s="71"/>
      <c r="T18" s="73">
        <f t="shared" si="3"/>
        <v>0</v>
      </c>
      <c r="U18" s="72"/>
      <c r="V18" s="71"/>
      <c r="W18" s="55">
        <f t="shared" si="4"/>
        <v>820000</v>
      </c>
    </row>
    <row r="19" spans="1:23" ht="15" customHeight="1" x14ac:dyDescent="0.25">
      <c r="A19" s="80" t="s">
        <v>116</v>
      </c>
      <c r="B19" s="83" t="s">
        <v>37</v>
      </c>
      <c r="C19" s="82"/>
      <c r="D19" s="81"/>
      <c r="E19" s="72"/>
      <c r="F19" s="71"/>
      <c r="G19" s="86">
        <f t="shared" si="0"/>
        <v>0</v>
      </c>
      <c r="H19" s="76">
        <v>720000</v>
      </c>
      <c r="I19" s="111"/>
      <c r="J19" s="110"/>
      <c r="K19" s="88">
        <f t="shared" si="1"/>
        <v>0</v>
      </c>
      <c r="L19" s="74"/>
      <c r="M19" s="71"/>
      <c r="N19" s="86">
        <f t="shared" si="5"/>
        <v>0</v>
      </c>
      <c r="O19" s="72"/>
      <c r="P19" s="71"/>
      <c r="Q19" s="75">
        <f t="shared" si="2"/>
        <v>0</v>
      </c>
      <c r="R19" s="74"/>
      <c r="S19" s="71"/>
      <c r="T19" s="73">
        <f t="shared" si="3"/>
        <v>0</v>
      </c>
      <c r="U19" s="72"/>
      <c r="V19" s="71"/>
      <c r="W19" s="55">
        <f t="shared" si="4"/>
        <v>720000</v>
      </c>
    </row>
    <row r="20" spans="1:23" ht="15" customHeight="1" x14ac:dyDescent="0.25">
      <c r="A20" s="80" t="s">
        <v>116</v>
      </c>
      <c r="B20" s="83" t="s">
        <v>38</v>
      </c>
      <c r="C20" s="82"/>
      <c r="D20" s="81"/>
      <c r="E20" s="72"/>
      <c r="F20" s="71"/>
      <c r="G20" s="86">
        <f t="shared" si="0"/>
        <v>0</v>
      </c>
      <c r="H20" s="76">
        <v>17577000</v>
      </c>
      <c r="I20" s="111"/>
      <c r="J20" s="110"/>
      <c r="K20" s="88">
        <f t="shared" si="1"/>
        <v>0</v>
      </c>
      <c r="L20" s="74"/>
      <c r="M20" s="71"/>
      <c r="N20" s="86">
        <f t="shared" si="5"/>
        <v>0</v>
      </c>
      <c r="O20" s="72"/>
      <c r="P20" s="71"/>
      <c r="Q20" s="75">
        <f t="shared" si="2"/>
        <v>0</v>
      </c>
      <c r="R20" s="74"/>
      <c r="S20" s="71"/>
      <c r="T20" s="73">
        <f t="shared" si="3"/>
        <v>0</v>
      </c>
      <c r="U20" s="72"/>
      <c r="V20" s="71"/>
      <c r="W20" s="55">
        <f t="shared" si="4"/>
        <v>17577000</v>
      </c>
    </row>
    <row r="21" spans="1:23" ht="15" customHeight="1" x14ac:dyDescent="0.25">
      <c r="A21" s="80" t="s">
        <v>116</v>
      </c>
      <c r="B21" s="83" t="s">
        <v>39</v>
      </c>
      <c r="C21" s="82"/>
      <c r="D21" s="81"/>
      <c r="E21" s="72"/>
      <c r="F21" s="71"/>
      <c r="G21" s="86">
        <f t="shared" si="0"/>
        <v>0</v>
      </c>
      <c r="H21" s="76"/>
      <c r="I21" s="111"/>
      <c r="J21" s="110"/>
      <c r="K21" s="88">
        <f t="shared" si="1"/>
        <v>0</v>
      </c>
      <c r="L21" s="74"/>
      <c r="M21" s="71"/>
      <c r="N21" s="132">
        <v>5900000</v>
      </c>
      <c r="O21" s="72"/>
      <c r="P21" s="71"/>
      <c r="Q21" s="75">
        <f t="shared" si="2"/>
        <v>0</v>
      </c>
      <c r="R21" s="74"/>
      <c r="S21" s="71"/>
      <c r="T21" s="73">
        <f t="shared" si="3"/>
        <v>0</v>
      </c>
      <c r="U21" s="72"/>
      <c r="V21" s="71"/>
      <c r="W21" s="55">
        <f t="shared" si="4"/>
        <v>5900000</v>
      </c>
    </row>
    <row r="22" spans="1:23" ht="15" customHeight="1" x14ac:dyDescent="0.25">
      <c r="A22" s="80" t="s">
        <v>116</v>
      </c>
      <c r="B22" s="83" t="s">
        <v>40</v>
      </c>
      <c r="C22" s="82"/>
      <c r="D22" s="81"/>
      <c r="E22" s="72"/>
      <c r="F22" s="71"/>
      <c r="G22" s="86">
        <f t="shared" si="0"/>
        <v>0</v>
      </c>
      <c r="H22" s="76">
        <v>460000</v>
      </c>
      <c r="I22" s="111"/>
      <c r="J22" s="110"/>
      <c r="K22" s="88">
        <f t="shared" si="1"/>
        <v>0</v>
      </c>
      <c r="L22" s="74"/>
      <c r="M22" s="71"/>
      <c r="N22" s="86">
        <f t="shared" si="5"/>
        <v>0</v>
      </c>
      <c r="O22" s="72"/>
      <c r="P22" s="71"/>
      <c r="Q22" s="75">
        <f t="shared" si="2"/>
        <v>0</v>
      </c>
      <c r="R22" s="74"/>
      <c r="S22" s="71"/>
      <c r="T22" s="73">
        <f t="shared" si="3"/>
        <v>0</v>
      </c>
      <c r="U22" s="72"/>
      <c r="V22" s="71"/>
      <c r="W22" s="55">
        <f t="shared" si="4"/>
        <v>460000</v>
      </c>
    </row>
    <row r="23" spans="1:23" ht="15" customHeight="1" x14ac:dyDescent="0.25">
      <c r="A23" s="80" t="s">
        <v>116</v>
      </c>
      <c r="B23" s="83" t="s">
        <v>41</v>
      </c>
      <c r="C23" s="82">
        <v>4534961</v>
      </c>
      <c r="D23" s="81">
        <v>2194739</v>
      </c>
      <c r="E23" s="72"/>
      <c r="F23" s="71"/>
      <c r="G23" s="86">
        <f t="shared" si="0"/>
        <v>0</v>
      </c>
      <c r="H23" s="76">
        <v>6000000</v>
      </c>
      <c r="I23" s="111"/>
      <c r="J23" s="110"/>
      <c r="K23" s="88">
        <f t="shared" si="1"/>
        <v>0</v>
      </c>
      <c r="L23" s="74"/>
      <c r="M23" s="71"/>
      <c r="N23" s="86">
        <f t="shared" si="5"/>
        <v>0</v>
      </c>
      <c r="O23" s="72"/>
      <c r="P23" s="71"/>
      <c r="Q23" s="75">
        <f t="shared" si="2"/>
        <v>0</v>
      </c>
      <c r="R23" s="74"/>
      <c r="S23" s="71"/>
      <c r="T23" s="73">
        <f t="shared" si="3"/>
        <v>0</v>
      </c>
      <c r="U23" s="72"/>
      <c r="V23" s="71"/>
      <c r="W23" s="55">
        <f t="shared" si="4"/>
        <v>6000000</v>
      </c>
    </row>
    <row r="24" spans="1:23" ht="15" customHeight="1" x14ac:dyDescent="0.25">
      <c r="A24" s="80" t="s">
        <v>116</v>
      </c>
      <c r="B24" s="83" t="s">
        <v>8</v>
      </c>
      <c r="C24" s="82"/>
      <c r="D24" s="81"/>
      <c r="E24" s="72"/>
      <c r="F24" s="71"/>
      <c r="G24" s="86">
        <f t="shared" si="0"/>
        <v>0</v>
      </c>
      <c r="H24" s="76">
        <v>2100000</v>
      </c>
      <c r="I24" s="111"/>
      <c r="J24" s="110"/>
      <c r="K24" s="88">
        <f t="shared" si="1"/>
        <v>0</v>
      </c>
      <c r="L24" s="74"/>
      <c r="M24" s="71"/>
      <c r="N24" s="86">
        <f t="shared" si="5"/>
        <v>0</v>
      </c>
      <c r="O24" s="72"/>
      <c r="P24" s="71"/>
      <c r="Q24" s="75">
        <f t="shared" si="2"/>
        <v>0</v>
      </c>
      <c r="R24" s="74"/>
      <c r="S24" s="71"/>
      <c r="T24" s="73">
        <f t="shared" si="3"/>
        <v>0</v>
      </c>
      <c r="U24" s="72"/>
      <c r="V24" s="71"/>
      <c r="W24" s="55">
        <f t="shared" si="4"/>
        <v>2100000</v>
      </c>
    </row>
    <row r="25" spans="1:23" ht="15" customHeight="1" x14ac:dyDescent="0.25">
      <c r="A25" s="80" t="s">
        <v>116</v>
      </c>
      <c r="B25" s="83" t="s">
        <v>17</v>
      </c>
      <c r="C25" s="82"/>
      <c r="D25" s="81"/>
      <c r="E25" s="72"/>
      <c r="F25" s="71"/>
      <c r="G25" s="86">
        <f t="shared" si="0"/>
        <v>0</v>
      </c>
      <c r="H25" s="76">
        <v>8000000</v>
      </c>
      <c r="I25" s="111"/>
      <c r="J25" s="110"/>
      <c r="K25" s="88">
        <f t="shared" si="1"/>
        <v>0</v>
      </c>
      <c r="L25" s="74"/>
      <c r="M25" s="71"/>
      <c r="N25" s="86">
        <f t="shared" si="5"/>
        <v>0</v>
      </c>
      <c r="O25" s="72"/>
      <c r="P25" s="71"/>
      <c r="Q25" s="75">
        <f t="shared" si="2"/>
        <v>0</v>
      </c>
      <c r="R25" s="74"/>
      <c r="S25" s="71"/>
      <c r="T25" s="73">
        <f t="shared" si="3"/>
        <v>0</v>
      </c>
      <c r="U25" s="72"/>
      <c r="V25" s="71"/>
      <c r="W25" s="55">
        <f t="shared" si="4"/>
        <v>8000000</v>
      </c>
    </row>
    <row r="26" spans="1:23" ht="15" customHeight="1" x14ac:dyDescent="0.25">
      <c r="A26" s="80" t="s">
        <v>116</v>
      </c>
      <c r="B26" s="83" t="s">
        <v>9</v>
      </c>
      <c r="C26" s="82"/>
      <c r="D26" s="81"/>
      <c r="E26" s="72"/>
      <c r="F26" s="71"/>
      <c r="G26" s="86">
        <f t="shared" si="0"/>
        <v>0</v>
      </c>
      <c r="H26" s="76">
        <v>4200000</v>
      </c>
      <c r="I26" s="111"/>
      <c r="J26" s="110"/>
      <c r="K26" s="88">
        <f t="shared" si="1"/>
        <v>0</v>
      </c>
      <c r="L26" s="74"/>
      <c r="M26" s="71"/>
      <c r="N26" s="86">
        <f t="shared" si="5"/>
        <v>0</v>
      </c>
      <c r="O26" s="72"/>
      <c r="P26" s="71"/>
      <c r="Q26" s="75">
        <f t="shared" si="2"/>
        <v>0</v>
      </c>
      <c r="R26" s="74"/>
      <c r="S26" s="71"/>
      <c r="T26" s="113">
        <v>10000000</v>
      </c>
      <c r="U26" s="72"/>
      <c r="V26" s="71"/>
      <c r="W26" s="55">
        <f t="shared" si="4"/>
        <v>14200000</v>
      </c>
    </row>
    <row r="27" spans="1:23" ht="15" customHeight="1" x14ac:dyDescent="0.25">
      <c r="A27" s="80" t="s">
        <v>116</v>
      </c>
      <c r="B27" s="83" t="s">
        <v>42</v>
      </c>
      <c r="C27" s="82"/>
      <c r="D27" s="81"/>
      <c r="E27" s="72"/>
      <c r="F27" s="71"/>
      <c r="G27" s="86">
        <f t="shared" si="0"/>
        <v>0</v>
      </c>
      <c r="H27" s="114"/>
      <c r="I27" s="111"/>
      <c r="J27" s="110"/>
      <c r="K27" s="88">
        <f t="shared" si="1"/>
        <v>0</v>
      </c>
      <c r="L27" s="74"/>
      <c r="M27" s="71"/>
      <c r="N27" s="132">
        <v>8000000</v>
      </c>
      <c r="O27" s="72"/>
      <c r="P27" s="71"/>
      <c r="Q27" s="75">
        <f t="shared" si="2"/>
        <v>0</v>
      </c>
      <c r="R27" s="74"/>
      <c r="S27" s="71"/>
      <c r="T27" s="73">
        <f t="shared" si="3"/>
        <v>0</v>
      </c>
      <c r="U27" s="72"/>
      <c r="V27" s="71"/>
      <c r="W27" s="55">
        <f t="shared" si="4"/>
        <v>8000000</v>
      </c>
    </row>
    <row r="28" spans="1:23" ht="15" customHeight="1" x14ac:dyDescent="0.25">
      <c r="A28" s="80" t="s">
        <v>116</v>
      </c>
      <c r="B28" s="83" t="s">
        <v>18</v>
      </c>
      <c r="C28" s="82"/>
      <c r="D28" s="81"/>
      <c r="E28" s="72"/>
      <c r="F28" s="71"/>
      <c r="G28" s="86">
        <f t="shared" si="0"/>
        <v>0</v>
      </c>
      <c r="H28" s="76">
        <v>738000</v>
      </c>
      <c r="I28" s="111"/>
      <c r="J28" s="110"/>
      <c r="K28" s="88">
        <f t="shared" si="1"/>
        <v>0</v>
      </c>
      <c r="L28" s="74"/>
      <c r="M28" s="71"/>
      <c r="N28" s="86">
        <f t="shared" si="5"/>
        <v>0</v>
      </c>
      <c r="O28" s="72"/>
      <c r="P28" s="71"/>
      <c r="Q28" s="75">
        <f t="shared" si="2"/>
        <v>0</v>
      </c>
      <c r="R28" s="74"/>
      <c r="S28" s="71"/>
      <c r="T28" s="73">
        <f t="shared" si="3"/>
        <v>0</v>
      </c>
      <c r="U28" s="72"/>
      <c r="V28" s="71"/>
      <c r="W28" s="55">
        <f t="shared" si="4"/>
        <v>738000</v>
      </c>
    </row>
    <row r="29" spans="1:23" ht="15" customHeight="1" x14ac:dyDescent="0.25">
      <c r="A29" s="80" t="s">
        <v>116</v>
      </c>
      <c r="B29" s="83" t="s">
        <v>10</v>
      </c>
      <c r="C29" s="82"/>
      <c r="D29" s="81"/>
      <c r="E29" s="72"/>
      <c r="F29" s="71"/>
      <c r="G29" s="86">
        <f t="shared" si="0"/>
        <v>0</v>
      </c>
      <c r="H29" s="76">
        <v>18144000</v>
      </c>
      <c r="I29" s="111"/>
      <c r="J29" s="110"/>
      <c r="K29" s="88">
        <f t="shared" si="1"/>
        <v>0</v>
      </c>
      <c r="L29" s="74"/>
      <c r="M29" s="71"/>
      <c r="N29" s="86">
        <f t="shared" si="5"/>
        <v>0</v>
      </c>
      <c r="O29" s="72"/>
      <c r="P29" s="71"/>
      <c r="Q29" s="75">
        <f t="shared" si="2"/>
        <v>0</v>
      </c>
      <c r="R29" s="74"/>
      <c r="S29" s="71"/>
      <c r="T29" s="73"/>
      <c r="U29" s="72"/>
      <c r="V29" s="71"/>
      <c r="W29" s="55">
        <f t="shared" si="4"/>
        <v>18144000</v>
      </c>
    </row>
    <row r="30" spans="1:23" ht="15" customHeight="1" x14ac:dyDescent="0.25">
      <c r="A30" s="80" t="s">
        <v>116</v>
      </c>
      <c r="B30" s="83" t="s">
        <v>43</v>
      </c>
      <c r="C30" s="82"/>
      <c r="D30" s="81"/>
      <c r="E30" s="72"/>
      <c r="F30" s="71"/>
      <c r="G30" s="86">
        <f t="shared" si="0"/>
        <v>0</v>
      </c>
      <c r="H30" s="76">
        <v>400000</v>
      </c>
      <c r="I30" s="111"/>
      <c r="J30" s="110"/>
      <c r="K30" s="88">
        <f t="shared" si="1"/>
        <v>0</v>
      </c>
      <c r="L30" s="74"/>
      <c r="M30" s="71"/>
      <c r="N30" s="86">
        <f t="shared" si="5"/>
        <v>0</v>
      </c>
      <c r="O30" s="72"/>
      <c r="P30" s="71"/>
      <c r="Q30" s="75">
        <f t="shared" si="2"/>
        <v>0</v>
      </c>
      <c r="R30" s="74"/>
      <c r="S30" s="71"/>
      <c r="T30" s="73">
        <f t="shared" si="3"/>
        <v>0</v>
      </c>
      <c r="U30" s="72"/>
      <c r="V30" s="71"/>
      <c r="W30" s="55">
        <f>G30+K30+N30+Q30+T30+H30</f>
        <v>400000</v>
      </c>
    </row>
    <row r="31" spans="1:23" ht="15" customHeight="1" x14ac:dyDescent="0.25">
      <c r="A31" s="80" t="s">
        <v>116</v>
      </c>
      <c r="B31" s="83" t="s">
        <v>44</v>
      </c>
      <c r="C31" s="82"/>
      <c r="D31" s="81"/>
      <c r="E31" s="72"/>
      <c r="F31" s="71"/>
      <c r="G31" s="86">
        <f t="shared" si="0"/>
        <v>0</v>
      </c>
      <c r="H31" s="114">
        <v>21000000</v>
      </c>
      <c r="I31" s="111"/>
      <c r="J31" s="110"/>
      <c r="K31" s="88">
        <f t="shared" si="1"/>
        <v>0</v>
      </c>
      <c r="L31" s="74"/>
      <c r="M31" s="71"/>
      <c r="N31" s="86">
        <f t="shared" si="5"/>
        <v>0</v>
      </c>
      <c r="O31" s="72"/>
      <c r="P31" s="71"/>
      <c r="Q31" s="75">
        <f t="shared" si="2"/>
        <v>0</v>
      </c>
      <c r="R31" s="74"/>
      <c r="S31" s="71"/>
      <c r="T31" s="113">
        <v>6800000</v>
      </c>
      <c r="U31" s="72"/>
      <c r="V31" s="71"/>
      <c r="W31" s="55">
        <f t="shared" ref="W31:W45" si="6">G31+K31+N31+Q31+T31+H31</f>
        <v>27800000</v>
      </c>
    </row>
    <row r="32" spans="1:23" ht="15" customHeight="1" x14ac:dyDescent="0.25">
      <c r="A32" s="80" t="s">
        <v>116</v>
      </c>
      <c r="B32" s="83" t="s">
        <v>19</v>
      </c>
      <c r="C32" s="82"/>
      <c r="D32" s="81"/>
      <c r="E32" s="72"/>
      <c r="F32" s="71"/>
      <c r="G32" s="86">
        <f t="shared" si="0"/>
        <v>0</v>
      </c>
      <c r="H32" s="76">
        <v>50000000</v>
      </c>
      <c r="I32" s="111"/>
      <c r="J32" s="110"/>
      <c r="K32" s="88">
        <f t="shared" si="1"/>
        <v>0</v>
      </c>
      <c r="L32" s="74"/>
      <c r="M32" s="71"/>
      <c r="N32" s="86">
        <f t="shared" si="5"/>
        <v>0</v>
      </c>
      <c r="O32" s="72"/>
      <c r="P32" s="71"/>
      <c r="Q32" s="75">
        <f t="shared" si="2"/>
        <v>0</v>
      </c>
      <c r="R32" s="74"/>
      <c r="S32" s="71"/>
      <c r="T32" s="73">
        <f t="shared" si="3"/>
        <v>0</v>
      </c>
      <c r="U32" s="72"/>
      <c r="V32" s="71"/>
      <c r="W32" s="55">
        <f t="shared" si="6"/>
        <v>50000000</v>
      </c>
    </row>
    <row r="33" spans="1:23" ht="15" customHeight="1" x14ac:dyDescent="0.25">
      <c r="A33" s="80" t="s">
        <v>116</v>
      </c>
      <c r="B33" s="83" t="s">
        <v>20</v>
      </c>
      <c r="C33" s="82"/>
      <c r="D33" s="81"/>
      <c r="E33" s="72"/>
      <c r="F33" s="71"/>
      <c r="G33" s="86">
        <f t="shared" si="0"/>
        <v>0</v>
      </c>
      <c r="H33" s="76">
        <v>2514985</v>
      </c>
      <c r="I33" s="111"/>
      <c r="J33" s="110"/>
      <c r="K33" s="88">
        <f t="shared" si="1"/>
        <v>0</v>
      </c>
      <c r="L33" s="74"/>
      <c r="M33" s="71"/>
      <c r="N33" s="86">
        <f t="shared" si="5"/>
        <v>0</v>
      </c>
      <c r="O33" s="72"/>
      <c r="P33" s="71"/>
      <c r="Q33" s="75">
        <f t="shared" si="2"/>
        <v>0</v>
      </c>
      <c r="R33" s="74"/>
      <c r="S33" s="71"/>
      <c r="T33" s="73">
        <f t="shared" si="3"/>
        <v>0</v>
      </c>
      <c r="U33" s="72"/>
      <c r="V33" s="71"/>
      <c r="W33" s="55">
        <f t="shared" si="6"/>
        <v>2514985</v>
      </c>
    </row>
    <row r="34" spans="1:23" ht="15" customHeight="1" x14ac:dyDescent="0.25">
      <c r="A34" s="80" t="s">
        <v>116</v>
      </c>
      <c r="B34" s="79" t="s">
        <v>45</v>
      </c>
      <c r="C34" s="78"/>
      <c r="D34" s="77"/>
      <c r="E34" s="72"/>
      <c r="F34" s="71"/>
      <c r="G34" s="86">
        <f t="shared" si="0"/>
        <v>0</v>
      </c>
      <c r="H34" s="76">
        <v>70000</v>
      </c>
      <c r="I34" s="111"/>
      <c r="J34" s="110"/>
      <c r="K34" s="88">
        <f t="shared" si="1"/>
        <v>0</v>
      </c>
      <c r="L34" s="74"/>
      <c r="M34" s="71"/>
      <c r="N34" s="86">
        <f t="shared" si="5"/>
        <v>0</v>
      </c>
      <c r="O34" s="72"/>
      <c r="P34" s="71"/>
      <c r="Q34" s="75">
        <f t="shared" si="2"/>
        <v>0</v>
      </c>
      <c r="R34" s="74"/>
      <c r="S34" s="71"/>
      <c r="T34" s="73">
        <f t="shared" si="3"/>
        <v>0</v>
      </c>
      <c r="U34" s="72"/>
      <c r="V34" s="71"/>
      <c r="W34" s="55">
        <f t="shared" si="6"/>
        <v>70000</v>
      </c>
    </row>
    <row r="35" spans="1:23" ht="15" customHeight="1" x14ac:dyDescent="0.25">
      <c r="A35" s="80" t="s">
        <v>116</v>
      </c>
      <c r="B35" s="83" t="s">
        <v>21</v>
      </c>
      <c r="C35" s="82"/>
      <c r="D35" s="81"/>
      <c r="E35" s="72"/>
      <c r="F35" s="71"/>
      <c r="G35" s="86">
        <f t="shared" si="0"/>
        <v>0</v>
      </c>
      <c r="H35" s="76">
        <v>1626000</v>
      </c>
      <c r="I35" s="111"/>
      <c r="J35" s="110"/>
      <c r="K35" s="88">
        <f t="shared" si="1"/>
        <v>0</v>
      </c>
      <c r="L35" s="74"/>
      <c r="M35" s="71"/>
      <c r="N35" s="86">
        <f t="shared" si="5"/>
        <v>0</v>
      </c>
      <c r="O35" s="72"/>
      <c r="P35" s="71"/>
      <c r="Q35" s="75">
        <f t="shared" si="2"/>
        <v>0</v>
      </c>
      <c r="R35" s="74"/>
      <c r="S35" s="71"/>
      <c r="T35" s="73">
        <f t="shared" si="3"/>
        <v>0</v>
      </c>
      <c r="U35" s="72"/>
      <c r="V35" s="71"/>
      <c r="W35" s="55">
        <f t="shared" si="6"/>
        <v>1626000</v>
      </c>
    </row>
    <row r="36" spans="1:23" ht="15" customHeight="1" x14ac:dyDescent="0.25">
      <c r="A36" s="80" t="s">
        <v>116</v>
      </c>
      <c r="B36" s="83" t="s">
        <v>46</v>
      </c>
      <c r="C36" s="82"/>
      <c r="D36" s="81"/>
      <c r="E36" s="72"/>
      <c r="F36" s="71"/>
      <c r="G36" s="86">
        <f t="shared" si="0"/>
        <v>0</v>
      </c>
      <c r="H36" s="76">
        <v>7700000</v>
      </c>
      <c r="I36" s="111"/>
      <c r="J36" s="110"/>
      <c r="K36" s="88">
        <f t="shared" si="1"/>
        <v>0</v>
      </c>
      <c r="L36" s="74"/>
      <c r="M36" s="71"/>
      <c r="N36" s="86">
        <f t="shared" si="5"/>
        <v>0</v>
      </c>
      <c r="O36" s="72"/>
      <c r="P36" s="71"/>
      <c r="Q36" s="112"/>
      <c r="R36" s="74"/>
      <c r="S36" s="71"/>
      <c r="T36" s="73">
        <f t="shared" si="3"/>
        <v>0</v>
      </c>
      <c r="U36" s="72"/>
      <c r="V36" s="71"/>
      <c r="W36" s="55">
        <f t="shared" si="6"/>
        <v>7700000</v>
      </c>
    </row>
    <row r="37" spans="1:23" ht="15" customHeight="1" x14ac:dyDescent="0.25">
      <c r="A37" s="80" t="s">
        <v>116</v>
      </c>
      <c r="B37" s="83" t="s">
        <v>47</v>
      </c>
      <c r="C37" s="82"/>
      <c r="D37" s="81"/>
      <c r="E37" s="72"/>
      <c r="F37" s="71"/>
      <c r="G37" s="86">
        <f t="shared" si="0"/>
        <v>0</v>
      </c>
      <c r="H37" s="76">
        <v>8000000</v>
      </c>
      <c r="I37" s="111"/>
      <c r="J37" s="110"/>
      <c r="K37" s="88">
        <f t="shared" si="1"/>
        <v>0</v>
      </c>
      <c r="L37" s="74"/>
      <c r="M37" s="71"/>
      <c r="N37" s="86">
        <f t="shared" si="5"/>
        <v>0</v>
      </c>
      <c r="O37" s="72"/>
      <c r="P37" s="71"/>
      <c r="Q37" s="75">
        <f t="shared" si="2"/>
        <v>0</v>
      </c>
      <c r="R37" s="74"/>
      <c r="S37" s="71"/>
      <c r="T37" s="73">
        <f t="shared" si="3"/>
        <v>0</v>
      </c>
      <c r="U37" s="72"/>
      <c r="V37" s="71"/>
      <c r="W37" s="55">
        <f t="shared" si="6"/>
        <v>8000000</v>
      </c>
    </row>
    <row r="38" spans="1:23" ht="15" customHeight="1" x14ac:dyDescent="0.25">
      <c r="A38" s="80" t="s">
        <v>116</v>
      </c>
      <c r="B38" s="83" t="s">
        <v>48</v>
      </c>
      <c r="C38" s="82"/>
      <c r="D38" s="81"/>
      <c r="E38" s="72"/>
      <c r="F38" s="71"/>
      <c r="G38" s="86">
        <f t="shared" si="0"/>
        <v>0</v>
      </c>
      <c r="H38" s="76">
        <v>720000</v>
      </c>
      <c r="I38" s="111"/>
      <c r="J38" s="110"/>
      <c r="K38" s="88">
        <f t="shared" si="1"/>
        <v>0</v>
      </c>
      <c r="L38" s="74"/>
      <c r="M38" s="71"/>
      <c r="N38" s="86">
        <f t="shared" si="5"/>
        <v>0</v>
      </c>
      <c r="O38" s="72"/>
      <c r="P38" s="71"/>
      <c r="Q38" s="75">
        <f t="shared" si="2"/>
        <v>0</v>
      </c>
      <c r="R38" s="74"/>
      <c r="S38" s="71"/>
      <c r="T38" s="73">
        <f t="shared" si="3"/>
        <v>0</v>
      </c>
      <c r="U38" s="72"/>
      <c r="V38" s="71"/>
      <c r="W38" s="55">
        <f t="shared" si="6"/>
        <v>720000</v>
      </c>
    </row>
    <row r="39" spans="1:23" ht="15" customHeight="1" x14ac:dyDescent="0.25">
      <c r="A39" s="80" t="s">
        <v>116</v>
      </c>
      <c r="B39" s="83" t="s">
        <v>49</v>
      </c>
      <c r="C39" s="82"/>
      <c r="D39" s="81"/>
      <c r="E39" s="72"/>
      <c r="F39" s="71"/>
      <c r="G39" s="86">
        <f t="shared" si="0"/>
        <v>0</v>
      </c>
      <c r="H39" s="76">
        <v>594000</v>
      </c>
      <c r="I39" s="111"/>
      <c r="J39" s="110"/>
      <c r="K39" s="88">
        <f t="shared" si="1"/>
        <v>0</v>
      </c>
      <c r="L39" s="74"/>
      <c r="M39" s="71"/>
      <c r="N39" s="86">
        <f t="shared" si="5"/>
        <v>0</v>
      </c>
      <c r="O39" s="72"/>
      <c r="P39" s="71"/>
      <c r="Q39" s="75">
        <f t="shared" si="2"/>
        <v>0</v>
      </c>
      <c r="R39" s="74"/>
      <c r="S39" s="71"/>
      <c r="T39" s="73">
        <f t="shared" si="3"/>
        <v>0</v>
      </c>
      <c r="U39" s="72"/>
      <c r="V39" s="71"/>
      <c r="W39" s="55">
        <f t="shared" si="6"/>
        <v>594000</v>
      </c>
    </row>
    <row r="40" spans="1:23" ht="15" customHeight="1" x14ac:dyDescent="0.25">
      <c r="A40" s="80" t="s">
        <v>116</v>
      </c>
      <c r="B40" s="83" t="s">
        <v>50</v>
      </c>
      <c r="C40" s="82"/>
      <c r="D40" s="81"/>
      <c r="E40" s="72"/>
      <c r="F40" s="71"/>
      <c r="G40" s="86">
        <f t="shared" si="0"/>
        <v>0</v>
      </c>
      <c r="H40" s="76"/>
      <c r="I40" s="111"/>
      <c r="J40" s="110"/>
      <c r="K40" s="88">
        <f t="shared" si="1"/>
        <v>0</v>
      </c>
      <c r="L40" s="74"/>
      <c r="M40" s="71"/>
      <c r="N40" s="86">
        <f t="shared" si="5"/>
        <v>0</v>
      </c>
      <c r="O40" s="72"/>
      <c r="P40" s="71"/>
      <c r="Q40" s="112">
        <v>8700000</v>
      </c>
      <c r="R40" s="74"/>
      <c r="S40" s="71"/>
      <c r="T40" s="73">
        <f t="shared" si="3"/>
        <v>0</v>
      </c>
      <c r="U40" s="72"/>
      <c r="V40" s="71"/>
      <c r="W40" s="55">
        <f t="shared" si="6"/>
        <v>8700000</v>
      </c>
    </row>
    <row r="41" spans="1:23" ht="15" customHeight="1" x14ac:dyDescent="0.25">
      <c r="A41" s="80" t="s">
        <v>116</v>
      </c>
      <c r="B41" s="83" t="s">
        <v>13</v>
      </c>
      <c r="C41" s="82"/>
      <c r="D41" s="81"/>
      <c r="E41" s="72"/>
      <c r="F41" s="71"/>
      <c r="G41" s="86">
        <f t="shared" si="0"/>
        <v>0</v>
      </c>
      <c r="H41" s="76"/>
      <c r="I41" s="111"/>
      <c r="J41" s="110"/>
      <c r="K41" s="88">
        <f t="shared" si="1"/>
        <v>0</v>
      </c>
      <c r="L41" s="74"/>
      <c r="M41" s="71"/>
      <c r="N41" s="132">
        <v>6100000</v>
      </c>
      <c r="O41" s="72"/>
      <c r="P41" s="71"/>
      <c r="Q41" s="75">
        <f t="shared" si="2"/>
        <v>0</v>
      </c>
      <c r="R41" s="74"/>
      <c r="S41" s="71"/>
      <c r="T41" s="113">
        <v>4600000</v>
      </c>
      <c r="U41" s="72"/>
      <c r="V41" s="71"/>
      <c r="W41" s="55">
        <f t="shared" si="6"/>
        <v>10700000</v>
      </c>
    </row>
    <row r="42" spans="1:23" ht="15" customHeight="1" x14ac:dyDescent="0.25">
      <c r="A42" s="80" t="s">
        <v>116</v>
      </c>
      <c r="B42" s="83" t="s">
        <v>118</v>
      </c>
      <c r="C42" s="82"/>
      <c r="D42" s="81"/>
      <c r="E42" s="72"/>
      <c r="F42" s="71"/>
      <c r="G42" s="86">
        <f t="shared" si="0"/>
        <v>0</v>
      </c>
      <c r="H42" s="76"/>
      <c r="I42" s="111"/>
      <c r="J42" s="110"/>
      <c r="K42" s="88">
        <f t="shared" si="1"/>
        <v>0</v>
      </c>
      <c r="L42" s="74"/>
      <c r="M42" s="71"/>
      <c r="N42" s="132">
        <v>12300000</v>
      </c>
      <c r="O42" s="72"/>
      <c r="P42" s="71"/>
      <c r="Q42" s="75">
        <f t="shared" si="2"/>
        <v>0</v>
      </c>
      <c r="R42" s="74"/>
      <c r="S42" s="71"/>
      <c r="T42" s="113">
        <v>6200000</v>
      </c>
      <c r="U42" s="72"/>
      <c r="V42" s="71"/>
      <c r="W42" s="55">
        <f t="shared" si="6"/>
        <v>18500000</v>
      </c>
    </row>
    <row r="43" spans="1:23" ht="15" customHeight="1" x14ac:dyDescent="0.25">
      <c r="A43" s="80" t="s">
        <v>116</v>
      </c>
      <c r="B43" s="83" t="s">
        <v>117</v>
      </c>
      <c r="C43" s="82"/>
      <c r="D43" s="81"/>
      <c r="E43" s="72"/>
      <c r="F43" s="71"/>
      <c r="G43" s="86">
        <f t="shared" si="0"/>
        <v>0</v>
      </c>
      <c r="H43" s="76">
        <v>6600000</v>
      </c>
      <c r="I43" s="111"/>
      <c r="J43" s="110"/>
      <c r="K43" s="88">
        <f t="shared" si="1"/>
        <v>0</v>
      </c>
      <c r="L43" s="74"/>
      <c r="M43" s="71"/>
      <c r="N43" s="86">
        <f t="shared" si="5"/>
        <v>0</v>
      </c>
      <c r="O43" s="72"/>
      <c r="P43" s="71"/>
      <c r="Q43" s="75">
        <f t="shared" si="2"/>
        <v>0</v>
      </c>
      <c r="R43" s="74"/>
      <c r="S43" s="71"/>
      <c r="T43" s="113"/>
      <c r="U43" s="72"/>
      <c r="V43" s="71"/>
      <c r="W43" s="55">
        <f t="shared" si="6"/>
        <v>6600000</v>
      </c>
    </row>
    <row r="44" spans="1:23" ht="15" customHeight="1" x14ac:dyDescent="0.25">
      <c r="A44" s="80" t="s">
        <v>116</v>
      </c>
      <c r="B44" s="83" t="s">
        <v>14</v>
      </c>
      <c r="C44" s="82"/>
      <c r="D44" s="81"/>
      <c r="E44" s="72"/>
      <c r="F44" s="71"/>
      <c r="G44" s="86">
        <f t="shared" si="0"/>
        <v>0</v>
      </c>
      <c r="H44" s="76"/>
      <c r="I44" s="111"/>
      <c r="J44" s="110"/>
      <c r="K44" s="88">
        <f t="shared" si="1"/>
        <v>0</v>
      </c>
      <c r="L44" s="74"/>
      <c r="M44" s="71"/>
      <c r="N44" s="86">
        <f t="shared" si="5"/>
        <v>0</v>
      </c>
      <c r="O44" s="72"/>
      <c r="P44" s="71"/>
      <c r="Q44" s="75">
        <f t="shared" si="2"/>
        <v>0</v>
      </c>
      <c r="R44" s="74"/>
      <c r="S44" s="71"/>
      <c r="T44" s="113">
        <v>6850000</v>
      </c>
      <c r="U44" s="72"/>
      <c r="V44" s="71"/>
      <c r="W44" s="55">
        <f t="shared" si="6"/>
        <v>6850000</v>
      </c>
    </row>
    <row r="45" spans="1:23" ht="15" customHeight="1" thickBot="1" x14ac:dyDescent="0.3">
      <c r="A45" s="70" t="s">
        <v>116</v>
      </c>
      <c r="B45" s="69" t="s">
        <v>52</v>
      </c>
      <c r="C45" s="68"/>
      <c r="D45" s="67"/>
      <c r="E45" s="62"/>
      <c r="F45" s="61"/>
      <c r="G45" s="86">
        <f t="shared" si="0"/>
        <v>0</v>
      </c>
      <c r="H45" s="66">
        <v>11772000</v>
      </c>
      <c r="I45" s="109"/>
      <c r="J45" s="108"/>
      <c r="K45" s="88">
        <f t="shared" si="1"/>
        <v>0</v>
      </c>
      <c r="L45" s="64"/>
      <c r="M45" s="61"/>
      <c r="N45" s="86">
        <f t="shared" si="5"/>
        <v>0</v>
      </c>
      <c r="O45" s="62"/>
      <c r="P45" s="61"/>
      <c r="Q45" s="65">
        <f t="shared" si="2"/>
        <v>0</v>
      </c>
      <c r="R45" s="64"/>
      <c r="S45" s="61"/>
      <c r="T45" s="63">
        <f t="shared" si="3"/>
        <v>0</v>
      </c>
      <c r="U45" s="62"/>
      <c r="V45" s="61"/>
      <c r="W45" s="55">
        <f t="shared" si="6"/>
        <v>11772000</v>
      </c>
    </row>
    <row r="46" spans="1:23" ht="15" customHeight="1" thickBot="1" x14ac:dyDescent="0.3">
      <c r="A46" s="344" t="s">
        <v>115</v>
      </c>
      <c r="B46" s="345"/>
      <c r="C46" s="60">
        <f>SUM(C4:C45)</f>
        <v>4534961</v>
      </c>
      <c r="D46" s="58">
        <f>SUM(D4:D45)</f>
        <v>2194739</v>
      </c>
      <c r="E46" s="57">
        <f t="shared" ref="E46:V46" si="7">SUM(E4:E45)</f>
        <v>0</v>
      </c>
      <c r="F46" s="56">
        <f t="shared" si="7"/>
        <v>0</v>
      </c>
      <c r="G46" s="58">
        <f t="shared" si="7"/>
        <v>0</v>
      </c>
      <c r="H46" s="134">
        <f t="shared" si="7"/>
        <v>259239300</v>
      </c>
      <c r="I46" s="56">
        <f t="shared" si="7"/>
        <v>0</v>
      </c>
      <c r="J46" s="56">
        <f t="shared" si="7"/>
        <v>0</v>
      </c>
      <c r="K46" s="59">
        <f t="shared" si="7"/>
        <v>0</v>
      </c>
      <c r="L46" s="56">
        <f t="shared" si="7"/>
        <v>0</v>
      </c>
      <c r="M46" s="56">
        <f t="shared" si="7"/>
        <v>0</v>
      </c>
      <c r="N46" s="58">
        <f>SUM(N4:N45)</f>
        <v>32895000</v>
      </c>
      <c r="O46" s="57">
        <f t="shared" si="7"/>
        <v>0</v>
      </c>
      <c r="P46" s="56">
        <f t="shared" si="7"/>
        <v>0</v>
      </c>
      <c r="Q46" s="59">
        <f t="shared" si="7"/>
        <v>17700000</v>
      </c>
      <c r="R46" s="56">
        <f t="shared" si="7"/>
        <v>0</v>
      </c>
      <c r="S46" s="56">
        <f t="shared" si="7"/>
        <v>0</v>
      </c>
      <c r="T46" s="58">
        <f t="shared" si="7"/>
        <v>34450000</v>
      </c>
      <c r="U46" s="57">
        <f t="shared" si="7"/>
        <v>0</v>
      </c>
      <c r="V46" s="56">
        <f t="shared" si="7"/>
        <v>0</v>
      </c>
      <c r="W46" s="59">
        <f>SUM(W4:W45)</f>
        <v>344284300</v>
      </c>
    </row>
    <row r="47" spans="1:23" ht="15" customHeight="1" x14ac:dyDescent="0.25">
      <c r="A47" s="93" t="s">
        <v>111</v>
      </c>
      <c r="B47" s="92" t="s">
        <v>114</v>
      </c>
      <c r="C47" s="91"/>
      <c r="D47" s="90"/>
      <c r="E47" s="85"/>
      <c r="F47" s="84"/>
      <c r="G47" s="86">
        <f t="shared" si="0"/>
        <v>0</v>
      </c>
      <c r="H47" s="89"/>
      <c r="I47" s="87"/>
      <c r="J47" s="84"/>
      <c r="K47" s="88">
        <f t="shared" si="1"/>
        <v>0</v>
      </c>
      <c r="L47" s="87"/>
      <c r="M47" s="84"/>
      <c r="N47" s="86">
        <f t="shared" si="5"/>
        <v>0</v>
      </c>
      <c r="O47" s="85"/>
      <c r="P47" s="84"/>
      <c r="Q47" s="88">
        <f t="shared" si="2"/>
        <v>0</v>
      </c>
      <c r="R47" s="87"/>
      <c r="S47" s="84"/>
      <c r="T47" s="86">
        <f t="shared" si="3"/>
        <v>0</v>
      </c>
      <c r="U47" s="85"/>
      <c r="V47" s="84"/>
      <c r="W47" s="55">
        <f>G47+K47+N47+Q47+T47+H47</f>
        <v>0</v>
      </c>
    </row>
    <row r="48" spans="1:23" ht="15" customHeight="1" x14ac:dyDescent="0.25">
      <c r="A48" s="80" t="s">
        <v>111</v>
      </c>
      <c r="B48" s="83" t="s">
        <v>113</v>
      </c>
      <c r="C48" s="82"/>
      <c r="D48" s="81"/>
      <c r="E48" s="72"/>
      <c r="F48" s="71"/>
      <c r="G48" s="73">
        <f t="shared" si="0"/>
        <v>0</v>
      </c>
      <c r="H48" s="76"/>
      <c r="I48" s="74"/>
      <c r="J48" s="71"/>
      <c r="K48" s="75">
        <f t="shared" si="1"/>
        <v>0</v>
      </c>
      <c r="L48" s="74"/>
      <c r="M48" s="71"/>
      <c r="N48" s="73">
        <f t="shared" si="5"/>
        <v>0</v>
      </c>
      <c r="O48" s="72"/>
      <c r="P48" s="71"/>
      <c r="Q48" s="75">
        <f t="shared" si="2"/>
        <v>0</v>
      </c>
      <c r="R48" s="74"/>
      <c r="S48" s="71"/>
      <c r="T48" s="73">
        <f t="shared" si="3"/>
        <v>0</v>
      </c>
      <c r="U48" s="72"/>
      <c r="V48" s="71"/>
      <c r="W48" s="55">
        <f>G48+K48+N48+Q48+T48+H48</f>
        <v>0</v>
      </c>
    </row>
    <row r="49" spans="1:23" ht="15" customHeight="1" x14ac:dyDescent="0.25">
      <c r="A49" s="80" t="s">
        <v>111</v>
      </c>
      <c r="B49" s="83" t="s">
        <v>112</v>
      </c>
      <c r="C49" s="82"/>
      <c r="D49" s="81"/>
      <c r="E49" s="72"/>
      <c r="F49" s="71"/>
      <c r="G49" s="73">
        <f t="shared" si="0"/>
        <v>0</v>
      </c>
      <c r="H49" s="76"/>
      <c r="I49" s="74"/>
      <c r="J49" s="71"/>
      <c r="K49" s="75">
        <f t="shared" si="1"/>
        <v>0</v>
      </c>
      <c r="L49" s="74"/>
      <c r="M49" s="71"/>
      <c r="N49" s="73">
        <f t="shared" si="5"/>
        <v>0</v>
      </c>
      <c r="O49" s="72"/>
      <c r="P49" s="71"/>
      <c r="Q49" s="75">
        <f t="shared" si="2"/>
        <v>0</v>
      </c>
      <c r="R49" s="74"/>
      <c r="S49" s="71"/>
      <c r="T49" s="73">
        <f t="shared" si="3"/>
        <v>0</v>
      </c>
      <c r="U49" s="72"/>
      <c r="V49" s="71"/>
      <c r="W49" s="55">
        <f t="shared" ref="W49:W50" si="8">G49+K49+N49+Q49+T49+H49</f>
        <v>0</v>
      </c>
    </row>
    <row r="50" spans="1:23" ht="15" customHeight="1" thickBot="1" x14ac:dyDescent="0.3">
      <c r="A50" s="70" t="s">
        <v>111</v>
      </c>
      <c r="B50" s="107" t="s">
        <v>110</v>
      </c>
      <c r="C50" s="106"/>
      <c r="D50" s="105"/>
      <c r="E50" s="62"/>
      <c r="F50" s="61"/>
      <c r="G50" s="63">
        <f t="shared" si="0"/>
        <v>0</v>
      </c>
      <c r="H50" s="66"/>
      <c r="I50" s="64"/>
      <c r="J50" s="61"/>
      <c r="K50" s="65">
        <f t="shared" si="1"/>
        <v>0</v>
      </c>
      <c r="L50" s="64"/>
      <c r="M50" s="61"/>
      <c r="N50" s="63">
        <f t="shared" si="5"/>
        <v>0</v>
      </c>
      <c r="O50" s="62"/>
      <c r="P50" s="61"/>
      <c r="Q50" s="65">
        <f t="shared" si="2"/>
        <v>0</v>
      </c>
      <c r="R50" s="64"/>
      <c r="S50" s="61"/>
      <c r="T50" s="63">
        <f t="shared" si="3"/>
        <v>0</v>
      </c>
      <c r="U50" s="62"/>
      <c r="V50" s="61"/>
      <c r="W50" s="55">
        <f t="shared" si="8"/>
        <v>0</v>
      </c>
    </row>
    <row r="51" spans="1:23" ht="15" customHeight="1" thickBot="1" x14ac:dyDescent="0.3">
      <c r="A51" s="344" t="s">
        <v>109</v>
      </c>
      <c r="B51" s="345"/>
      <c r="C51" s="60">
        <f>SUM(C47:C50)</f>
        <v>0</v>
      </c>
      <c r="D51" s="58">
        <f>SUM(D47:D50)</f>
        <v>0</v>
      </c>
      <c r="E51" s="57">
        <f t="shared" ref="E51:W51" si="9">SUM(E47:E50)</f>
        <v>0</v>
      </c>
      <c r="F51" s="56">
        <f t="shared" si="9"/>
        <v>0</v>
      </c>
      <c r="G51" s="58">
        <f t="shared" si="9"/>
        <v>0</v>
      </c>
      <c r="H51" s="134">
        <f t="shared" si="9"/>
        <v>0</v>
      </c>
      <c r="I51" s="56">
        <f t="shared" si="9"/>
        <v>0</v>
      </c>
      <c r="J51" s="56">
        <f t="shared" si="9"/>
        <v>0</v>
      </c>
      <c r="K51" s="58">
        <f t="shared" si="9"/>
        <v>0</v>
      </c>
      <c r="L51" s="57">
        <f t="shared" si="9"/>
        <v>0</v>
      </c>
      <c r="M51" s="56">
        <f t="shared" si="9"/>
        <v>0</v>
      </c>
      <c r="N51" s="59">
        <f t="shared" si="9"/>
        <v>0</v>
      </c>
      <c r="O51" s="56">
        <f t="shared" si="9"/>
        <v>0</v>
      </c>
      <c r="P51" s="56">
        <f t="shared" si="9"/>
        <v>0</v>
      </c>
      <c r="Q51" s="59">
        <f t="shared" si="9"/>
        <v>0</v>
      </c>
      <c r="R51" s="56">
        <f t="shared" si="9"/>
        <v>0</v>
      </c>
      <c r="S51" s="56">
        <f t="shared" si="9"/>
        <v>0</v>
      </c>
      <c r="T51" s="58">
        <f t="shared" si="9"/>
        <v>0</v>
      </c>
      <c r="U51" s="57">
        <f t="shared" si="9"/>
        <v>0</v>
      </c>
      <c r="V51" s="56">
        <f t="shared" si="9"/>
        <v>0</v>
      </c>
      <c r="W51" s="59">
        <f t="shared" si="9"/>
        <v>0</v>
      </c>
    </row>
    <row r="52" spans="1:23" ht="15" customHeight="1" x14ac:dyDescent="0.25">
      <c r="A52" s="93" t="s">
        <v>101</v>
      </c>
      <c r="B52" s="92" t="s">
        <v>108</v>
      </c>
      <c r="C52" s="91"/>
      <c r="D52" s="90"/>
      <c r="E52" s="85"/>
      <c r="F52" s="84"/>
      <c r="G52" s="86">
        <f t="shared" si="0"/>
        <v>0</v>
      </c>
      <c r="H52" s="89"/>
      <c r="I52" s="87"/>
      <c r="J52" s="84"/>
      <c r="K52" s="86">
        <f t="shared" si="1"/>
        <v>0</v>
      </c>
      <c r="L52" s="85"/>
      <c r="M52" s="84"/>
      <c r="N52" s="88">
        <f t="shared" si="5"/>
        <v>0</v>
      </c>
      <c r="O52" s="87"/>
      <c r="P52" s="84"/>
      <c r="Q52" s="88">
        <f t="shared" si="2"/>
        <v>0</v>
      </c>
      <c r="R52" s="87"/>
      <c r="S52" s="84"/>
      <c r="T52" s="86">
        <f t="shared" si="3"/>
        <v>0</v>
      </c>
      <c r="U52" s="85"/>
      <c r="V52" s="84"/>
      <c r="W52" s="55">
        <f>G52+K52+N52+Q52+T52+H52</f>
        <v>0</v>
      </c>
    </row>
    <row r="53" spans="1:23" ht="15" customHeight="1" x14ac:dyDescent="0.25">
      <c r="A53" s="80" t="s">
        <v>101</v>
      </c>
      <c r="B53" s="83" t="s">
        <v>107</v>
      </c>
      <c r="C53" s="82"/>
      <c r="D53" s="81"/>
      <c r="E53" s="72"/>
      <c r="F53" s="71"/>
      <c r="G53" s="73">
        <f t="shared" si="0"/>
        <v>0</v>
      </c>
      <c r="H53" s="76"/>
      <c r="I53" s="74"/>
      <c r="J53" s="71"/>
      <c r="K53" s="73">
        <f t="shared" si="1"/>
        <v>0</v>
      </c>
      <c r="L53" s="72"/>
      <c r="M53" s="71"/>
      <c r="N53" s="75">
        <f t="shared" si="5"/>
        <v>0</v>
      </c>
      <c r="O53" s="74"/>
      <c r="P53" s="71"/>
      <c r="Q53" s="75">
        <f t="shared" si="2"/>
        <v>0</v>
      </c>
      <c r="R53" s="74"/>
      <c r="S53" s="71"/>
      <c r="T53" s="73">
        <f t="shared" si="3"/>
        <v>0</v>
      </c>
      <c r="U53" s="72"/>
      <c r="V53" s="71"/>
      <c r="W53" s="55">
        <f t="shared" ref="W53:W60" si="10">G53+K53+N53+Q53+T53+H53</f>
        <v>0</v>
      </c>
    </row>
    <row r="54" spans="1:23" ht="15" customHeight="1" x14ac:dyDescent="0.25">
      <c r="A54" s="80" t="s">
        <v>101</v>
      </c>
      <c r="B54" s="83" t="s">
        <v>106</v>
      </c>
      <c r="C54" s="82"/>
      <c r="D54" s="81"/>
      <c r="E54" s="72"/>
      <c r="F54" s="71"/>
      <c r="G54" s="73">
        <f t="shared" si="0"/>
        <v>0</v>
      </c>
      <c r="H54" s="76"/>
      <c r="I54" s="74"/>
      <c r="J54" s="71"/>
      <c r="K54" s="73">
        <f t="shared" si="1"/>
        <v>0</v>
      </c>
      <c r="L54" s="72"/>
      <c r="M54" s="71"/>
      <c r="N54" s="75">
        <f t="shared" si="5"/>
        <v>0</v>
      </c>
      <c r="O54" s="74"/>
      <c r="P54" s="71"/>
      <c r="Q54" s="75">
        <f t="shared" si="2"/>
        <v>0</v>
      </c>
      <c r="R54" s="74"/>
      <c r="S54" s="71"/>
      <c r="T54" s="73">
        <f t="shared" si="3"/>
        <v>0</v>
      </c>
      <c r="U54" s="72"/>
      <c r="V54" s="71"/>
      <c r="W54" s="55">
        <f t="shared" si="10"/>
        <v>0</v>
      </c>
    </row>
    <row r="55" spans="1:23" ht="15" customHeight="1" x14ac:dyDescent="0.25">
      <c r="A55" s="80" t="s">
        <v>101</v>
      </c>
      <c r="B55" s="83" t="s">
        <v>105</v>
      </c>
      <c r="C55" s="82"/>
      <c r="D55" s="81"/>
      <c r="E55" s="72"/>
      <c r="F55" s="71"/>
      <c r="G55" s="73">
        <f t="shared" si="0"/>
        <v>0</v>
      </c>
      <c r="H55" s="76"/>
      <c r="I55" s="74"/>
      <c r="J55" s="71"/>
      <c r="K55" s="73">
        <f t="shared" si="1"/>
        <v>0</v>
      </c>
      <c r="L55" s="72"/>
      <c r="M55" s="71"/>
      <c r="N55" s="75">
        <f t="shared" si="5"/>
        <v>0</v>
      </c>
      <c r="O55" s="74"/>
      <c r="P55" s="71"/>
      <c r="Q55" s="75">
        <f t="shared" si="2"/>
        <v>0</v>
      </c>
      <c r="R55" s="74"/>
      <c r="S55" s="71"/>
      <c r="T55" s="73">
        <f t="shared" si="3"/>
        <v>0</v>
      </c>
      <c r="U55" s="72"/>
      <c r="V55" s="71"/>
      <c r="W55" s="55">
        <f t="shared" si="10"/>
        <v>0</v>
      </c>
    </row>
    <row r="56" spans="1:23" ht="15" customHeight="1" x14ac:dyDescent="0.25">
      <c r="A56" s="80" t="s">
        <v>101</v>
      </c>
      <c r="B56" s="83" t="s">
        <v>104</v>
      </c>
      <c r="C56" s="82"/>
      <c r="D56" s="81"/>
      <c r="E56" s="72"/>
      <c r="F56" s="71"/>
      <c r="G56" s="73">
        <f t="shared" si="0"/>
        <v>0</v>
      </c>
      <c r="H56" s="76"/>
      <c r="I56" s="74"/>
      <c r="J56" s="71"/>
      <c r="K56" s="73">
        <f t="shared" si="1"/>
        <v>0</v>
      </c>
      <c r="L56" s="72"/>
      <c r="M56" s="71"/>
      <c r="N56" s="75">
        <f t="shared" si="5"/>
        <v>0</v>
      </c>
      <c r="O56" s="74"/>
      <c r="P56" s="71"/>
      <c r="Q56" s="75">
        <f t="shared" si="2"/>
        <v>0</v>
      </c>
      <c r="R56" s="74"/>
      <c r="S56" s="71"/>
      <c r="T56" s="73">
        <f t="shared" si="3"/>
        <v>0</v>
      </c>
      <c r="U56" s="72"/>
      <c r="V56" s="71"/>
      <c r="W56" s="55">
        <f t="shared" si="10"/>
        <v>0</v>
      </c>
    </row>
    <row r="57" spans="1:23" ht="15" customHeight="1" x14ac:dyDescent="0.25">
      <c r="A57" s="80" t="s">
        <v>101</v>
      </c>
      <c r="B57" s="83" t="s">
        <v>103</v>
      </c>
      <c r="C57" s="82"/>
      <c r="D57" s="81"/>
      <c r="E57" s="72"/>
      <c r="F57" s="71"/>
      <c r="G57" s="73">
        <f t="shared" si="0"/>
        <v>0</v>
      </c>
      <c r="H57" s="76"/>
      <c r="I57" s="74"/>
      <c r="J57" s="71"/>
      <c r="K57" s="73">
        <f t="shared" si="1"/>
        <v>0</v>
      </c>
      <c r="L57" s="72"/>
      <c r="M57" s="71"/>
      <c r="N57" s="75">
        <f t="shared" si="5"/>
        <v>0</v>
      </c>
      <c r="O57" s="74"/>
      <c r="P57" s="71"/>
      <c r="Q57" s="75">
        <f t="shared" si="2"/>
        <v>0</v>
      </c>
      <c r="R57" s="74"/>
      <c r="S57" s="71"/>
      <c r="T57" s="73">
        <f t="shared" si="3"/>
        <v>0</v>
      </c>
      <c r="U57" s="72"/>
      <c r="V57" s="71"/>
      <c r="W57" s="55">
        <f t="shared" si="10"/>
        <v>0</v>
      </c>
    </row>
    <row r="58" spans="1:23" ht="15" customHeight="1" x14ac:dyDescent="0.25">
      <c r="A58" s="80" t="s">
        <v>101</v>
      </c>
      <c r="B58" s="83" t="s">
        <v>102</v>
      </c>
      <c r="C58" s="82"/>
      <c r="D58" s="81"/>
      <c r="E58" s="72"/>
      <c r="F58" s="71"/>
      <c r="G58" s="73">
        <f t="shared" si="0"/>
        <v>0</v>
      </c>
      <c r="H58" s="76">
        <v>2205000</v>
      </c>
      <c r="I58" s="74"/>
      <c r="J58" s="71"/>
      <c r="K58" s="73">
        <f t="shared" si="1"/>
        <v>0</v>
      </c>
      <c r="L58" s="72"/>
      <c r="M58" s="71"/>
      <c r="N58" s="75">
        <f t="shared" si="5"/>
        <v>0</v>
      </c>
      <c r="O58" s="74"/>
      <c r="P58" s="71"/>
      <c r="Q58" s="75">
        <f t="shared" si="2"/>
        <v>0</v>
      </c>
      <c r="R58" s="74"/>
      <c r="S58" s="71"/>
      <c r="T58" s="73">
        <f t="shared" si="3"/>
        <v>0</v>
      </c>
      <c r="U58" s="72"/>
      <c r="V58" s="71"/>
      <c r="W58" s="55">
        <f t="shared" si="10"/>
        <v>2205000</v>
      </c>
    </row>
    <row r="59" spans="1:23" ht="15" customHeight="1" x14ac:dyDescent="0.25">
      <c r="A59" s="80" t="s">
        <v>101</v>
      </c>
      <c r="B59" s="83" t="s">
        <v>22</v>
      </c>
      <c r="C59" s="82"/>
      <c r="D59" s="81"/>
      <c r="E59" s="72"/>
      <c r="F59" s="71"/>
      <c r="G59" s="73">
        <f t="shared" si="0"/>
        <v>0</v>
      </c>
      <c r="H59" s="76">
        <v>17000000</v>
      </c>
      <c r="I59" s="74"/>
      <c r="J59" s="71"/>
      <c r="K59" s="73">
        <f t="shared" si="1"/>
        <v>0</v>
      </c>
      <c r="L59" s="72"/>
      <c r="M59" s="71"/>
      <c r="N59" s="75">
        <f t="shared" si="5"/>
        <v>0</v>
      </c>
      <c r="O59" s="74"/>
      <c r="P59" s="71"/>
      <c r="Q59" s="75">
        <f t="shared" si="2"/>
        <v>0</v>
      </c>
      <c r="R59" s="74"/>
      <c r="S59" s="71"/>
      <c r="T59" s="73">
        <f t="shared" si="3"/>
        <v>0</v>
      </c>
      <c r="U59" s="72"/>
      <c r="V59" s="71"/>
      <c r="W59" s="55">
        <f t="shared" si="10"/>
        <v>17000000</v>
      </c>
    </row>
    <row r="60" spans="1:23" ht="15" customHeight="1" thickBot="1" x14ac:dyDescent="0.3">
      <c r="A60" s="70" t="s">
        <v>101</v>
      </c>
      <c r="B60" s="69" t="s">
        <v>23</v>
      </c>
      <c r="C60" s="68"/>
      <c r="D60" s="67"/>
      <c r="E60" s="62"/>
      <c r="F60" s="61"/>
      <c r="G60" s="63">
        <f t="shared" si="0"/>
        <v>0</v>
      </c>
      <c r="H60" s="66"/>
      <c r="I60" s="64"/>
      <c r="J60" s="61"/>
      <c r="K60" s="63">
        <f t="shared" si="1"/>
        <v>0</v>
      </c>
      <c r="L60" s="62"/>
      <c r="M60" s="61"/>
      <c r="N60" s="65">
        <f t="shared" si="5"/>
        <v>0</v>
      </c>
      <c r="O60" s="64"/>
      <c r="P60" s="61"/>
      <c r="Q60" s="65">
        <f t="shared" si="2"/>
        <v>0</v>
      </c>
      <c r="R60" s="64"/>
      <c r="S60" s="61"/>
      <c r="T60" s="63">
        <f t="shared" si="3"/>
        <v>0</v>
      </c>
      <c r="U60" s="62"/>
      <c r="V60" s="61"/>
      <c r="W60" s="55">
        <f t="shared" si="10"/>
        <v>0</v>
      </c>
    </row>
    <row r="61" spans="1:23" ht="15" customHeight="1" thickBot="1" x14ac:dyDescent="0.3">
      <c r="A61" s="344" t="s">
        <v>100</v>
      </c>
      <c r="B61" s="345"/>
      <c r="C61" s="60">
        <f>SUM(C52:C60)</f>
        <v>0</v>
      </c>
      <c r="D61" s="58">
        <f>SUM(D52:D60)</f>
        <v>0</v>
      </c>
      <c r="E61" s="57">
        <f t="shared" ref="E61:W61" si="11">SUM(E52:E60)</f>
        <v>0</v>
      </c>
      <c r="F61" s="56">
        <f t="shared" si="11"/>
        <v>0</v>
      </c>
      <c r="G61" s="59">
        <f t="shared" si="11"/>
        <v>0</v>
      </c>
      <c r="H61" s="134">
        <f t="shared" si="11"/>
        <v>19205000</v>
      </c>
      <c r="I61" s="56">
        <f t="shared" si="11"/>
        <v>0</v>
      </c>
      <c r="J61" s="56">
        <f t="shared" si="11"/>
        <v>0</v>
      </c>
      <c r="K61" s="58">
        <f t="shared" si="11"/>
        <v>0</v>
      </c>
      <c r="L61" s="57">
        <f t="shared" si="11"/>
        <v>0</v>
      </c>
      <c r="M61" s="56">
        <f t="shared" si="11"/>
        <v>0</v>
      </c>
      <c r="N61" s="59">
        <f t="shared" si="11"/>
        <v>0</v>
      </c>
      <c r="O61" s="56">
        <f t="shared" si="11"/>
        <v>0</v>
      </c>
      <c r="P61" s="56">
        <f t="shared" si="11"/>
        <v>0</v>
      </c>
      <c r="Q61" s="58">
        <f t="shared" si="11"/>
        <v>0</v>
      </c>
      <c r="R61" s="57">
        <f t="shared" si="11"/>
        <v>0</v>
      </c>
      <c r="S61" s="56">
        <f t="shared" si="11"/>
        <v>0</v>
      </c>
      <c r="T61" s="59">
        <f t="shared" si="11"/>
        <v>0</v>
      </c>
      <c r="U61" s="57">
        <f t="shared" si="11"/>
        <v>0</v>
      </c>
      <c r="V61" s="56">
        <f t="shared" si="11"/>
        <v>0</v>
      </c>
      <c r="W61" s="59">
        <f t="shared" si="11"/>
        <v>19205000</v>
      </c>
    </row>
    <row r="62" spans="1:23" ht="15" customHeight="1" thickBot="1" x14ac:dyDescent="0.3">
      <c r="A62" s="104" t="s">
        <v>99</v>
      </c>
      <c r="B62" s="103" t="s">
        <v>98</v>
      </c>
      <c r="C62" s="102"/>
      <c r="D62" s="101"/>
      <c r="E62" s="96"/>
      <c r="F62" s="95"/>
      <c r="G62" s="97">
        <f t="shared" si="0"/>
        <v>0</v>
      </c>
      <c r="H62" s="100">
        <v>54000</v>
      </c>
      <c r="I62" s="99"/>
      <c r="J62" s="95"/>
      <c r="K62" s="98">
        <f t="shared" si="1"/>
        <v>0</v>
      </c>
      <c r="L62" s="96"/>
      <c r="M62" s="95"/>
      <c r="N62" s="97">
        <f t="shared" si="5"/>
        <v>0</v>
      </c>
      <c r="O62" s="99"/>
      <c r="P62" s="95"/>
      <c r="Q62" s="98">
        <f t="shared" si="2"/>
        <v>0</v>
      </c>
      <c r="R62" s="96"/>
      <c r="S62" s="95"/>
      <c r="T62" s="97">
        <f t="shared" si="3"/>
        <v>0</v>
      </c>
      <c r="U62" s="96"/>
      <c r="V62" s="95"/>
      <c r="W62" s="55">
        <f>G62+K62+N62+Q62+T62+H62</f>
        <v>54000</v>
      </c>
    </row>
    <row r="63" spans="1:23" ht="15" customHeight="1" thickBot="1" x14ac:dyDescent="0.3">
      <c r="A63" s="344" t="s">
        <v>97</v>
      </c>
      <c r="B63" s="345"/>
      <c r="C63" s="60">
        <f>C62</f>
        <v>0</v>
      </c>
      <c r="D63" s="58">
        <f>D62</f>
        <v>0</v>
      </c>
      <c r="E63" s="94">
        <f t="shared" ref="E63:W63" si="12">E62</f>
        <v>0</v>
      </c>
      <c r="F63" s="58">
        <f t="shared" si="12"/>
        <v>0</v>
      </c>
      <c r="G63" s="59">
        <f t="shared" si="12"/>
        <v>0</v>
      </c>
      <c r="H63" s="134">
        <f t="shared" si="12"/>
        <v>54000</v>
      </c>
      <c r="I63" s="58">
        <f t="shared" si="12"/>
        <v>0</v>
      </c>
      <c r="J63" s="58">
        <f t="shared" si="12"/>
        <v>0</v>
      </c>
      <c r="K63" s="58">
        <f t="shared" si="12"/>
        <v>0</v>
      </c>
      <c r="L63" s="94">
        <f t="shared" si="12"/>
        <v>0</v>
      </c>
      <c r="M63" s="58">
        <f t="shared" si="12"/>
        <v>0</v>
      </c>
      <c r="N63" s="59">
        <f t="shared" si="12"/>
        <v>0</v>
      </c>
      <c r="O63" s="58">
        <f t="shared" si="12"/>
        <v>0</v>
      </c>
      <c r="P63" s="58">
        <f t="shared" si="12"/>
        <v>0</v>
      </c>
      <c r="Q63" s="58">
        <f t="shared" si="12"/>
        <v>0</v>
      </c>
      <c r="R63" s="94">
        <f t="shared" si="12"/>
        <v>0</v>
      </c>
      <c r="S63" s="58">
        <f t="shared" si="12"/>
        <v>0</v>
      </c>
      <c r="T63" s="59">
        <f t="shared" si="12"/>
        <v>0</v>
      </c>
      <c r="U63" s="94">
        <f t="shared" si="12"/>
        <v>0</v>
      </c>
      <c r="V63" s="58">
        <f t="shared" si="12"/>
        <v>0</v>
      </c>
      <c r="W63" s="59">
        <f t="shared" si="12"/>
        <v>54000</v>
      </c>
    </row>
    <row r="64" spans="1:23" ht="15" customHeight="1" x14ac:dyDescent="0.25">
      <c r="A64" s="93" t="s">
        <v>93</v>
      </c>
      <c r="B64" s="92" t="s">
        <v>96</v>
      </c>
      <c r="C64" s="91"/>
      <c r="D64" s="90"/>
      <c r="E64" s="85"/>
      <c r="F64" s="84"/>
      <c r="G64" s="88">
        <f t="shared" si="0"/>
        <v>0</v>
      </c>
      <c r="H64" s="89">
        <v>99000</v>
      </c>
      <c r="I64" s="87"/>
      <c r="J64" s="84"/>
      <c r="K64" s="86">
        <f t="shared" si="1"/>
        <v>0</v>
      </c>
      <c r="L64" s="85"/>
      <c r="M64" s="84"/>
      <c r="N64" s="88">
        <f t="shared" si="5"/>
        <v>0</v>
      </c>
      <c r="O64" s="87"/>
      <c r="P64" s="84"/>
      <c r="Q64" s="88">
        <f t="shared" si="2"/>
        <v>0</v>
      </c>
      <c r="R64" s="87"/>
      <c r="S64" s="84"/>
      <c r="T64" s="86">
        <f t="shared" si="3"/>
        <v>0</v>
      </c>
      <c r="U64" s="85"/>
      <c r="V64" s="84"/>
      <c r="W64" s="55">
        <f>G64+K64+N64+Q64+T64+H64</f>
        <v>99000</v>
      </c>
    </row>
    <row r="65" spans="1:23" ht="15" customHeight="1" x14ac:dyDescent="0.25">
      <c r="A65" s="80" t="s">
        <v>93</v>
      </c>
      <c r="B65" s="83" t="s">
        <v>95</v>
      </c>
      <c r="C65" s="82"/>
      <c r="D65" s="81"/>
      <c r="E65" s="72"/>
      <c r="F65" s="71"/>
      <c r="G65" s="75">
        <f t="shared" si="0"/>
        <v>0</v>
      </c>
      <c r="H65" s="76"/>
      <c r="I65" s="74"/>
      <c r="J65" s="71"/>
      <c r="K65" s="73">
        <f t="shared" si="1"/>
        <v>0</v>
      </c>
      <c r="L65" s="72"/>
      <c r="M65" s="71"/>
      <c r="N65" s="75">
        <f t="shared" si="5"/>
        <v>0</v>
      </c>
      <c r="O65" s="74"/>
      <c r="P65" s="71"/>
      <c r="Q65" s="75">
        <f t="shared" si="2"/>
        <v>0</v>
      </c>
      <c r="R65" s="74"/>
      <c r="S65" s="71"/>
      <c r="T65" s="73">
        <f t="shared" si="3"/>
        <v>0</v>
      </c>
      <c r="U65" s="72"/>
      <c r="V65" s="71"/>
      <c r="W65" s="55">
        <f t="shared" ref="W65:W68" si="13">G65+K65+N65+Q65+T65+H65</f>
        <v>0</v>
      </c>
    </row>
    <row r="66" spans="1:23" ht="15" customHeight="1" x14ac:dyDescent="0.25">
      <c r="A66" s="80" t="s">
        <v>93</v>
      </c>
      <c r="B66" s="79" t="s">
        <v>94</v>
      </c>
      <c r="C66" s="78"/>
      <c r="D66" s="77"/>
      <c r="E66" s="72"/>
      <c r="F66" s="71"/>
      <c r="G66" s="75">
        <f t="shared" si="0"/>
        <v>0</v>
      </c>
      <c r="H66" s="76">
        <v>297000</v>
      </c>
      <c r="I66" s="74"/>
      <c r="J66" s="71"/>
      <c r="K66" s="73">
        <f t="shared" si="1"/>
        <v>0</v>
      </c>
      <c r="L66" s="72"/>
      <c r="M66" s="71"/>
      <c r="N66" s="75">
        <f t="shared" si="5"/>
        <v>0</v>
      </c>
      <c r="O66" s="74"/>
      <c r="P66" s="71"/>
      <c r="Q66" s="75">
        <f t="shared" si="2"/>
        <v>0</v>
      </c>
      <c r="R66" s="74"/>
      <c r="S66" s="71"/>
      <c r="T66" s="73">
        <f t="shared" si="3"/>
        <v>0</v>
      </c>
      <c r="U66" s="72"/>
      <c r="V66" s="71"/>
      <c r="W66" s="55">
        <f t="shared" si="13"/>
        <v>297000</v>
      </c>
    </row>
    <row r="67" spans="1:23" ht="15" customHeight="1" thickBot="1" x14ac:dyDescent="0.3">
      <c r="A67" s="70" t="s">
        <v>93</v>
      </c>
      <c r="B67" s="69" t="s">
        <v>92</v>
      </c>
      <c r="C67" s="68"/>
      <c r="D67" s="67"/>
      <c r="E67" s="62"/>
      <c r="F67" s="61"/>
      <c r="G67" s="65">
        <f t="shared" si="0"/>
        <v>0</v>
      </c>
      <c r="H67" s="66"/>
      <c r="I67" s="64"/>
      <c r="J67" s="61"/>
      <c r="K67" s="63">
        <f t="shared" si="1"/>
        <v>0</v>
      </c>
      <c r="L67" s="62"/>
      <c r="M67" s="61"/>
      <c r="N67" s="65">
        <f t="shared" si="5"/>
        <v>0</v>
      </c>
      <c r="O67" s="64"/>
      <c r="P67" s="61"/>
      <c r="Q67" s="65">
        <f t="shared" si="2"/>
        <v>0</v>
      </c>
      <c r="R67" s="64"/>
      <c r="S67" s="61"/>
      <c r="T67" s="63">
        <f t="shared" si="3"/>
        <v>0</v>
      </c>
      <c r="U67" s="62"/>
      <c r="V67" s="61"/>
      <c r="W67" s="55">
        <f t="shared" si="13"/>
        <v>0</v>
      </c>
    </row>
    <row r="68" spans="1:23" ht="15" customHeight="1" thickBot="1" x14ac:dyDescent="0.3">
      <c r="A68" s="344" t="s">
        <v>91</v>
      </c>
      <c r="B68" s="345"/>
      <c r="C68" s="60">
        <f>SUM(C64:C67)</f>
        <v>0</v>
      </c>
      <c r="D68" s="58">
        <f>SUM(D64:D67)</f>
        <v>0</v>
      </c>
      <c r="E68" s="57">
        <f t="shared" ref="E68:V68" si="14">SUM(E64:E67)</f>
        <v>0</v>
      </c>
      <c r="F68" s="56">
        <f t="shared" si="14"/>
        <v>0</v>
      </c>
      <c r="G68" s="59">
        <f t="shared" si="14"/>
        <v>0</v>
      </c>
      <c r="H68" s="134">
        <f t="shared" si="14"/>
        <v>396000</v>
      </c>
      <c r="I68" s="56">
        <f t="shared" si="14"/>
        <v>0</v>
      </c>
      <c r="J68" s="56">
        <f t="shared" si="14"/>
        <v>0</v>
      </c>
      <c r="K68" s="58">
        <f t="shared" si="14"/>
        <v>0</v>
      </c>
      <c r="L68" s="57">
        <f t="shared" si="14"/>
        <v>0</v>
      </c>
      <c r="M68" s="56">
        <f t="shared" si="14"/>
        <v>0</v>
      </c>
      <c r="N68" s="59">
        <f t="shared" si="14"/>
        <v>0</v>
      </c>
      <c r="O68" s="56">
        <f t="shared" si="14"/>
        <v>0</v>
      </c>
      <c r="P68" s="56">
        <f t="shared" si="14"/>
        <v>0</v>
      </c>
      <c r="Q68" s="59">
        <f t="shared" si="14"/>
        <v>0</v>
      </c>
      <c r="R68" s="56">
        <f t="shared" si="14"/>
        <v>0</v>
      </c>
      <c r="S68" s="56">
        <f t="shared" si="14"/>
        <v>0</v>
      </c>
      <c r="T68" s="58">
        <f t="shared" si="14"/>
        <v>0</v>
      </c>
      <c r="U68" s="57">
        <f t="shared" si="14"/>
        <v>0</v>
      </c>
      <c r="V68" s="56">
        <f t="shared" si="14"/>
        <v>0</v>
      </c>
      <c r="W68" s="55">
        <f t="shared" si="13"/>
        <v>396000</v>
      </c>
    </row>
    <row r="69" spans="1:23" ht="15" customHeight="1" thickBot="1" x14ac:dyDescent="0.3">
      <c r="A69" s="346" t="s">
        <v>90</v>
      </c>
      <c r="B69" s="347"/>
      <c r="C69" s="52">
        <f>C46+C51+C61+C63+C68</f>
        <v>4534961</v>
      </c>
      <c r="D69" s="53">
        <f t="shared" ref="D69:W69" si="15">D46+D51+D61+D63+D68</f>
        <v>2194739</v>
      </c>
      <c r="E69" s="52">
        <f t="shared" si="15"/>
        <v>0</v>
      </c>
      <c r="F69" s="52">
        <f t="shared" si="15"/>
        <v>0</v>
      </c>
      <c r="G69" s="52">
        <f t="shared" si="15"/>
        <v>0</v>
      </c>
      <c r="H69" s="52">
        <f t="shared" si="15"/>
        <v>278894300</v>
      </c>
      <c r="I69" s="54">
        <f t="shared" si="15"/>
        <v>0</v>
      </c>
      <c r="J69" s="52">
        <f t="shared" si="15"/>
        <v>0</v>
      </c>
      <c r="K69" s="53">
        <f t="shared" si="15"/>
        <v>0</v>
      </c>
      <c r="L69" s="52">
        <f t="shared" si="15"/>
        <v>0</v>
      </c>
      <c r="M69" s="52">
        <f t="shared" si="15"/>
        <v>0</v>
      </c>
      <c r="N69" s="52">
        <f t="shared" si="15"/>
        <v>32895000</v>
      </c>
      <c r="O69" s="54">
        <f t="shared" si="15"/>
        <v>0</v>
      </c>
      <c r="P69" s="52">
        <f t="shared" si="15"/>
        <v>0</v>
      </c>
      <c r="Q69" s="52">
        <f t="shared" si="15"/>
        <v>17700000</v>
      </c>
      <c r="R69" s="54">
        <f t="shared" si="15"/>
        <v>0</v>
      </c>
      <c r="S69" s="52">
        <f t="shared" si="15"/>
        <v>0</v>
      </c>
      <c r="T69" s="53">
        <f t="shared" si="15"/>
        <v>34450000</v>
      </c>
      <c r="U69" s="52">
        <f t="shared" si="15"/>
        <v>0</v>
      </c>
      <c r="V69" s="52">
        <f t="shared" si="15"/>
        <v>0</v>
      </c>
      <c r="W69" s="52">
        <f t="shared" si="15"/>
        <v>363939300</v>
      </c>
    </row>
  </sheetData>
  <mergeCells count="16">
    <mergeCell ref="A61:B61"/>
    <mergeCell ref="A63:B63"/>
    <mergeCell ref="A68:B68"/>
    <mergeCell ref="A69:B69"/>
    <mergeCell ref="O2:Q2"/>
    <mergeCell ref="R2:T2"/>
    <mergeCell ref="U2:V2"/>
    <mergeCell ref="W2:W3"/>
    <mergeCell ref="A46:B46"/>
    <mergeCell ref="A51:B51"/>
    <mergeCell ref="A2:B3"/>
    <mergeCell ref="C2:C3"/>
    <mergeCell ref="D2:D3"/>
    <mergeCell ref="E2:G2"/>
    <mergeCell ref="I2:K2"/>
    <mergeCell ref="L2:N2"/>
  </mergeCells>
  <pageMargins left="0.7" right="0.7" top="0.75" bottom="0.75" header="0.3" footer="0.3"/>
  <pageSetup paperSize="8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/>
  </sheetViews>
  <sheetFormatPr defaultRowHeight="15" x14ac:dyDescent="0.25"/>
  <cols>
    <col min="2" max="2" width="9.42578125" bestFit="1" customWidth="1"/>
    <col min="3" max="3" width="7.140625" bestFit="1" customWidth="1"/>
    <col min="4" max="4" width="13.42578125" bestFit="1" customWidth="1"/>
    <col min="5" max="5" width="15.42578125" bestFit="1" customWidth="1"/>
    <col min="6" max="6" width="7.28515625" customWidth="1"/>
    <col min="7" max="7" width="7.85546875" customWidth="1"/>
    <col min="8" max="8" width="16.7109375" customWidth="1"/>
  </cols>
  <sheetData>
    <row r="2" spans="2:8" x14ac:dyDescent="0.25">
      <c r="B2" t="s">
        <v>177</v>
      </c>
    </row>
    <row r="3" spans="2:8" x14ac:dyDescent="0.25">
      <c r="B3" t="s">
        <v>178</v>
      </c>
    </row>
    <row r="4" spans="2:8" x14ac:dyDescent="0.25">
      <c r="B4" t="s">
        <v>179</v>
      </c>
    </row>
    <row r="5" spans="2:8" ht="15.75" thickBot="1" x14ac:dyDescent="0.3"/>
    <row r="6" spans="2:8" ht="15.75" thickBot="1" x14ac:dyDescent="0.3">
      <c r="B6" s="174" t="s">
        <v>144</v>
      </c>
      <c r="C6" s="174" t="s">
        <v>145</v>
      </c>
      <c r="D6" s="174" t="s">
        <v>24</v>
      </c>
      <c r="E6" s="174" t="s">
        <v>146</v>
      </c>
      <c r="F6" s="174" t="s">
        <v>147</v>
      </c>
      <c r="G6" s="174" t="s">
        <v>148</v>
      </c>
      <c r="H6" s="174" t="s">
        <v>149</v>
      </c>
    </row>
    <row r="7" spans="2:8" ht="15.75" thickBot="1" x14ac:dyDescent="0.3">
      <c r="B7" s="175" t="s">
        <v>150</v>
      </c>
      <c r="C7" s="175" t="s">
        <v>151</v>
      </c>
      <c r="D7" s="175" t="s">
        <v>52</v>
      </c>
      <c r="E7" s="175" t="s">
        <v>152</v>
      </c>
      <c r="F7" s="176"/>
      <c r="G7" s="175" t="s">
        <v>153</v>
      </c>
      <c r="H7" s="177">
        <v>42979</v>
      </c>
    </row>
    <row r="8" spans="2:8" ht="15.75" thickBot="1" x14ac:dyDescent="0.3">
      <c r="B8" s="178" t="s">
        <v>150</v>
      </c>
      <c r="C8" s="178" t="s">
        <v>151</v>
      </c>
      <c r="D8" s="178" t="s">
        <v>13</v>
      </c>
      <c r="E8" s="178" t="s">
        <v>154</v>
      </c>
      <c r="F8" s="179"/>
      <c r="G8" s="178" t="s">
        <v>153</v>
      </c>
      <c r="H8" s="180">
        <v>42826</v>
      </c>
    </row>
    <row r="9" spans="2:8" ht="15.75" thickBot="1" x14ac:dyDescent="0.3">
      <c r="B9" s="175" t="s">
        <v>150</v>
      </c>
      <c r="C9" s="175" t="s">
        <v>151</v>
      </c>
      <c r="D9" s="175" t="s">
        <v>12</v>
      </c>
      <c r="E9" s="175" t="s">
        <v>155</v>
      </c>
      <c r="F9" s="176"/>
      <c r="G9" s="175" t="s">
        <v>153</v>
      </c>
      <c r="H9" s="177">
        <v>42767</v>
      </c>
    </row>
    <row r="10" spans="2:8" ht="15.75" thickBot="1" x14ac:dyDescent="0.3">
      <c r="B10" s="178" t="s">
        <v>150</v>
      </c>
      <c r="C10" s="178" t="s">
        <v>151</v>
      </c>
      <c r="D10" s="178" t="s">
        <v>49</v>
      </c>
      <c r="E10" s="178" t="s">
        <v>156</v>
      </c>
      <c r="F10" s="179"/>
      <c r="G10" s="178" t="s">
        <v>153</v>
      </c>
      <c r="H10" s="180">
        <v>42887</v>
      </c>
    </row>
    <row r="11" spans="2:8" ht="15.75" thickBot="1" x14ac:dyDescent="0.3">
      <c r="B11" s="175" t="s">
        <v>150</v>
      </c>
      <c r="C11" s="175" t="s">
        <v>151</v>
      </c>
      <c r="D11" s="175" t="s">
        <v>46</v>
      </c>
      <c r="E11" s="175" t="s">
        <v>157</v>
      </c>
      <c r="F11" s="176"/>
      <c r="G11" s="175" t="s">
        <v>153</v>
      </c>
      <c r="H11" s="177">
        <v>42887</v>
      </c>
    </row>
    <row r="12" spans="2:8" ht="15.75" thickBot="1" x14ac:dyDescent="0.3">
      <c r="B12" s="178" t="s">
        <v>150</v>
      </c>
      <c r="C12" s="178" t="s">
        <v>151</v>
      </c>
      <c r="D12" s="178" t="s">
        <v>21</v>
      </c>
      <c r="E12" s="178" t="s">
        <v>158</v>
      </c>
      <c r="F12" s="179"/>
      <c r="G12" s="178" t="s">
        <v>153</v>
      </c>
      <c r="H12" s="180">
        <v>42795</v>
      </c>
    </row>
    <row r="13" spans="2:8" ht="15.75" thickBot="1" x14ac:dyDescent="0.3">
      <c r="B13" s="175" t="s">
        <v>150</v>
      </c>
      <c r="C13" s="175" t="s">
        <v>151</v>
      </c>
      <c r="D13" s="175" t="s">
        <v>19</v>
      </c>
      <c r="E13" s="175" t="s">
        <v>159</v>
      </c>
      <c r="F13" s="176"/>
      <c r="G13" s="175" t="s">
        <v>153</v>
      </c>
      <c r="H13" s="177">
        <v>42736</v>
      </c>
    </row>
    <row r="14" spans="2:8" ht="15.75" thickBot="1" x14ac:dyDescent="0.3">
      <c r="B14" s="178" t="s">
        <v>150</v>
      </c>
      <c r="C14" s="178" t="s">
        <v>151</v>
      </c>
      <c r="D14" s="178" t="s">
        <v>42</v>
      </c>
      <c r="E14" s="178" t="s">
        <v>160</v>
      </c>
      <c r="F14" s="179"/>
      <c r="G14" s="178" t="s">
        <v>153</v>
      </c>
      <c r="H14" s="180">
        <v>42795</v>
      </c>
    </row>
    <row r="15" spans="2:8" ht="15.75" thickBot="1" x14ac:dyDescent="0.3">
      <c r="B15" s="175" t="s">
        <v>150</v>
      </c>
      <c r="C15" s="175" t="s">
        <v>151</v>
      </c>
      <c r="D15" s="175" t="s">
        <v>17</v>
      </c>
      <c r="E15" s="175" t="s">
        <v>161</v>
      </c>
      <c r="F15" s="176"/>
      <c r="G15" s="175" t="s">
        <v>153</v>
      </c>
      <c r="H15" s="177">
        <v>43040</v>
      </c>
    </row>
    <row r="16" spans="2:8" ht="15.75" thickBot="1" x14ac:dyDescent="0.3">
      <c r="B16" s="178" t="s">
        <v>150</v>
      </c>
      <c r="C16" s="178" t="s">
        <v>151</v>
      </c>
      <c r="D16" s="178" t="s">
        <v>39</v>
      </c>
      <c r="E16" s="178" t="s">
        <v>162</v>
      </c>
      <c r="F16" s="179"/>
      <c r="G16" s="178" t="s">
        <v>153</v>
      </c>
      <c r="H16" s="180">
        <v>42826</v>
      </c>
    </row>
    <row r="17" spans="2:8" ht="15.75" thickBot="1" x14ac:dyDescent="0.3">
      <c r="B17" s="175" t="s">
        <v>150</v>
      </c>
      <c r="C17" s="175" t="s">
        <v>151</v>
      </c>
      <c r="D17" s="175" t="s">
        <v>163</v>
      </c>
      <c r="E17" s="175" t="s">
        <v>164</v>
      </c>
      <c r="F17" s="176"/>
      <c r="G17" s="175" t="s">
        <v>153</v>
      </c>
      <c r="H17" s="177">
        <v>42887</v>
      </c>
    </row>
    <row r="18" spans="2:8" ht="15.75" thickBot="1" x14ac:dyDescent="0.3">
      <c r="B18" s="178" t="s">
        <v>150</v>
      </c>
      <c r="C18" s="178" t="s">
        <v>151</v>
      </c>
      <c r="D18" s="178" t="s">
        <v>38</v>
      </c>
      <c r="E18" s="178" t="s">
        <v>165</v>
      </c>
      <c r="F18" s="179"/>
      <c r="G18" s="178" t="s">
        <v>153</v>
      </c>
      <c r="H18" s="180">
        <v>42948</v>
      </c>
    </row>
    <row r="19" spans="2:8" ht="15.75" thickBot="1" x14ac:dyDescent="0.3">
      <c r="B19" s="175" t="s">
        <v>150</v>
      </c>
      <c r="C19" s="175" t="s">
        <v>151</v>
      </c>
      <c r="D19" s="175" t="s">
        <v>37</v>
      </c>
      <c r="E19" s="175" t="s">
        <v>166</v>
      </c>
      <c r="F19" s="176"/>
      <c r="G19" s="175" t="s">
        <v>153</v>
      </c>
      <c r="H19" s="177">
        <v>42856</v>
      </c>
    </row>
    <row r="20" spans="2:8" ht="15.75" thickBot="1" x14ac:dyDescent="0.3">
      <c r="B20" s="178" t="s">
        <v>150</v>
      </c>
      <c r="C20" s="178" t="s">
        <v>151</v>
      </c>
      <c r="D20" s="178" t="s">
        <v>6</v>
      </c>
      <c r="E20" s="178" t="s">
        <v>167</v>
      </c>
      <c r="F20" s="179"/>
      <c r="G20" s="178" t="s">
        <v>153</v>
      </c>
      <c r="H20" s="180">
        <v>42826</v>
      </c>
    </row>
    <row r="21" spans="2:8" ht="15.75" thickBot="1" x14ac:dyDescent="0.3">
      <c r="B21" s="175" t="s">
        <v>150</v>
      </c>
      <c r="C21" s="175" t="s">
        <v>151</v>
      </c>
      <c r="D21" s="175" t="s">
        <v>35</v>
      </c>
      <c r="E21" s="175" t="s">
        <v>168</v>
      </c>
      <c r="F21" s="176"/>
      <c r="G21" s="175" t="s">
        <v>153</v>
      </c>
      <c r="H21" s="177">
        <v>42795</v>
      </c>
    </row>
    <row r="22" spans="2:8" ht="15.75" thickBot="1" x14ac:dyDescent="0.3">
      <c r="B22" s="178" t="s">
        <v>150</v>
      </c>
      <c r="C22" s="178" t="s">
        <v>151</v>
      </c>
      <c r="D22" s="178" t="s">
        <v>169</v>
      </c>
      <c r="E22" s="178" t="s">
        <v>170</v>
      </c>
      <c r="F22" s="179"/>
      <c r="G22" s="178" t="s">
        <v>153</v>
      </c>
      <c r="H22" s="180">
        <v>42917</v>
      </c>
    </row>
    <row r="23" spans="2:8" ht="15.75" thickBot="1" x14ac:dyDescent="0.3">
      <c r="B23" s="175" t="s">
        <v>150</v>
      </c>
      <c r="C23" s="175" t="s">
        <v>151</v>
      </c>
      <c r="D23" s="175" t="s">
        <v>4</v>
      </c>
      <c r="E23" s="175" t="s">
        <v>171</v>
      </c>
      <c r="F23" s="176"/>
      <c r="G23" s="175" t="s">
        <v>153</v>
      </c>
      <c r="H23" s="177">
        <v>43009</v>
      </c>
    </row>
    <row r="24" spans="2:8" ht="15.75" thickBot="1" x14ac:dyDescent="0.3">
      <c r="B24" s="178" t="s">
        <v>150</v>
      </c>
      <c r="C24" s="178" t="s">
        <v>151</v>
      </c>
      <c r="D24" s="178" t="s">
        <v>32</v>
      </c>
      <c r="E24" s="178" t="s">
        <v>172</v>
      </c>
      <c r="F24" s="179"/>
      <c r="G24" s="178" t="s">
        <v>153</v>
      </c>
      <c r="H24" s="180">
        <v>42856</v>
      </c>
    </row>
    <row r="25" spans="2:8" ht="15.75" thickBot="1" x14ac:dyDescent="0.3">
      <c r="B25" s="175" t="s">
        <v>150</v>
      </c>
      <c r="C25" s="175" t="s">
        <v>151</v>
      </c>
      <c r="D25" s="175" t="s">
        <v>29</v>
      </c>
      <c r="E25" s="175" t="s">
        <v>173</v>
      </c>
      <c r="F25" s="176"/>
      <c r="G25" s="175" t="s">
        <v>153</v>
      </c>
      <c r="H25" s="177">
        <v>42887</v>
      </c>
    </row>
    <row r="26" spans="2:8" ht="15.75" thickBot="1" x14ac:dyDescent="0.3">
      <c r="B26" s="178" t="s">
        <v>150</v>
      </c>
      <c r="C26" s="178" t="s">
        <v>151</v>
      </c>
      <c r="D26" s="178" t="s">
        <v>28</v>
      </c>
      <c r="E26" s="178" t="s">
        <v>174</v>
      </c>
      <c r="F26" s="179"/>
      <c r="G26" s="178" t="s">
        <v>153</v>
      </c>
      <c r="H26" s="180">
        <v>42856</v>
      </c>
    </row>
    <row r="27" spans="2:8" ht="15.75" thickBot="1" x14ac:dyDescent="0.3">
      <c r="B27" s="175" t="s">
        <v>150</v>
      </c>
      <c r="C27" s="175" t="s">
        <v>151</v>
      </c>
      <c r="D27" s="175" t="s">
        <v>26</v>
      </c>
      <c r="E27" s="175" t="s">
        <v>175</v>
      </c>
      <c r="F27" s="176"/>
      <c r="G27" s="175" t="s">
        <v>153</v>
      </c>
      <c r="H27" s="177">
        <v>42767</v>
      </c>
    </row>
    <row r="28" spans="2:8" ht="15.75" thickBot="1" x14ac:dyDescent="0.3">
      <c r="B28" s="178" t="s">
        <v>150</v>
      </c>
      <c r="C28" s="178" t="s">
        <v>151</v>
      </c>
      <c r="D28" s="178" t="s">
        <v>25</v>
      </c>
      <c r="E28" s="178" t="s">
        <v>176</v>
      </c>
      <c r="F28" s="179"/>
      <c r="G28" s="178" t="s">
        <v>153</v>
      </c>
      <c r="H28" s="180">
        <v>42948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1" max="1" width="13.7109375" customWidth="1"/>
    <col min="2" max="2" width="14" style="197" customWidth="1"/>
    <col min="3" max="4" width="13.7109375" style="197" customWidth="1"/>
    <col min="5" max="5" width="14.140625" style="198" customWidth="1"/>
    <col min="6" max="7" width="14.85546875" style="198" customWidth="1"/>
    <col min="8" max="8" width="14.7109375" style="198" customWidth="1"/>
    <col min="9" max="9" width="14.7109375" style="198" bestFit="1" customWidth="1"/>
    <col min="10" max="10" width="18.5703125" style="198" customWidth="1"/>
    <col min="11" max="11" width="36.7109375" customWidth="1"/>
    <col min="12" max="12" width="50" customWidth="1"/>
    <col min="13" max="13" width="18.7109375" style="196" customWidth="1"/>
  </cols>
  <sheetData>
    <row r="1" spans="1:10" ht="15.75" thickBot="1" x14ac:dyDescent="0.3"/>
    <row r="2" spans="1:10" ht="30" customHeight="1" x14ac:dyDescent="0.25">
      <c r="A2" s="348" t="s">
        <v>24</v>
      </c>
      <c r="B2" s="350" t="s">
        <v>187</v>
      </c>
      <c r="C2" s="352" t="s">
        <v>188</v>
      </c>
      <c r="D2" s="352" t="s">
        <v>189</v>
      </c>
      <c r="E2" s="354" t="s">
        <v>190</v>
      </c>
      <c r="F2" s="355"/>
      <c r="G2" s="355"/>
      <c r="H2" s="355"/>
      <c r="I2" s="355"/>
      <c r="J2" s="356"/>
    </row>
    <row r="3" spans="1:10" ht="30" customHeight="1" thickBot="1" x14ac:dyDescent="0.3">
      <c r="A3" s="349"/>
      <c r="B3" s="351"/>
      <c r="C3" s="353"/>
      <c r="D3" s="353"/>
      <c r="E3" s="199" t="s">
        <v>138</v>
      </c>
      <c r="F3" s="200" t="s">
        <v>191</v>
      </c>
      <c r="G3" s="200" t="s">
        <v>192</v>
      </c>
      <c r="H3" s="200" t="s">
        <v>58</v>
      </c>
      <c r="I3" s="200" t="s">
        <v>193</v>
      </c>
      <c r="J3" s="201" t="s">
        <v>194</v>
      </c>
    </row>
    <row r="4" spans="1:10" ht="30" customHeight="1" x14ac:dyDescent="0.25">
      <c r="A4" s="202" t="s">
        <v>195</v>
      </c>
      <c r="B4" s="203"/>
      <c r="C4" s="204">
        <v>126643.63999999998</v>
      </c>
      <c r="D4" s="205"/>
      <c r="E4" s="206">
        <f>C4</f>
        <v>126643.63999999998</v>
      </c>
      <c r="F4" s="207"/>
      <c r="G4" s="207"/>
      <c r="H4" s="207"/>
      <c r="I4" s="207"/>
      <c r="J4" s="208"/>
    </row>
    <row r="5" spans="1:10" ht="30" customHeight="1" x14ac:dyDescent="0.25">
      <c r="A5" s="209" t="s">
        <v>16</v>
      </c>
      <c r="B5" s="210">
        <v>600000</v>
      </c>
      <c r="C5" s="211">
        <f>B5*D5</f>
        <v>60000</v>
      </c>
      <c r="D5" s="212">
        <v>0.1</v>
      </c>
      <c r="E5" s="213"/>
      <c r="F5" s="214"/>
      <c r="G5" s="214"/>
      <c r="H5" s="214"/>
      <c r="I5" s="214"/>
      <c r="J5" s="215">
        <v>60000</v>
      </c>
    </row>
    <row r="6" spans="1:10" ht="30" customHeight="1" x14ac:dyDescent="0.25">
      <c r="A6" s="216" t="s">
        <v>73</v>
      </c>
      <c r="B6" s="217">
        <v>2415176</v>
      </c>
      <c r="C6" s="218">
        <v>588910</v>
      </c>
      <c r="D6" s="219">
        <f>C6/B6</f>
        <v>0.24383730212622184</v>
      </c>
      <c r="E6" s="220">
        <v>441682.5</v>
      </c>
      <c r="F6" s="221"/>
      <c r="G6" s="221"/>
      <c r="H6" s="221"/>
      <c r="I6" s="221"/>
      <c r="J6" s="222">
        <v>147227.5</v>
      </c>
    </row>
    <row r="7" spans="1:10" ht="30" customHeight="1" x14ac:dyDescent="0.25">
      <c r="A7" s="216" t="s">
        <v>76</v>
      </c>
      <c r="B7" s="217">
        <v>3640047</v>
      </c>
      <c r="C7" s="218">
        <v>570000</v>
      </c>
      <c r="D7" s="219">
        <f>C7/B7</f>
        <v>0.15659138467168143</v>
      </c>
      <c r="E7" s="220">
        <v>427500</v>
      </c>
      <c r="F7" s="221"/>
      <c r="G7" s="221"/>
      <c r="H7" s="221"/>
      <c r="I7" s="221"/>
      <c r="J7" s="222">
        <v>142500</v>
      </c>
    </row>
    <row r="8" spans="1:10" ht="30" customHeight="1" x14ac:dyDescent="0.25">
      <c r="A8" s="216" t="s">
        <v>77</v>
      </c>
      <c r="B8" s="223">
        <v>13153769</v>
      </c>
      <c r="C8" s="224">
        <f>'[4]Budget summary'!$B$27-'[4]Budget summary'!$B$25-SUM('[4]Country Management'!$G$11:$G$16)</f>
        <v>1617325.4236069371</v>
      </c>
      <c r="D8" s="219">
        <f>C8/B8</f>
        <v>0.12295528556164678</v>
      </c>
      <c r="E8" s="225">
        <v>200000</v>
      </c>
      <c r="F8" s="226"/>
      <c r="G8" s="226">
        <f>222419.35483871-[5]Personnel!F50</f>
        <v>164712.9574135546</v>
      </c>
      <c r="H8" s="227">
        <v>438464.51612903224</v>
      </c>
      <c r="I8" s="226"/>
      <c r="J8" s="228">
        <f>C8-E8-G8-H8</f>
        <v>814147.95006435015</v>
      </c>
    </row>
    <row r="9" spans="1:10" ht="30" customHeight="1" x14ac:dyDescent="0.25">
      <c r="A9" s="216" t="s">
        <v>8</v>
      </c>
      <c r="B9" s="210">
        <v>916849</v>
      </c>
      <c r="C9" s="218">
        <f>B9*D9</f>
        <v>229212.25</v>
      </c>
      <c r="D9" s="219">
        <v>0.25</v>
      </c>
      <c r="E9" s="220">
        <v>80000</v>
      </c>
      <c r="F9" s="221"/>
      <c r="G9" s="221"/>
      <c r="H9" s="221">
        <v>80000</v>
      </c>
      <c r="I9" s="221"/>
      <c r="J9" s="222">
        <v>69212.25</v>
      </c>
    </row>
    <row r="10" spans="1:10" ht="30" customHeight="1" x14ac:dyDescent="0.25">
      <c r="A10" s="216" t="s">
        <v>17</v>
      </c>
      <c r="B10" s="217">
        <v>1500000</v>
      </c>
      <c r="C10" s="218">
        <v>223217</v>
      </c>
      <c r="D10" s="219">
        <f>C10/B10</f>
        <v>0.14881133333333332</v>
      </c>
      <c r="E10" s="220"/>
      <c r="F10" s="221">
        <v>223217</v>
      </c>
      <c r="G10" s="221"/>
      <c r="H10" s="221"/>
      <c r="I10" s="221"/>
      <c r="J10" s="222"/>
    </row>
    <row r="11" spans="1:10" ht="30" customHeight="1" x14ac:dyDescent="0.25">
      <c r="A11" s="216" t="s">
        <v>74</v>
      </c>
      <c r="B11" s="217">
        <v>6000000</v>
      </c>
      <c r="C11" s="218">
        <v>623319</v>
      </c>
      <c r="D11" s="219">
        <f>C11/B11</f>
        <v>0.10388650000000001</v>
      </c>
      <c r="E11" s="220">
        <v>300000</v>
      </c>
      <c r="F11" s="221"/>
      <c r="G11" s="221"/>
      <c r="H11" s="221"/>
      <c r="I11" s="221"/>
      <c r="J11" s="222">
        <v>323319</v>
      </c>
    </row>
    <row r="12" spans="1:10" ht="30" customHeight="1" x14ac:dyDescent="0.25">
      <c r="A12" s="216" t="s">
        <v>18</v>
      </c>
      <c r="B12" s="217">
        <v>200000</v>
      </c>
      <c r="C12" s="218">
        <f>B12*D12</f>
        <v>50000</v>
      </c>
      <c r="D12" s="219">
        <v>0.25</v>
      </c>
      <c r="E12" s="220"/>
      <c r="F12" s="221"/>
      <c r="G12" s="221"/>
      <c r="H12" s="221"/>
      <c r="I12" s="221"/>
      <c r="J12" s="222">
        <v>50000</v>
      </c>
    </row>
    <row r="13" spans="1:10" ht="30" customHeight="1" x14ac:dyDescent="0.25">
      <c r="A13" s="216" t="s">
        <v>75</v>
      </c>
      <c r="B13" s="217">
        <v>5785858</v>
      </c>
      <c r="C13" s="218">
        <f>B13*D13</f>
        <v>433939.35</v>
      </c>
      <c r="D13" s="219">
        <v>7.4999999999999997E-2</v>
      </c>
      <c r="E13" s="220">
        <v>325454.51249999995</v>
      </c>
      <c r="F13" s="221"/>
      <c r="G13" s="221"/>
      <c r="H13" s="221"/>
      <c r="I13" s="221"/>
      <c r="J13" s="222">
        <v>108484.83750000002</v>
      </c>
    </row>
    <row r="14" spans="1:10" ht="30" customHeight="1" x14ac:dyDescent="0.25">
      <c r="A14" s="216" t="s">
        <v>11</v>
      </c>
      <c r="B14" s="217">
        <v>2175913</v>
      </c>
      <c r="C14" s="218">
        <v>201597</v>
      </c>
      <c r="D14" s="219">
        <f>C14/B14</f>
        <v>9.2649384419321912E-2</v>
      </c>
      <c r="E14" s="220">
        <v>151197.75</v>
      </c>
      <c r="F14" s="221"/>
      <c r="G14" s="221"/>
      <c r="H14" s="221"/>
      <c r="I14" s="221"/>
      <c r="J14" s="222">
        <v>50399.25</v>
      </c>
    </row>
    <row r="15" spans="1:10" ht="30" customHeight="1" x14ac:dyDescent="0.25">
      <c r="A15" s="216" t="s">
        <v>19</v>
      </c>
      <c r="B15" s="217">
        <f>C15/D15</f>
        <v>1600000</v>
      </c>
      <c r="C15" s="218">
        <v>400000</v>
      </c>
      <c r="D15" s="219">
        <v>0.25</v>
      </c>
      <c r="E15" s="220"/>
      <c r="F15" s="221"/>
      <c r="G15" s="221"/>
      <c r="H15" s="221"/>
      <c r="I15" s="221"/>
      <c r="J15" s="222">
        <f>C15</f>
        <v>400000</v>
      </c>
    </row>
    <row r="16" spans="1:10" ht="30" customHeight="1" x14ac:dyDescent="0.25">
      <c r="A16" s="216" t="s">
        <v>20</v>
      </c>
      <c r="B16" s="217">
        <v>1500000</v>
      </c>
      <c r="C16" s="218">
        <f>B16*D16</f>
        <v>150000</v>
      </c>
      <c r="D16" s="219">
        <v>0.1</v>
      </c>
      <c r="E16" s="220"/>
      <c r="F16" s="221"/>
      <c r="G16" s="221"/>
      <c r="H16" s="221">
        <v>150000</v>
      </c>
      <c r="I16" s="221"/>
      <c r="J16" s="222"/>
    </row>
    <row r="17" spans="1:12" ht="30" customHeight="1" x14ac:dyDescent="0.25">
      <c r="A17" s="216" t="s">
        <v>21</v>
      </c>
      <c r="B17" s="217" t="s">
        <v>7</v>
      </c>
      <c r="C17" s="229" t="s">
        <v>7</v>
      </c>
      <c r="D17" s="230" t="s">
        <v>7</v>
      </c>
      <c r="E17" s="220"/>
      <c r="F17" s="221"/>
      <c r="G17" s="221"/>
      <c r="H17" s="221"/>
      <c r="I17" s="221"/>
      <c r="J17" s="222"/>
    </row>
    <row r="18" spans="1:12" ht="30" customHeight="1" x14ac:dyDescent="0.25">
      <c r="A18" s="216" t="s">
        <v>22</v>
      </c>
      <c r="B18" s="217">
        <v>5000000</v>
      </c>
      <c r="C18" s="218">
        <v>250000</v>
      </c>
      <c r="D18" s="219">
        <f>C18/B18</f>
        <v>0.05</v>
      </c>
      <c r="E18" s="220"/>
      <c r="F18" s="221"/>
      <c r="G18" s="221"/>
      <c r="H18" s="221"/>
      <c r="I18" s="221"/>
      <c r="J18" s="222">
        <v>250000</v>
      </c>
    </row>
    <row r="19" spans="1:12" ht="30" customHeight="1" x14ac:dyDescent="0.25">
      <c r="A19" s="216" t="s">
        <v>12</v>
      </c>
      <c r="B19" s="217">
        <v>2470462</v>
      </c>
      <c r="C19" s="218">
        <v>604552</v>
      </c>
      <c r="D19" s="219">
        <f>C19/B19</f>
        <v>0.24471212267179177</v>
      </c>
      <c r="E19" s="220">
        <v>453414</v>
      </c>
      <c r="F19" s="221"/>
      <c r="G19" s="221"/>
      <c r="H19" s="221"/>
      <c r="I19" s="221"/>
      <c r="J19" s="222">
        <v>151138</v>
      </c>
    </row>
    <row r="20" spans="1:12" ht="30" customHeight="1" x14ac:dyDescent="0.25">
      <c r="A20" s="216" t="s">
        <v>13</v>
      </c>
      <c r="B20" s="217">
        <v>1145755</v>
      </c>
      <c r="C20" s="218">
        <v>227300</v>
      </c>
      <c r="D20" s="219">
        <f>C20/B20</f>
        <v>0.19838447137477036</v>
      </c>
      <c r="E20" s="220">
        <v>170475</v>
      </c>
      <c r="F20" s="221"/>
      <c r="G20" s="221"/>
      <c r="H20" s="221"/>
      <c r="I20" s="221"/>
      <c r="J20" s="222">
        <v>56825</v>
      </c>
    </row>
    <row r="21" spans="1:12" ht="30" customHeight="1" x14ac:dyDescent="0.25">
      <c r="A21" s="216" t="s">
        <v>23</v>
      </c>
      <c r="B21" s="231">
        <v>403339</v>
      </c>
      <c r="C21" s="232">
        <v>182582.58</v>
      </c>
      <c r="D21" s="219">
        <f>C21/B21</f>
        <v>0.45267772270968093</v>
      </c>
      <c r="E21" s="225"/>
      <c r="F21" s="226"/>
      <c r="G21" s="226"/>
      <c r="H21" s="226">
        <v>182583</v>
      </c>
      <c r="I21" s="226"/>
      <c r="J21" s="228"/>
    </row>
    <row r="22" spans="1:12" ht="30" customHeight="1" x14ac:dyDescent="0.25">
      <c r="A22" s="216" t="s">
        <v>14</v>
      </c>
      <c r="B22" s="217">
        <v>2000000</v>
      </c>
      <c r="C22" s="218">
        <f>B22*D22</f>
        <v>380000</v>
      </c>
      <c r="D22" s="219">
        <v>0.19</v>
      </c>
      <c r="E22" s="220">
        <v>285000</v>
      </c>
      <c r="F22" s="221"/>
      <c r="G22" s="221"/>
      <c r="H22" s="221"/>
      <c r="I22" s="221"/>
      <c r="J22" s="222">
        <v>95000</v>
      </c>
    </row>
    <row r="23" spans="1:12" ht="30" customHeight="1" x14ac:dyDescent="0.25">
      <c r="A23" s="216" t="s">
        <v>196</v>
      </c>
      <c r="B23" s="217">
        <v>600000</v>
      </c>
      <c r="C23" s="218">
        <f>B23*D23</f>
        <v>120000</v>
      </c>
      <c r="D23" s="219">
        <v>0.2</v>
      </c>
      <c r="E23" s="220">
        <v>85000</v>
      </c>
      <c r="F23" s="221"/>
      <c r="G23" s="221"/>
      <c r="H23" s="221"/>
      <c r="I23" s="221"/>
      <c r="J23" s="222">
        <v>35000</v>
      </c>
    </row>
    <row r="24" spans="1:12" ht="30" customHeight="1" thickBot="1" x14ac:dyDescent="0.3">
      <c r="A24" s="233" t="s">
        <v>197</v>
      </c>
      <c r="B24" s="234">
        <v>1400000</v>
      </c>
      <c r="C24" s="235">
        <f>B24*D24</f>
        <v>252000</v>
      </c>
      <c r="D24" s="236">
        <v>0.18</v>
      </c>
      <c r="E24" s="237">
        <v>189000</v>
      </c>
      <c r="F24" s="238"/>
      <c r="G24" s="238"/>
      <c r="H24" s="238"/>
      <c r="I24" s="238"/>
      <c r="J24" s="239">
        <v>63000</v>
      </c>
    </row>
    <row r="25" spans="1:12" ht="30" customHeight="1" thickBot="1" x14ac:dyDescent="0.3">
      <c r="A25" s="240" t="s">
        <v>198</v>
      </c>
      <c r="B25" s="241">
        <f>SUM(B5:B24)</f>
        <v>52507168</v>
      </c>
      <c r="C25" s="242">
        <f>SUM(C4:C24)</f>
        <v>7290598.2436069371</v>
      </c>
      <c r="D25" s="243">
        <f>C25/B25</f>
        <v>0.13884958037742459</v>
      </c>
      <c r="E25" s="244">
        <f>SUM(E4:E24)</f>
        <v>3235367.4024999999</v>
      </c>
      <c r="F25" s="245">
        <f t="shared" ref="F25:J25" si="0">SUM(F5:F24)</f>
        <v>223217</v>
      </c>
      <c r="G25" s="246">
        <f t="shared" si="0"/>
        <v>164712.9574135546</v>
      </c>
      <c r="H25" s="246">
        <f t="shared" si="0"/>
        <v>851047.51612903224</v>
      </c>
      <c r="I25" s="246">
        <f t="shared" si="0"/>
        <v>0</v>
      </c>
      <c r="J25" s="247">
        <f t="shared" si="0"/>
        <v>2816253.7875643503</v>
      </c>
    </row>
    <row r="26" spans="1:12" ht="37.5" customHeight="1" x14ac:dyDescent="0.25"/>
    <row r="27" spans="1:12" x14ac:dyDescent="0.25">
      <c r="C27" s="248"/>
    </row>
    <row r="28" spans="1:12" x14ac:dyDescent="0.25">
      <c r="L28" s="249"/>
    </row>
    <row r="29" spans="1:12" x14ac:dyDescent="0.25">
      <c r="D29" s="250"/>
    </row>
    <row r="30" spans="1:12" x14ac:dyDescent="0.25">
      <c r="E30" s="251"/>
      <c r="F30" s="251"/>
    </row>
  </sheetData>
  <autoFilter ref="A1:J26"/>
  <mergeCells count="5">
    <mergeCell ref="A2:A3"/>
    <mergeCell ref="B2:B3"/>
    <mergeCell ref="C2:C3"/>
    <mergeCell ref="D2:D3"/>
    <mergeCell ref="E2:J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Funding Gap Analysis</vt:lpstr>
      <vt:lpstr>PCT targets SCH</vt:lpstr>
      <vt:lpstr>PZQ Supply 2016</vt:lpstr>
      <vt:lpstr>Est PZQ Supply 2017</vt:lpstr>
      <vt:lpstr>Country 2017 requests</vt:lpstr>
      <vt:lpstr>2016 budget cost per treatment</vt:lpstr>
      <vt:lpstr>'PCT targets SCH'!Print_Area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2016-11-18T11:08:35Z</dcterms:created>
  <dcterms:modified xsi:type="dcterms:W3CDTF">2016-11-18T11:08:44Z</dcterms:modified>
</cp:coreProperties>
</file>