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24000" yWindow="-26595" windowWidth="16800" windowHeight="13740" tabRatio="830"/>
  </bookViews>
  <sheets>
    <sheet name="Deaths averted" sheetId="2" r:id="rId1"/>
    <sheet name="Coverage over time" sheetId="9" r:id="rId2"/>
    <sheet name="Pneumonia case modeling" sheetId="14" r:id="rId3"/>
    <sheet name="Cases ending in death w no Amox" sheetId="12" r:id="rId4"/>
    <sheet name="Results framework" sheetId="6" r:id="rId5"/>
    <sheet name="Differences btwn GW &amp;  R4D CEA " sheetId="15" r:id="rId6"/>
    <sheet name="Options" sheetId="10" state="hidden" r:id="rId7"/>
    <sheet name="Distribution" sheetId="11" state="hidden" r:id="rId8"/>
  </sheets>
  <definedNames>
    <definedName name="CFRAmox" localSheetId="2">'Pneumonia case modeling'!$B$88</definedName>
    <definedName name="CFRAmox">'Cases ending in death w no Amox'!$B$106</definedName>
    <definedName name="CFRNoAmox" localSheetId="2">'Pneumonia case modeling'!$B$87</definedName>
    <definedName name="CFRNoAmox">'Cases ending in death w no Amox'!$B$105</definedName>
    <definedName name="CFRNoVaccines" localSheetId="2">'Pneumonia case modeling'!$B$87</definedName>
    <definedName name="CFRNoVaccines">'Cases ending in death w no Amox'!$B$105</definedName>
    <definedName name="GivesUp" localSheetId="2">'Pneumonia case modeling'!$B$90</definedName>
    <definedName name="GivesUp">'Cases ending in death w no Amox'!$B$108</definedName>
    <definedName name="N">'Cases ending in death w no Amox'!#REF!</definedName>
    <definedName name="NoCare" localSheetId="2">'Pneumonia case modeling'!$B$84</definedName>
    <definedName name="NoCare">'Cases ending in death w no Amox'!$B$102</definedName>
    <definedName name="NoCareSevere">'Cases ending in death w no Amox'!$B$102</definedName>
    <definedName name="Num">'Cases ending in death w no Amox'!$E$86</definedName>
    <definedName name="NumPneumo" localSheetId="2">'Pneumonia case modeling'!$B$83</definedName>
    <definedName name="NumPneumo">'Cases ending in death w no Amox'!#REF!</definedName>
    <definedName name="NumSeverePneumo">'Cases ending in death w no Amox'!#REF!</definedName>
    <definedName name="NumSevPneu">'Cases ending in death w no Amox'!$B$101</definedName>
    <definedName name="NumSevPneumo">'Cases ending in death w no Amox'!#REF!</definedName>
    <definedName name="PrivateAmoxStock" localSheetId="2">'Pneumonia case modeling'!$B$95</definedName>
    <definedName name="PrivateAmoxStock">'Cases ending in death w no Amox'!$B$95</definedName>
    <definedName name="PrivateDiagnosis" localSheetId="2">'Pneumonia case modeling'!$B$93</definedName>
    <definedName name="PrivateDiagnosis">'Cases ending in death w no Amox'!$B$111</definedName>
    <definedName name="PublicAmoxStock" localSheetId="2">'Pneumonia case modeling'!$B$94</definedName>
    <definedName name="PublicAmoxStock">'Cases ending in death w no Amox'!$B$94</definedName>
    <definedName name="PublicDiagnosis" localSheetId="2">'Pneumonia case modeling'!$B$89</definedName>
    <definedName name="PublicDiagnosis">'Cases ending in death w no Amox'!$B$107</definedName>
    <definedName name="S">'Cases ending in death w no Amox'!#REF!</definedName>
    <definedName name="SecondPrivate" localSheetId="2">'Pneumonia case modeling'!$B$92</definedName>
    <definedName name="SecondPrivate">'Cases ending in death w no Amox'!$B$110</definedName>
    <definedName name="SecondPublic" localSheetId="2">'Pneumonia case modeling'!$B$91</definedName>
    <definedName name="SecondPublic">'Cases ending in death w no Amox'!$B$109</definedName>
    <definedName name="SeekPrivateSector" localSheetId="2">'Pneumonia case modeling'!$B$85</definedName>
    <definedName name="SeekPrivateSector">'Cases ending in death w no Amox'!$B$103</definedName>
    <definedName name="SeekPublicSector" localSheetId="2">'Pneumonia case modeling'!$B$86</definedName>
    <definedName name="SeekPublicSector">'Cases ending in death w no Amox'!$B$104</definedName>
    <definedName name="Severe">'Cases ending in death w no Amox'!#REF!</definedName>
    <definedName name="SevereCFRAmox">'Cases ending in death w no Amox'!$B$88</definedName>
    <definedName name="SevereCFRNoAmox">'Cases ending in death w no Amox'!$B$87</definedName>
    <definedName name="SevereGivesUp">'Cases ending in death w no Amox'!$B$90</definedName>
    <definedName name="SevereNoCare">'Cases ending in death w no Amox'!$B$84</definedName>
    <definedName name="SevereNumPneumo">'Cases ending in death w no Amox'!$B$83</definedName>
    <definedName name="SeverePneumo">'Cases ending in death w no Amox'!#REF!</definedName>
    <definedName name="SeverePrivate">'Cases ending in death w no Amox'!$B$85</definedName>
    <definedName name="SeverePrivateDiagnosis">'Cases ending in death w no Amox'!$B$93</definedName>
    <definedName name="SeverePublic">'Cases ending in death w no Amox'!$B$86</definedName>
    <definedName name="SeverePublicDiagnosis">'Cases ending in death w no Amox'!$B$89</definedName>
    <definedName name="SevereSecondPrivate">'Cases ending in death w no Amox'!$B$92</definedName>
    <definedName name="SevereSecondPublic">'Cases ending in death w no Amox'!$B$91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9" l="1"/>
  <c r="F50" i="2"/>
  <c r="F49" i="2"/>
  <c r="E50" i="2"/>
  <c r="E49" i="2"/>
  <c r="B20" i="2"/>
  <c r="B21" i="2"/>
  <c r="C7" i="9"/>
  <c r="C16" i="9"/>
  <c r="C20" i="9"/>
  <c r="C24" i="2"/>
  <c r="C25" i="2"/>
  <c r="C22" i="9"/>
  <c r="D14" i="9"/>
  <c r="D15" i="9"/>
  <c r="B10" i="9"/>
  <c r="D7" i="9"/>
  <c r="D11" i="9"/>
  <c r="D9" i="9"/>
  <c r="D12" i="9"/>
  <c r="D16" i="9"/>
  <c r="D20" i="9"/>
  <c r="N2" i="2"/>
  <c r="O2" i="2"/>
  <c r="P2" i="2"/>
  <c r="Q2" i="2"/>
  <c r="R2" i="2"/>
  <c r="S2" i="2"/>
  <c r="T2" i="2"/>
  <c r="U2" i="2"/>
  <c r="B83" i="14"/>
  <c r="F14" i="9"/>
  <c r="F15" i="9"/>
  <c r="F8" i="9"/>
  <c r="E7" i="9"/>
  <c r="F7" i="9"/>
  <c r="F11" i="9"/>
  <c r="F9" i="9"/>
  <c r="F12" i="9"/>
  <c r="F16" i="9"/>
  <c r="F20" i="9"/>
  <c r="D24" i="2"/>
  <c r="E24" i="2"/>
  <c r="F24" i="2"/>
  <c r="F25" i="2"/>
  <c r="K14" i="9"/>
  <c r="I8" i="9"/>
  <c r="J8" i="9"/>
  <c r="K8" i="9"/>
  <c r="G7" i="9"/>
  <c r="H7" i="9"/>
  <c r="I7" i="9"/>
  <c r="J7" i="9"/>
  <c r="K7" i="9"/>
  <c r="K11" i="9"/>
  <c r="K9" i="9"/>
  <c r="K12" i="9"/>
  <c r="G24" i="2"/>
  <c r="H24" i="2"/>
  <c r="I24" i="2"/>
  <c r="J24" i="2"/>
  <c r="K24" i="2"/>
  <c r="K25" i="2"/>
  <c r="P14" i="9"/>
  <c r="L8" i="9"/>
  <c r="M8" i="9"/>
  <c r="N8" i="9"/>
  <c r="O8" i="9"/>
  <c r="P8" i="9"/>
  <c r="L7" i="9"/>
  <c r="M7" i="9"/>
  <c r="N7" i="9"/>
  <c r="O7" i="9"/>
  <c r="P7" i="9"/>
  <c r="P11" i="9"/>
  <c r="P9" i="9"/>
  <c r="P12" i="9"/>
  <c r="E14" i="9"/>
  <c r="E15" i="9"/>
  <c r="E11" i="9"/>
  <c r="E9" i="9"/>
  <c r="E12" i="9"/>
  <c r="E16" i="9"/>
  <c r="E20" i="9"/>
  <c r="E19" i="2"/>
  <c r="E25" i="2"/>
  <c r="J14" i="9"/>
  <c r="J11" i="9"/>
  <c r="J9" i="9"/>
  <c r="J12" i="9"/>
  <c r="J25" i="2"/>
  <c r="O14" i="9"/>
  <c r="O11" i="9"/>
  <c r="O9" i="9"/>
  <c r="O12" i="9"/>
  <c r="B16" i="2"/>
  <c r="L24" i="2"/>
  <c r="M24" i="2"/>
  <c r="N24" i="2"/>
  <c r="O24" i="2"/>
  <c r="P24" i="2"/>
  <c r="P25" i="2"/>
  <c r="B6" i="2"/>
  <c r="J1" i="2"/>
  <c r="K1" i="2"/>
  <c r="L1" i="2"/>
  <c r="M1" i="2"/>
  <c r="N1" i="2"/>
  <c r="O1" i="2"/>
  <c r="P1" i="2"/>
  <c r="P3" i="2"/>
  <c r="G14" i="9"/>
  <c r="G15" i="9"/>
  <c r="G8" i="9"/>
  <c r="G11" i="9"/>
  <c r="G9" i="9"/>
  <c r="G12" i="9"/>
  <c r="G16" i="9"/>
  <c r="G20" i="9"/>
  <c r="G25" i="2"/>
  <c r="G22" i="9"/>
  <c r="L14" i="9"/>
  <c r="L15" i="9"/>
  <c r="L11" i="9"/>
  <c r="L9" i="9"/>
  <c r="L12" i="9"/>
  <c r="L16" i="9"/>
  <c r="L20" i="9"/>
  <c r="L25" i="2"/>
  <c r="Q14" i="9"/>
  <c r="Q8" i="9"/>
  <c r="Q7" i="9"/>
  <c r="Q11" i="9"/>
  <c r="Q9" i="9"/>
  <c r="Q12" i="9"/>
  <c r="Q24" i="2"/>
  <c r="Q25" i="2"/>
  <c r="Q1" i="2"/>
  <c r="Q3" i="2"/>
  <c r="H14" i="9"/>
  <c r="H15" i="9"/>
  <c r="H8" i="9"/>
  <c r="H11" i="9"/>
  <c r="H9" i="9"/>
  <c r="H12" i="9"/>
  <c r="H16" i="9"/>
  <c r="H20" i="9"/>
  <c r="H19" i="2"/>
  <c r="H25" i="2"/>
  <c r="M14" i="9"/>
  <c r="M11" i="9"/>
  <c r="M9" i="9"/>
  <c r="M12" i="9"/>
  <c r="M25" i="2"/>
  <c r="R14" i="9"/>
  <c r="R8" i="9"/>
  <c r="R7" i="9"/>
  <c r="R11" i="9"/>
  <c r="R9" i="9"/>
  <c r="R12" i="9"/>
  <c r="R24" i="2"/>
  <c r="R25" i="2"/>
  <c r="R1" i="2"/>
  <c r="R3" i="2"/>
  <c r="D25" i="2"/>
  <c r="I14" i="9"/>
  <c r="I11" i="9"/>
  <c r="I9" i="9"/>
  <c r="I12" i="9"/>
  <c r="I25" i="2"/>
  <c r="N14" i="9"/>
  <c r="N11" i="9"/>
  <c r="N9" i="9"/>
  <c r="N12" i="9"/>
  <c r="N25" i="2"/>
  <c r="S14" i="9"/>
  <c r="S8" i="9"/>
  <c r="S7" i="9"/>
  <c r="S11" i="9"/>
  <c r="S9" i="9"/>
  <c r="S12" i="9"/>
  <c r="S24" i="2"/>
  <c r="S25" i="2"/>
  <c r="S1" i="2"/>
  <c r="S3" i="2"/>
  <c r="O25" i="2"/>
  <c r="T14" i="9"/>
  <c r="T8" i="9"/>
  <c r="T7" i="9"/>
  <c r="T11" i="9"/>
  <c r="T9" i="9"/>
  <c r="T12" i="9"/>
  <c r="T24" i="2"/>
  <c r="T25" i="2"/>
  <c r="T1" i="2"/>
  <c r="T3" i="2"/>
  <c r="U14" i="9"/>
  <c r="U8" i="9"/>
  <c r="U7" i="9"/>
  <c r="U11" i="9"/>
  <c r="U9" i="9"/>
  <c r="U12" i="9"/>
  <c r="U24" i="2"/>
  <c r="U25" i="2"/>
  <c r="U1" i="2"/>
  <c r="U3" i="2"/>
  <c r="V14" i="9"/>
  <c r="V8" i="9"/>
  <c r="V7" i="9"/>
  <c r="V11" i="9"/>
  <c r="V9" i="9"/>
  <c r="V12" i="9"/>
  <c r="V24" i="2"/>
  <c r="V25" i="2"/>
  <c r="V2" i="2"/>
  <c r="V1" i="2"/>
  <c r="V3" i="2"/>
  <c r="W14" i="9"/>
  <c r="W8" i="9"/>
  <c r="W7" i="9"/>
  <c r="W11" i="9"/>
  <c r="W9" i="9"/>
  <c r="W12" i="9"/>
  <c r="W24" i="2"/>
  <c r="W25" i="2"/>
  <c r="W2" i="2"/>
  <c r="W1" i="2"/>
  <c r="W3" i="2"/>
  <c r="X14" i="9"/>
  <c r="X8" i="9"/>
  <c r="X7" i="9"/>
  <c r="X11" i="9"/>
  <c r="X9" i="9"/>
  <c r="X12" i="9"/>
  <c r="X24" i="2"/>
  <c r="X25" i="2"/>
  <c r="X2" i="2"/>
  <c r="X1" i="2"/>
  <c r="X3" i="2"/>
  <c r="Y14" i="9"/>
  <c r="Y8" i="9"/>
  <c r="Y7" i="9"/>
  <c r="Y11" i="9"/>
  <c r="Y9" i="9"/>
  <c r="Y12" i="9"/>
  <c r="Y24" i="2"/>
  <c r="Y25" i="2"/>
  <c r="Y2" i="2"/>
  <c r="Y1" i="2"/>
  <c r="Y3" i="2"/>
  <c r="Z14" i="9"/>
  <c r="Z8" i="9"/>
  <c r="Z7" i="9"/>
  <c r="Z11" i="9"/>
  <c r="Z9" i="9"/>
  <c r="Z12" i="9"/>
  <c r="Z24" i="2"/>
  <c r="Z25" i="2"/>
  <c r="Z2" i="2"/>
  <c r="Z1" i="2"/>
  <c r="Z3" i="2"/>
  <c r="AA14" i="9"/>
  <c r="AA8" i="9"/>
  <c r="AA7" i="9"/>
  <c r="AA11" i="9"/>
  <c r="AA9" i="9"/>
  <c r="AA12" i="9"/>
  <c r="AA24" i="2"/>
  <c r="AA25" i="2"/>
  <c r="AA2" i="2"/>
  <c r="AA1" i="2"/>
  <c r="AA3" i="2"/>
  <c r="K3" i="2"/>
  <c r="L3" i="2"/>
  <c r="M3" i="2"/>
  <c r="N3" i="2"/>
  <c r="O3" i="2"/>
  <c r="D1" i="2"/>
  <c r="E1" i="2"/>
  <c r="E3" i="2"/>
  <c r="F1" i="2"/>
  <c r="F3" i="2"/>
  <c r="G1" i="2"/>
  <c r="G3" i="2"/>
  <c r="H1" i="2"/>
  <c r="H3" i="2"/>
  <c r="I3" i="2"/>
  <c r="J3" i="2"/>
  <c r="C19" i="2"/>
  <c r="D3" i="2"/>
  <c r="D8" i="2"/>
  <c r="E8" i="2"/>
  <c r="F8" i="2"/>
  <c r="G8" i="2"/>
  <c r="H8" i="2"/>
  <c r="I8" i="2"/>
  <c r="J8" i="2"/>
  <c r="K8" i="2"/>
  <c r="L8" i="2"/>
  <c r="M8" i="2"/>
  <c r="N8" i="2"/>
  <c r="O8" i="2"/>
  <c r="P8" i="2"/>
  <c r="Q8" i="2"/>
  <c r="R8" i="2"/>
  <c r="S8" i="2"/>
  <c r="T8" i="2"/>
  <c r="U8" i="2"/>
  <c r="V8" i="2"/>
  <c r="W8" i="2"/>
  <c r="X8" i="2"/>
  <c r="Y8" i="2"/>
  <c r="Z8" i="2"/>
  <c r="AA8" i="2"/>
  <c r="H8" i="11"/>
  <c r="D10" i="2"/>
  <c r="D11" i="2"/>
  <c r="B83" i="12"/>
  <c r="A23" i="14"/>
  <c r="B87" i="14"/>
  <c r="B88" i="14"/>
  <c r="B84" i="12"/>
  <c r="B88" i="12"/>
  <c r="B86" i="12"/>
  <c r="D41" i="2"/>
  <c r="U10" i="2"/>
  <c r="U11" i="2"/>
  <c r="V10" i="2"/>
  <c r="V11" i="2"/>
  <c r="W10" i="2"/>
  <c r="W11" i="2"/>
  <c r="X10" i="2"/>
  <c r="X11" i="2"/>
  <c r="Y10" i="2"/>
  <c r="Y11" i="2"/>
  <c r="Z10" i="2"/>
  <c r="Z11" i="2"/>
  <c r="AA10" i="2"/>
  <c r="AA11" i="2"/>
  <c r="N10" i="2"/>
  <c r="N11" i="2"/>
  <c r="O10" i="2"/>
  <c r="O11" i="2"/>
  <c r="P10" i="2"/>
  <c r="P11" i="2"/>
  <c r="Q10" i="2"/>
  <c r="Q11" i="2"/>
  <c r="R10" i="2"/>
  <c r="R11" i="2"/>
  <c r="S10" i="2"/>
  <c r="S11" i="2"/>
  <c r="T10" i="2"/>
  <c r="T11" i="2"/>
  <c r="E10" i="2"/>
  <c r="E11" i="2"/>
  <c r="F10" i="2"/>
  <c r="F11" i="2"/>
  <c r="G10" i="2"/>
  <c r="G11" i="2"/>
  <c r="H10" i="2"/>
  <c r="H11" i="2"/>
  <c r="G66" i="12"/>
  <c r="G57" i="12"/>
  <c r="J49" i="12"/>
  <c r="J40" i="12"/>
  <c r="J32" i="12"/>
  <c r="F25" i="12"/>
  <c r="F15" i="12"/>
  <c r="D7" i="12"/>
  <c r="M74" i="12"/>
  <c r="M69" i="12"/>
  <c r="M64" i="12"/>
  <c r="M61" i="12"/>
  <c r="I59" i="12"/>
  <c r="I56" i="12"/>
  <c r="M51" i="12"/>
  <c r="M48" i="12"/>
  <c r="P46" i="12"/>
  <c r="P43" i="12"/>
  <c r="P39" i="12"/>
  <c r="P36" i="12"/>
  <c r="M33" i="12"/>
  <c r="M30" i="12"/>
  <c r="J24" i="12"/>
  <c r="J21" i="12"/>
  <c r="H17" i="12"/>
  <c r="H13" i="12"/>
  <c r="F9" i="12"/>
  <c r="F5" i="12"/>
  <c r="D23" i="12"/>
  <c r="D61" i="12"/>
  <c r="D23" i="14"/>
  <c r="F25" i="14"/>
  <c r="H23" i="14"/>
  <c r="J21" i="14"/>
  <c r="K20" i="14"/>
  <c r="J24" i="14"/>
  <c r="K23" i="14"/>
  <c r="H40" i="14"/>
  <c r="J40" i="14"/>
  <c r="M44" i="14"/>
  <c r="P43" i="14"/>
  <c r="Q42" i="14"/>
  <c r="P46" i="14"/>
  <c r="Q45" i="14"/>
  <c r="J49" i="14"/>
  <c r="M48" i="14"/>
  <c r="N47" i="14"/>
  <c r="M51" i="14"/>
  <c r="N50" i="14"/>
  <c r="D61" i="14"/>
  <c r="G66" i="14"/>
  <c r="J71" i="14"/>
  <c r="M69" i="14"/>
  <c r="N68" i="14"/>
  <c r="M74" i="14"/>
  <c r="N73" i="14"/>
  <c r="I84" i="14"/>
  <c r="D7" i="14"/>
  <c r="F9" i="14"/>
  <c r="G8" i="14"/>
  <c r="F15" i="14"/>
  <c r="H17" i="14"/>
  <c r="I16" i="14"/>
  <c r="J32" i="14"/>
  <c r="M33" i="14"/>
  <c r="N32" i="14"/>
  <c r="M38" i="14"/>
  <c r="P39" i="14"/>
  <c r="Q38" i="14"/>
  <c r="J62" i="14"/>
  <c r="M64" i="14"/>
  <c r="N63" i="14"/>
  <c r="G57" i="14"/>
  <c r="I59" i="14"/>
  <c r="J58" i="14"/>
  <c r="I83" i="14"/>
  <c r="M61" i="14"/>
  <c r="N60" i="14"/>
  <c r="I56" i="14"/>
  <c r="J55" i="14"/>
  <c r="P36" i="14"/>
  <c r="Q35" i="14"/>
  <c r="M30" i="14"/>
  <c r="N29" i="14"/>
  <c r="F5" i="14"/>
  <c r="G4" i="14"/>
  <c r="H13" i="14"/>
  <c r="I12" i="14"/>
  <c r="A27" i="14"/>
  <c r="H23" i="12"/>
  <c r="H40" i="12"/>
  <c r="M44" i="12"/>
  <c r="J71" i="12"/>
  <c r="M38" i="12"/>
  <c r="J62" i="12"/>
  <c r="C9" i="9"/>
  <c r="C12" i="9"/>
  <c r="C11" i="9"/>
  <c r="N8" i="11"/>
  <c r="M8" i="11"/>
  <c r="L8" i="11"/>
  <c r="G8" i="11"/>
  <c r="I10" i="2"/>
  <c r="I11" i="2"/>
  <c r="J10" i="2"/>
  <c r="J11" i="2"/>
  <c r="K10" i="2"/>
  <c r="K11" i="2"/>
  <c r="L10" i="2"/>
  <c r="L11" i="2"/>
  <c r="M10" i="2"/>
  <c r="M11" i="2"/>
  <c r="C10" i="2"/>
  <c r="B18" i="2"/>
  <c r="A23" i="12"/>
  <c r="G4" i="12"/>
  <c r="G8" i="12"/>
  <c r="I12" i="12"/>
  <c r="I16" i="12"/>
  <c r="K20" i="12"/>
  <c r="K23" i="12"/>
  <c r="N29" i="12"/>
  <c r="N32" i="12"/>
  <c r="Q35" i="12"/>
  <c r="Q38" i="12"/>
  <c r="Q42" i="12"/>
  <c r="Q45" i="12"/>
  <c r="N47" i="12"/>
  <c r="N50" i="12"/>
  <c r="J55" i="12"/>
  <c r="J58" i="12"/>
  <c r="N60" i="12"/>
  <c r="N63" i="12"/>
  <c r="N68" i="12"/>
  <c r="N73" i="12"/>
  <c r="A27" i="12"/>
  <c r="I83" i="12"/>
  <c r="I84" i="12"/>
  <c r="G19" i="2"/>
  <c r="H22" i="9"/>
  <c r="M15" i="9"/>
  <c r="M16" i="9"/>
  <c r="M20" i="9"/>
  <c r="M22" i="9"/>
  <c r="R15" i="9"/>
  <c r="R16" i="9"/>
  <c r="R20" i="9"/>
  <c r="L22" i="9"/>
  <c r="Q15" i="9"/>
  <c r="Q16" i="9"/>
  <c r="Q20" i="9"/>
  <c r="L19" i="2"/>
  <c r="H26" i="2"/>
  <c r="H27" i="2"/>
  <c r="H29" i="2"/>
  <c r="D19" i="2"/>
  <c r="D26" i="2"/>
  <c r="D27" i="2"/>
  <c r="D29" i="2"/>
  <c r="D22" i="9"/>
  <c r="I15" i="9"/>
  <c r="I16" i="9"/>
  <c r="I20" i="9"/>
  <c r="E22" i="9"/>
  <c r="J15" i="9"/>
  <c r="J16" i="9"/>
  <c r="J20" i="9"/>
  <c r="F22" i="9"/>
  <c r="K15" i="9"/>
  <c r="K16" i="9"/>
  <c r="K20" i="9"/>
  <c r="F19" i="2"/>
  <c r="F26" i="2"/>
  <c r="F27" i="2"/>
  <c r="F29" i="2"/>
  <c r="M19" i="2"/>
  <c r="M26" i="2"/>
  <c r="M27" i="2"/>
  <c r="M29" i="2"/>
  <c r="K22" i="9"/>
  <c r="P15" i="9"/>
  <c r="P16" i="9"/>
  <c r="P20" i="9"/>
  <c r="K19" i="2"/>
  <c r="L26" i="2"/>
  <c r="L27" i="2"/>
  <c r="L29" i="2"/>
  <c r="G26" i="2"/>
  <c r="G27" i="2"/>
  <c r="G29" i="2"/>
  <c r="J22" i="9"/>
  <c r="O15" i="9"/>
  <c r="O16" i="9"/>
  <c r="O20" i="9"/>
  <c r="J19" i="2"/>
  <c r="E26" i="2"/>
  <c r="E27" i="2"/>
  <c r="E29" i="2"/>
  <c r="Q22" i="9"/>
  <c r="V15" i="9"/>
  <c r="V16" i="9"/>
  <c r="V20" i="9"/>
  <c r="Q19" i="2"/>
  <c r="I19" i="2"/>
  <c r="I26" i="2"/>
  <c r="I27" i="2"/>
  <c r="I29" i="2"/>
  <c r="I22" i="9"/>
  <c r="N15" i="9"/>
  <c r="N16" i="9"/>
  <c r="N20" i="9"/>
  <c r="R19" i="2"/>
  <c r="R22" i="9"/>
  <c r="W15" i="9"/>
  <c r="W16" i="9"/>
  <c r="W20" i="9"/>
  <c r="R26" i="2"/>
  <c r="R27" i="2"/>
  <c r="R29" i="2"/>
  <c r="K26" i="2"/>
  <c r="K27" i="2"/>
  <c r="K29" i="2"/>
  <c r="W19" i="2"/>
  <c r="W22" i="9"/>
  <c r="J26" i="2"/>
  <c r="J27" i="2"/>
  <c r="J29" i="2"/>
  <c r="P19" i="2"/>
  <c r="Q26" i="2"/>
  <c r="Q27" i="2"/>
  <c r="Q29" i="2"/>
  <c r="P22" i="9"/>
  <c r="U15" i="9"/>
  <c r="U16" i="9"/>
  <c r="U20" i="9"/>
  <c r="N22" i="9"/>
  <c r="S15" i="9"/>
  <c r="S16" i="9"/>
  <c r="S20" i="9"/>
  <c r="N19" i="2"/>
  <c r="N26" i="2"/>
  <c r="N27" i="2"/>
  <c r="N29" i="2"/>
  <c r="V19" i="2"/>
  <c r="V22" i="9"/>
  <c r="AA15" i="9"/>
  <c r="AA16" i="9"/>
  <c r="AA20" i="9"/>
  <c r="O19" i="2"/>
  <c r="O22" i="9"/>
  <c r="T15" i="9"/>
  <c r="T16" i="9"/>
  <c r="T20" i="9"/>
  <c r="O26" i="2"/>
  <c r="O27" i="2"/>
  <c r="O29" i="2"/>
  <c r="S22" i="9"/>
  <c r="X15" i="9"/>
  <c r="X16" i="9"/>
  <c r="X20" i="9"/>
  <c r="S19" i="2"/>
  <c r="S26" i="2"/>
  <c r="S27" i="2"/>
  <c r="S29" i="2"/>
  <c r="AA19" i="2"/>
  <c r="AA22" i="9"/>
  <c r="U22" i="9"/>
  <c r="Z15" i="9"/>
  <c r="Z16" i="9"/>
  <c r="Z20" i="9"/>
  <c r="U19" i="2"/>
  <c r="V26" i="2"/>
  <c r="V27" i="2"/>
  <c r="V29" i="2"/>
  <c r="P26" i="2"/>
  <c r="P27" i="2"/>
  <c r="P29" i="2"/>
  <c r="W26" i="2"/>
  <c r="W27" i="2"/>
  <c r="W29" i="2"/>
  <c r="T19" i="2"/>
  <c r="T22" i="9"/>
  <c r="Y15" i="9"/>
  <c r="Y16" i="9"/>
  <c r="Y20" i="9"/>
  <c r="T26" i="2"/>
  <c r="T27" i="2"/>
  <c r="T29" i="2"/>
  <c r="U26" i="2"/>
  <c r="U27" i="2"/>
  <c r="U29" i="2"/>
  <c r="Y19" i="2"/>
  <c r="Y22" i="9"/>
  <c r="Z19" i="2"/>
  <c r="Z22" i="9"/>
  <c r="X22" i="9"/>
  <c r="X19" i="2"/>
  <c r="X26" i="2"/>
  <c r="X27" i="2"/>
  <c r="X29" i="2"/>
  <c r="Z26" i="2"/>
  <c r="Z27" i="2"/>
  <c r="Z29" i="2"/>
  <c r="AA26" i="2"/>
  <c r="AA27" i="2"/>
  <c r="AA29" i="2"/>
  <c r="Y26" i="2"/>
  <c r="Y27" i="2"/>
  <c r="Y29" i="2"/>
  <c r="D34" i="2"/>
  <c r="D38" i="2"/>
  <c r="C34" i="9"/>
  <c r="C35" i="9"/>
  <c r="D43" i="2"/>
  <c r="C30" i="9"/>
  <c r="C31" i="9"/>
  <c r="C37" i="9"/>
  <c r="E34" i="2"/>
  <c r="E38" i="2"/>
  <c r="E43" i="2"/>
  <c r="C8" i="11"/>
</calcChain>
</file>

<file path=xl/comments1.xml><?xml version="1.0" encoding="utf-8"?>
<comments xmlns="http://schemas.openxmlformats.org/spreadsheetml/2006/main">
  <authors>
    <author>Author</author>
  </authors>
  <commentList>
    <comment ref="B83" authorId="0">
      <text>
        <r>
          <rPr>
            <sz val="9"/>
            <color indexed="81"/>
            <rFont val="Calibri"/>
            <family val="2"/>
          </rPr>
          <t>The average number of cases per child per year is 0.269.  https://givewell.app.box.com/files/0/f/6317193837/1/f_51417508505</t>
        </r>
      </text>
    </comment>
  </commentList>
</comments>
</file>

<file path=xl/sharedStrings.xml><?xml version="1.0" encoding="utf-8"?>
<sst xmlns="http://schemas.openxmlformats.org/spreadsheetml/2006/main" count="333" uniqueCount="203">
  <si>
    <t>Total deaths averted by intervention - 2016-2026</t>
  </si>
  <si>
    <t>Deaths averted by increased antibiotic coverage</t>
  </si>
  <si>
    <t>Effectiveness of increased coverage / ineffectiveness of baseline coverage</t>
  </si>
  <si>
    <t>% deaths averted</t>
  </si>
  <si>
    <t>40% Baseline: antibiotic Tx covg in '92 was 22%; ARI care-seeking is 71% -- 58% in public, 13% in private (HMIS 2014) and has held steady over the years; MSD avg fulfillment rate &lt;60% (2014.) Assuming 60% of the 58% seeking care in the public sector receive antibiotics, and 100% of the 13% seeking care in the private sector receive antibiotics, antibiotic coverage would = 48%. We take a haircut on this to 40% because public sector fulfillment rates are likely lower than 60% currently 
-- a new Director at MSD indicated on 3/9/2016 that they are in crisis mode now as the debt situation has escalated; 
-- the USAID report indicated that "of all the MNCH products, pneumonia antibiotics like amoxicillin suspension and co-trimoxazole suspension are the products that are most often out of stock"; 
-- Priya (USAID CII) shared that the MSD DG noted amox is available at a "6" on a scale of 1-7 (1=always and 7=never)
-- only 44% of facilities have a staff trained on IMCI, only 54% had guidelines, and adherence to the prescription guidelines was less than 50% for pneumonia management (SARA 2012). 
In addition, patients' ability to pay for drugs in the private sector would need to be taken into account. 
15% Scale-up: Over 2 yrs, CHAI achieved 10-15% scale-up in ORS from a baseline of 40% and 15-20% scale-up in Zn from a baseline of 0%</t>
  </si>
  <si>
    <t>R4D assumptions</t>
  </si>
  <si>
    <t>1) 70% adjusted effectiveness -- 35% reduction (95% CI: 18-48%) in ALRI mortality among 0-5 years (9 studies) in areas where estimated coverage rate for antibiotic treatment is 50% {CHERG}
2) 58% - 74% -- depending on the district, there was a reduction in pneumo mortality of 43%, 58%, and 74% among kids 0-4 in Fiji and China
{Shimouchi A, Yaohua D, Zhonghan Z, Rabukawaqa VB. Effectiveness of control programs for pneumonia among children in China and Fiji. Clin Infect Dis1995;21:S213-17.}
3) 58% reduction in pneumo mortality among kids 0-1 in India {Datta N, Kumar V, Kumar L, Singhi S. Application of case management to the control of acute respiratory infections in low-birth-weight infants: a feasibility study. Bull World Health Organ 1987;65:77-82.}
4) 28% - 48% -- 28% reduction in ALRI mortality in the first two years, 48% in the last two years among kids 0-5 in Bangladesh {Fauveau V, Stewart MK, Chakraborty J, Khan SA. Impact on mortality of a community-based programme to control acute lower respiratory tract infections.Bull World Health Organ 1992;70:109-16.}
5) 27.8% reduction in ARI mortality among children 0-4 in India {Agarwal DK, Bhatia BD, Agarwal KN. Simple approach to acute respiratory infection in rural under five children. Indian Pediatr 1993;30:629-35.}</t>
  </si>
  <si>
    <t>CHERG and others (see notes)</t>
  </si>
  <si>
    <t>% of pneumo cases that would respond to antibiotics</t>
  </si>
  <si>
    <t>Affective Fraction</t>
  </si>
  <si>
    <t># of 1-59mos pneumo deaths</t>
  </si>
  <si>
    <t>WHO 2000-2015 estimates</t>
  </si>
  <si>
    <t>Pneumo-caused U5 mortality</t>
  </si>
  <si>
    <t xml:space="preserve"># of U5 deaths per live birth = 0.0487 excluding neonatal deaths (~40% of all U5 deaths are &lt;1 mo deaths) </t>
  </si>
  <si>
    <t>LiST</t>
  </si>
  <si>
    <t>WPP 2015</t>
  </si>
  <si>
    <t>Live births</t>
  </si>
  <si>
    <t>Notes</t>
  </si>
  <si>
    <t>Sources</t>
  </si>
  <si>
    <t>Values</t>
  </si>
  <si>
    <t># child deaths in Tanzania in 2005</t>
  </si>
  <si>
    <t># child deaths in Tanzania in 2015</t>
  </si>
  <si>
    <t>Average ratio of decrease per year</t>
  </si>
  <si>
    <t>GapMinder</t>
  </si>
  <si>
    <t>Calculation</t>
  </si>
  <si>
    <t>Discount</t>
  </si>
  <si>
    <t>Deaths averted by increased antibiotic coverage, adjusted for discount</t>
  </si>
  <si>
    <t>External validity</t>
  </si>
  <si>
    <t>Replicability</t>
  </si>
  <si>
    <t>Effectiveness from evidence review</t>
  </si>
  <si>
    <t>Adjusted effectiveness</t>
  </si>
  <si>
    <t xml:space="preserve">GapMinder </t>
  </si>
  <si>
    <t>Used to calculate approximate decrease in child mortality over time. Small changes to the percentage do not make a large change to overall results.</t>
  </si>
  <si>
    <t>What is the chance that this study / set of studies would replicate? This estimate takes into account weaknesses in study design.</t>
  </si>
  <si>
    <t>This estimate takes into account ways in which the environment in which studies are conducted might significantly differ from the environment of a future intervention.</t>
  </si>
  <si>
    <t>Total amount spent by intervention</t>
  </si>
  <si>
    <t>GiveWell commonly uses a discount for benefits that occur in the future.  This discount takes into account (in no particular order) uncertainty, valuing the future less than the present, and accounting for general returns to investment (if a donor did not donate now, they could instead make a return in donate a larger amount in the future).</t>
  </si>
  <si>
    <t>5% is the standard GiveWell discount, barring compelling reasons to move the discount up or down.</t>
  </si>
  <si>
    <t>GiveWell median estimate for equivalent lives saved for bednets</t>
  </si>
  <si>
    <t>Adjusted estimate to take into account that malaria deaths averted occur a few years after donation</t>
  </si>
  <si>
    <t>R4D's planned antibiotic coverage for pneumonia</t>
  </si>
  <si>
    <t>R4D's achieved antibiotic coverage for pneumonia</t>
  </si>
  <si>
    <t>OPTIONAL - what percentage of R4D's targets of increasing access to antibiotics do they meet?</t>
  </si>
  <si>
    <t>Prediction</t>
  </si>
  <si>
    <t>Difference</t>
  </si>
  <si>
    <t>GiveWell incorporates a falling child mortality rate over time, modelling child mortality to continue falling at the same rate for the next ten years as for the last ten years.</t>
  </si>
  <si>
    <t>GiveWell adds approximate external validity and replicability adjustments to the results from the evidence, in keeping with other internal CEAs. More explanation in 'Source' and 'Notes' columns.</t>
  </si>
  <si>
    <t>GiveWell uses a temporal discount of 5% per year, valuing benefits in the future less than benefits in the present (more explanation in 'Source' and 'Notes' columns).</t>
  </si>
  <si>
    <t>GiveWell adds a comparison to GiveWell's bednets estimates.</t>
  </si>
  <si>
    <t>GiveWell gives an option to adjust up or down from R4D's targets to what we expect R4D to achieve.</t>
  </si>
  <si>
    <t>Overall goal</t>
  </si>
  <si>
    <t>Primary outcome</t>
  </si>
  <si>
    <t>Secondary outcome</t>
  </si>
  <si>
    <t>Intermediate outcome / indicators</t>
  </si>
  <si>
    <t>R4D-led intervention</t>
  </si>
  <si>
    <t>R4D-led M&amp;E activities</t>
  </si>
  <si>
    <t>R4D Indicators</t>
  </si>
  <si>
    <r>
      <t xml:space="preserve">Increased </t>
    </r>
    <r>
      <rPr>
        <b/>
        <sz val="11"/>
        <color theme="1"/>
        <rFont val="Calibri"/>
        <family val="2"/>
        <scheme val="minor"/>
      </rPr>
      <t xml:space="preserve">appropriate dispensing </t>
    </r>
    <r>
      <rPr>
        <sz val="12"/>
        <color theme="1"/>
        <rFont val="Calibri"/>
        <family val="2"/>
        <scheme val="minor"/>
      </rPr>
      <t xml:space="preserve">of amox syrup, suspension and DT ("pediatric amox") for CU5 with pneumo symptoms </t>
    </r>
    <r>
      <rPr>
        <sz val="11"/>
        <rFont val="Calibri"/>
        <family val="2"/>
        <scheme val="minor"/>
      </rPr>
      <t>in Tanzania</t>
    </r>
  </si>
  <si>
    <t>-- Review of outpatient registers and patient folders
-- Leverage HMIS data</t>
  </si>
  <si>
    <r>
      <rPr>
        <b/>
        <sz val="11"/>
        <rFont val="Calibri"/>
        <family val="2"/>
        <scheme val="minor"/>
      </rPr>
      <t>Dispensing coverage</t>
    </r>
    <r>
      <rPr>
        <i/>
        <sz val="11"/>
        <rFont val="Calibri"/>
        <family val="2"/>
        <scheme val="minor"/>
      </rPr>
      <t xml:space="preserve">
</t>
    </r>
    <r>
      <rPr>
        <sz val="11"/>
        <rFont val="Calibri"/>
        <family val="2"/>
        <scheme val="minor"/>
      </rPr>
      <t>i)15% increase in # of pneumo-diagnosed CU5 dispensed with pediatric amox in public sector (over our baseline)</t>
    </r>
  </si>
  <si>
    <r>
      <t xml:space="preserve">Public: Increased # of CU5 diagnosed with pneumo </t>
    </r>
    <r>
      <rPr>
        <b/>
        <sz val="11"/>
        <color theme="1"/>
        <rFont val="Calibri"/>
        <family val="2"/>
        <scheme val="minor"/>
      </rPr>
      <t xml:space="preserve">prescribed with </t>
    </r>
    <r>
      <rPr>
        <b/>
        <sz val="11"/>
        <rFont val="Calibri"/>
        <family val="2"/>
        <scheme val="minor"/>
      </rPr>
      <t>and getting</t>
    </r>
    <r>
      <rPr>
        <b/>
        <sz val="11"/>
        <color theme="1"/>
        <rFont val="Calibri"/>
        <family val="2"/>
        <scheme val="minor"/>
      </rPr>
      <t xml:space="preserve"> pediatric </t>
    </r>
    <r>
      <rPr>
        <b/>
        <sz val="11"/>
        <rFont val="Calibri"/>
        <family val="2"/>
        <scheme val="minor"/>
      </rPr>
      <t>amox in the public sector</t>
    </r>
  </si>
  <si>
    <r>
      <t xml:space="preserve">                                                                                                 Public: Increased </t>
    </r>
    <r>
      <rPr>
        <b/>
        <sz val="11"/>
        <color theme="1"/>
        <rFont val="Calibri"/>
        <family val="2"/>
        <scheme val="minor"/>
      </rPr>
      <t>availability of</t>
    </r>
    <r>
      <rPr>
        <b/>
        <sz val="11"/>
        <rFont val="Calibri"/>
        <family val="2"/>
        <scheme val="minor"/>
      </rPr>
      <t xml:space="preserve"> pediatric amox</t>
    </r>
    <r>
      <rPr>
        <sz val="12"/>
        <color theme="1"/>
        <rFont val="Calibri"/>
        <family val="2"/>
        <scheme val="minor"/>
      </rPr>
      <t xml:space="preserve"> in public sector facilities</t>
    </r>
  </si>
  <si>
    <t>-- Inventory audit of a sample of facilities
-- Leverage MSD and HMIS data</t>
  </si>
  <si>
    <r>
      <t xml:space="preserve">Public: Improved </t>
    </r>
    <r>
      <rPr>
        <b/>
        <sz val="11"/>
        <color theme="1"/>
        <rFont val="Calibri"/>
        <family val="2"/>
        <scheme val="minor"/>
      </rPr>
      <t>diagnosis and understanding of pediatric amox as first-line treatment</t>
    </r>
    <r>
      <rPr>
        <sz val="12"/>
        <color theme="1"/>
        <rFont val="Calibri"/>
        <family val="2"/>
        <scheme val="minor"/>
      </rPr>
      <t xml:space="preserve"> for CU5 with pneumo symptoms</t>
    </r>
  </si>
  <si>
    <r>
      <t xml:space="preserve">Public: Improved public sector healthcare providers' </t>
    </r>
    <r>
      <rPr>
        <b/>
        <sz val="11"/>
        <color theme="1"/>
        <rFont val="Calibri"/>
        <family val="2"/>
        <scheme val="minor"/>
      </rPr>
      <t>knowledge of managing and treating pneumo</t>
    </r>
  </si>
  <si>
    <t>Related ongoing TZ activities with existing BMGF grant:
-- ensure all relevant GLs are updated with appropriate dosing
-- increase # of registered amox DT suppliers who meet WHO-GMP standards 
-- support addition of amox DT in national health insurance scheme, supply chain-related paperwork (e.g. eLMIS)
-- strengthen amox DT forecasts, etc.</t>
  </si>
  <si>
    <t>Private: To be updated during beta learning phase</t>
  </si>
  <si>
    <t>Counterfactual coverage</t>
  </si>
  <si>
    <t>Counterfactual increase in coverage per year</t>
  </si>
  <si>
    <t>Pneumoccal vaccine efficacy</t>
  </si>
  <si>
    <t>Guess</t>
  </si>
  <si>
    <t>http://www.who.int/immunization/monitoring_surveillance/data/tza.pdf</t>
  </si>
  <si>
    <t>R4D's given # of 1-59mos deaths, taking into account falling mortality rates over time</t>
  </si>
  <si>
    <t>This assumes that the vaccine adjusts the percentage of pneumo-caused mortality deaths in addition to overall mortality falling, so even without this adjustment pneumo-caused deaths are modeled as falling over time.  This means that by adding the adjustment we are modeling the vaccine as an unusually good improvement.</t>
  </si>
  <si>
    <t>Increased vaccine coverage from 2016 estimate</t>
  </si>
  <si>
    <t>How many lives could have been saved if these funds were directed elsewhere (no time discount) to avert the drop</t>
  </si>
  <si>
    <t>How many lives could have been saved if these funds were directed elswehere (no time discount)</t>
  </si>
  <si>
    <t>Incorporating approximate time discount (averaged 1 year out)</t>
  </si>
  <si>
    <t>Coverage with scale-up intervention conducted a few years later by a different organization</t>
  </si>
  <si>
    <t>How many years later would a similar scale-up intervention be conducted in absense of R4D?</t>
  </si>
  <si>
    <t>Additional coverage from scale-up intervention at a later date</t>
  </si>
  <si>
    <t>Number of years into hypothesized future scale-up intervention</t>
  </si>
  <si>
    <t>Instructions:</t>
  </si>
  <si>
    <r>
      <t xml:space="preserve">2. </t>
    </r>
    <r>
      <rPr>
        <b/>
        <sz val="12"/>
        <color rgb="FF000000"/>
        <rFont val="Arial"/>
      </rPr>
      <t>Generate samples</t>
    </r>
    <r>
      <rPr>
        <sz val="12"/>
        <color rgb="FF000000"/>
        <rFont val="Arial"/>
      </rPr>
      <t xml:space="preserve"> by pressing 'get new sample' the desired number of times. (Optional: To graphically see these samples and associated confidence intervals, go to www.getguesstimate.com, create a new model, make a new input and select 'custom data', then paste these values into the custom data box) </t>
    </r>
  </si>
  <si>
    <t>Generate samples</t>
  </si>
  <si>
    <t>Create custom distribution</t>
  </si>
  <si>
    <t>Create normal distribution</t>
  </si>
  <si>
    <t>Samples:</t>
  </si>
  <si>
    <t>Next sample goes in row:</t>
  </si>
  <si>
    <t>Current sample is (type '=' followed by the cell that you want to sample):</t>
  </si>
  <si>
    <t>Probability of this value:</t>
  </si>
  <si>
    <t>Possible value for input:</t>
  </si>
  <si>
    <t>Number of values:</t>
  </si>
  <si>
    <t>Copy and paste formula from here:</t>
  </si>
  <si>
    <t>Mean</t>
  </si>
  <si>
    <t>StdDev</t>
  </si>
  <si>
    <t>Approximate calculated confidence interval:</t>
  </si>
  <si>
    <t>R4D's increase in coverage per year in the first five years</t>
  </si>
  <si>
    <t>R4D's increase in coverage per year in the second five years</t>
  </si>
  <si>
    <t>25% chance government or funder intervenes completely</t>
  </si>
  <si>
    <t>In absense of R4D, percentage of funding gap which manifests as a coverage gap within the private sector</t>
  </si>
  <si>
    <t>Public funding cliff with no intervening funding</t>
  </si>
  <si>
    <t>Counterfactual coverage, if funding cliff is not filled, with no later scale-up of coverage</t>
  </si>
  <si>
    <t>Counterfactual coverage, with 25% change of funding cliff averted, and no later scale-up of coverage</t>
  </si>
  <si>
    <t xml:space="preserve">R4D's achieved antibiotic coverage for pneumonia </t>
  </si>
  <si>
    <t>Seek care in the public sector</t>
  </si>
  <si>
    <t>Do not seek care</t>
  </si>
  <si>
    <t>Seek care in the private sector</t>
  </si>
  <si>
    <t>Are diagnosed incorrectly &amp; do not receive antibiotics</t>
  </si>
  <si>
    <t>Are diagnosed correctly</t>
  </si>
  <si>
    <t>Do not receive antibiotics</t>
  </si>
  <si>
    <t>Receive antibiotics</t>
  </si>
  <si>
    <t>No death</t>
  </si>
  <si>
    <t>Death</t>
  </si>
  <si>
    <t>Facility is stocked out</t>
  </si>
  <si>
    <t>Receive no antibiotics</t>
  </si>
  <si>
    <t>Variable name</t>
  </si>
  <si>
    <t>Value</t>
  </si>
  <si>
    <t>Source</t>
  </si>
  <si>
    <t>Number who get pneumonia in a year</t>
  </si>
  <si>
    <t>Case fatality with no Amox</t>
  </si>
  <si>
    <t>Public sector correct diagnosis</t>
  </si>
  <si>
    <t>Case fatality with Amox</t>
  </si>
  <si>
    <t>Go to further public facility</t>
  </si>
  <si>
    <t>After a stock out at the first public facility visited, goes to no further facilities</t>
  </si>
  <si>
    <t>After a stock out at the first public facility visited, goes to second facility</t>
  </si>
  <si>
    <t>Private sector correct diagnosis</t>
  </si>
  <si>
    <t>Percentage of public facilities with Amox in stock</t>
  </si>
  <si>
    <t>Percentage of private facilities with Amox in stock</t>
  </si>
  <si>
    <t>(Model sum check:)</t>
  </si>
  <si>
    <t>Calculations:</t>
  </si>
  <si>
    <t>Number of people who die:</t>
  </si>
  <si>
    <t>Percentage who receive Amox:</t>
  </si>
  <si>
    <t>Case fatality no Amox</t>
  </si>
  <si>
    <r>
      <t>1.</t>
    </r>
    <r>
      <rPr>
        <b/>
        <sz val="12"/>
        <color rgb="FF000000"/>
        <rFont val="Arial"/>
      </rPr>
      <t xml:space="preserve"> Replace static inputs</t>
    </r>
    <r>
      <rPr>
        <sz val="12"/>
        <color rgb="FF000000"/>
        <rFont val="Arial"/>
      </rPr>
      <t xml:space="preserve"> that you want to have a probability distribution with an excel forumula that models the distribution using the 'create custom distribution' and the 'create normal distribution' tools below.  A common example of distributions is the normal distribution: =NORMINV(rand(), type mean here, type standard deviation here).  Alternatively type in possible values for the distribution under the column 'distribution values' in column F and assign probabilities to those values in column E.  Copy the resulting formula from column H and paste it into the desired input. </t>
    </r>
  </si>
  <si>
    <t>Include in counterfactual coverage:</t>
  </si>
  <si>
    <t>Include funding cliff</t>
  </si>
  <si>
    <t>Don't include funding cliff</t>
  </si>
  <si>
    <t>OPTIONAL - change the baseline from the suggested 40% to take into account severity of pneumonia and treatment</t>
  </si>
  <si>
    <t>Estimated money spend by other funders to avert the drop (assuming a 25% chance that a different funder fills the gap), and assuming that the government would have spent about a 10th of R4D's budget to maintain it's current system, where these funds are no available for other activities</t>
  </si>
  <si>
    <t>Incorporating approximate time discount (averaged 3 years after start of program years out)</t>
  </si>
  <si>
    <t>Until what year do benefits last? (Maximum 2014)</t>
  </si>
  <si>
    <t>R4D's pneumonia program is X times more cost-effective than bednets, 2016-2026</t>
  </si>
  <si>
    <t>Initial coverage</t>
  </si>
  <si>
    <t>Number of cases of pneumonia that would end in death with no Amox</t>
  </si>
  <si>
    <t>Number of U5 who get pneumonia in a year</t>
  </si>
  <si>
    <t xml:space="preserve"> </t>
  </si>
  <si>
    <t>Calculated from the fact that the average number of cases per child per year is 0.269 (exact number found in source found in source).</t>
  </si>
  <si>
    <t>Number of fatalities that would occur in absense of Amox a year / Number of cases a year</t>
  </si>
  <si>
    <t>CFR with no Amox * effectiveness of Amox</t>
  </si>
  <si>
    <t>Guess, based on recollection of implication from call with R4D that some dispenseries in private sector may be worse at administering tests.</t>
  </si>
  <si>
    <t>https://www.cddep.org/sites/default/files/garp-tz_situation_analysis.pdf</t>
  </si>
  <si>
    <t xml:space="preserve">55.3% had Amoxicillin suspension in source. </t>
  </si>
  <si>
    <t>93.8% had Amoxicillin suspension</t>
  </si>
  <si>
    <t>Number of people who get pneumonia in a year severe enough that without antibiotics they would die</t>
  </si>
  <si>
    <t>Adjusted down from pneumonia estimate</t>
  </si>
  <si>
    <t>Adjusted up from pneumonia estimate</t>
  </si>
  <si>
    <t>Adjusted up from pneumonia case</t>
  </si>
  <si>
    <t>By definition</t>
  </si>
  <si>
    <t>NOTE: Set the hard-coded number in the calculated value equal to 'percentage who receive Amox'. This can not be done directly due to a circular reference. Number of pneumonia deaths / ((1-coverage)+(1-effectiveness)*coverage).  Essentially the number of people who die as a percent of the number of people who would die if they did not receive an antibiotic is (1-coverage)+(1-effectiveness)*coverage.  So to get the number that would die if they did not receive an antibiotic, take the actual number of deaths and divide by this percentage.</t>
  </si>
  <si>
    <t>55.3% had Amoxicillin suspension in public facility.  93.8% had Amox in private facility. 50% of people seek treatment in a public facility, 21% in a private facility.  0.553*0.938+0.5*0.21</t>
  </si>
  <si>
    <t xml:space="preserve">Best guess based on trading off: (1) difficulty in comparing the interventions in the studies to a future R4D intervention  (2) different location, and time between studies and future intervention. (3) Newer antibiotics are more effective than antibiotics used during the evidence review.  DCP3 uses 0.7 as a standard effectiveness weight. </t>
  </si>
  <si>
    <t>Best guess based on moderately large number of effectiveness studies, though many not randomized, and many efficacy studies.</t>
  </si>
  <si>
    <t>Inputs in green are more subjective inputs that a user is encouraged to experiment with.</t>
  </si>
  <si>
    <t>Cost per death averted by intervention</t>
  </si>
  <si>
    <t>With very rough guess at credit given to R4D for freeing other funds</t>
  </si>
  <si>
    <t>Without very rough guess at credit given to R4D for freeing other funds</t>
  </si>
  <si>
    <t xml:space="preserve">"Pneumococcal vaccines resulted in a 29% (RR 0·71, 95% CI 0·58–0·87) signifi cant reduction in radiologically confi rmed
pneumonia, an 11% (0·89, 0·81–0·98) reduction in severe pneumonia, and an 18% (0·82, 0·44–1·52) non-signifi cant
reduction in pneumonia mortality" </t>
  </si>
  <si>
    <t>http://www.thelancet.com/pdfs/journals/lancet/PIIS0140-6736(13)60648-0.pdf</t>
  </si>
  <si>
    <t>A new vaccine has recently been introduced that reduces the mortality effect of pneumonia. In 2013 coverage of this was 80% and in 2014 coverage was 85%, but these numbers may not include older infants who did not receive the vaccine at a younger age.. This input models how much additional vaccine coverage we would expect from the future.</t>
  </si>
  <si>
    <t>Conversations with R4D</t>
  </si>
  <si>
    <t>Assumed coverage growth per year without an intervention</t>
  </si>
  <si>
    <t>Baseline coverage with increase each year</t>
  </si>
  <si>
    <t>Public sector stock out goes from 55.3% to 15% (50% of people seek care in the public sector), private sector remains at 100% (21% of people seek care in the private sector), and 3% of people move to the private sector.</t>
  </si>
  <si>
    <t xml:space="preserve">This section is an extremely rough estimate to give R4D some credit for other funds that are made free by R4D's investment. </t>
  </si>
  <si>
    <t>The funds of other organizations that are freed by R4D's investment will go to interventions that are roughly … less cost-effective.</t>
  </si>
  <si>
    <t>Total hypothesized value of lives saved by freeing other funds</t>
  </si>
  <si>
    <t>In notes justifying the percentage of people who seek care in the public sector, mentions "Group consensus based on DHS 2010 (71% seek care for ARI)"</t>
  </si>
  <si>
    <t>GiveWell extends the number of years until 2040, and adds a variable input to allow the reader to choose the last year of effect (up to 40 years).</t>
  </si>
  <si>
    <t xml:space="preserve">GiveWell adds a 'Coverage over time' sheet that models the counterfactual coverage.  Among other things, GiveWell assumes that a later scale-up conducted by a different organization would have occurred some years later, but that R4D gets credit for the delta in between. </t>
  </si>
  <si>
    <t>GiveWell makes an extremely rough approximation to give R4D some credit to freeing up funds.</t>
  </si>
  <si>
    <t>GiveWell incorporates the new pneumonococcal vaccine.</t>
  </si>
  <si>
    <t>GiveWell includes an option by the results to either include averting the funding cliff in the counterfactual coverage, or to model without the funding cliff.</t>
  </si>
  <si>
    <t>GiveWell adds two sheets that use a decision tree format, in order to test intuitions about how certain types of coverage scale-up will affect the end result.  The bottom-line does not depend on the inputs in this sheet.</t>
  </si>
  <si>
    <t>Guess, based on "only 44% of facilities have a staff trained on IMCI, only 54% had guidelines, and adherence to the prescription guidelines was less than 50% for pneumonia management (SARA 2012)"</t>
  </si>
  <si>
    <t>SARA 2012</t>
  </si>
  <si>
    <t>Go to private facility or hospital (assumes 100% coverage in private facility)</t>
  </si>
  <si>
    <t>After a stock out at the first public facility visited, goes to private sector or a hospital</t>
  </si>
  <si>
    <t>Go to private facility or a hospital (assumes 100% coverage in private facility)</t>
  </si>
  <si>
    <t>.9-1.2x</t>
  </si>
  <si>
    <t>1.5-1.9x</t>
  </si>
  <si>
    <t>Funding cliff</t>
  </si>
  <si>
    <t>Non-funding cliff</t>
  </si>
  <si>
    <t>Appears to be about as cost-effective</t>
  </si>
  <si>
    <t>Unpublished R4D budget</t>
  </si>
  <si>
    <t>Estimated money spent by other funders to iniative later scale-up (from unpublished R4D budget)</t>
  </si>
  <si>
    <r>
      <rPr>
        <b/>
        <sz val="11"/>
        <rFont val="Calibri"/>
        <family val="2"/>
        <scheme val="minor"/>
      </rPr>
      <t>Available stock</t>
    </r>
    <r>
      <rPr>
        <i/>
        <sz val="11"/>
        <rFont val="Calibri"/>
        <family val="2"/>
        <scheme val="minor"/>
      </rPr>
      <t xml:space="preserve">
</t>
    </r>
    <r>
      <rPr>
        <sz val="11"/>
        <rFont val="Calibri"/>
        <family val="2"/>
        <scheme val="minor"/>
      </rPr>
      <t>i) Pediatric amox observed to be available in 75-80% of govt-run facilities on day of survey 
(assuming baseline of 60% from '14-'15 SPA)
ii) % increase in # of facilities without 30-day stockouts of pediatric amox on day of survey
(specific target to be determined during baseline)</t>
    </r>
  </si>
  <si>
    <t>Provide mentoring to healthcare providers in a subset of regions in Tanzania</t>
  </si>
  <si>
    <t xml:space="preserve">Administer product funding to procure amox DT for MSD distribution nationally in the public sector </t>
  </si>
  <si>
    <r>
      <rPr>
        <b/>
        <sz val="11"/>
        <rFont val="Calibri"/>
        <family val="2"/>
        <scheme val="minor"/>
      </rPr>
      <t>Process indicators</t>
    </r>
    <r>
      <rPr>
        <i/>
        <sz val="11"/>
        <rFont val="Calibri"/>
        <family val="2"/>
        <scheme val="minor"/>
      </rPr>
      <t xml:space="preserve">
</t>
    </r>
    <r>
      <rPr>
        <sz val="11"/>
        <rFont val="Calibri"/>
        <family val="2"/>
        <scheme val="minor"/>
      </rPr>
      <t>i) # of clinical mentor trainings supported or conducted
ii) # of clinical mentors attending trainings
iii) # of clinical mentors who correctly identify 1st line treatment for pneumo and appropriate dosing protocol per TZ GLs
iv) # of mentor visits with healthcare providers 
v) # of healthcare providers who correctly identify 1st line treatment for pneumo and appropriate dosing protocol per TZ GLs</t>
    </r>
  </si>
  <si>
    <t>-- Pre- and post-tests during clinical mentor trainings to asess knowledge
-- Tests to assess healthcare providers' knowledge</t>
  </si>
  <si>
    <t>Quantification of Reproductive, Maternal and Child Health Commodities for Mainland Tanzania, January 2015- December 2016 [unpublished]</t>
  </si>
  <si>
    <t>For Amox in facilities, see: https://www.cddep.org/sites/default/files/garp-tz_situation_analysis.pdf.  For treatment seeking, see Quantification of Reproductive, Maternal and Child Health Commodities for Mainland Tanzania, January 2015- December 2016 [unpublished].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</si>
</sst>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4" formatCode="_(&quot;$&quot;* #,##0.00_);_(&quot;$&quot;* \(#,##0.00\);_(&quot;$&quot;* &quot;-&quot;??_);_(@_)"/>
    <numFmt numFmtId="43" formatCode="_(* #,##0.00_);_(* \(#,##0.00\);_(* &quot;-&quot;??_);_(@_)"/>
    <numFmt numFmtId="164" formatCode="0.00000000%"/>
    <numFmt numFmtId="165" formatCode="0.000000%"/>
    <numFmt numFmtId="166" formatCode="_(&quot;$&quot;* #,##0_);_(&quot;$&quot;* \(#,##0\);_(&quot;$&quot;* &quot;-&quot;??_);_(@_)"/>
    <numFmt numFmtId="167" formatCode="_(* #,##0_);_(* \(#,##0\);_(* &quot;-&quot;??_);_(@_)"/>
    <numFmt numFmtId="168" formatCode="0.0000"/>
    <numFmt numFmtId="169" formatCode=";;;"/>
    <numFmt numFmtId="170" formatCode="_-* #,##0.00_-;\-* #,##0.00_-;_-* &quot;-&quot;??_-;_-@_-"/>
    <numFmt numFmtId="171" formatCode="_-&quot;$&quot;* #,##0.00_-;\-&quot;$&quot;* #,##0.00_-;_-&quot;$&quot;* &quot;-&quot;??_-;_-@_-"/>
    <numFmt numFmtId="172" formatCode="0.000%"/>
    <numFmt numFmtId="173" formatCode="0.0%"/>
    <numFmt numFmtId="174" formatCode="_(* #,##0.0000_);_(* \(#,##0.0000\);_(* &quot;-&quot;??_);_(@_)"/>
    <numFmt numFmtId="175" formatCode="_(* #,##0.00000_);_(* \(#,##0.00000\);_(* &quot;-&quot;??_);_(@_)"/>
    <numFmt numFmtId="176" formatCode="0.0000%"/>
    <numFmt numFmtId="177" formatCode="0.000000000000000%"/>
    <numFmt numFmtId="178" formatCode="0.000"/>
  </numFmts>
  <fonts count="33">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11"/>
      <color theme="0"/>
      <name val="Calibri"/>
      <family val="2"/>
      <scheme val="minor"/>
    </font>
    <font>
      <i/>
      <sz val="11"/>
      <color theme="1"/>
      <name val="Calibri"/>
      <family val="2"/>
      <scheme val="minor"/>
    </font>
    <font>
      <sz val="10"/>
      <name val="Arial"/>
      <family val="2"/>
    </font>
    <font>
      <sz val="10"/>
      <color indexed="8"/>
      <name val="Arial"/>
      <family val="2"/>
    </font>
    <font>
      <sz val="10"/>
      <name val="Helv"/>
    </font>
    <font>
      <sz val="11"/>
      <color theme="1"/>
      <name val="Open Sans Light"/>
      <family val="2"/>
    </font>
    <font>
      <b/>
      <sz val="18"/>
      <name val="Arial"/>
      <family val="2"/>
    </font>
    <font>
      <b/>
      <sz val="12"/>
      <name val="Arial"/>
      <family val="2"/>
    </font>
    <font>
      <u/>
      <sz val="12"/>
      <color theme="10"/>
      <name val="Calibri"/>
      <family val="2"/>
      <scheme val="minor"/>
    </font>
    <font>
      <u/>
      <sz val="12"/>
      <color theme="11"/>
      <name val="Calibri"/>
      <family val="2"/>
      <scheme val="minor"/>
    </font>
    <font>
      <sz val="11"/>
      <color rgb="FFFF0000"/>
      <name val="Calibri"/>
      <family val="2"/>
      <scheme val="minor"/>
    </font>
    <font>
      <b/>
      <sz val="11"/>
      <name val="Calibri"/>
      <family val="2"/>
      <scheme val="minor"/>
    </font>
    <font>
      <i/>
      <sz val="11"/>
      <name val="Calibri"/>
      <family val="2"/>
      <scheme val="minor"/>
    </font>
    <font>
      <sz val="11"/>
      <color rgb="FF0070C0"/>
      <name val="Calibri"/>
      <family val="2"/>
      <scheme val="minor"/>
    </font>
    <font>
      <sz val="13"/>
      <color rgb="FF272727"/>
      <name val="Consolas"/>
    </font>
    <font>
      <sz val="12"/>
      <color rgb="FF000000"/>
      <name val="Lucida Grande"/>
    </font>
    <font>
      <sz val="10"/>
      <color rgb="FF000000"/>
      <name val="Arial"/>
    </font>
    <font>
      <b/>
      <sz val="10"/>
      <color rgb="FF000000"/>
      <name val="Arial"/>
    </font>
    <font>
      <sz val="12"/>
      <color rgb="FF000000"/>
      <name val="Arial"/>
    </font>
    <font>
      <b/>
      <sz val="12"/>
      <color rgb="FF000000"/>
      <name val="Arial"/>
    </font>
    <font>
      <b/>
      <sz val="14"/>
      <color rgb="FF000000"/>
      <name val="Arial"/>
    </font>
    <font>
      <sz val="14"/>
      <color rgb="FF000000"/>
      <name val="Arial"/>
    </font>
    <font>
      <sz val="9"/>
      <color indexed="81"/>
      <name val="Calibri"/>
      <family val="2"/>
    </font>
    <font>
      <sz val="11"/>
      <color rgb="FF00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indexed="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diagonal/>
    </border>
    <border>
      <left/>
      <right/>
      <top style="double">
        <color indexed="0"/>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1"/>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auto="1"/>
      </left>
      <right style="thin">
        <color theme="0"/>
      </right>
      <top/>
      <bottom style="thin">
        <color theme="0"/>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auto="1"/>
      </left>
      <right style="thin">
        <color theme="0"/>
      </right>
      <top style="thin">
        <color auto="1"/>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theme="0"/>
      </top>
      <bottom/>
      <diagonal/>
    </border>
    <border>
      <left style="thin">
        <color auto="1"/>
      </left>
      <right style="thin">
        <color theme="0"/>
      </right>
      <top/>
      <bottom/>
      <diagonal/>
    </border>
    <border>
      <left style="thin">
        <color theme="0"/>
      </left>
      <right style="thin">
        <color auto="1"/>
      </right>
      <top style="thin">
        <color theme="0"/>
      </top>
      <bottom style="thin">
        <color auto="1"/>
      </bottom>
      <diagonal/>
    </border>
  </borders>
  <cellStyleXfs count="264">
    <xf numFmtId="0" fontId="0" fillId="0" borderId="0"/>
    <xf numFmtId="43"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9" fontId="11" fillId="5" borderId="1">
      <alignment horizontal="right" vertical="center"/>
      <protection locked="0"/>
    </xf>
    <xf numFmtId="3" fontId="12" fillId="0" borderId="2" applyFont="0" applyFill="0" applyBorder="0" applyAlignment="0">
      <alignment vertical="top"/>
      <protection hidden="1"/>
    </xf>
    <xf numFmtId="169" fontId="11" fillId="0" borderId="2" applyFill="0" applyBorder="0" applyAlignment="0">
      <alignment vertical="top"/>
      <protection hidden="1"/>
    </xf>
    <xf numFmtId="43" fontId="5" fillId="0" borderId="0" applyFont="0" applyFill="0" applyBorder="0" applyAlignment="0" applyProtection="0"/>
    <xf numFmtId="4" fontId="11" fillId="0" borderId="0" applyFont="0" applyFill="0" applyBorder="0" applyAlignment="0" applyProtection="0"/>
    <xf numFmtId="170" fontId="11" fillId="0" borderId="0" applyFont="0" applyFill="0" applyBorder="0" applyAlignment="0" applyProtection="0"/>
    <xf numFmtId="43" fontId="5" fillId="0" borderId="0" applyFont="0" applyFill="0" applyBorder="0" applyAlignment="0" applyProtection="0"/>
    <xf numFmtId="3" fontId="11" fillId="0" borderId="0" applyFont="0" applyFill="0" applyBorder="0" applyAlignment="0" applyProtection="0"/>
    <xf numFmtId="0" fontId="13" fillId="0" borderId="0"/>
    <xf numFmtId="0" fontId="13" fillId="0" borderId="0"/>
    <xf numFmtId="0" fontId="13" fillId="0" borderId="0"/>
    <xf numFmtId="7" fontId="11" fillId="0" borderId="0" applyFont="0" applyFill="0" applyBorder="0" applyAlignment="0" applyProtection="0"/>
    <xf numFmtId="44" fontId="14" fillId="0" borderId="0" applyFont="0" applyFill="0" applyBorder="0" applyAlignment="0" applyProtection="0"/>
    <xf numFmtId="171" fontId="11" fillId="0" borderId="0" applyFont="0" applyFill="0" applyBorder="0" applyAlignment="0" applyProtection="0"/>
    <xf numFmtId="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1" fillId="0" borderId="0">
      <alignment vertical="top"/>
    </xf>
    <xf numFmtId="0" fontId="5" fillId="0" borderId="0"/>
    <xf numFmtId="0" fontId="11" fillId="0" borderId="0"/>
    <xf numFmtId="0" fontId="11" fillId="0" borderId="0"/>
    <xf numFmtId="0" fontId="5" fillId="0" borderId="0"/>
    <xf numFmtId="0" fontId="11" fillId="0" borderId="0"/>
    <xf numFmtId="0" fontId="11" fillId="0" borderId="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10" fontId="11" fillId="0" borderId="0" applyFont="0" applyFill="0" applyBorder="0" applyAlignment="0"/>
    <xf numFmtId="9" fontId="11" fillId="0" borderId="0" applyFont="0" applyFill="0" applyBorder="0" applyAlignment="0" applyProtection="0"/>
    <xf numFmtId="0" fontId="13" fillId="0" borderId="0"/>
    <xf numFmtId="0" fontId="11" fillId="0" borderId="3" applyNumberFormat="0" applyFon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9">
    <xf numFmtId="0" fontId="0" fillId="0" borderId="0" xfId="0"/>
    <xf numFmtId="0" fontId="5" fillId="0" borderId="0" xfId="2"/>
    <xf numFmtId="0" fontId="6" fillId="0" borderId="0" xfId="2" applyFont="1"/>
    <xf numFmtId="164" fontId="6" fillId="0" borderId="0" xfId="2" applyNumberFormat="1" applyFont="1"/>
    <xf numFmtId="9" fontId="5" fillId="0" borderId="0" xfId="2" applyNumberFormat="1"/>
    <xf numFmtId="165" fontId="6" fillId="0" borderId="0" xfId="2" applyNumberFormat="1" applyFont="1"/>
    <xf numFmtId="0" fontId="5" fillId="0" borderId="0" xfId="2" applyAlignment="1">
      <alignment vertical="center" wrapText="1"/>
    </xf>
    <xf numFmtId="0" fontId="6" fillId="0" borderId="0" xfId="2" applyFont="1" applyAlignment="1">
      <alignment vertical="center" wrapText="1"/>
    </xf>
    <xf numFmtId="166" fontId="7" fillId="0" borderId="0" xfId="3" applyNumberFormat="1" applyFont="1" applyFill="1" applyAlignment="1">
      <alignment vertical="center"/>
    </xf>
    <xf numFmtId="0" fontId="5" fillId="0" borderId="0" xfId="2" applyAlignment="1">
      <alignment vertical="center"/>
    </xf>
    <xf numFmtId="0" fontId="5" fillId="0" borderId="0" xfId="2" applyFill="1" applyAlignment="1">
      <alignment vertical="center"/>
    </xf>
    <xf numFmtId="0" fontId="5" fillId="0" borderId="0" xfId="2" applyFill="1" applyAlignment="1">
      <alignment vertical="center" wrapText="1"/>
    </xf>
    <xf numFmtId="0" fontId="7" fillId="0" borderId="0" xfId="2" applyFont="1" applyFill="1" applyAlignment="1">
      <alignment vertical="center" wrapText="1"/>
    </xf>
    <xf numFmtId="0" fontId="5" fillId="0" borderId="0" xfId="2" applyFont="1" applyBorder="1" applyAlignment="1">
      <alignment vertical="center"/>
    </xf>
    <xf numFmtId="5" fontId="0" fillId="0" borderId="0" xfId="4" applyNumberFormat="1" applyFont="1" applyBorder="1" applyAlignment="1">
      <alignment vertical="center"/>
    </xf>
    <xf numFmtId="167" fontId="6" fillId="2" borderId="0" xfId="4" applyNumberFormat="1" applyFont="1" applyFill="1" applyAlignment="1">
      <alignment vertical="center" wrapText="1"/>
    </xf>
    <xf numFmtId="0" fontId="6" fillId="2" borderId="0" xfId="2" applyFont="1" applyFill="1" applyAlignment="1">
      <alignment vertical="center" wrapText="1"/>
    </xf>
    <xf numFmtId="167" fontId="6" fillId="0" borderId="0" xfId="4" applyNumberFormat="1" applyFont="1" applyFill="1" applyAlignment="1">
      <alignment vertical="center" wrapText="1"/>
    </xf>
    <xf numFmtId="1" fontId="5" fillId="0" borderId="0" xfId="2" applyNumberFormat="1" applyAlignment="1">
      <alignment vertical="center" wrapText="1"/>
    </xf>
    <xf numFmtId="9" fontId="0" fillId="0" borderId="0" xfId="5" applyFont="1" applyAlignment="1">
      <alignment vertical="center" wrapText="1"/>
    </xf>
    <xf numFmtId="9" fontId="0" fillId="0" borderId="0" xfId="5" applyFont="1" applyFill="1" applyAlignment="1">
      <alignment vertical="center" wrapText="1"/>
    </xf>
    <xf numFmtId="9" fontId="5" fillId="3" borderId="0" xfId="2" applyNumberFormat="1" applyFill="1" applyAlignment="1">
      <alignment vertical="center" wrapText="1"/>
    </xf>
    <xf numFmtId="9" fontId="5" fillId="0" borderId="0" xfId="2" applyNumberFormat="1" applyAlignment="1">
      <alignment vertical="center" wrapText="1"/>
    </xf>
    <xf numFmtId="168" fontId="5" fillId="0" borderId="0" xfId="2" applyNumberFormat="1" applyAlignment="1">
      <alignment vertical="center" wrapText="1"/>
    </xf>
    <xf numFmtId="167" fontId="0" fillId="0" borderId="0" xfId="4" applyNumberFormat="1" applyFont="1" applyAlignment="1">
      <alignment vertical="center" wrapText="1"/>
    </xf>
    <xf numFmtId="10" fontId="5" fillId="0" borderId="0" xfId="2" applyNumberFormat="1" applyAlignment="1">
      <alignment vertical="center" wrapText="1"/>
    </xf>
    <xf numFmtId="167" fontId="5" fillId="0" borderId="0" xfId="2" applyNumberFormat="1" applyAlignment="1">
      <alignment vertical="center" wrapText="1"/>
    </xf>
    <xf numFmtId="0" fontId="9" fillId="4" borderId="0" xfId="2" applyFont="1" applyFill="1"/>
    <xf numFmtId="0" fontId="5" fillId="0" borderId="0" xfId="2" applyAlignment="1">
      <alignment horizontal="left" vertical="center" wrapText="1"/>
    </xf>
    <xf numFmtId="0" fontId="8" fillId="0" borderId="0" xfId="2" applyFont="1" applyFill="1" applyAlignment="1">
      <alignment vertical="center"/>
    </xf>
    <xf numFmtId="172" fontId="5" fillId="0" borderId="0" xfId="2" applyNumberFormat="1" applyAlignment="1">
      <alignment vertical="center" wrapText="1"/>
    </xf>
    <xf numFmtId="167" fontId="5" fillId="0" borderId="0" xfId="1" applyNumberFormat="1" applyFont="1" applyAlignment="1">
      <alignment vertical="center" wrapText="1"/>
    </xf>
    <xf numFmtId="0" fontId="6" fillId="0" borderId="0" xfId="2" applyFont="1" applyAlignment="1">
      <alignment wrapText="1"/>
    </xf>
    <xf numFmtId="1" fontId="5" fillId="0" borderId="0" xfId="2" applyNumberFormat="1"/>
    <xf numFmtId="167" fontId="5" fillId="0" borderId="0" xfId="1" applyNumberFormat="1" applyFont="1"/>
    <xf numFmtId="0" fontId="5" fillId="0" borderId="0" xfId="2" applyNumberFormat="1"/>
    <xf numFmtId="43" fontId="5" fillId="0" borderId="0" xfId="2" applyNumberFormat="1"/>
    <xf numFmtId="173" fontId="5" fillId="3" borderId="0" xfId="2" applyNumberFormat="1" applyFill="1" applyAlignment="1">
      <alignment vertical="center" wrapText="1"/>
    </xf>
    <xf numFmtId="0" fontId="4" fillId="0" borderId="0" xfId="0" applyFont="1"/>
    <xf numFmtId="0" fontId="9" fillId="4" borderId="0" xfId="2" applyFont="1" applyFill="1" applyAlignment="1">
      <alignment vertical="center" wrapText="1"/>
    </xf>
    <xf numFmtId="0" fontId="19" fillId="0" borderId="0" xfId="2" applyFont="1" applyAlignment="1">
      <alignment vertical="center" wrapText="1"/>
    </xf>
    <xf numFmtId="0" fontId="5" fillId="3" borderId="0" xfId="2" quotePrefix="1" applyFill="1" applyAlignment="1">
      <alignment vertical="center" wrapText="1"/>
    </xf>
    <xf numFmtId="0" fontId="8" fillId="2" borderId="0" xfId="2" quotePrefix="1" applyFont="1" applyFill="1" applyAlignment="1">
      <alignment vertical="center" wrapText="1"/>
    </xf>
    <xf numFmtId="0" fontId="10" fillId="0" borderId="0" xfId="2" applyFont="1" applyAlignment="1">
      <alignment vertical="center" wrapText="1"/>
    </xf>
    <xf numFmtId="0" fontId="5" fillId="0" borderId="0" xfId="2" quotePrefix="1" applyFill="1" applyBorder="1" applyAlignment="1">
      <alignment vertical="center" wrapText="1"/>
    </xf>
    <xf numFmtId="0" fontId="5" fillId="0" borderId="0" xfId="2" quotePrefix="1" applyFill="1" applyAlignment="1">
      <alignment vertical="center" wrapText="1"/>
    </xf>
    <xf numFmtId="0" fontId="22" fillId="0" borderId="0" xfId="2" applyFont="1" applyFill="1" applyAlignment="1">
      <alignment vertical="center" wrapText="1"/>
    </xf>
    <xf numFmtId="0" fontId="5" fillId="3" borderId="0" xfId="2" applyFill="1" applyAlignment="1">
      <alignment vertical="center" wrapText="1"/>
    </xf>
    <xf numFmtId="0" fontId="5" fillId="0" borderId="0" xfId="2" quotePrefix="1" applyAlignment="1">
      <alignment vertical="center" wrapText="1"/>
    </xf>
    <xf numFmtId="0" fontId="5" fillId="0" borderId="0" xfId="2" quotePrefix="1" applyFill="1" applyAlignment="1">
      <alignment horizontal="left" vertical="center" wrapText="1"/>
    </xf>
    <xf numFmtId="0" fontId="19" fillId="0" borderId="0" xfId="2" applyFont="1" applyFill="1" applyAlignment="1">
      <alignment vertical="center" wrapText="1"/>
    </xf>
    <xf numFmtId="0" fontId="19" fillId="0" borderId="0" xfId="2" quotePrefix="1" applyFont="1" applyAlignment="1">
      <alignment vertical="center" wrapText="1"/>
    </xf>
    <xf numFmtId="0" fontId="8" fillId="0" borderId="0" xfId="2" quotePrefix="1" applyFont="1" applyFill="1" applyAlignment="1">
      <alignment vertical="center" wrapText="1"/>
    </xf>
    <xf numFmtId="43" fontId="5" fillId="0" borderId="0" xfId="2" applyNumberFormat="1" applyAlignment="1">
      <alignment vertical="center" wrapText="1"/>
    </xf>
    <xf numFmtId="175" fontId="5" fillId="0" borderId="0" xfId="2" applyNumberFormat="1" applyAlignment="1">
      <alignment vertical="center" wrapText="1"/>
    </xf>
    <xf numFmtId="176" fontId="5" fillId="0" borderId="0" xfId="2" applyNumberFormat="1" applyAlignment="1">
      <alignment vertical="center" wrapText="1"/>
    </xf>
    <xf numFmtId="9" fontId="0" fillId="0" borderId="0" xfId="0" applyNumberFormat="1"/>
    <xf numFmtId="0" fontId="0" fillId="0" borderId="0" xfId="0" applyAlignment="1">
      <alignment wrapText="1"/>
    </xf>
    <xf numFmtId="176" fontId="0" fillId="0" borderId="0" xfId="0" applyNumberFormat="1"/>
    <xf numFmtId="10" fontId="0" fillId="0" borderId="0" xfId="0" applyNumberFormat="1"/>
    <xf numFmtId="167" fontId="0" fillId="0" borderId="0" xfId="1" applyNumberFormat="1" applyFont="1"/>
    <xf numFmtId="43" fontId="0" fillId="0" borderId="0" xfId="0" applyNumberFormat="1"/>
    <xf numFmtId="173" fontId="0" fillId="0" borderId="0" xfId="0" applyNumberFormat="1"/>
    <xf numFmtId="2" fontId="0" fillId="0" borderId="0" xfId="0" applyNumberFormat="1"/>
    <xf numFmtId="0" fontId="23" fillId="0" borderId="0" xfId="0" applyFont="1"/>
    <xf numFmtId="0" fontId="26" fillId="0" borderId="0" xfId="67" applyFont="1" applyAlignment="1"/>
    <xf numFmtId="0" fontId="25" fillId="0" borderId="0" xfId="67" applyFont="1" applyAlignment="1"/>
    <xf numFmtId="0" fontId="26" fillId="0" borderId="0" xfId="67" applyFont="1" applyAlignment="1">
      <alignment wrapText="1"/>
    </xf>
    <xf numFmtId="43" fontId="25" fillId="0" borderId="0" xfId="67" applyNumberFormat="1" applyFont="1" applyAlignment="1"/>
    <xf numFmtId="9" fontId="25" fillId="0" borderId="0" xfId="67" applyNumberFormat="1" applyFont="1" applyAlignment="1"/>
    <xf numFmtId="0" fontId="8" fillId="0" borderId="0" xfId="2" applyFont="1" applyFill="1" applyAlignment="1">
      <alignment vertical="center" wrapText="1"/>
    </xf>
    <xf numFmtId="0" fontId="5" fillId="0" borderId="0" xfId="2" applyNumberFormat="1" applyAlignment="1">
      <alignment vertical="center" wrapText="1"/>
    </xf>
    <xf numFmtId="2" fontId="25" fillId="0" borderId="0" xfId="67" applyNumberFormat="1" applyFont="1" applyAlignment="1"/>
    <xf numFmtId="177" fontId="0" fillId="0" borderId="0" xfId="0" applyNumberFormat="1"/>
    <xf numFmtId="168" fontId="0" fillId="0" borderId="0" xfId="0" applyNumberFormat="1"/>
    <xf numFmtId="0" fontId="0" fillId="0" borderId="4" xfId="0" applyBorder="1"/>
    <xf numFmtId="0" fontId="0" fillId="0" borderId="5" xfId="0" applyFont="1" applyBorder="1"/>
    <xf numFmtId="0" fontId="0" fillId="0" borderId="7" xfId="0" applyFont="1" applyBorder="1"/>
    <xf numFmtId="0" fontId="0" fillId="0" borderId="6" xfId="0" applyFont="1" applyBorder="1" applyAlignment="1">
      <alignment wrapText="1"/>
    </xf>
    <xf numFmtId="0" fontId="0" fillId="0" borderId="6" xfId="0" applyFont="1" applyBorder="1"/>
    <xf numFmtId="0" fontId="0" fillId="0" borderId="8" xfId="0" applyFont="1" applyBorder="1" applyAlignment="1">
      <alignment wrapText="1"/>
    </xf>
    <xf numFmtId="0" fontId="0" fillId="0" borderId="8"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9" xfId="0" applyFont="1" applyBorder="1"/>
    <xf numFmtId="0" fontId="0" fillId="0" borderId="14" xfId="0" applyFont="1" applyBorder="1" applyAlignment="1">
      <alignment wrapText="1"/>
    </xf>
    <xf numFmtId="0" fontId="0" fillId="0" borderId="15" xfId="0" applyFont="1" applyBorder="1"/>
    <xf numFmtId="0" fontId="0" fillId="0" borderId="16" xfId="0" applyFont="1" applyBorder="1"/>
    <xf numFmtId="0" fontId="0" fillId="0" borderId="14" xfId="0" applyFont="1" applyBorder="1"/>
    <xf numFmtId="0" fontId="0" fillId="0" borderId="17" xfId="0" applyFont="1" applyBorder="1"/>
    <xf numFmtId="0" fontId="0" fillId="0" borderId="18" xfId="0" applyFont="1" applyBorder="1"/>
    <xf numFmtId="0" fontId="0" fillId="0" borderId="19" xfId="0" applyFont="1" applyBorder="1"/>
    <xf numFmtId="0" fontId="0" fillId="0" borderId="7" xfId="0" applyBorder="1"/>
    <xf numFmtId="0" fontId="0" fillId="0" borderId="5" xfId="0" applyBorder="1"/>
    <xf numFmtId="0" fontId="0" fillId="0" borderId="12" xfId="0" applyBorder="1"/>
    <xf numFmtId="0" fontId="0" fillId="0" borderId="11" xfId="0" applyBorder="1"/>
    <xf numFmtId="0" fontId="0" fillId="0" borderId="9" xfId="0" applyBorder="1"/>
    <xf numFmtId="0" fontId="0" fillId="0" borderId="13" xfId="0" applyBorder="1"/>
    <xf numFmtId="0" fontId="0" fillId="0" borderId="14" xfId="0" applyBorder="1"/>
    <xf numFmtId="0" fontId="0" fillId="0" borderId="6" xfId="0" applyBorder="1"/>
    <xf numFmtId="0" fontId="0" fillId="0" borderId="21" xfId="0" applyBorder="1"/>
    <xf numFmtId="0" fontId="0" fillId="0" borderId="20" xfId="0" applyBorder="1"/>
    <xf numFmtId="0" fontId="0" fillId="0" borderId="19" xfId="0" applyBorder="1"/>
    <xf numFmtId="0" fontId="0" fillId="0" borderId="21" xfId="0" applyFont="1" applyBorder="1"/>
    <xf numFmtId="167" fontId="0" fillId="0" borderId="5" xfId="1" applyNumberFormat="1" applyFont="1" applyBorder="1"/>
    <xf numFmtId="167" fontId="0" fillId="0" borderId="7" xfId="1" applyNumberFormat="1" applyFont="1" applyBorder="1"/>
    <xf numFmtId="1" fontId="0" fillId="0" borderId="0" xfId="0" applyNumberFormat="1"/>
    <xf numFmtId="167" fontId="0" fillId="0" borderId="15" xfId="1" applyNumberFormat="1" applyFont="1" applyBorder="1"/>
    <xf numFmtId="167" fontId="0" fillId="0" borderId="11" xfId="1" applyNumberFormat="1" applyFont="1" applyBorder="1"/>
    <xf numFmtId="167" fontId="0" fillId="0" borderId="12" xfId="1" applyNumberFormat="1" applyFont="1" applyBorder="1"/>
    <xf numFmtId="167" fontId="0" fillId="0" borderId="5" xfId="0" applyNumberFormat="1" applyFont="1" applyBorder="1"/>
    <xf numFmtId="43" fontId="0" fillId="0" borderId="5" xfId="0" applyNumberFormat="1" applyFont="1" applyBorder="1"/>
    <xf numFmtId="43" fontId="0" fillId="0" borderId="12" xfId="0" applyNumberFormat="1" applyFont="1" applyBorder="1"/>
    <xf numFmtId="167" fontId="0" fillId="0" borderId="17" xfId="0" applyNumberFormat="1" applyFont="1" applyBorder="1"/>
    <xf numFmtId="43" fontId="0" fillId="0" borderId="5" xfId="0" applyNumberFormat="1" applyBorder="1"/>
    <xf numFmtId="9" fontId="5" fillId="6" borderId="0" xfId="2" applyNumberFormat="1" applyFill="1" applyAlignment="1">
      <alignment vertical="center" wrapText="1"/>
    </xf>
    <xf numFmtId="178" fontId="5" fillId="0" borderId="0" xfId="2" applyNumberFormat="1" applyAlignment="1">
      <alignment vertical="center" wrapText="1"/>
    </xf>
    <xf numFmtId="0" fontId="0" fillId="0" borderId="0" xfId="0" applyNumberFormat="1"/>
    <xf numFmtId="0" fontId="4" fillId="0" borderId="0" xfId="0" applyFont="1" applyAlignment="1"/>
    <xf numFmtId="0" fontId="0" fillId="6" borderId="0" xfId="0" applyFill="1"/>
    <xf numFmtId="10" fontId="0" fillId="6" borderId="0" xfId="0" applyNumberFormat="1" applyFill="1"/>
    <xf numFmtId="0" fontId="0" fillId="6" borderId="0" xfId="0" applyFill="1" applyAlignment="1">
      <alignment wrapText="1"/>
    </xf>
    <xf numFmtId="0" fontId="6" fillId="7" borderId="0" xfId="2" applyFont="1" applyFill="1" applyAlignment="1">
      <alignment vertical="center" wrapText="1"/>
    </xf>
    <xf numFmtId="0" fontId="0" fillId="7" borderId="0" xfId="0" applyFill="1"/>
    <xf numFmtId="10" fontId="0" fillId="7" borderId="0" xfId="0" applyNumberFormat="1" applyFill="1"/>
    <xf numFmtId="174" fontId="0" fillId="0" borderId="0" xfId="0" applyNumberFormat="1"/>
    <xf numFmtId="9" fontId="5" fillId="8" borderId="0" xfId="2" applyNumberFormat="1" applyFill="1" applyAlignment="1">
      <alignment vertical="center" wrapText="1"/>
    </xf>
    <xf numFmtId="0" fontId="6" fillId="9" borderId="0" xfId="2" applyFont="1" applyFill="1" applyAlignment="1">
      <alignment vertical="center" wrapText="1"/>
    </xf>
    <xf numFmtId="0" fontId="5" fillId="8" borderId="0" xfId="2" applyFill="1" applyAlignment="1">
      <alignment vertical="center" wrapText="1"/>
    </xf>
    <xf numFmtId="10" fontId="5" fillId="8" borderId="0" xfId="2" applyNumberFormat="1" applyFill="1" applyAlignment="1">
      <alignment vertical="center" wrapText="1"/>
    </xf>
    <xf numFmtId="0" fontId="4" fillId="9" borderId="0" xfId="0" applyFont="1" applyFill="1" applyAlignment="1">
      <alignment wrapText="1"/>
    </xf>
    <xf numFmtId="0" fontId="0" fillId="8" borderId="0" xfId="0" applyFill="1"/>
    <xf numFmtId="167" fontId="5" fillId="9" borderId="0" xfId="1" applyNumberFormat="1" applyFont="1" applyFill="1" applyAlignment="1">
      <alignment vertical="center" wrapText="1"/>
    </xf>
    <xf numFmtId="43" fontId="5" fillId="0" borderId="0" xfId="1" applyFont="1" applyAlignment="1">
      <alignment vertical="center"/>
    </xf>
    <xf numFmtId="1" fontId="32" fillId="0" borderId="0" xfId="0" applyNumberFormat="1" applyFont="1" applyAlignment="1">
      <alignment vertical="center" wrapText="1"/>
    </xf>
    <xf numFmtId="167" fontId="5" fillId="0" borderId="0" xfId="2" applyNumberFormat="1" applyAlignment="1">
      <alignment vertical="center"/>
    </xf>
    <xf numFmtId="0" fontId="0" fillId="9" borderId="0" xfId="0" applyFill="1" applyAlignment="1">
      <alignment wrapText="1"/>
    </xf>
    <xf numFmtId="10" fontId="0" fillId="8" borderId="0" xfId="0" applyNumberFormat="1" applyFill="1"/>
    <xf numFmtId="9" fontId="0" fillId="8" borderId="0" xfId="0" applyNumberFormat="1" applyFill="1"/>
    <xf numFmtId="0" fontId="0" fillId="9" borderId="0" xfId="0" applyFill="1"/>
    <xf numFmtId="0" fontId="2" fillId="3" borderId="0" xfId="2" applyFont="1" applyFill="1" applyAlignment="1">
      <alignment vertical="center" wrapText="1"/>
    </xf>
    <xf numFmtId="0" fontId="1" fillId="3" borderId="0" xfId="2" quotePrefix="1" applyFont="1" applyFill="1" applyAlignment="1">
      <alignment vertical="center" wrapText="1"/>
    </xf>
    <xf numFmtId="0" fontId="5" fillId="0" borderId="0" xfId="2" quotePrefix="1" applyFill="1" applyAlignment="1">
      <alignment horizontal="left" vertical="center" wrapText="1"/>
    </xf>
    <xf numFmtId="0" fontId="26" fillId="0" borderId="0" xfId="67" applyFont="1" applyAlignment="1">
      <alignment horizontal="center" wrapText="1"/>
    </xf>
    <xf numFmtId="0" fontId="27" fillId="0" borderId="0" xfId="67" applyFont="1" applyAlignment="1">
      <alignment horizontal="left" wrapText="1"/>
    </xf>
    <xf numFmtId="0" fontId="29" fillId="0" borderId="0" xfId="67" applyFont="1" applyAlignment="1">
      <alignment horizontal="center"/>
    </xf>
    <xf numFmtId="0" fontId="30" fillId="0" borderId="0" xfId="67" applyFont="1" applyAlignment="1">
      <alignment horizontal="center"/>
    </xf>
  </cellXfs>
  <cellStyles count="264">
    <cellStyle name="_frmINPUT_TextTable" xfId="6"/>
    <cellStyle name="AA-Unhidden" xfId="7"/>
    <cellStyle name="BB-Hidden" xfId="8"/>
    <cellStyle name="Comma" xfId="1" builtinId="3"/>
    <cellStyle name="Comma 2" xfId="4"/>
    <cellStyle name="Comma 2 2" xfId="9"/>
    <cellStyle name="Comma 3" xfId="10"/>
    <cellStyle name="Comma 4" xfId="11"/>
    <cellStyle name="Comma 5" xfId="12"/>
    <cellStyle name="Comma0" xfId="13"/>
    <cellStyle name="Comma0 - Style2" xfId="14"/>
    <cellStyle name="Curren - Style1" xfId="15"/>
    <cellStyle name="Curren - Style3" xfId="16"/>
    <cellStyle name="Currency 2" xfId="3"/>
    <cellStyle name="Currency 2 2" xfId="17"/>
    <cellStyle name="Currency 2 3" xfId="18"/>
    <cellStyle name="Currency 3" xfId="19"/>
    <cellStyle name="Currency0" xfId="20"/>
    <cellStyle name="Date" xfId="21"/>
    <cellStyle name="Fixed" xfId="22"/>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Heading 1 2" xfId="23"/>
    <cellStyle name="Heading 2 2" xfId="24"/>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Normal" xfId="0" builtinId="0"/>
    <cellStyle name="Normal 2" xfId="2"/>
    <cellStyle name="Normal 2 2" xfId="25"/>
    <cellStyle name="Normal 2 3" xfId="26"/>
    <cellStyle name="Normal 2 4" xfId="27"/>
    <cellStyle name="Normal 2 4 2" xfId="28"/>
    <cellStyle name="Normal 2 5" xfId="67"/>
    <cellStyle name="Normal 3" xfId="29"/>
    <cellStyle name="Normal 3 2" xfId="30"/>
    <cellStyle name="Normal 4" xfId="31"/>
    <cellStyle name="Percent 2" xfId="5"/>
    <cellStyle name="Percent 2 2" xfId="32"/>
    <cellStyle name="Percent 2 3" xfId="33"/>
    <cellStyle name="Percent 3" xfId="34"/>
    <cellStyle name="Percent 3 2" xfId="35"/>
    <cellStyle name="Percent 4" xfId="36"/>
    <cellStyle name="Style 1" xfId="37"/>
    <cellStyle name="Total 2" xfId="3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'Coverage over time'!$A$7</c:f>
              <c:strCache>
                <c:ptCount val="1"/>
                <c:pt idx="0">
                  <c:v>Baseline coverage with increase each year</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time'!$B$7:$AA$7</c:f>
              <c:numCache>
                <c:formatCode>0%</c:formatCode>
                <c:ptCount val="26"/>
                <c:pt idx="1">
                  <c:v>0.47348000000000001</c:v>
                </c:pt>
                <c:pt idx="2" formatCode="0.0000%">
                  <c:v>0.48098000000000002</c:v>
                </c:pt>
                <c:pt idx="3" formatCode="0.0000%">
                  <c:v>0.48848000000000003</c:v>
                </c:pt>
                <c:pt idx="4" formatCode="0.0000%">
                  <c:v>0.49598000000000003</c:v>
                </c:pt>
                <c:pt idx="5" formatCode="0.0000%">
                  <c:v>0.50348000000000004</c:v>
                </c:pt>
                <c:pt idx="6" formatCode="0.0000%">
                  <c:v>0.51097999999999999</c:v>
                </c:pt>
                <c:pt idx="7" formatCode="0.0000%">
                  <c:v>0.51847999999999994</c:v>
                </c:pt>
                <c:pt idx="8" formatCode="0.0000%">
                  <c:v>0.52597999999999989</c:v>
                </c:pt>
                <c:pt idx="9" formatCode="0.0000%">
                  <c:v>0.53347999999999984</c:v>
                </c:pt>
                <c:pt idx="10" formatCode="0.0000%">
                  <c:v>0.54097999999999979</c:v>
                </c:pt>
                <c:pt idx="11" formatCode="0.0000%">
                  <c:v>0.54847999999999975</c:v>
                </c:pt>
                <c:pt idx="12" formatCode="0.0000%">
                  <c:v>0.5559799999999997</c:v>
                </c:pt>
                <c:pt idx="13" formatCode="0.0000%">
                  <c:v>0.56347999999999965</c:v>
                </c:pt>
                <c:pt idx="14" formatCode="0.0000%">
                  <c:v>0.5709799999999996</c:v>
                </c:pt>
                <c:pt idx="15" formatCode="0.0000%">
                  <c:v>0.57847999999999955</c:v>
                </c:pt>
                <c:pt idx="16" formatCode="0.0000%">
                  <c:v>0.5859799999999995</c:v>
                </c:pt>
                <c:pt idx="17" formatCode="0.0000%">
                  <c:v>0.59347999999999945</c:v>
                </c:pt>
                <c:pt idx="18" formatCode="0.0000%">
                  <c:v>0.6009799999999994</c:v>
                </c:pt>
                <c:pt idx="19" formatCode="0.0000%">
                  <c:v>0.60847999999999935</c:v>
                </c:pt>
                <c:pt idx="20" formatCode="0.0000%">
                  <c:v>0.61597999999999931</c:v>
                </c:pt>
                <c:pt idx="21" formatCode="0.0000%">
                  <c:v>0.62347999999999926</c:v>
                </c:pt>
                <c:pt idx="22" formatCode="0.0000%">
                  <c:v>0.63097999999999921</c:v>
                </c:pt>
                <c:pt idx="23" formatCode="0.0000%">
                  <c:v>0.63847999999999916</c:v>
                </c:pt>
                <c:pt idx="24" formatCode="0.0000%">
                  <c:v>0.64597999999999911</c:v>
                </c:pt>
                <c:pt idx="25" formatCode="0.0000%">
                  <c:v>0.65347999999999906</c:v>
                </c:pt>
              </c:numCache>
            </c:numRef>
          </c:val>
          <c:smooth val="0"/>
          <c:extLst xmlns:c16r2="http://schemas.microsoft.com/office/drawing/2015/06/chart">
            <c:ext xmlns:c16="http://schemas.microsoft.com/office/drawing/2014/chart" uri="{C3380CC4-5D6E-409C-BE32-E72D297353CC}">
              <c16:uniqueId val="{00000000-99D6-4C71-B125-A96499639C62}"/>
            </c:ext>
          </c:extLst>
        </c:ser>
        <c:ser>
          <c:idx val="1"/>
          <c:order val="1"/>
          <c:tx>
            <c:strRef>
              <c:f>'Coverage over time'!$A$8</c:f>
              <c:strCache>
                <c:ptCount val="1"/>
                <c:pt idx="0">
                  <c:v>Public funding cliff with no intervening funding</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time'!$B$8:$AA$8</c:f>
              <c:numCache>
                <c:formatCode>General</c:formatCode>
                <c:ptCount val="26"/>
                <c:pt idx="2" formatCode="0%">
                  <c:v>0</c:v>
                </c:pt>
                <c:pt idx="3" formatCode="0%">
                  <c:v>0</c:v>
                </c:pt>
                <c:pt idx="4" formatCode="0%">
                  <c:v>0.11837</c:v>
                </c:pt>
                <c:pt idx="5" formatCode="0%">
                  <c:v>0.23674000000000001</c:v>
                </c:pt>
                <c:pt idx="6" formatCode="0%">
                  <c:v>0.35511000000000004</c:v>
                </c:pt>
                <c:pt idx="7" formatCode="0%">
                  <c:v>0.47348000000000001</c:v>
                </c:pt>
                <c:pt idx="8" formatCode="0%">
                  <c:v>0.48098000000000002</c:v>
                </c:pt>
                <c:pt idx="9" formatCode="0%">
                  <c:v>0.48848000000000003</c:v>
                </c:pt>
                <c:pt idx="10" formatCode="0%">
                  <c:v>0.49598000000000003</c:v>
                </c:pt>
                <c:pt idx="11" formatCode="0%">
                  <c:v>0.50348000000000004</c:v>
                </c:pt>
                <c:pt idx="12" formatCode="0%">
                  <c:v>0.51097999999999999</c:v>
                </c:pt>
                <c:pt idx="13" formatCode="0%">
                  <c:v>0.51847999999999994</c:v>
                </c:pt>
                <c:pt idx="14" formatCode="0%">
                  <c:v>0.52597999999999989</c:v>
                </c:pt>
                <c:pt idx="15" formatCode="0%">
                  <c:v>0.53347999999999984</c:v>
                </c:pt>
                <c:pt idx="16" formatCode="0%">
                  <c:v>0.54097999999999979</c:v>
                </c:pt>
                <c:pt idx="17" formatCode="0%">
                  <c:v>0.54847999999999975</c:v>
                </c:pt>
                <c:pt idx="18" formatCode="0%">
                  <c:v>0.5559799999999997</c:v>
                </c:pt>
                <c:pt idx="19" formatCode="0%">
                  <c:v>0.56347999999999965</c:v>
                </c:pt>
                <c:pt idx="20" formatCode="0%">
                  <c:v>0.5709799999999996</c:v>
                </c:pt>
                <c:pt idx="21" formatCode="0%">
                  <c:v>0.57847999999999955</c:v>
                </c:pt>
                <c:pt idx="22" formatCode="0%">
                  <c:v>0.5859799999999995</c:v>
                </c:pt>
                <c:pt idx="23" formatCode="0%">
                  <c:v>0.59347999999999945</c:v>
                </c:pt>
                <c:pt idx="24" formatCode="0%">
                  <c:v>0.6009799999999994</c:v>
                </c:pt>
                <c:pt idx="25" formatCode="0%">
                  <c:v>0.60847999999999935</c:v>
                </c:pt>
              </c:numCache>
            </c:numRef>
          </c:val>
          <c:smooth val="0"/>
          <c:extLst xmlns:c16r2="http://schemas.microsoft.com/office/drawing/2015/06/chart">
            <c:ext xmlns:c16="http://schemas.microsoft.com/office/drawing/2014/chart" uri="{C3380CC4-5D6E-409C-BE32-E72D297353CC}">
              <c16:uniqueId val="{00000001-99D6-4C71-B125-A96499639C62}"/>
            </c:ext>
          </c:extLst>
        </c:ser>
        <c:ser>
          <c:idx val="2"/>
          <c:order val="2"/>
          <c:tx>
            <c:strRef>
              <c:f>'Coverage over time'!$A$11</c:f>
              <c:strCache>
                <c:ptCount val="1"/>
                <c:pt idx="0">
                  <c:v>Counterfactual coverage, if funding cliff is not filled, with no later scale-up of coverage</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time'!$B$11:$AA$11</c:f>
              <c:numCache>
                <c:formatCode>0%</c:formatCode>
                <c:ptCount val="26"/>
                <c:pt idx="1">
                  <c:v>0.47348000000000001</c:v>
                </c:pt>
                <c:pt idx="2" formatCode="0.0%">
                  <c:v>0.31142589928057551</c:v>
                </c:pt>
                <c:pt idx="3" formatCode="0.0%">
                  <c:v>0.31628201438848919</c:v>
                </c:pt>
                <c:pt idx="4" formatCode="0.0%">
                  <c:v>0.36286568345323744</c:v>
                </c:pt>
                <c:pt idx="5" formatCode="0.0%">
                  <c:v>0.40944935251798564</c:v>
                </c:pt>
                <c:pt idx="6" formatCode="0.0%">
                  <c:v>0.45603302158273384</c:v>
                </c:pt>
                <c:pt idx="7" formatCode="0.0%">
                  <c:v>0.50261669064748193</c:v>
                </c:pt>
                <c:pt idx="8" formatCode="0.0%">
                  <c:v>0.510116690647482</c:v>
                </c:pt>
                <c:pt idx="9" formatCode="0.0%">
                  <c:v>0.51761669064748195</c:v>
                </c:pt>
                <c:pt idx="10" formatCode="0.0%">
                  <c:v>0.5251166906474819</c:v>
                </c:pt>
                <c:pt idx="11" formatCode="0.0%">
                  <c:v>0.53261669064748185</c:v>
                </c:pt>
                <c:pt idx="12" formatCode="0.0%">
                  <c:v>0.5401166906474818</c:v>
                </c:pt>
                <c:pt idx="13" formatCode="0.0%">
                  <c:v>0.54761669064748175</c:v>
                </c:pt>
                <c:pt idx="14" formatCode="0.0%">
                  <c:v>0.5551166906474817</c:v>
                </c:pt>
                <c:pt idx="15" formatCode="0.0%">
                  <c:v>0.56261669064748165</c:v>
                </c:pt>
                <c:pt idx="16" formatCode="0.0%">
                  <c:v>0.57011669064748161</c:v>
                </c:pt>
                <c:pt idx="17" formatCode="0.0%">
                  <c:v>0.57761669064748156</c:v>
                </c:pt>
                <c:pt idx="18" formatCode="0.0%">
                  <c:v>0.58511669064748151</c:v>
                </c:pt>
                <c:pt idx="19" formatCode="0.0%">
                  <c:v>0.59261669064748146</c:v>
                </c:pt>
                <c:pt idx="20" formatCode="0.0%">
                  <c:v>0.60011669064748141</c:v>
                </c:pt>
                <c:pt idx="21" formatCode="0.0%">
                  <c:v>0.60761669064748136</c:v>
                </c:pt>
                <c:pt idx="22" formatCode="0.0%">
                  <c:v>0.61511669064748131</c:v>
                </c:pt>
                <c:pt idx="23" formatCode="0.0%">
                  <c:v>0.62261669064748126</c:v>
                </c:pt>
                <c:pt idx="24" formatCode="0.0%">
                  <c:v>0.63011669064748121</c:v>
                </c:pt>
                <c:pt idx="25" formatCode="0.0%">
                  <c:v>0.63761669064748117</c:v>
                </c:pt>
              </c:numCache>
            </c:numRef>
          </c:val>
          <c:smooth val="0"/>
          <c:extLst xmlns:c16r2="http://schemas.microsoft.com/office/drawing/2015/06/chart">
            <c:ext xmlns:c16="http://schemas.microsoft.com/office/drawing/2014/chart" uri="{C3380CC4-5D6E-409C-BE32-E72D297353CC}">
              <c16:uniqueId val="{00000002-99D6-4C71-B125-A96499639C62}"/>
            </c:ext>
          </c:extLst>
        </c:ser>
        <c:ser>
          <c:idx val="3"/>
          <c:order val="3"/>
          <c:tx>
            <c:strRef>
              <c:f>'Coverage over time'!$A$12</c:f>
              <c:strCache>
                <c:ptCount val="1"/>
                <c:pt idx="0">
                  <c:v>Counterfactual coverage, with 25% change of funding cliff averted, and no later scale-up of coverage</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time'!$B$12:$AA$12</c:f>
              <c:numCache>
                <c:formatCode>0%</c:formatCode>
                <c:ptCount val="26"/>
                <c:pt idx="1">
                  <c:v>0.47348000000000001</c:v>
                </c:pt>
                <c:pt idx="2" formatCode="0.00%">
                  <c:v>0.35381442446043165</c:v>
                </c:pt>
                <c:pt idx="3" formatCode="0.00%">
                  <c:v>0.35933151079136688</c:v>
                </c:pt>
                <c:pt idx="4" formatCode="0.00%">
                  <c:v>0.39614426258992813</c:v>
                </c:pt>
                <c:pt idx="5" formatCode="0.00%">
                  <c:v>0.43295701438848921</c:v>
                </c:pt>
                <c:pt idx="6" formatCode="0.00%">
                  <c:v>0.46976976618705035</c:v>
                </c:pt>
                <c:pt idx="7" formatCode="0.00%">
                  <c:v>0.50658251798561138</c:v>
                </c:pt>
                <c:pt idx="8" formatCode="0.00%">
                  <c:v>0.51408251798561144</c:v>
                </c:pt>
                <c:pt idx="9" formatCode="0.00%">
                  <c:v>0.52158251798561139</c:v>
                </c:pt>
                <c:pt idx="10" formatCode="0.00%">
                  <c:v>0.52908251798561134</c:v>
                </c:pt>
                <c:pt idx="11" formatCode="0.00%">
                  <c:v>0.5365825179856113</c:v>
                </c:pt>
                <c:pt idx="12" formatCode="0.00%">
                  <c:v>0.54408251798561125</c:v>
                </c:pt>
                <c:pt idx="13" formatCode="0.00%">
                  <c:v>0.5515825179856112</c:v>
                </c:pt>
                <c:pt idx="14" formatCode="0.00%">
                  <c:v>0.55908251798561115</c:v>
                </c:pt>
                <c:pt idx="15" formatCode="0.00%">
                  <c:v>0.5665825179856111</c:v>
                </c:pt>
                <c:pt idx="16" formatCode="0.00%">
                  <c:v>0.57408251798561105</c:v>
                </c:pt>
                <c:pt idx="17" formatCode="0.00%">
                  <c:v>0.581582517985611</c:v>
                </c:pt>
                <c:pt idx="18" formatCode="0.00%">
                  <c:v>0.58908251798561095</c:v>
                </c:pt>
                <c:pt idx="19" formatCode="0.00%">
                  <c:v>0.59658251798561091</c:v>
                </c:pt>
                <c:pt idx="20" formatCode="0.00%">
                  <c:v>0.60408251798561086</c:v>
                </c:pt>
                <c:pt idx="21" formatCode="0.00%">
                  <c:v>0.61158251798561081</c:v>
                </c:pt>
                <c:pt idx="22" formatCode="0.00%">
                  <c:v>0.61908251798561076</c:v>
                </c:pt>
                <c:pt idx="23" formatCode="0.00%">
                  <c:v>0.62658251798561071</c:v>
                </c:pt>
                <c:pt idx="24" formatCode="0.00%">
                  <c:v>0.63408251798561066</c:v>
                </c:pt>
                <c:pt idx="25" formatCode="0.00%">
                  <c:v>0.64158251798561061</c:v>
                </c:pt>
              </c:numCache>
            </c:numRef>
          </c:val>
          <c:smooth val="0"/>
          <c:extLst xmlns:c16r2="http://schemas.microsoft.com/office/drawing/2015/06/chart">
            <c:ext xmlns:c16="http://schemas.microsoft.com/office/drawing/2014/chart" uri="{C3380CC4-5D6E-409C-BE32-E72D297353CC}">
              <c16:uniqueId val="{00000003-99D6-4C71-B125-A96499639C62}"/>
            </c:ext>
          </c:extLst>
        </c:ser>
        <c:ser>
          <c:idx val="4"/>
          <c:order val="4"/>
          <c:tx>
            <c:strRef>
              <c:f>'Coverage over time'!$A$16</c:f>
              <c:strCache>
                <c:ptCount val="1"/>
                <c:pt idx="0">
                  <c:v>Coverage with scale-up intervention conducted a few years later by a different organization</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time'!$B$16:$AA$16</c:f>
              <c:numCache>
                <c:formatCode>0%</c:formatCode>
                <c:ptCount val="26"/>
                <c:pt idx="1">
                  <c:v>0.47348000000000001</c:v>
                </c:pt>
                <c:pt idx="2" formatCode="0.00%">
                  <c:v>0.35381442446043165</c:v>
                </c:pt>
                <c:pt idx="3" formatCode="0.00%">
                  <c:v>0.35933151079136688</c:v>
                </c:pt>
                <c:pt idx="4" formatCode="0.00%">
                  <c:v>0.39614426258992813</c:v>
                </c:pt>
                <c:pt idx="5" formatCode="0.00%">
                  <c:v>0.43295701438848921</c:v>
                </c:pt>
                <c:pt idx="6" formatCode="0.00%">
                  <c:v>0.46976976618705035</c:v>
                </c:pt>
                <c:pt idx="7" formatCode="0.00%">
                  <c:v>0.52908251798561146</c:v>
                </c:pt>
                <c:pt idx="8" formatCode="0.00%">
                  <c:v>0.55908251798561148</c:v>
                </c:pt>
                <c:pt idx="9" formatCode="0.00%">
                  <c:v>0.58908251798561151</c:v>
                </c:pt>
                <c:pt idx="10" formatCode="0.00%">
                  <c:v>0.61908251798561142</c:v>
                </c:pt>
                <c:pt idx="11" formatCode="0.00%">
                  <c:v>0.64908251798561145</c:v>
                </c:pt>
                <c:pt idx="12" formatCode="0.00%">
                  <c:v>0.65908251798561135</c:v>
                </c:pt>
                <c:pt idx="13" formatCode="0.00%">
                  <c:v>0.66908251798561136</c:v>
                </c:pt>
                <c:pt idx="14" formatCode="0.00%">
                  <c:v>0.67908251798561126</c:v>
                </c:pt>
                <c:pt idx="15" formatCode="0.00%">
                  <c:v>0.68908251798561126</c:v>
                </c:pt>
                <c:pt idx="16" formatCode="0.00%">
                  <c:v>0.69908251798561127</c:v>
                </c:pt>
                <c:pt idx="17" formatCode="0.00%">
                  <c:v>0.70658251798561111</c:v>
                </c:pt>
                <c:pt idx="18" formatCode="0.00%">
                  <c:v>0.71408251798561106</c:v>
                </c:pt>
                <c:pt idx="19" formatCode="0.00%">
                  <c:v>0.72158251798561091</c:v>
                </c:pt>
                <c:pt idx="20" formatCode="0.00%">
                  <c:v>0.72908251798561086</c:v>
                </c:pt>
                <c:pt idx="21" formatCode="0.00%">
                  <c:v>0.7365825179856107</c:v>
                </c:pt>
                <c:pt idx="22" formatCode="0.00%">
                  <c:v>0.74408251798561065</c:v>
                </c:pt>
                <c:pt idx="23" formatCode="0.00%">
                  <c:v>0.7515825179856106</c:v>
                </c:pt>
                <c:pt idx="24" formatCode="0.00%">
                  <c:v>0.75908251798561044</c:v>
                </c:pt>
                <c:pt idx="25" formatCode="0.00%">
                  <c:v>0.76658251798561039</c:v>
                </c:pt>
              </c:numCache>
            </c:numRef>
          </c:val>
          <c:smooth val="0"/>
          <c:extLst xmlns:c16r2="http://schemas.microsoft.com/office/drawing/2015/06/chart">
            <c:ext xmlns:c16="http://schemas.microsoft.com/office/drawing/2014/chart" uri="{C3380CC4-5D6E-409C-BE32-E72D297353CC}">
              <c16:uniqueId val="{00000004-99D6-4C71-B125-A96499639C62}"/>
            </c:ext>
          </c:extLst>
        </c:ser>
        <c:ser>
          <c:idx val="5"/>
          <c:order val="5"/>
          <c:tx>
            <c:strRef>
              <c:f>'Coverage over time'!$A$22</c:f>
              <c:strCache>
                <c:ptCount val="1"/>
                <c:pt idx="0">
                  <c:v>R4D's achieved antibiotic coverage for pneumonia</c:v>
                </c:pt>
              </c:strCache>
            </c:strRef>
          </c:tx>
          <c:spPr>
            <a:ln w="25400"/>
          </c:spPr>
          <c:marker>
            <c:symbol val="none"/>
          </c:marker>
          <c:cat>
            <c:numRef>
              <c:f>'Coverage over time'!$C$5:$AA$5</c:f>
              <c:numCache>
                <c:formatCode>General</c:formatCode>
                <c:ptCount val="2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numCache>
            </c:numRef>
          </c:cat>
          <c:val>
            <c:numRef>
              <c:f>'Coverage over time'!$B$22:$AA$22</c:f>
              <c:numCache>
                <c:formatCode>0.00%</c:formatCode>
                <c:ptCount val="26"/>
                <c:pt idx="1">
                  <c:v>0.47348000000000001</c:v>
                </c:pt>
                <c:pt idx="2">
                  <c:v>0.50348000000000004</c:v>
                </c:pt>
                <c:pt idx="3">
                  <c:v>0.53348000000000007</c:v>
                </c:pt>
                <c:pt idx="4">
                  <c:v>0.56348000000000009</c:v>
                </c:pt>
                <c:pt idx="5">
                  <c:v>0.59348000000000012</c:v>
                </c:pt>
                <c:pt idx="6">
                  <c:v>0.62348000000000015</c:v>
                </c:pt>
                <c:pt idx="7">
                  <c:v>0.63348000000000015</c:v>
                </c:pt>
                <c:pt idx="8">
                  <c:v>0.64348000000000016</c:v>
                </c:pt>
                <c:pt idx="9">
                  <c:v>0.65348000000000017</c:v>
                </c:pt>
                <c:pt idx="10">
                  <c:v>0.66348000000000018</c:v>
                </c:pt>
                <c:pt idx="11">
                  <c:v>0.67348000000000019</c:v>
                </c:pt>
                <c:pt idx="12">
                  <c:v>0.68098000000000014</c:v>
                </c:pt>
                <c:pt idx="13">
                  <c:v>0.68848000000000009</c:v>
                </c:pt>
                <c:pt idx="14">
                  <c:v>0.69598000000000004</c:v>
                </c:pt>
                <c:pt idx="15">
                  <c:v>0.70347999999999999</c:v>
                </c:pt>
                <c:pt idx="16">
                  <c:v>0.71097999999999995</c:v>
                </c:pt>
                <c:pt idx="17">
                  <c:v>0.7184799999999999</c:v>
                </c:pt>
                <c:pt idx="18">
                  <c:v>0.72597999999999985</c:v>
                </c:pt>
                <c:pt idx="19">
                  <c:v>0.7334799999999998</c:v>
                </c:pt>
                <c:pt idx="20">
                  <c:v>0.74097999999999975</c:v>
                </c:pt>
                <c:pt idx="21">
                  <c:v>0.7484799999999997</c:v>
                </c:pt>
                <c:pt idx="22">
                  <c:v>0.75597999999999965</c:v>
                </c:pt>
                <c:pt idx="23">
                  <c:v>0.7634799999999996</c:v>
                </c:pt>
                <c:pt idx="24">
                  <c:v>0.77097999999999955</c:v>
                </c:pt>
                <c:pt idx="25">
                  <c:v>0.77847999999999951</c:v>
                </c:pt>
              </c:numCache>
            </c:numRef>
          </c:val>
          <c:smooth val="0"/>
          <c:extLst xmlns:c16r2="http://schemas.microsoft.com/office/drawing/2015/06/chart">
            <c:ext xmlns:c16="http://schemas.microsoft.com/office/drawing/2014/chart" uri="{C3380CC4-5D6E-409C-BE32-E72D297353CC}">
              <c16:uniqueId val="{00000005-99D6-4C71-B125-A96499639C62}"/>
            </c:ext>
          </c:extLst>
        </c:ser>
        <c:dLbls>
          <c:showLegendKey val="0"/>
          <c:showVal val="0"/>
          <c:showCatName val="0"/>
          <c:showSerName val="0"/>
          <c:showPercent val="0"/>
          <c:showBubbleSize val="0"/>
        </c:dLbls>
        <c:marker val="1"/>
        <c:smooth val="0"/>
        <c:axId val="186360192"/>
        <c:axId val="186361728"/>
      </c:lineChart>
      <c:catAx>
        <c:axId val="186360192"/>
        <c:scaling>
          <c:orientation val="minMax"/>
        </c:scaling>
        <c:delete val="0"/>
        <c:axPos val="b"/>
        <c:numFmt formatCode="General" sourceLinked="1"/>
        <c:majorTickMark val="out"/>
        <c:minorTickMark val="none"/>
        <c:tickLblPos val="nextTo"/>
        <c:crossAx val="186361728"/>
        <c:crosses val="autoZero"/>
        <c:auto val="1"/>
        <c:lblAlgn val="ctr"/>
        <c:lblOffset val="100"/>
        <c:noMultiLvlLbl val="0"/>
      </c:catAx>
      <c:valAx>
        <c:axId val="186361728"/>
        <c:scaling>
          <c:orientation val="minMax"/>
        </c:scaling>
        <c:delete val="0"/>
        <c:axPos val="l"/>
        <c:majorGridlines/>
        <c:numFmt formatCode="General" sourceLinked="1"/>
        <c:majorTickMark val="out"/>
        <c:minorTickMark val="none"/>
        <c:tickLblPos val="nextTo"/>
        <c:crossAx val="18636019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1409700</xdr:colOff>
      <xdr:row>27</xdr:row>
      <xdr:rowOff>381000</xdr:rowOff>
    </xdr:from>
    <xdr:to>
      <xdr:col>13</xdr:col>
      <xdr:colOff>190500</xdr:colOff>
      <xdr:row>36</xdr:row>
      <xdr:rowOff>342900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857252</xdr:colOff>
      <xdr:row>1</xdr:row>
      <xdr:rowOff>1800228</xdr:rowOff>
    </xdr:from>
    <xdr:to>
      <xdr:col>0</xdr:col>
      <xdr:colOff>1962150</xdr:colOff>
      <xdr:row>2</xdr:row>
      <xdr:rowOff>371475</xdr:rowOff>
    </xdr:to>
    <xdr:cxnSp macro="">
      <xdr:nvCxnSpPr>
        <xdr:cNvPr id="2" name="Elbow Connector 1"/>
        <xdr:cNvCxnSpPr/>
      </xdr:nvCxnSpPr>
      <xdr:spPr>
        <a:xfrm>
          <a:off x="857252" y="1444628"/>
          <a:ext cx="1104898" cy="374647"/>
        </a:xfrm>
        <a:prstGeom prst="bentConnector3">
          <a:avLst>
            <a:gd name="adj1" fmla="val 0"/>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1038225</xdr:colOff>
      <xdr:row>3</xdr:row>
      <xdr:rowOff>0</xdr:rowOff>
    </xdr:from>
    <xdr:to>
      <xdr:col>3</xdr:col>
      <xdr:colOff>7620</xdr:colOff>
      <xdr:row>3</xdr:row>
      <xdr:rowOff>1028700</xdr:rowOff>
    </xdr:to>
    <xdr:cxnSp macro="">
      <xdr:nvCxnSpPr>
        <xdr:cNvPr id="3" name="Elbow Connector 2"/>
        <xdr:cNvCxnSpPr/>
      </xdr:nvCxnSpPr>
      <xdr:spPr>
        <a:xfrm>
          <a:off x="3235325" y="2336800"/>
          <a:ext cx="3490595" cy="1028700"/>
        </a:xfrm>
        <a:prstGeom prst="bentConnector3">
          <a:avLst>
            <a:gd name="adj1" fmla="val -142"/>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1019174</xdr:colOff>
      <xdr:row>3</xdr:row>
      <xdr:rowOff>66674</xdr:rowOff>
    </xdr:from>
    <xdr:to>
      <xdr:col>1</xdr:col>
      <xdr:colOff>2552699</xdr:colOff>
      <xdr:row>4</xdr:row>
      <xdr:rowOff>504825</xdr:rowOff>
    </xdr:to>
    <xdr:cxnSp macro="">
      <xdr:nvCxnSpPr>
        <xdr:cNvPr id="4" name="Elbow Connector 3"/>
        <xdr:cNvCxnSpPr/>
      </xdr:nvCxnSpPr>
      <xdr:spPr>
        <a:xfrm rot="16200000" flipH="1">
          <a:off x="2933699" y="2352674"/>
          <a:ext cx="2085976" cy="1533525"/>
        </a:xfrm>
        <a:prstGeom prst="bentConnector3">
          <a:avLst>
            <a:gd name="adj1" fmla="val 100228"/>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861059</xdr:colOff>
      <xdr:row>2</xdr:row>
      <xdr:rowOff>274320</xdr:rowOff>
    </xdr:from>
    <xdr:to>
      <xdr:col>0</xdr:col>
      <xdr:colOff>1914524</xdr:colOff>
      <xdr:row>6</xdr:row>
      <xdr:rowOff>438153</xdr:rowOff>
    </xdr:to>
    <xdr:cxnSp macro="">
      <xdr:nvCxnSpPr>
        <xdr:cNvPr id="5" name="Elbow Connector 4"/>
        <xdr:cNvCxnSpPr/>
      </xdr:nvCxnSpPr>
      <xdr:spPr>
        <a:xfrm rot="16200000" flipH="1">
          <a:off x="-1799275" y="4382454"/>
          <a:ext cx="6374133" cy="1053465"/>
        </a:xfrm>
        <a:prstGeom prst="bentConnector3">
          <a:avLst>
            <a:gd name="adj1" fmla="val 100138"/>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142875</xdr:colOff>
          <xdr:row>10</xdr:row>
          <xdr:rowOff>28575</xdr:rowOff>
        </xdr:from>
        <xdr:to>
          <xdr:col>2</xdr:col>
          <xdr:colOff>2428875</xdr:colOff>
          <xdr:row>13</xdr:row>
          <xdr:rowOff>66675</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Get new sample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xdr:row>
          <xdr:rowOff>38100</xdr:rowOff>
        </xdr:from>
        <xdr:to>
          <xdr:col>7</xdr:col>
          <xdr:colOff>2066925</xdr:colOff>
          <xdr:row>13</xdr:row>
          <xdr:rowOff>66675</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Get new distribution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14</xdr:row>
          <xdr:rowOff>38100</xdr:rowOff>
        </xdr:from>
        <xdr:to>
          <xdr:col>2</xdr:col>
          <xdr:colOff>2409825</xdr:colOff>
          <xdr:row>17</xdr:row>
          <xdr:rowOff>85725</xdr:rowOff>
        </xdr:to>
        <xdr:sp macro="" textlink="">
          <xdr:nvSpPr>
            <xdr:cNvPr id="9219" name="Button 3" hidden="1">
              <a:extLst>
                <a:ext uri="{63B3BB69-23CF-44E3-9099-C40C66FF867C}">
                  <a14:compatExt spid="_x0000_s9219"/>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Clear all samples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14</xdr:row>
          <xdr:rowOff>47625</xdr:rowOff>
        </xdr:from>
        <xdr:to>
          <xdr:col>7</xdr:col>
          <xdr:colOff>2085975</xdr:colOff>
          <xdr:row>17</xdr:row>
          <xdr:rowOff>76200</xdr:rowOff>
        </xdr:to>
        <xdr:sp macro="" textlink="">
          <xdr:nvSpPr>
            <xdr:cNvPr id="9220" name="Button 4" hidden="1">
              <a:extLst>
                <a:ext uri="{63B3BB69-23CF-44E3-9099-C40C66FF867C}">
                  <a14:compatExt spid="_x0000_s922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Clear distribution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10</xdr:row>
          <xdr:rowOff>66675</xdr:rowOff>
        </xdr:from>
        <xdr:to>
          <xdr:col>13</xdr:col>
          <xdr:colOff>2066925</xdr:colOff>
          <xdr:row>13</xdr:row>
          <xdr:rowOff>85725</xdr:rowOff>
        </xdr:to>
        <xdr:sp macro="" textlink="">
          <xdr:nvSpPr>
            <xdr:cNvPr id="9221" name="Button 5" hidden="1">
              <a:extLst>
                <a:ext uri="{63B3BB69-23CF-44E3-9099-C40C66FF867C}">
                  <a14:compatExt spid="_x0000_s922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Get new distribution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14</xdr:row>
          <xdr:rowOff>66675</xdr:rowOff>
        </xdr:from>
        <xdr:to>
          <xdr:col>13</xdr:col>
          <xdr:colOff>2085975</xdr:colOff>
          <xdr:row>17</xdr:row>
          <xdr:rowOff>85725</xdr:rowOff>
        </xdr:to>
        <xdr:sp macro="" textlink="">
          <xdr:nvSpPr>
            <xdr:cNvPr id="9222" name="Button 6" hidden="1">
              <a:extLst>
                <a:ext uri="{63B3BB69-23CF-44E3-9099-C40C66FF867C}">
                  <a14:compatExt spid="_x0000_s9222"/>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Lucida Grande"/>
                </a:rPr>
                <a:t>Clear distribution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tabSelected="1" workbookViewId="0">
      <pane xSplit="1" ySplit="1" topLeftCell="Y2" activePane="bottomRight" state="frozen"/>
      <selection pane="topRight" activeCell="B1" sqref="B1"/>
      <selection pane="bottomLeft" activeCell="A2" sqref="A2"/>
      <selection pane="bottomRight" activeCell="AB21" sqref="AB21"/>
    </sheetView>
  </sheetViews>
  <sheetFormatPr defaultColWidth="8.875" defaultRowHeight="15"/>
  <cols>
    <col min="1" max="1" width="32.5" style="2" customWidth="1"/>
    <col min="2" max="2" width="11" style="1" bestFit="1" customWidth="1"/>
    <col min="3" max="3" width="12.5" style="1" bestFit="1" customWidth="1"/>
    <col min="4" max="4" width="14.375" style="1" bestFit="1" customWidth="1"/>
    <col min="5" max="6" width="12.5" style="1" bestFit="1" customWidth="1"/>
    <col min="7" max="7" width="13.125" style="1" bestFit="1" customWidth="1"/>
    <col min="8" max="9" width="12.5" style="1" bestFit="1" customWidth="1"/>
    <col min="10" max="10" width="14.375" style="1" bestFit="1" customWidth="1"/>
    <col min="11" max="12" width="12.5" style="1" bestFit="1" customWidth="1"/>
    <col min="13" max="13" width="13.125" style="1" bestFit="1" customWidth="1"/>
    <col min="14" max="27" width="13.125" style="1" customWidth="1"/>
    <col min="28" max="28" width="28.875" style="1" customWidth="1"/>
    <col min="29" max="29" width="89.875" style="1" customWidth="1"/>
    <col min="30" max="16384" width="8.875" style="1"/>
  </cols>
  <sheetData>
    <row r="1" spans="1:29" s="2" customFormat="1">
      <c r="B1" s="27" t="s">
        <v>19</v>
      </c>
      <c r="C1" s="27">
        <v>2016</v>
      </c>
      <c r="D1" s="27">
        <f>C1+1</f>
        <v>2017</v>
      </c>
      <c r="E1" s="27">
        <f>D1+1</f>
        <v>2018</v>
      </c>
      <c r="F1" s="27">
        <f>E1+1</f>
        <v>2019</v>
      </c>
      <c r="G1" s="27">
        <f>F1+1</f>
        <v>2020</v>
      </c>
      <c r="H1" s="27">
        <f>G1+1</f>
        <v>2021</v>
      </c>
      <c r="I1" s="27">
        <v>2022</v>
      </c>
      <c r="J1" s="27">
        <f>I1+1</f>
        <v>2023</v>
      </c>
      <c r="K1" s="27">
        <f>J1+1</f>
        <v>2024</v>
      </c>
      <c r="L1" s="27">
        <f>K1+1</f>
        <v>2025</v>
      </c>
      <c r="M1" s="27">
        <f>L1+1</f>
        <v>2026</v>
      </c>
      <c r="N1" s="27">
        <f t="shared" ref="N1:S1" si="0">M1+1</f>
        <v>2027</v>
      </c>
      <c r="O1" s="27">
        <f t="shared" si="0"/>
        <v>2028</v>
      </c>
      <c r="P1" s="27">
        <f t="shared" si="0"/>
        <v>2029</v>
      </c>
      <c r="Q1" s="27">
        <f t="shared" si="0"/>
        <v>2030</v>
      </c>
      <c r="R1" s="27">
        <f t="shared" si="0"/>
        <v>2031</v>
      </c>
      <c r="S1" s="27">
        <f t="shared" si="0"/>
        <v>2032</v>
      </c>
      <c r="T1" s="27">
        <f>S1+1</f>
        <v>2033</v>
      </c>
      <c r="U1" s="27">
        <f>T1+1</f>
        <v>2034</v>
      </c>
      <c r="V1" s="27">
        <f>U1+1</f>
        <v>2035</v>
      </c>
      <c r="W1" s="27">
        <f>V1+1</f>
        <v>2036</v>
      </c>
      <c r="X1" s="27">
        <f t="shared" ref="X1:AA1" si="1">W1+1</f>
        <v>2037</v>
      </c>
      <c r="Y1" s="27">
        <f t="shared" si="1"/>
        <v>2038</v>
      </c>
      <c r="Z1" s="27">
        <f t="shared" si="1"/>
        <v>2039</v>
      </c>
      <c r="AA1" s="27">
        <f t="shared" si="1"/>
        <v>2040</v>
      </c>
      <c r="AB1" s="27" t="s">
        <v>18</v>
      </c>
      <c r="AC1" s="27" t="s">
        <v>17</v>
      </c>
    </row>
    <row r="2" spans="1:29" s="6" customFormat="1" ht="15.75">
      <c r="A2" s="7" t="s">
        <v>16</v>
      </c>
      <c r="C2" s="24">
        <v>2053974</v>
      </c>
      <c r="D2" s="24">
        <v>2094289</v>
      </c>
      <c r="E2" s="24">
        <v>2134284</v>
      </c>
      <c r="F2" s="24">
        <v>2174881</v>
      </c>
      <c r="G2" s="24">
        <v>2216411</v>
      </c>
      <c r="H2" s="24">
        <v>2259290</v>
      </c>
      <c r="I2" s="24">
        <v>2303777</v>
      </c>
      <c r="J2" s="24">
        <v>2350134</v>
      </c>
      <c r="K2" s="24">
        <v>2398133</v>
      </c>
      <c r="L2" s="24">
        <v>2447427</v>
      </c>
      <c r="M2" s="24">
        <v>2497882</v>
      </c>
      <c r="N2" s="24">
        <f>M2*(M2/L2)</f>
        <v>2549377.1564684054</v>
      </c>
      <c r="O2" s="24">
        <f t="shared" ref="O2:AA2" si="2">N2*(N2/M2)</f>
        <v>2601933.9127800805</v>
      </c>
      <c r="P2" s="24">
        <f t="shared" si="2"/>
        <v>2655574.1543763853</v>
      </c>
      <c r="Q2" s="24">
        <f t="shared" si="2"/>
        <v>2710320.2178786104</v>
      </c>
      <c r="R2" s="24">
        <f t="shared" si="2"/>
        <v>2766194.9003892899</v>
      </c>
      <c r="S2" s="24">
        <f t="shared" si="2"/>
        <v>2823221.4689852651</v>
      </c>
      <c r="T2" s="24">
        <f t="shared" si="2"/>
        <v>2881423.6704064524</v>
      </c>
      <c r="U2" s="24">
        <f t="shared" si="2"/>
        <v>2940825.7409443511</v>
      </c>
      <c r="V2" s="24">
        <f t="shared" si="2"/>
        <v>3001452.4165344085</v>
      </c>
      <c r="W2" s="24">
        <f t="shared" si="2"/>
        <v>3063328.9430564432</v>
      </c>
      <c r="X2" s="24">
        <f t="shared" si="2"/>
        <v>3126481.0868474175</v>
      </c>
      <c r="Y2" s="24">
        <f t="shared" si="2"/>
        <v>3190935.1454309365</v>
      </c>
      <c r="Z2" s="24">
        <f t="shared" si="2"/>
        <v>3256717.9584679413</v>
      </c>
      <c r="AA2" s="24">
        <f t="shared" si="2"/>
        <v>3323856.9189331564</v>
      </c>
      <c r="AB2" s="6" t="s">
        <v>15</v>
      </c>
    </row>
    <row r="3" spans="1:29" s="6" customFormat="1" ht="45">
      <c r="A3" s="7" t="s">
        <v>72</v>
      </c>
      <c r="C3" s="26">
        <v>59761</v>
      </c>
      <c r="D3" s="53">
        <f>($C$3/$C$2)*D2*$B$6^(D1-$C$1)</f>
        <v>58604.892606610541</v>
      </c>
      <c r="E3" s="53">
        <f t="shared" ref="E3:M3" si="3">($C$3/$C$2)*E2*$B$6^(E1-$C$1)</f>
        <v>57441.241772676272</v>
      </c>
      <c r="F3" s="53">
        <f t="shared" si="3"/>
        <v>56296.508282277384</v>
      </c>
      <c r="G3" s="53">
        <f t="shared" si="3"/>
        <v>55178.590857409567</v>
      </c>
      <c r="H3" s="53">
        <f t="shared" si="3"/>
        <v>54096.184804445373</v>
      </c>
      <c r="I3" s="53">
        <f t="shared" si="3"/>
        <v>53052.938507409388</v>
      </c>
      <c r="J3" s="53">
        <f t="shared" si="3"/>
        <v>52051.8272416568</v>
      </c>
      <c r="K3" s="53">
        <f t="shared" si="3"/>
        <v>51084.714198041198</v>
      </c>
      <c r="L3" s="53">
        <f t="shared" si="3"/>
        <v>50142.016803089631</v>
      </c>
      <c r="M3" s="53">
        <f t="shared" si="3"/>
        <v>49219.62700544003</v>
      </c>
      <c r="N3" s="53">
        <f t="shared" ref="N3" si="4">($C$3/$C$2)*N2*$B$6^(N1-$C$1)</f>
        <v>48314.205072129604</v>
      </c>
      <c r="O3" s="53">
        <f t="shared" ref="O3" si="5">($C$3/$C$2)*O2*$B$6^(O1-$C$1)</f>
        <v>47425.438870022284</v>
      </c>
      <c r="P3" s="53">
        <f t="shared" ref="P3" si="6">($C$3/$C$2)*P2*$B$6^(P1-$C$1)</f>
        <v>46553.022007841573</v>
      </c>
      <c r="Q3" s="53">
        <f t="shared" ref="Q3" si="7">($C$3/$C$2)*Q2*$B$6^(Q1-$C$1)</f>
        <v>45696.653730545928</v>
      </c>
      <c r="R3" s="53">
        <f t="shared" ref="R3" si="8">($C$3/$C$2)*R2*$B$6^(R1-$C$1)</f>
        <v>44856.038815647145</v>
      </c>
      <c r="S3" s="53">
        <f t="shared" ref="S3" si="9">($C$3/$C$2)*S2*$B$6^(S1-$C$1)</f>
        <v>44030.887471435984</v>
      </c>
      <c r="T3" s="53">
        <f t="shared" ref="T3" si="10">($C$3/$C$2)*T2*$B$6^(T1-$C$1)</f>
        <v>43220.915237080073</v>
      </c>
      <c r="U3" s="53">
        <f t="shared" ref="U3" si="11">($C$3/$C$2)*U2*$B$6^(U1-$C$1)</f>
        <v>42425.842884559446</v>
      </c>
      <c r="V3" s="53">
        <f t="shared" ref="V3" si="12">($C$3/$C$2)*V2*$B$6^(V1-$C$1)</f>
        <v>41645.396322406166</v>
      </c>
      <c r="W3" s="53">
        <f t="shared" ref="W3" si="13">($C$3/$C$2)*W2*$B$6^(W1-$C$1)</f>
        <v>40879.306501214625</v>
      </c>
      <c r="X3" s="53">
        <f t="shared" ref="X3" si="14">($C$3/$C$2)*X2*$B$6^(X1-$C$1)</f>
        <v>40127.309320890039</v>
      </c>
      <c r="Y3" s="53">
        <f t="shared" ref="Y3" si="15">($C$3/$C$2)*Y2*$B$6^(Y1-$C$1)</f>
        <v>39389.145539603152</v>
      </c>
      <c r="Z3" s="53">
        <f t="shared" ref="Z3" si="16">($C$3/$C$2)*Z2*$B$6^(Z1-$C$1)</f>
        <v>38664.560684419841</v>
      </c>
      <c r="AA3" s="53">
        <f t="shared" ref="AA3" si="17">($C$3/$C$2)*AA2*$B$6^(AA1-$C$1)</f>
        <v>37953.30496357465</v>
      </c>
      <c r="AB3" s="9" t="s">
        <v>14</v>
      </c>
      <c r="AC3" s="6" t="s">
        <v>13</v>
      </c>
    </row>
    <row r="4" spans="1:29" s="6" customFormat="1" ht="30">
      <c r="A4" s="2" t="s">
        <v>20</v>
      </c>
      <c r="B4" s="6">
        <v>145000</v>
      </c>
      <c r="C4" s="54"/>
      <c r="D4" s="54"/>
      <c r="E4" s="54"/>
      <c r="F4" s="54"/>
      <c r="G4" s="54"/>
      <c r="H4" s="54"/>
      <c r="I4" s="54"/>
      <c r="J4" s="54"/>
      <c r="K4" s="54"/>
      <c r="L4" s="54"/>
      <c r="M4" s="54"/>
      <c r="N4" s="54"/>
      <c r="O4" s="54"/>
      <c r="P4" s="54"/>
      <c r="Q4" s="54"/>
      <c r="R4" s="54"/>
      <c r="S4" s="54"/>
      <c r="T4" s="54"/>
      <c r="U4" s="54"/>
      <c r="V4" s="54"/>
      <c r="W4" s="54"/>
      <c r="X4" s="54"/>
      <c r="Y4" s="54"/>
      <c r="Z4" s="54"/>
      <c r="AA4" s="54"/>
      <c r="AB4" s="9" t="s">
        <v>31</v>
      </c>
      <c r="AC4" s="6" t="s">
        <v>32</v>
      </c>
    </row>
    <row r="5" spans="1:29" s="6" customFormat="1">
      <c r="A5" s="2" t="s">
        <v>21</v>
      </c>
      <c r="B5" s="6">
        <v>98200</v>
      </c>
      <c r="C5" s="26"/>
      <c r="D5" s="26"/>
      <c r="E5" s="26"/>
      <c r="F5" s="26"/>
      <c r="G5" s="26"/>
      <c r="H5" s="26"/>
      <c r="I5" s="26"/>
      <c r="J5" s="26"/>
      <c r="K5" s="26"/>
      <c r="L5" s="26"/>
      <c r="M5" s="26"/>
      <c r="N5" s="26"/>
      <c r="O5" s="26"/>
      <c r="P5" s="26"/>
      <c r="Q5" s="26"/>
      <c r="R5" s="26"/>
      <c r="S5" s="26"/>
      <c r="T5" s="26"/>
      <c r="U5" s="26"/>
      <c r="V5" s="26"/>
      <c r="W5" s="26"/>
      <c r="X5" s="26"/>
      <c r="Y5" s="26"/>
      <c r="Z5" s="26"/>
      <c r="AA5" s="26"/>
      <c r="AB5" s="9" t="s">
        <v>23</v>
      </c>
    </row>
    <row r="6" spans="1:29" s="6" customFormat="1">
      <c r="A6" s="2" t="s">
        <v>22</v>
      </c>
      <c r="B6" s="6">
        <f>(B5/B4)^(1/10)</f>
        <v>0.96177691460769099</v>
      </c>
      <c r="C6" s="26"/>
      <c r="D6" s="26"/>
      <c r="E6" s="26"/>
      <c r="F6" s="26"/>
      <c r="G6" s="26"/>
      <c r="H6" s="26"/>
      <c r="I6" s="26"/>
      <c r="J6" s="26"/>
      <c r="K6" s="26"/>
      <c r="L6" s="26"/>
      <c r="M6" s="26"/>
      <c r="N6" s="26"/>
      <c r="O6" s="26"/>
      <c r="P6" s="26"/>
      <c r="Q6" s="26"/>
      <c r="R6" s="26"/>
      <c r="S6" s="26"/>
      <c r="T6" s="26"/>
      <c r="U6" s="26"/>
      <c r="V6" s="26"/>
      <c r="W6" s="26"/>
      <c r="X6" s="26"/>
      <c r="Y6" s="26"/>
      <c r="Z6" s="26"/>
      <c r="AA6" s="26"/>
      <c r="AB6" s="9" t="s">
        <v>24</v>
      </c>
    </row>
    <row r="7" spans="1:29" s="6" customFormat="1">
      <c r="A7" s="2" t="s">
        <v>69</v>
      </c>
      <c r="B7" s="6">
        <v>0.18</v>
      </c>
      <c r="C7" s="53"/>
      <c r="D7" s="26"/>
      <c r="E7" s="26"/>
      <c r="F7" s="26"/>
      <c r="G7" s="26"/>
      <c r="H7" s="26"/>
      <c r="I7" s="26"/>
      <c r="J7" s="26"/>
      <c r="K7" s="26"/>
      <c r="L7" s="26"/>
      <c r="M7" s="26"/>
      <c r="N7" s="26"/>
      <c r="O7" s="26"/>
      <c r="P7" s="26"/>
      <c r="Q7" s="26"/>
      <c r="R7" s="26"/>
      <c r="S7" s="26"/>
      <c r="T7" s="26"/>
      <c r="U7" s="26"/>
      <c r="V7" s="26"/>
      <c r="W7" s="26"/>
      <c r="X7" s="26"/>
      <c r="Y7" s="26"/>
      <c r="Z7" s="26"/>
      <c r="AB7" s="137" t="s">
        <v>168</v>
      </c>
      <c r="AC7" s="9" t="s">
        <v>167</v>
      </c>
    </row>
    <row r="8" spans="1:29" s="6" customFormat="1" ht="60">
      <c r="A8" s="2" t="s">
        <v>74</v>
      </c>
      <c r="C8" s="25">
        <v>0.2</v>
      </c>
      <c r="D8" s="25">
        <f>C8</f>
        <v>0.2</v>
      </c>
      <c r="E8" s="25">
        <f t="shared" ref="E8:AA8" si="18">D8</f>
        <v>0.2</v>
      </c>
      <c r="F8" s="25">
        <f t="shared" si="18"/>
        <v>0.2</v>
      </c>
      <c r="G8" s="25">
        <f t="shared" si="18"/>
        <v>0.2</v>
      </c>
      <c r="H8" s="25">
        <f t="shared" si="18"/>
        <v>0.2</v>
      </c>
      <c r="I8" s="25">
        <f t="shared" si="18"/>
        <v>0.2</v>
      </c>
      <c r="J8" s="25">
        <f t="shared" si="18"/>
        <v>0.2</v>
      </c>
      <c r="K8" s="25">
        <f t="shared" si="18"/>
        <v>0.2</v>
      </c>
      <c r="L8" s="25">
        <f t="shared" si="18"/>
        <v>0.2</v>
      </c>
      <c r="M8" s="25">
        <f t="shared" si="18"/>
        <v>0.2</v>
      </c>
      <c r="N8" s="25">
        <f t="shared" si="18"/>
        <v>0.2</v>
      </c>
      <c r="O8" s="25">
        <f t="shared" si="18"/>
        <v>0.2</v>
      </c>
      <c r="P8" s="25">
        <f t="shared" si="18"/>
        <v>0.2</v>
      </c>
      <c r="Q8" s="25">
        <f t="shared" si="18"/>
        <v>0.2</v>
      </c>
      <c r="R8" s="25">
        <f t="shared" si="18"/>
        <v>0.2</v>
      </c>
      <c r="S8" s="25">
        <f t="shared" si="18"/>
        <v>0.2</v>
      </c>
      <c r="T8" s="25">
        <f t="shared" si="18"/>
        <v>0.2</v>
      </c>
      <c r="U8" s="25">
        <f t="shared" si="18"/>
        <v>0.2</v>
      </c>
      <c r="V8" s="25">
        <f t="shared" si="18"/>
        <v>0.2</v>
      </c>
      <c r="W8" s="25">
        <f t="shared" si="18"/>
        <v>0.2</v>
      </c>
      <c r="X8" s="25">
        <f t="shared" si="18"/>
        <v>0.2</v>
      </c>
      <c r="Y8" s="25">
        <f t="shared" si="18"/>
        <v>0.2</v>
      </c>
      <c r="Z8" s="25">
        <f t="shared" si="18"/>
        <v>0.2</v>
      </c>
      <c r="AA8" s="25">
        <f t="shared" si="18"/>
        <v>0.2</v>
      </c>
      <c r="AB8" s="9" t="s">
        <v>71</v>
      </c>
      <c r="AC8" s="6" t="s">
        <v>169</v>
      </c>
    </row>
    <row r="9" spans="1:29" s="6" customFormat="1">
      <c r="A9" s="7"/>
      <c r="C9" s="26"/>
      <c r="D9" s="26"/>
      <c r="E9" s="26"/>
      <c r="F9" s="26"/>
      <c r="G9" s="26"/>
      <c r="H9" s="26"/>
      <c r="I9" s="26"/>
      <c r="J9" s="26"/>
      <c r="K9" s="26"/>
      <c r="L9" s="26"/>
      <c r="M9" s="26"/>
      <c r="N9" s="26"/>
      <c r="O9" s="26"/>
      <c r="P9" s="26"/>
      <c r="Q9" s="26"/>
      <c r="R9" s="26"/>
      <c r="S9" s="26"/>
      <c r="T9" s="26"/>
      <c r="U9" s="26"/>
      <c r="V9" s="26"/>
      <c r="W9" s="26"/>
      <c r="X9" s="26"/>
      <c r="Y9" s="26"/>
      <c r="Z9" s="26"/>
      <c r="AA9" s="26"/>
      <c r="AB9" s="9"/>
    </row>
    <row r="10" spans="1:29" s="6" customFormat="1" ht="45">
      <c r="A10" s="7" t="s">
        <v>12</v>
      </c>
      <c r="B10" s="25">
        <v>0.2079</v>
      </c>
      <c r="C10" s="25">
        <f>$B$10*(1-(C8*$B$7))</f>
        <v>0.2004156</v>
      </c>
      <c r="D10" s="25">
        <f t="shared" ref="D10:AA10" si="19">$B$10*(1-(D8*$B$7))</f>
        <v>0.2004156</v>
      </c>
      <c r="E10" s="25">
        <f t="shared" si="19"/>
        <v>0.2004156</v>
      </c>
      <c r="F10" s="25">
        <f t="shared" si="19"/>
        <v>0.2004156</v>
      </c>
      <c r="G10" s="25">
        <f t="shared" si="19"/>
        <v>0.2004156</v>
      </c>
      <c r="H10" s="25">
        <f t="shared" si="19"/>
        <v>0.2004156</v>
      </c>
      <c r="I10" s="25">
        <f t="shared" si="19"/>
        <v>0.2004156</v>
      </c>
      <c r="J10" s="25">
        <f t="shared" si="19"/>
        <v>0.2004156</v>
      </c>
      <c r="K10" s="25">
        <f t="shared" si="19"/>
        <v>0.2004156</v>
      </c>
      <c r="L10" s="25">
        <f t="shared" si="19"/>
        <v>0.2004156</v>
      </c>
      <c r="M10" s="25">
        <f t="shared" si="19"/>
        <v>0.2004156</v>
      </c>
      <c r="N10" s="25">
        <f t="shared" si="19"/>
        <v>0.2004156</v>
      </c>
      <c r="O10" s="25">
        <f t="shared" si="19"/>
        <v>0.2004156</v>
      </c>
      <c r="P10" s="25">
        <f t="shared" si="19"/>
        <v>0.2004156</v>
      </c>
      <c r="Q10" s="25">
        <f t="shared" si="19"/>
        <v>0.2004156</v>
      </c>
      <c r="R10" s="25">
        <f t="shared" si="19"/>
        <v>0.2004156</v>
      </c>
      <c r="S10" s="25">
        <f t="shared" si="19"/>
        <v>0.2004156</v>
      </c>
      <c r="T10" s="25">
        <f t="shared" si="19"/>
        <v>0.2004156</v>
      </c>
      <c r="U10" s="25">
        <f t="shared" si="19"/>
        <v>0.2004156</v>
      </c>
      <c r="V10" s="25">
        <f t="shared" si="19"/>
        <v>0.2004156</v>
      </c>
      <c r="W10" s="25">
        <f t="shared" si="19"/>
        <v>0.2004156</v>
      </c>
      <c r="X10" s="25">
        <f t="shared" si="19"/>
        <v>0.2004156</v>
      </c>
      <c r="Y10" s="25">
        <f t="shared" si="19"/>
        <v>0.2004156</v>
      </c>
      <c r="Z10" s="25">
        <f t="shared" si="19"/>
        <v>0.2004156</v>
      </c>
      <c r="AA10" s="25">
        <f t="shared" si="19"/>
        <v>0.2004156</v>
      </c>
      <c r="AB10" s="9" t="s">
        <v>11</v>
      </c>
      <c r="AC10" s="6" t="s">
        <v>73</v>
      </c>
    </row>
    <row r="11" spans="1:29" s="6" customFormat="1" ht="15.75">
      <c r="A11" s="7" t="s">
        <v>10</v>
      </c>
      <c r="C11" s="24"/>
      <c r="D11" s="24">
        <f>D3*D10</f>
        <v>11745.334714689416</v>
      </c>
      <c r="E11" s="24">
        <f t="shared" ref="E11:M11" si="20">E3*E10</f>
        <v>11512.120934615979</v>
      </c>
      <c r="F11" s="24">
        <f t="shared" si="20"/>
        <v>11282.698485297591</v>
      </c>
      <c r="G11" s="24">
        <f t="shared" si="20"/>
        <v>11058.650393842252</v>
      </c>
      <c r="H11" s="24">
        <f t="shared" si="20"/>
        <v>10841.719335293801</v>
      </c>
      <c r="I11" s="24">
        <f t="shared" si="20"/>
        <v>10632.636502725556</v>
      </c>
      <c r="J11" s="24">
        <f t="shared" si="20"/>
        <v>10431.998187732992</v>
      </c>
      <c r="K11" s="24">
        <f t="shared" si="20"/>
        <v>10238.173646828945</v>
      </c>
      <c r="L11" s="24">
        <f t="shared" si="20"/>
        <v>10049.242382801291</v>
      </c>
      <c r="M11" s="24">
        <f t="shared" si="20"/>
        <v>9864.3810780714666</v>
      </c>
      <c r="N11" s="24">
        <f t="shared" ref="N11" si="21">N3*N10</f>
        <v>9682.9203980538969</v>
      </c>
      <c r="O11" s="24">
        <f t="shared" ref="O11" si="22">O3*O10</f>
        <v>9504.7977863988381</v>
      </c>
      <c r="P11" s="24">
        <f t="shared" ref="P11" si="23">P3*P10</f>
        <v>9329.9518375147727</v>
      </c>
      <c r="Q11" s="24">
        <f t="shared" ref="Q11" si="24">Q3*Q10</f>
        <v>9158.3222753995997</v>
      </c>
      <c r="R11" s="24">
        <f t="shared" ref="R11" si="25">R3*R10</f>
        <v>8989.8499328612124</v>
      </c>
      <c r="S11" s="24">
        <f t="shared" ref="S11" si="26">S3*S10</f>
        <v>8824.476731120325</v>
      </c>
      <c r="T11" s="24">
        <f t="shared" ref="T11" si="27">T3*T10</f>
        <v>8662.1456597885444</v>
      </c>
      <c r="U11" s="24">
        <f t="shared" ref="U11" si="28">U3*U10</f>
        <v>8502.8007572147126</v>
      </c>
      <c r="V11" s="24">
        <f t="shared" ref="V11" si="29">V3*V10</f>
        <v>8346.3870911928261</v>
      </c>
      <c r="W11" s="24">
        <f t="shared" ref="W11" si="30">W3*W10</f>
        <v>8192.8507400248291</v>
      </c>
      <c r="X11" s="24">
        <f t="shared" ref="X11" si="31">X3*X10</f>
        <v>8042.1387739317697</v>
      </c>
      <c r="Y11" s="24">
        <f t="shared" ref="Y11" si="32">Y3*Y10</f>
        <v>7894.1992368068895</v>
      </c>
      <c r="Z11" s="24">
        <f t="shared" ref="Z11" si="33">Z3*Z10</f>
        <v>7748.9811283044128</v>
      </c>
      <c r="AA11" s="24">
        <f t="shared" ref="AA11" si="34">AA3*AA10</f>
        <v>7606.4343862577916</v>
      </c>
    </row>
    <row r="12" spans="1:29" s="6" customFormat="1">
      <c r="A12" s="7" t="s">
        <v>9</v>
      </c>
      <c r="B12" s="6">
        <v>1</v>
      </c>
      <c r="C12" s="23"/>
      <c r="I12" s="23"/>
      <c r="AC12" s="6" t="s">
        <v>8</v>
      </c>
    </row>
    <row r="13" spans="1:29" s="6" customFormat="1">
      <c r="A13" s="129" t="s">
        <v>29</v>
      </c>
      <c r="B13" s="128">
        <v>0.7</v>
      </c>
      <c r="C13" s="23"/>
      <c r="I13" s="23"/>
      <c r="AB13" s="6" t="s">
        <v>7</v>
      </c>
      <c r="AC13" s="29" t="s">
        <v>6</v>
      </c>
    </row>
    <row r="14" spans="1:29" s="6" customFormat="1" ht="30">
      <c r="A14" s="129" t="s">
        <v>27</v>
      </c>
      <c r="B14" s="128">
        <v>1</v>
      </c>
      <c r="C14" s="23"/>
      <c r="E14" s="134"/>
      <c r="F14" s="135" t="s">
        <v>163</v>
      </c>
      <c r="G14" s="53"/>
      <c r="I14" s="23"/>
      <c r="AB14" s="9" t="s">
        <v>161</v>
      </c>
      <c r="AC14" s="6" t="s">
        <v>34</v>
      </c>
    </row>
    <row r="15" spans="1:29" s="6" customFormat="1" ht="30">
      <c r="A15" s="129" t="s">
        <v>28</v>
      </c>
      <c r="B15" s="128">
        <v>1</v>
      </c>
      <c r="C15" s="23"/>
      <c r="I15" s="23"/>
      <c r="AB15" s="9" t="s">
        <v>162</v>
      </c>
      <c r="AC15" s="6" t="s">
        <v>33</v>
      </c>
    </row>
    <row r="16" spans="1:29" s="6" customFormat="1">
      <c r="A16" s="7" t="s">
        <v>30</v>
      </c>
      <c r="B16" s="30">
        <f>B13*B14*B15</f>
        <v>0.7</v>
      </c>
      <c r="AB16" s="6" t="s">
        <v>24</v>
      </c>
    </row>
    <row r="17" spans="1:30" s="6" customFormat="1" ht="45">
      <c r="A17" s="129" t="s">
        <v>42</v>
      </c>
      <c r="B17" s="128">
        <v>1</v>
      </c>
      <c r="D17" s="53"/>
      <c r="K17" s="53"/>
      <c r="AB17" s="6" t="s">
        <v>43</v>
      </c>
    </row>
    <row r="18" spans="1:30" s="6" customFormat="1" ht="30">
      <c r="A18" s="129" t="s">
        <v>68</v>
      </c>
      <c r="B18" s="131">
        <f>0.0075</f>
        <v>7.4999999999999997E-3</v>
      </c>
    </row>
    <row r="19" spans="1:30" s="6" customFormat="1" ht="20.100000000000001" customHeight="1">
      <c r="A19" s="7" t="s">
        <v>67</v>
      </c>
      <c r="B19" s="22"/>
      <c r="C19" s="117">
        <f>'Coverage over time'!C20</f>
        <v>0.47348000000000001</v>
      </c>
      <c r="D19" s="117">
        <f ca="1">'Coverage over time'!D20</f>
        <v>0.48098000000000002</v>
      </c>
      <c r="E19" s="117">
        <f ca="1">'Coverage over time'!E20</f>
        <v>0.48848000000000003</v>
      </c>
      <c r="F19" s="117">
        <f ca="1">'Coverage over time'!F20</f>
        <v>0.49598000000000003</v>
      </c>
      <c r="G19" s="117">
        <f ca="1">'Coverage over time'!G20</f>
        <v>0.50348000000000004</v>
      </c>
      <c r="H19" s="117">
        <f ca="1">'Coverage over time'!H20</f>
        <v>0.51097999999999999</v>
      </c>
      <c r="I19" s="117">
        <f ca="1">'Coverage over time'!I20</f>
        <v>0.52908251798561146</v>
      </c>
      <c r="J19" s="117">
        <f ca="1">'Coverage over time'!J20</f>
        <v>0.55908251798561148</v>
      </c>
      <c r="K19" s="117">
        <f ca="1">'Coverage over time'!K20</f>
        <v>0.58908251798561151</v>
      </c>
      <c r="L19" s="117">
        <f ca="1">'Coverage over time'!L20</f>
        <v>0.61908251798561142</v>
      </c>
      <c r="M19" s="117">
        <f ca="1">'Coverage over time'!M20</f>
        <v>0.64908251798561145</v>
      </c>
      <c r="N19" s="117">
        <f ca="1">'Coverage over time'!N20</f>
        <v>0.65908251798561135</v>
      </c>
      <c r="O19" s="117">
        <f ca="1">'Coverage over time'!O20</f>
        <v>0.66908251798561136</v>
      </c>
      <c r="P19" s="117">
        <f ca="1">'Coverage over time'!P20</f>
        <v>0.67908251798561126</v>
      </c>
      <c r="Q19" s="117">
        <f ca="1">'Coverage over time'!Q20</f>
        <v>0.68908251798561126</v>
      </c>
      <c r="R19" s="117">
        <f ca="1">'Coverage over time'!R20</f>
        <v>0.69908251798561127</v>
      </c>
      <c r="S19" s="117">
        <f ca="1">'Coverage over time'!S20</f>
        <v>0.70658251798561111</v>
      </c>
      <c r="T19" s="117">
        <f ca="1">'Coverage over time'!T20</f>
        <v>0.71408251798561106</v>
      </c>
      <c r="U19" s="117">
        <f ca="1">'Coverage over time'!U20</f>
        <v>0.72158251798561091</v>
      </c>
      <c r="V19" s="117">
        <f ca="1">'Coverage over time'!V20</f>
        <v>0.72908251798561086</v>
      </c>
      <c r="W19" s="117">
        <f ca="1">'Coverage over time'!W20</f>
        <v>0.7365825179856107</v>
      </c>
      <c r="X19" s="117">
        <f ca="1">'Coverage over time'!X20</f>
        <v>0.74408251798561065</v>
      </c>
      <c r="Y19" s="117">
        <f ca="1">'Coverage over time'!Y20</f>
        <v>0.7515825179856106</v>
      </c>
      <c r="Z19" s="117">
        <f ca="1">'Coverage over time'!Z20</f>
        <v>0.75908251798561044</v>
      </c>
      <c r="AA19" s="117">
        <f ca="1">'Coverage over time'!AA20</f>
        <v>0.76658251798561039</v>
      </c>
    </row>
    <row r="20" spans="1:30" s="6" customFormat="1" ht="51.95" customHeight="1">
      <c r="A20" s="129" t="s">
        <v>143</v>
      </c>
      <c r="B20" s="130">
        <f>(0.5*0.553)+(0.21*0.938)</f>
        <v>0.47348000000000001</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t="s">
        <v>202</v>
      </c>
      <c r="AC20" t="s">
        <v>160</v>
      </c>
      <c r="AD20" s="6" t="s">
        <v>146</v>
      </c>
    </row>
    <row r="21" spans="1:30" s="6" customFormat="1" ht="51.95" customHeight="1">
      <c r="A21" s="129" t="s">
        <v>138</v>
      </c>
      <c r="B21" s="128">
        <f>B20</f>
        <v>0.47348000000000001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30" s="6" customFormat="1" ht="32.1" customHeight="1">
      <c r="A22" s="7" t="s">
        <v>97</v>
      </c>
      <c r="B22" s="22">
        <v>0.03</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6" t="s">
        <v>170</v>
      </c>
    </row>
    <row r="23" spans="1:30" s="6" customFormat="1" ht="29.1" customHeight="1">
      <c r="A23" s="7" t="s">
        <v>98</v>
      </c>
      <c r="B23" s="22">
        <v>0.01</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6" t="s">
        <v>170</v>
      </c>
    </row>
    <row r="24" spans="1:30" s="6" customFormat="1" ht="255">
      <c r="A24" s="7" t="s">
        <v>40</v>
      </c>
      <c r="B24" s="71"/>
      <c r="C24" s="21">
        <f>B20</f>
        <v>0.47348000000000001</v>
      </c>
      <c r="D24" s="21">
        <f>C24+$B$22*(100%-$B$21)/(100%-$B$20)</f>
        <v>0.50348000000000004</v>
      </c>
      <c r="E24" s="21">
        <f t="shared" ref="E24:H24" si="35">D24+$B$22*(100%-$B$21)/(100%-$B$20)</f>
        <v>0.53348000000000007</v>
      </c>
      <c r="F24" s="21">
        <f t="shared" si="35"/>
        <v>0.56348000000000009</v>
      </c>
      <c r="G24" s="21">
        <f t="shared" si="35"/>
        <v>0.59348000000000012</v>
      </c>
      <c r="H24" s="21">
        <f t="shared" si="35"/>
        <v>0.62348000000000015</v>
      </c>
      <c r="I24" s="21">
        <f>H24+$B$23*(100%-$B$21)/(100%-$B$20)</f>
        <v>0.63348000000000015</v>
      </c>
      <c r="J24" s="21">
        <f>I24+$B$23*(100%-$B$21)/(100%-$B$20)</f>
        <v>0.64348000000000016</v>
      </c>
      <c r="K24" s="21">
        <f>J24+$B$23*(100%-$B$21)/(100%-$B$20)</f>
        <v>0.65348000000000017</v>
      </c>
      <c r="L24" s="21">
        <f>K24+$B$23*(100%-$B$21)/(100%-$B$20)</f>
        <v>0.66348000000000018</v>
      </c>
      <c r="M24" s="21">
        <f>L24+$B$23*(100%-$B$21)/(100%-$B$20)</f>
        <v>0.67348000000000019</v>
      </c>
      <c r="N24" s="21">
        <f>M24+'Coverage over time'!$B$6*(100%-$B$21)/(100%-$B$20)</f>
        <v>0.68098000000000014</v>
      </c>
      <c r="O24" s="21">
        <f>N24+'Coverage over time'!$B$6*(100%-$B$21)/(100%-$B$20)</f>
        <v>0.68848000000000009</v>
      </c>
      <c r="P24" s="21">
        <f>O24+'Coverage over time'!$B$6*(100%-$B$21)/(100%-$B$20)</f>
        <v>0.69598000000000004</v>
      </c>
      <c r="Q24" s="21">
        <f>P24+'Coverage over time'!$B$6*(100%-$B$21)/(100%-$B$20)</f>
        <v>0.70347999999999999</v>
      </c>
      <c r="R24" s="21">
        <f>Q24+'Coverage over time'!$B$6*(100%-$B$21)/(100%-$B$20)</f>
        <v>0.71097999999999995</v>
      </c>
      <c r="S24" s="21">
        <f>R24+'Coverage over time'!$B$6*(100%-$B$21)/(100%-$B$20)</f>
        <v>0.7184799999999999</v>
      </c>
      <c r="T24" s="21">
        <f>S24+'Coverage over time'!$B$6*(100%-$B$21)/(100%-$B$20)</f>
        <v>0.72597999999999985</v>
      </c>
      <c r="U24" s="21">
        <f>T24+'Coverage over time'!$B$6*(100%-$B$21)/(100%-$B$20)</f>
        <v>0.7334799999999998</v>
      </c>
      <c r="V24" s="21">
        <f>U24+'Coverage over time'!$B$6*(100%-$B$21)/(100%-$B$20)</f>
        <v>0.74097999999999975</v>
      </c>
      <c r="W24" s="21">
        <f>V24+'Coverage over time'!$B$6*(100%-$B$21)/(100%-$B$20)</f>
        <v>0.7484799999999997</v>
      </c>
      <c r="X24" s="21">
        <f>W24+'Coverage over time'!$B$6*(100%-$B$21)/(100%-$B$20)</f>
        <v>0.75597999999999965</v>
      </c>
      <c r="Y24" s="21">
        <f>X24+'Coverage over time'!$B$6*(100%-$B$21)/(100%-$B$20)</f>
        <v>0.7634799999999996</v>
      </c>
      <c r="Z24" s="21">
        <f>Y24+'Coverage over time'!$B$6*(100%-$B$21)/(100%-$B$20)</f>
        <v>0.77097999999999955</v>
      </c>
      <c r="AA24" s="21">
        <f>Z24+'Coverage over time'!$B$6*(100%-$B$21)/(100%-$B$20)</f>
        <v>0.77847999999999951</v>
      </c>
      <c r="AB24" s="6" t="s">
        <v>5</v>
      </c>
      <c r="AC24" s="70" t="s">
        <v>4</v>
      </c>
    </row>
    <row r="25" spans="1:30" s="6" customFormat="1" ht="30">
      <c r="A25" s="7" t="s">
        <v>104</v>
      </c>
      <c r="C25" s="37">
        <f>$C$24+(C24-$C$24)*$B$17</f>
        <v>0.47348000000000001</v>
      </c>
      <c r="D25" s="37">
        <f t="shared" ref="D25:E25" si="36">$C$24+(D24-$C$24)*$B$17</f>
        <v>0.50348000000000004</v>
      </c>
      <c r="E25" s="37">
        <f t="shared" si="36"/>
        <v>0.53348000000000007</v>
      </c>
      <c r="F25" s="37">
        <f t="shared" ref="F25:AA25" si="37">$C$24+(F24-$C$24)*$B$17</f>
        <v>0.56348000000000009</v>
      </c>
      <c r="G25" s="37">
        <f t="shared" si="37"/>
        <v>0.59348000000000012</v>
      </c>
      <c r="H25" s="37">
        <f t="shared" si="37"/>
        <v>0.62348000000000015</v>
      </c>
      <c r="I25" s="37">
        <f t="shared" si="37"/>
        <v>0.63348000000000015</v>
      </c>
      <c r="J25" s="37">
        <f t="shared" si="37"/>
        <v>0.64348000000000016</v>
      </c>
      <c r="K25" s="37">
        <f t="shared" si="37"/>
        <v>0.65348000000000017</v>
      </c>
      <c r="L25" s="37">
        <f t="shared" si="37"/>
        <v>0.66348000000000018</v>
      </c>
      <c r="M25" s="37">
        <f t="shared" si="37"/>
        <v>0.67348000000000019</v>
      </c>
      <c r="N25" s="37">
        <f t="shared" si="37"/>
        <v>0.68098000000000014</v>
      </c>
      <c r="O25" s="37">
        <f t="shared" si="37"/>
        <v>0.68848000000000009</v>
      </c>
      <c r="P25" s="37">
        <f t="shared" si="37"/>
        <v>0.69598000000000004</v>
      </c>
      <c r="Q25" s="37">
        <f t="shared" si="37"/>
        <v>0.70347999999999999</v>
      </c>
      <c r="R25" s="37">
        <f t="shared" si="37"/>
        <v>0.71097999999999995</v>
      </c>
      <c r="S25" s="37">
        <f t="shared" si="37"/>
        <v>0.7184799999999999</v>
      </c>
      <c r="T25" s="37">
        <f t="shared" si="37"/>
        <v>0.72597999999999985</v>
      </c>
      <c r="U25" s="37">
        <f t="shared" si="37"/>
        <v>0.7334799999999998</v>
      </c>
      <c r="V25" s="37">
        <f t="shared" si="37"/>
        <v>0.74097999999999975</v>
      </c>
      <c r="W25" s="37">
        <f t="shared" si="37"/>
        <v>0.7484799999999997</v>
      </c>
      <c r="X25" s="37">
        <f t="shared" si="37"/>
        <v>0.75597999999999965</v>
      </c>
      <c r="Y25" s="37">
        <f t="shared" si="37"/>
        <v>0.7634799999999996</v>
      </c>
      <c r="Z25" s="37">
        <f t="shared" si="37"/>
        <v>0.77097999999999955</v>
      </c>
      <c r="AA25" s="37">
        <f t="shared" si="37"/>
        <v>0.77847999999999951</v>
      </c>
      <c r="AB25" s="6" t="s">
        <v>24</v>
      </c>
      <c r="AD25" s="20"/>
    </row>
    <row r="26" spans="1:30" s="6" customFormat="1" ht="15.75">
      <c r="A26" s="7" t="s">
        <v>3</v>
      </c>
      <c r="D26" s="19">
        <f ca="1">($B$16*$B$12*(D25-D19))/(1-(C19*$B$16))</f>
        <v>2.3557954062737474E-2</v>
      </c>
      <c r="E26" s="19">
        <f t="shared" ref="E26:J26" ca="1" si="38">($B$16*$B$12*(E25-E19))/(1-(D19*$B$16))</f>
        <v>4.7488821282228373E-2</v>
      </c>
      <c r="F26" s="19">
        <f t="shared" ca="1" si="38"/>
        <v>7.1801526903158427E-2</v>
      </c>
      <c r="G26" s="19">
        <f t="shared" ca="1" si="38"/>
        <v>9.6505283281302257E-2</v>
      </c>
      <c r="H26" s="19">
        <f t="shared" ca="1" si="38"/>
        <v>0.12160960152201188</v>
      </c>
      <c r="I26" s="19">
        <f t="shared" ca="1" si="38"/>
        <v>0.11377338406149029</v>
      </c>
      <c r="J26" s="19">
        <f t="shared" ca="1" si="38"/>
        <v>9.382826294036517E-2</v>
      </c>
      <c r="K26" s="19">
        <f t="shared" ref="K26" ca="1" si="39">($B$16*$B$12*(K25-K19))/(1-(J19*$B$16))</f>
        <v>7.4063603607090203E-2</v>
      </c>
      <c r="L26" s="19">
        <f t="shared" ref="L26" ca="1" si="40">($B$16*$B$12*(L25-L19))/(1-(K19*$B$16))</f>
        <v>5.2886323398134032E-2</v>
      </c>
      <c r="M26" s="19">
        <f t="shared" ref="M26" ca="1" si="41">($B$16*$B$12*(M25-M19))/(1-(L19*$B$16))</f>
        <v>3.0139365339461634E-2</v>
      </c>
      <c r="N26" s="19">
        <f t="shared" ref="N26" ca="1" si="42">($B$16*$B$12*(N25-N19))/(1-(M19*$B$16))</f>
        <v>2.8092102038926963E-2</v>
      </c>
      <c r="O26" s="19">
        <f t="shared" ref="O26:P26" ca="1" si="43">($B$16*$B$12*(O25-O19))/(1-(N19*$B$16))</f>
        <v>2.5208267133598188E-2</v>
      </c>
      <c r="P26" s="19">
        <f t="shared" ca="1" si="43"/>
        <v>2.2248490766448761E-2</v>
      </c>
      <c r="Q26" s="19">
        <f t="shared" ref="Q26" ca="1" si="44">($B$16*$B$12*(Q25-Q19))/(1-(P19*$B$16))</f>
        <v>1.9209733207573861E-2</v>
      </c>
      <c r="R26" s="19">
        <f t="shared" ref="R26" ca="1" si="45">($B$16*$B$12*(R25-R19))/(1-(Q19*$B$16))</f>
        <v>1.6088790303783698E-2</v>
      </c>
      <c r="S26" s="19">
        <f ca="1">($B$16*$B$12*(S25-S19))/(1-(R19*$B$16))</f>
        <v>1.6309339102680107E-2</v>
      </c>
      <c r="T26" s="19">
        <f t="shared" ref="T26" ca="1" si="46">($B$16*$B$12*(T25-T19))/(1-(S19*$B$16))</f>
        <v>1.6478760047346479E-2</v>
      </c>
      <c r="U26" s="19">
        <f t="shared" ref="U26" ca="1" si="47">($B$16*$B$12*(U25-U19))/(1-(T19*$B$16))</f>
        <v>1.6651737820023001E-2</v>
      </c>
      <c r="V26" s="19">
        <f t="shared" ref="V26" ca="1" si="48">($B$16*$B$12*(V25-V19))/(1-(U19*$B$16))</f>
        <v>1.6828385617152788E-2</v>
      </c>
      <c r="W26" s="19">
        <f t="shared" ref="W26" ca="1" si="49">($B$16*$B$12*(W25-W19))/(1-(V19*$B$16))</f>
        <v>1.700882149000037E-2</v>
      </c>
      <c r="X26" s="19">
        <f t="shared" ref="X26" ca="1" si="50">($B$16*$B$12*(X25-X19))/(1-(W19*$B$16))</f>
        <v>1.7193168607741036E-2</v>
      </c>
      <c r="Y26" s="19">
        <f t="shared" ref="Y26" ca="1" si="51">($B$16*$B$12*(Y25-Y19))/(1-(X19*$B$16))</f>
        <v>1.7381555537848783E-2</v>
      </c>
      <c r="Z26" s="19">
        <f t="shared" ref="Z26" ca="1" si="52">($B$16*$B$12*(Z25-Z19))/(1-(Y19*$B$16))</f>
        <v>1.7574116545120189E-2</v>
      </c>
      <c r="AA26" s="19">
        <f t="shared" ref="AA26" ca="1" si="53">($B$16*$B$12*(AA25-AA19))/(1-(Z19*$B$16))</f>
        <v>1.7770991910797364E-2</v>
      </c>
      <c r="AC26" s="6" t="s">
        <v>2</v>
      </c>
    </row>
    <row r="27" spans="1:30" s="6" customFormat="1" ht="30">
      <c r="A27" s="7" t="s">
        <v>1</v>
      </c>
      <c r="D27" s="18">
        <f ca="1">$B$10*D26*D3</f>
        <v>287.02910338187661</v>
      </c>
      <c r="E27" s="18">
        <f t="shared" ref="E27:J27" ca="1" si="54">$B$10*E26*E3</f>
        <v>567.11312618607678</v>
      </c>
      <c r="F27" s="18">
        <f t="shared" ca="1" si="54"/>
        <v>840.36823530323636</v>
      </c>
      <c r="G27" s="18">
        <f t="shared" ca="1" si="54"/>
        <v>1107.0728101313603</v>
      </c>
      <c r="H27" s="18">
        <f t="shared" ca="1" si="54"/>
        <v>1367.6941578615879</v>
      </c>
      <c r="I27" s="18">
        <f t="shared" ca="1" si="54"/>
        <v>1254.8869672311366</v>
      </c>
      <c r="J27" s="18">
        <f t="shared" ca="1" si="54"/>
        <v>1015.3695736016849</v>
      </c>
      <c r="K27" s="18">
        <f ca="1">$B$10*K26*K3</f>
        <v>786.59339692873039</v>
      </c>
      <c r="L27" s="18">
        <f t="shared" ref="L27" ca="1" si="55">$B$10*L26*L3</f>
        <v>551.31481593678848</v>
      </c>
      <c r="M27" s="18">
        <f t="shared" ref="M27" ca="1" si="56">$B$10*M26*M3</f>
        <v>308.40890576729083</v>
      </c>
      <c r="N27" s="18">
        <f t="shared" ref="N27" ca="1" si="57">$B$10*N26*N3</f>
        <v>282.17177163582716</v>
      </c>
      <c r="O27" s="18">
        <f t="shared" ref="O27" ca="1" si="58">$B$10*O26*O3</f>
        <v>248.54718013524339</v>
      </c>
      <c r="P27" s="18">
        <f ca="1">$B$10*P26*P3</f>
        <v>215.32919845265465</v>
      </c>
      <c r="Q27" s="18">
        <f t="shared" ref="Q27" ca="1" si="59">$B$10*Q26*Q3</f>
        <v>182.49888748901154</v>
      </c>
      <c r="R27" s="18">
        <f t="shared" ref="R27" ca="1" si="60">$B$10*R26*R3</f>
        <v>150.03714775133611</v>
      </c>
      <c r="S27" s="18">
        <f t="shared" ref="S27" ca="1" si="61">$B$10*S26*S3</f>
        <v>149.29604088335213</v>
      </c>
      <c r="T27" s="18">
        <f t="shared" ref="T27" ca="1" si="62">$B$10*T26*T3</f>
        <v>148.07201226433526</v>
      </c>
      <c r="U27" s="18">
        <f t="shared" ref="U27" ca="1" si="63">$B$10*U26*U3</f>
        <v>146.87386820024111</v>
      </c>
      <c r="V27" s="18">
        <f t="shared" ref="V27" ca="1" si="64">$B$10*V26*V3</f>
        <v>145.7014735276131</v>
      </c>
      <c r="W27" s="18">
        <f ca="1">$B$10*W26*W3</f>
        <v>144.55470511545619</v>
      </c>
      <c r="X27" s="18">
        <f t="shared" ref="X27" ca="1" si="65">$B$10*X26*X3</f>
        <v>143.43345218574763</v>
      </c>
      <c r="Y27" s="18">
        <f t="shared" ref="Y27" ca="1" si="66">$B$10*Y26*Y3</f>
        <v>142.33761666120586</v>
      </c>
      <c r="Z27" s="18">
        <f t="shared" ref="Z27" ca="1" si="67">$B$10*Z26*Z3</f>
        <v>141.26711354228081</v>
      </c>
      <c r="AA27" s="18">
        <f t="shared" ref="AA27" ca="1" si="68">$B$10*AA26*AA3</f>
        <v>140.22187131555822</v>
      </c>
    </row>
    <row r="28" spans="1:30" s="6" customFormat="1" ht="60">
      <c r="A28" s="129" t="s">
        <v>25</v>
      </c>
      <c r="B28" s="128">
        <v>0.05</v>
      </c>
      <c r="D28" s="18"/>
      <c r="E28" s="18"/>
      <c r="F28" s="18"/>
      <c r="G28" s="18"/>
      <c r="H28" s="18"/>
      <c r="I28" s="18"/>
      <c r="J28" s="18"/>
      <c r="K28" s="18"/>
      <c r="L28" s="18"/>
      <c r="M28" s="18"/>
      <c r="N28" s="18"/>
      <c r="O28" s="18"/>
      <c r="P28" s="18"/>
      <c r="Q28" s="18"/>
      <c r="R28" s="18"/>
      <c r="S28" s="18"/>
      <c r="T28" s="18"/>
      <c r="U28" s="18"/>
      <c r="V28" s="18"/>
      <c r="W28" s="18"/>
      <c r="X28" s="18"/>
      <c r="Y28" s="18"/>
      <c r="Z28" s="18"/>
      <c r="AA28" s="18"/>
      <c r="AB28" s="6" t="s">
        <v>37</v>
      </c>
      <c r="AC28" s="6" t="s">
        <v>36</v>
      </c>
    </row>
    <row r="29" spans="1:30" s="6" customFormat="1" ht="30">
      <c r="A29" s="7" t="s">
        <v>26</v>
      </c>
      <c r="D29" s="18">
        <f t="shared" ref="D29:AA29" ca="1" si="69">D27/(1+$B$28)^(D1-$C$1)</f>
        <v>273.36105083988247</v>
      </c>
      <c r="E29" s="18">
        <f t="shared" ca="1" si="69"/>
        <v>514.38832307127143</v>
      </c>
      <c r="F29" s="18">
        <f t="shared" ca="1" si="69"/>
        <v>725.94167826648209</v>
      </c>
      <c r="G29" s="18">
        <f t="shared" ca="1" si="69"/>
        <v>910.79154066987337</v>
      </c>
      <c r="H29" s="18">
        <f t="shared" ca="1" si="69"/>
        <v>1071.6241604105974</v>
      </c>
      <c r="I29" s="18">
        <f t="shared" ca="1" si="69"/>
        <v>936.41597598651742</v>
      </c>
      <c r="J29" s="18">
        <f t="shared" ca="1" si="69"/>
        <v>721.60419914089971</v>
      </c>
      <c r="K29" s="18">
        <f t="shared" ca="1" si="69"/>
        <v>532.39737295321981</v>
      </c>
      <c r="L29" s="18">
        <f t="shared" ca="1" si="69"/>
        <v>355.3824459958276</v>
      </c>
      <c r="M29" s="18">
        <f t="shared" ca="1" si="69"/>
        <v>189.33631476054296</v>
      </c>
      <c r="N29" s="18">
        <f t="shared" ca="1" si="69"/>
        <v>164.97999084029598</v>
      </c>
      <c r="O29" s="18">
        <f t="shared" ca="1" si="69"/>
        <v>138.40037008182173</v>
      </c>
      <c r="P29" s="18">
        <f t="shared" ca="1" si="69"/>
        <v>114.19367135678051</v>
      </c>
      <c r="Q29" s="18">
        <f t="shared" ca="1" si="69"/>
        <v>92.174339528034565</v>
      </c>
      <c r="R29" s="18">
        <f t="shared" ca="1" si="69"/>
        <v>72.17043341719382</v>
      </c>
      <c r="S29" s="18">
        <f t="shared" ca="1" si="69"/>
        <v>68.394236516362753</v>
      </c>
      <c r="T29" s="18">
        <f t="shared" ca="1" si="69"/>
        <v>64.603328478803704</v>
      </c>
      <c r="U29" s="18">
        <f t="shared" ca="1" si="69"/>
        <v>61.02912589748459</v>
      </c>
      <c r="V29" s="18">
        <f t="shared" ca="1" si="69"/>
        <v>57.659020662239101</v>
      </c>
      <c r="W29" s="18">
        <f t="shared" ca="1" si="69"/>
        <v>54.481148057823376</v>
      </c>
      <c r="X29" s="18">
        <f t="shared" ca="1" si="69"/>
        <v>51.484342496167315</v>
      </c>
      <c r="Y29" s="18">
        <f t="shared" ca="1" si="69"/>
        <v>48.658095906410225</v>
      </c>
      <c r="Z29" s="18">
        <f t="shared" ca="1" si="69"/>
        <v>45.992518622102729</v>
      </c>
      <c r="AA29" s="18">
        <f t="shared" ca="1" si="69"/>
        <v>43.478302614737828</v>
      </c>
    </row>
    <row r="30" spans="1:30" s="6" customFormat="1">
      <c r="D30" s="18"/>
      <c r="E30" s="18"/>
      <c r="F30" s="18"/>
      <c r="G30" s="18"/>
      <c r="H30" s="18"/>
      <c r="I30" s="18"/>
      <c r="J30" s="18"/>
      <c r="K30" s="18"/>
      <c r="L30" s="18"/>
      <c r="M30" s="18"/>
      <c r="N30" s="18"/>
      <c r="O30" s="18"/>
      <c r="P30" s="18"/>
      <c r="Q30" s="18"/>
      <c r="R30" s="18"/>
      <c r="S30" s="18"/>
      <c r="T30" s="18"/>
      <c r="U30" s="18"/>
      <c r="V30" s="18"/>
      <c r="W30" s="18"/>
      <c r="X30" s="18"/>
      <c r="Y30" s="18"/>
      <c r="Z30" s="18"/>
      <c r="AA30" s="18"/>
    </row>
    <row r="31" spans="1:30" s="6" customFormat="1">
      <c r="D31" s="18"/>
      <c r="E31" s="18"/>
      <c r="F31" s="18"/>
      <c r="G31" s="18"/>
      <c r="H31" s="18"/>
      <c r="I31" s="18"/>
      <c r="J31" s="18"/>
      <c r="K31" s="18"/>
      <c r="L31" s="18"/>
      <c r="M31" s="18"/>
      <c r="N31" s="18"/>
      <c r="O31" s="18"/>
      <c r="P31" s="18"/>
      <c r="Q31" s="18"/>
      <c r="R31" s="18"/>
      <c r="S31" s="18"/>
      <c r="T31" s="18"/>
      <c r="U31" s="18"/>
      <c r="V31" s="18"/>
      <c r="W31" s="18"/>
      <c r="X31" s="18"/>
      <c r="Y31" s="18"/>
      <c r="Z31" s="18"/>
      <c r="AA31" s="18"/>
    </row>
    <row r="32" spans="1:30" s="6" customFormat="1">
      <c r="F32" s="18"/>
      <c r="G32" s="18"/>
      <c r="H32" s="118"/>
      <c r="I32" s="18"/>
      <c r="J32" s="18"/>
      <c r="K32" s="18"/>
      <c r="L32" s="18"/>
      <c r="M32" s="18"/>
      <c r="N32" s="18"/>
      <c r="O32" s="18"/>
      <c r="P32" s="18"/>
      <c r="Q32" s="18"/>
      <c r="R32" s="18"/>
      <c r="S32" s="18"/>
      <c r="T32" s="18"/>
      <c r="U32" s="18"/>
      <c r="V32" s="18"/>
      <c r="W32" s="18"/>
      <c r="X32" s="18"/>
      <c r="Y32" s="18"/>
      <c r="Z32" s="18"/>
      <c r="AA32" s="18"/>
    </row>
    <row r="33" spans="1:28" s="6" customFormat="1" ht="75">
      <c r="A33" s="129" t="s">
        <v>141</v>
      </c>
      <c r="B33" s="130">
        <v>2040</v>
      </c>
      <c r="D33" s="18" t="s">
        <v>166</v>
      </c>
      <c r="E33" s="136" t="s">
        <v>165</v>
      </c>
      <c r="G33" s="132" t="s">
        <v>135</v>
      </c>
      <c r="H33" s="133" t="s">
        <v>137</v>
      </c>
      <c r="J33" s="17"/>
    </row>
    <row r="34" spans="1:28" s="6" customFormat="1" ht="30">
      <c r="A34" s="16" t="s">
        <v>0</v>
      </c>
      <c r="D34" s="15">
        <f ca="1">SUM(D29:OFFSET($D$29,0,$B$33-$D$1))</f>
        <v>7308.9419865713735</v>
      </c>
      <c r="E34" s="26">
        <f ca="1">D34+'Coverage over time'!C37</f>
        <v>9274.0727365643997</v>
      </c>
      <c r="J34" s="14"/>
      <c r="AB34" s="13"/>
    </row>
    <row r="35" spans="1:28" s="6" customFormat="1">
      <c r="A35" s="12"/>
      <c r="B35" s="11"/>
      <c r="C35" s="10"/>
      <c r="D35" s="8"/>
      <c r="I35" s="9"/>
      <c r="J35" s="8"/>
    </row>
    <row r="36" spans="1:28" s="6" customFormat="1">
      <c r="A36" s="7" t="s">
        <v>35</v>
      </c>
      <c r="D36" s="31">
        <v>18104138.141424775</v>
      </c>
      <c r="AB36" s="6" t="s">
        <v>194</v>
      </c>
    </row>
    <row r="38" spans="1:28">
      <c r="A38" s="32" t="s">
        <v>164</v>
      </c>
      <c r="D38" s="34">
        <f ca="1">$D$36/D34</f>
        <v>2476.9847913264707</v>
      </c>
      <c r="E38" s="34">
        <f ca="1">$D$36/E34</f>
        <v>1952.1238031751186</v>
      </c>
    </row>
    <row r="40" spans="1:28" ht="30">
      <c r="A40" s="32" t="s">
        <v>38</v>
      </c>
      <c r="D40" s="35">
        <v>1981</v>
      </c>
      <c r="E40" s="4"/>
      <c r="F40" s="5"/>
      <c r="J40" s="4"/>
      <c r="K40" s="4"/>
      <c r="L40" s="5"/>
    </row>
    <row r="41" spans="1:28" ht="45">
      <c r="A41" s="32" t="s">
        <v>39</v>
      </c>
      <c r="C41" s="4"/>
      <c r="D41" s="33">
        <f>D40*(1+B28)^3</f>
        <v>2293.2551250000001</v>
      </c>
      <c r="E41" s="4"/>
      <c r="F41" s="4"/>
      <c r="G41" s="3"/>
      <c r="I41" s="4"/>
      <c r="J41" s="4"/>
      <c r="K41" s="4"/>
      <c r="L41" s="4"/>
      <c r="M41" s="3"/>
      <c r="N41" s="3"/>
      <c r="O41" s="3"/>
      <c r="P41" s="3"/>
      <c r="Q41" s="3"/>
      <c r="R41" s="3"/>
      <c r="S41" s="3"/>
      <c r="T41" s="3"/>
      <c r="U41" s="3"/>
      <c r="V41" s="3"/>
      <c r="W41" s="3"/>
      <c r="X41" s="3"/>
      <c r="Y41" s="3"/>
      <c r="Z41" s="3"/>
      <c r="AA41" s="3"/>
    </row>
    <row r="42" spans="1:28">
      <c r="E42" s="4"/>
      <c r="F42" s="4"/>
      <c r="G42" s="3"/>
      <c r="K42" s="4"/>
      <c r="L42" s="4"/>
      <c r="M42" s="3"/>
      <c r="N42" s="3"/>
      <c r="O42" s="3"/>
      <c r="P42" s="3"/>
      <c r="Q42" s="3"/>
      <c r="R42" s="3"/>
      <c r="S42" s="3"/>
      <c r="T42" s="3"/>
      <c r="U42" s="3"/>
      <c r="V42" s="3"/>
      <c r="W42" s="3"/>
      <c r="X42" s="3"/>
      <c r="Y42" s="3"/>
      <c r="Z42" s="3"/>
      <c r="AA42" s="3"/>
    </row>
    <row r="43" spans="1:28" ht="45">
      <c r="A43" s="32" t="s">
        <v>142</v>
      </c>
      <c r="D43" s="36">
        <f ca="1">$D$41/D38</f>
        <v>0.92582527475750875</v>
      </c>
      <c r="E43" s="36">
        <f ca="1">$D$41/E38</f>
        <v>1.1747488152493368</v>
      </c>
    </row>
    <row r="46" spans="1:28">
      <c r="C46" s="1" t="s">
        <v>191</v>
      </c>
      <c r="D46" s="1" t="s">
        <v>190</v>
      </c>
      <c r="E46" s="1">
        <v>1.5</v>
      </c>
      <c r="F46" s="1">
        <v>1.9</v>
      </c>
    </row>
    <row r="47" spans="1:28">
      <c r="C47" s="1" t="s">
        <v>192</v>
      </c>
      <c r="D47" s="1" t="s">
        <v>189</v>
      </c>
      <c r="E47" s="1">
        <v>0.9</v>
      </c>
      <c r="F47" s="1">
        <v>1.2</v>
      </c>
    </row>
    <row r="49" spans="3:6">
      <c r="E49" s="1">
        <f>E46*0.75</f>
        <v>1.125</v>
      </c>
      <c r="F49" s="1">
        <f>F46*0.75</f>
        <v>1.4249999999999998</v>
      </c>
    </row>
    <row r="50" spans="3:6">
      <c r="E50" s="1">
        <f>E47*0.75</f>
        <v>0.67500000000000004</v>
      </c>
      <c r="F50" s="1">
        <f>F47*0.75</f>
        <v>0.89999999999999991</v>
      </c>
    </row>
    <row r="52" spans="3:6">
      <c r="C52" s="1" t="s">
        <v>193</v>
      </c>
    </row>
  </sheetData>
  <pageMargins left="0.7" right="0.7" top="0.75" bottom="0.75" header="0.3" footer="0.3"/>
  <pageSetup orientation="portrait" verticalDpi="1200"/>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Options!$A$3:$A$4</xm:f>
          </x14:formula1>
          <xm:sqref>B32</xm:sqref>
        </x14:dataValidation>
        <x14:dataValidation type="list" allowBlank="1" showInputMessage="1" showErrorMessage="1">
          <x14:formula1>
            <xm:f>Options!$A$2:$A$4</xm:f>
          </x14:formula1>
          <xm:sqref>H33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F37"/>
  <sheetViews>
    <sheetView topLeftCell="A16" zoomScale="70" zoomScaleNormal="70" zoomScalePageLayoutView="70" workbookViewId="0">
      <selection activeCell="C30" sqref="C30"/>
    </sheetView>
  </sheetViews>
  <sheetFormatPr defaultColWidth="11.125" defaultRowHeight="15.75"/>
  <cols>
    <col min="1" max="1" width="35.5" customWidth="1"/>
    <col min="2" max="2" width="8.875" customWidth="1"/>
    <col min="3" max="3" width="13.375" customWidth="1"/>
    <col min="4" max="4" width="20.375" bestFit="1" customWidth="1"/>
    <col min="5" max="5" width="12.5" customWidth="1"/>
    <col min="6" max="6" width="20.375" bestFit="1" customWidth="1"/>
    <col min="7" max="12" width="13.375" bestFit="1" customWidth="1"/>
  </cols>
  <sheetData>
    <row r="5" spans="1:32">
      <c r="C5" s="38">
        <v>2016</v>
      </c>
      <c r="D5" s="38">
        <v>2017</v>
      </c>
      <c r="E5" s="38">
        <v>2018</v>
      </c>
      <c r="F5" s="38">
        <v>2019</v>
      </c>
      <c r="G5" s="38">
        <v>2020</v>
      </c>
      <c r="H5" s="38">
        <v>2021</v>
      </c>
      <c r="I5" s="38">
        <v>2022</v>
      </c>
      <c r="J5" s="38">
        <v>2023</v>
      </c>
      <c r="K5" s="38">
        <v>2024</v>
      </c>
      <c r="L5" s="38">
        <v>2025</v>
      </c>
      <c r="M5" s="38">
        <v>2026</v>
      </c>
      <c r="N5" s="38">
        <v>2027</v>
      </c>
      <c r="O5" s="38">
        <v>2028</v>
      </c>
      <c r="P5" s="38">
        <v>2029</v>
      </c>
      <c r="Q5" s="38">
        <v>2030</v>
      </c>
      <c r="R5" s="38">
        <v>2031</v>
      </c>
      <c r="S5" s="38">
        <v>2032</v>
      </c>
      <c r="T5" s="38">
        <v>2033</v>
      </c>
      <c r="U5" s="38">
        <v>2034</v>
      </c>
      <c r="V5" s="38">
        <v>2035</v>
      </c>
      <c r="W5" s="38">
        <v>2036</v>
      </c>
      <c r="X5" s="38">
        <v>2037</v>
      </c>
      <c r="Y5" s="38">
        <v>2038</v>
      </c>
      <c r="Z5" s="38">
        <v>2039</v>
      </c>
      <c r="AA5" s="38">
        <v>2040</v>
      </c>
      <c r="AB5" s="38"/>
      <c r="AC5" s="38"/>
      <c r="AD5" s="38"/>
      <c r="AE5" s="38"/>
      <c r="AF5" s="38"/>
    </row>
    <row r="6" spans="1:32" ht="31.5">
      <c r="A6" s="138" t="s">
        <v>171</v>
      </c>
      <c r="B6" s="139">
        <v>7.4999999999999997E-3</v>
      </c>
    </row>
    <row r="7" spans="1:32">
      <c r="A7" t="s">
        <v>172</v>
      </c>
      <c r="C7" s="22">
        <f>'Deaths averted'!B21</f>
        <v>0.47348000000000001</v>
      </c>
      <c r="D7" s="55">
        <f>C7+$B$6</f>
        <v>0.48098000000000002</v>
      </c>
      <c r="E7" s="55">
        <f t="shared" ref="E7:AA7" si="0">D7+$B$6</f>
        <v>0.48848000000000003</v>
      </c>
      <c r="F7" s="55">
        <f t="shared" si="0"/>
        <v>0.49598000000000003</v>
      </c>
      <c r="G7" s="55">
        <f t="shared" si="0"/>
        <v>0.50348000000000004</v>
      </c>
      <c r="H7" s="55">
        <f t="shared" si="0"/>
        <v>0.51097999999999999</v>
      </c>
      <c r="I7" s="55">
        <f t="shared" si="0"/>
        <v>0.51847999999999994</v>
      </c>
      <c r="J7" s="55">
        <f t="shared" si="0"/>
        <v>0.52597999999999989</v>
      </c>
      <c r="K7" s="55">
        <f t="shared" si="0"/>
        <v>0.53347999999999984</v>
      </c>
      <c r="L7" s="55">
        <f t="shared" si="0"/>
        <v>0.54097999999999979</v>
      </c>
      <c r="M7" s="55">
        <f t="shared" si="0"/>
        <v>0.54847999999999975</v>
      </c>
      <c r="N7" s="55">
        <f t="shared" si="0"/>
        <v>0.5559799999999997</v>
      </c>
      <c r="O7" s="55">
        <f t="shared" si="0"/>
        <v>0.56347999999999965</v>
      </c>
      <c r="P7" s="55">
        <f t="shared" si="0"/>
        <v>0.5709799999999996</v>
      </c>
      <c r="Q7" s="55">
        <f t="shared" si="0"/>
        <v>0.57847999999999955</v>
      </c>
      <c r="R7" s="55">
        <f t="shared" si="0"/>
        <v>0.5859799999999995</v>
      </c>
      <c r="S7" s="55">
        <f t="shared" si="0"/>
        <v>0.59347999999999945</v>
      </c>
      <c r="T7" s="55">
        <f t="shared" si="0"/>
        <v>0.6009799999999994</v>
      </c>
      <c r="U7" s="55">
        <f t="shared" si="0"/>
        <v>0.60847999999999935</v>
      </c>
      <c r="V7" s="55">
        <f t="shared" si="0"/>
        <v>0.61597999999999931</v>
      </c>
      <c r="W7" s="55">
        <f t="shared" si="0"/>
        <v>0.62347999999999926</v>
      </c>
      <c r="X7" s="55">
        <f t="shared" si="0"/>
        <v>0.63097999999999921</v>
      </c>
      <c r="Y7" s="55">
        <f t="shared" si="0"/>
        <v>0.63847999999999916</v>
      </c>
      <c r="Z7" s="55">
        <f t="shared" si="0"/>
        <v>0.64597999999999911</v>
      </c>
      <c r="AA7" s="55">
        <f t="shared" si="0"/>
        <v>0.65347999999999906</v>
      </c>
    </row>
    <row r="8" spans="1:32">
      <c r="A8" t="s">
        <v>101</v>
      </c>
      <c r="D8" s="56">
        <v>0</v>
      </c>
      <c r="E8" s="56">
        <v>0</v>
      </c>
      <c r="F8" s="56">
        <f>0.25*$C7</f>
        <v>0.11837</v>
      </c>
      <c r="G8" s="56">
        <f>0.5*C7</f>
        <v>0.23674000000000001</v>
      </c>
      <c r="H8" s="56">
        <f>0.75*C7</f>
        <v>0.35511000000000004</v>
      </c>
      <c r="I8" s="56">
        <f>C7</f>
        <v>0.47348000000000001</v>
      </c>
      <c r="J8" s="56">
        <f>I8+$B$6</f>
        <v>0.48098000000000002</v>
      </c>
      <c r="K8" s="56">
        <f t="shared" ref="K8:AA8" si="1">J8+$B$6</f>
        <v>0.48848000000000003</v>
      </c>
      <c r="L8" s="56">
        <f t="shared" si="1"/>
        <v>0.49598000000000003</v>
      </c>
      <c r="M8" s="56">
        <f t="shared" si="1"/>
        <v>0.50348000000000004</v>
      </c>
      <c r="N8" s="56">
        <f t="shared" si="1"/>
        <v>0.51097999999999999</v>
      </c>
      <c r="O8" s="56">
        <f t="shared" si="1"/>
        <v>0.51847999999999994</v>
      </c>
      <c r="P8" s="56">
        <f t="shared" si="1"/>
        <v>0.52597999999999989</v>
      </c>
      <c r="Q8" s="56">
        <f t="shared" si="1"/>
        <v>0.53347999999999984</v>
      </c>
      <c r="R8" s="56">
        <f t="shared" si="1"/>
        <v>0.54097999999999979</v>
      </c>
      <c r="S8" s="56">
        <f t="shared" si="1"/>
        <v>0.54847999999999975</v>
      </c>
      <c r="T8" s="56">
        <f t="shared" si="1"/>
        <v>0.5559799999999997</v>
      </c>
      <c r="U8" s="56">
        <f>T8+$B$6</f>
        <v>0.56347999999999965</v>
      </c>
      <c r="V8" s="56">
        <f t="shared" si="1"/>
        <v>0.5709799999999996</v>
      </c>
      <c r="W8" s="56">
        <f t="shared" si="1"/>
        <v>0.57847999999999955</v>
      </c>
      <c r="X8" s="56">
        <f t="shared" si="1"/>
        <v>0.5859799999999995</v>
      </c>
      <c r="Y8" s="56">
        <f t="shared" si="1"/>
        <v>0.59347999999999945</v>
      </c>
      <c r="Z8" s="56">
        <f t="shared" si="1"/>
        <v>0.6009799999999994</v>
      </c>
      <c r="AA8" s="56">
        <f t="shared" si="1"/>
        <v>0.60847999999999935</v>
      </c>
    </row>
    <row r="9" spans="1:32" ht="31.5">
      <c r="A9" s="57" t="s">
        <v>99</v>
      </c>
      <c r="C9" s="56">
        <f>C7</f>
        <v>0.47348000000000001</v>
      </c>
      <c r="D9" s="58">
        <f>D7</f>
        <v>0.48098000000000002</v>
      </c>
      <c r="E9" s="58">
        <f t="shared" ref="E9:AA9" si="2">E7</f>
        <v>0.48848000000000003</v>
      </c>
      <c r="F9" s="58">
        <f t="shared" si="2"/>
        <v>0.49598000000000003</v>
      </c>
      <c r="G9" s="58">
        <f t="shared" si="2"/>
        <v>0.50348000000000004</v>
      </c>
      <c r="H9" s="58">
        <f t="shared" si="2"/>
        <v>0.51097999999999999</v>
      </c>
      <c r="I9" s="58">
        <f t="shared" si="2"/>
        <v>0.51847999999999994</v>
      </c>
      <c r="J9" s="58">
        <f t="shared" si="2"/>
        <v>0.52597999999999989</v>
      </c>
      <c r="K9" s="58">
        <f t="shared" si="2"/>
        <v>0.53347999999999984</v>
      </c>
      <c r="L9" s="58">
        <f t="shared" si="2"/>
        <v>0.54097999999999979</v>
      </c>
      <c r="M9" s="58">
        <f t="shared" si="2"/>
        <v>0.54847999999999975</v>
      </c>
      <c r="N9" s="58">
        <f t="shared" si="2"/>
        <v>0.5559799999999997</v>
      </c>
      <c r="O9" s="58">
        <f t="shared" si="2"/>
        <v>0.56347999999999965</v>
      </c>
      <c r="P9" s="58">
        <f t="shared" si="2"/>
        <v>0.5709799999999996</v>
      </c>
      <c r="Q9" s="58">
        <f t="shared" si="2"/>
        <v>0.57847999999999955</v>
      </c>
      <c r="R9" s="58">
        <f t="shared" si="2"/>
        <v>0.5859799999999995</v>
      </c>
      <c r="S9" s="58">
        <f t="shared" si="2"/>
        <v>0.59347999999999945</v>
      </c>
      <c r="T9" s="58">
        <f t="shared" si="2"/>
        <v>0.6009799999999994</v>
      </c>
      <c r="U9" s="58">
        <f t="shared" si="2"/>
        <v>0.60847999999999935</v>
      </c>
      <c r="V9" s="58">
        <f t="shared" si="2"/>
        <v>0.61597999999999931</v>
      </c>
      <c r="W9" s="58">
        <f t="shared" si="2"/>
        <v>0.62347999999999926</v>
      </c>
      <c r="X9" s="58">
        <f t="shared" si="2"/>
        <v>0.63097999999999921</v>
      </c>
      <c r="Y9" s="58">
        <f t="shared" si="2"/>
        <v>0.63847999999999916</v>
      </c>
      <c r="Z9" s="58">
        <f t="shared" si="2"/>
        <v>0.64597999999999911</v>
      </c>
      <c r="AA9" s="58">
        <f t="shared" si="2"/>
        <v>0.65347999999999906</v>
      </c>
    </row>
    <row r="10" spans="1:32" ht="47.25">
      <c r="A10" s="138" t="s">
        <v>100</v>
      </c>
      <c r="B10" s="140">
        <f>1-((0.5*15%+0.21*100%+3%)/(0.5*55.3%+0.21*100%))</f>
        <v>0.35251798561151082</v>
      </c>
      <c r="D10" t="s">
        <v>173</v>
      </c>
      <c r="E10" s="58"/>
      <c r="F10" s="73"/>
      <c r="G10" s="58"/>
      <c r="H10" s="58"/>
      <c r="I10" s="58"/>
      <c r="J10" s="58"/>
      <c r="K10" s="58"/>
      <c r="L10" s="58"/>
      <c r="M10" s="58"/>
    </row>
    <row r="11" spans="1:32" ht="47.25">
      <c r="A11" s="57" t="s">
        <v>102</v>
      </c>
      <c r="C11" s="56">
        <f>C9</f>
        <v>0.47348000000000001</v>
      </c>
      <c r="D11" s="62">
        <f t="shared" ref="D11:M11" si="3">D8+(1-$B$10)*(D7-D8)</f>
        <v>0.31142589928057551</v>
      </c>
      <c r="E11" s="62">
        <f t="shared" si="3"/>
        <v>0.31628201438848919</v>
      </c>
      <c r="F11" s="62">
        <f t="shared" si="3"/>
        <v>0.36286568345323744</v>
      </c>
      <c r="G11" s="62">
        <f t="shared" si="3"/>
        <v>0.40944935251798564</v>
      </c>
      <c r="H11" s="62">
        <f t="shared" si="3"/>
        <v>0.45603302158273384</v>
      </c>
      <c r="I11" s="62">
        <f t="shared" si="3"/>
        <v>0.50261669064748193</v>
      </c>
      <c r="J11" s="62">
        <f t="shared" si="3"/>
        <v>0.510116690647482</v>
      </c>
      <c r="K11" s="62">
        <f t="shared" si="3"/>
        <v>0.51761669064748195</v>
      </c>
      <c r="L11" s="62">
        <f t="shared" si="3"/>
        <v>0.5251166906474819</v>
      </c>
      <c r="M11" s="62">
        <f t="shared" si="3"/>
        <v>0.53261669064748185</v>
      </c>
      <c r="N11" s="62">
        <f t="shared" ref="N11:AA11" si="4">N8+(1-$B$10)*(N7-N8)</f>
        <v>0.5401166906474818</v>
      </c>
      <c r="O11" s="62">
        <f t="shared" si="4"/>
        <v>0.54761669064748175</v>
      </c>
      <c r="P11" s="62">
        <f t="shared" si="4"/>
        <v>0.5551166906474817</v>
      </c>
      <c r="Q11" s="62">
        <f t="shared" si="4"/>
        <v>0.56261669064748165</v>
      </c>
      <c r="R11" s="62">
        <f t="shared" si="4"/>
        <v>0.57011669064748161</v>
      </c>
      <c r="S11" s="62">
        <f t="shared" si="4"/>
        <v>0.57761669064748156</v>
      </c>
      <c r="T11" s="62">
        <f t="shared" si="4"/>
        <v>0.58511669064748151</v>
      </c>
      <c r="U11" s="62">
        <f t="shared" si="4"/>
        <v>0.59261669064748146</v>
      </c>
      <c r="V11" s="62">
        <f t="shared" si="4"/>
        <v>0.60011669064748141</v>
      </c>
      <c r="W11" s="62">
        <f t="shared" si="4"/>
        <v>0.60761669064748136</v>
      </c>
      <c r="X11" s="62">
        <f t="shared" si="4"/>
        <v>0.61511669064748131</v>
      </c>
      <c r="Y11" s="62">
        <f t="shared" si="4"/>
        <v>0.62261669064748126</v>
      </c>
      <c r="Z11" s="62">
        <f t="shared" si="4"/>
        <v>0.63011669064748121</v>
      </c>
      <c r="AA11" s="62">
        <f t="shared" si="4"/>
        <v>0.63761669064748117</v>
      </c>
    </row>
    <row r="12" spans="1:32" ht="47.25">
      <c r="A12" s="57" t="s">
        <v>103</v>
      </c>
      <c r="C12" s="56">
        <f>C9</f>
        <v>0.47348000000000001</v>
      </c>
      <c r="D12" s="59">
        <f>0.75*D11+0.25*D9</f>
        <v>0.35381442446043165</v>
      </c>
      <c r="E12" s="59">
        <f t="shared" ref="E12:M12" si="5">0.75*E11+0.25*E9</f>
        <v>0.35933151079136688</v>
      </c>
      <c r="F12" s="59">
        <f t="shared" si="5"/>
        <v>0.39614426258992813</v>
      </c>
      <c r="G12" s="59">
        <f t="shared" si="5"/>
        <v>0.43295701438848921</v>
      </c>
      <c r="H12" s="59">
        <f t="shared" si="5"/>
        <v>0.46976976618705035</v>
      </c>
      <c r="I12" s="59">
        <f t="shared" si="5"/>
        <v>0.50658251798561138</v>
      </c>
      <c r="J12" s="59">
        <f t="shared" si="5"/>
        <v>0.51408251798561144</v>
      </c>
      <c r="K12" s="59">
        <f t="shared" si="5"/>
        <v>0.52158251798561139</v>
      </c>
      <c r="L12" s="59">
        <f t="shared" si="5"/>
        <v>0.52908251798561134</v>
      </c>
      <c r="M12" s="59">
        <f t="shared" si="5"/>
        <v>0.5365825179856113</v>
      </c>
      <c r="N12" s="59">
        <f t="shared" ref="N12" si="6">0.75*N11+0.25*N9</f>
        <v>0.54408251798561125</v>
      </c>
      <c r="O12" s="59">
        <f t="shared" ref="O12" si="7">0.75*O11+0.25*O9</f>
        <v>0.5515825179856112</v>
      </c>
      <c r="P12" s="59">
        <f t="shared" ref="P12" si="8">0.75*P11+0.25*P9</f>
        <v>0.55908251798561115</v>
      </c>
      <c r="Q12" s="59">
        <f t="shared" ref="Q12" si="9">0.75*Q11+0.25*Q9</f>
        <v>0.5665825179856111</v>
      </c>
      <c r="R12" s="59">
        <f t="shared" ref="R12" si="10">0.75*R11+0.25*R9</f>
        <v>0.57408251798561105</v>
      </c>
      <c r="S12" s="59">
        <f t="shared" ref="S12" si="11">0.75*S11+0.25*S9</f>
        <v>0.581582517985611</v>
      </c>
      <c r="T12" s="59">
        <f t="shared" ref="T12" si="12">0.75*T11+0.25*T9</f>
        <v>0.58908251798561095</v>
      </c>
      <c r="U12" s="59">
        <f t="shared" ref="U12" si="13">0.75*U11+0.25*U9</f>
        <v>0.59658251798561091</v>
      </c>
      <c r="V12" s="59">
        <f t="shared" ref="V12" si="14">0.75*V11+0.25*V9</f>
        <v>0.60408251798561086</v>
      </c>
      <c r="W12" s="59">
        <f t="shared" ref="W12" si="15">0.75*W11+0.25*W9</f>
        <v>0.61158251798561081</v>
      </c>
      <c r="X12" s="59">
        <f t="shared" ref="X12" si="16">0.75*X11+0.25*X9</f>
        <v>0.61908251798561076</v>
      </c>
      <c r="Y12" s="59">
        <f t="shared" ref="Y12" si="17">0.75*Y11+0.25*Y9</f>
        <v>0.62658251798561071</v>
      </c>
      <c r="Z12" s="59">
        <f t="shared" ref="Z12" si="18">0.75*Z11+0.25*Z9</f>
        <v>0.63408251798561066</v>
      </c>
      <c r="AA12" s="59">
        <f t="shared" ref="AA12" si="19">0.75*AA11+0.25*AA9</f>
        <v>0.64158251798561061</v>
      </c>
    </row>
    <row r="13" spans="1:32" ht="47.25">
      <c r="A13" s="138" t="s">
        <v>79</v>
      </c>
      <c r="B13" s="133">
        <v>5</v>
      </c>
      <c r="D13" s="59"/>
      <c r="E13" s="59"/>
      <c r="F13" s="59"/>
      <c r="G13" s="59"/>
      <c r="H13" s="59"/>
      <c r="I13" s="64"/>
      <c r="J13" s="59"/>
      <c r="K13" s="59"/>
      <c r="L13" s="59"/>
    </row>
    <row r="14" spans="1:32" ht="31.5">
      <c r="A14" s="57" t="s">
        <v>81</v>
      </c>
      <c r="D14" s="63">
        <f t="shared" ref="D14:M14" si="20">IF((D5-$C$5)&lt;$B$13, 0, D5-($C$5+$B$13))</f>
        <v>0</v>
      </c>
      <c r="E14" s="63">
        <f t="shared" si="20"/>
        <v>0</v>
      </c>
      <c r="F14" s="63">
        <f t="shared" si="20"/>
        <v>0</v>
      </c>
      <c r="G14" s="63">
        <f t="shared" si="20"/>
        <v>0</v>
      </c>
      <c r="H14" s="63">
        <f t="shared" si="20"/>
        <v>0</v>
      </c>
      <c r="I14" s="63">
        <f t="shared" si="20"/>
        <v>1</v>
      </c>
      <c r="J14" s="63">
        <f t="shared" si="20"/>
        <v>2</v>
      </c>
      <c r="K14" s="63">
        <f t="shared" si="20"/>
        <v>3</v>
      </c>
      <c r="L14" s="63">
        <f t="shared" si="20"/>
        <v>4</v>
      </c>
      <c r="M14" s="63">
        <f t="shared" si="20"/>
        <v>5</v>
      </c>
      <c r="N14" s="63">
        <f t="shared" ref="N14:AA14" si="21">IF((N5-$C$5)&lt;$B$13, 0, N5-($C$5+$B$13))</f>
        <v>6</v>
      </c>
      <c r="O14" s="63">
        <f t="shared" si="21"/>
        <v>7</v>
      </c>
      <c r="P14" s="63">
        <f t="shared" si="21"/>
        <v>8</v>
      </c>
      <c r="Q14" s="63">
        <f t="shared" si="21"/>
        <v>9</v>
      </c>
      <c r="R14" s="63">
        <f t="shared" si="21"/>
        <v>10</v>
      </c>
      <c r="S14" s="63">
        <f t="shared" si="21"/>
        <v>11</v>
      </c>
      <c r="T14" s="63">
        <f t="shared" si="21"/>
        <v>12</v>
      </c>
      <c r="U14" s="63">
        <f t="shared" si="21"/>
        <v>13</v>
      </c>
      <c r="V14" s="63">
        <f t="shared" si="21"/>
        <v>14</v>
      </c>
      <c r="W14" s="63">
        <f t="shared" si="21"/>
        <v>15</v>
      </c>
      <c r="X14" s="63">
        <f t="shared" si="21"/>
        <v>16</v>
      </c>
      <c r="Y14" s="63">
        <f t="shared" si="21"/>
        <v>17</v>
      </c>
      <c r="Z14" s="63">
        <f t="shared" si="21"/>
        <v>18</v>
      </c>
      <c r="AA14" s="63">
        <f t="shared" si="21"/>
        <v>19</v>
      </c>
    </row>
    <row r="15" spans="1:32" ht="31.5">
      <c r="A15" s="57" t="s">
        <v>80</v>
      </c>
      <c r="D15" s="63">
        <f ca="1">MAX(0,OFFSET($C$22,0,D14)-$C$22-B6)</f>
        <v>0</v>
      </c>
      <c r="E15" s="63">
        <f ca="1">OFFSET($C$22,0,E14)-$C$22</f>
        <v>0</v>
      </c>
      <c r="F15" s="63">
        <f ca="1">OFFSET($C$22,0,F14)-$C$22</f>
        <v>0</v>
      </c>
      <c r="G15" s="63">
        <f ca="1">OFFSET($C$22,0,G14)-$C$22</f>
        <v>0</v>
      </c>
      <c r="H15" s="63">
        <f ca="1">OFFSET($C$22,0,H14)-$C$22</f>
        <v>0</v>
      </c>
      <c r="I15" s="74">
        <f ca="1">OFFSET($C$22,0,I14)-$C$22-I14*$B$6</f>
        <v>2.2500000000000027E-2</v>
      </c>
      <c r="J15" s="74">
        <f ca="1">OFFSET($C$22,0,J14)-$C$22-J14*$B$6</f>
        <v>4.5000000000000054E-2</v>
      </c>
      <c r="K15" s="74">
        <f ca="1">OFFSET($C$22,0,K14)-$C$22-K14*$B$6</f>
        <v>6.7500000000000088E-2</v>
      </c>
      <c r="L15" s="74">
        <f ca="1">OFFSET($C$22,0,L14)-$C$22-L14*$B$6</f>
        <v>9.0000000000000108E-2</v>
      </c>
      <c r="M15" s="74">
        <f ca="1">OFFSET($C$22,0,M14)-$C$22-M14*$B$6</f>
        <v>0.11250000000000013</v>
      </c>
      <c r="N15" s="74">
        <f t="shared" ref="N15:Q15" ca="1" si="22">OFFSET($C$22,0,N14)-$C$22-N14*$B$6</f>
        <v>0.11500000000000014</v>
      </c>
      <c r="O15" s="74">
        <f t="shared" ca="1" si="22"/>
        <v>0.11750000000000016</v>
      </c>
      <c r="P15" s="74">
        <f t="shared" ca="1" si="22"/>
        <v>0.12000000000000016</v>
      </c>
      <c r="Q15" s="74">
        <f t="shared" ca="1" si="22"/>
        <v>0.12250000000000016</v>
      </c>
      <c r="R15" s="74">
        <f t="shared" ref="R15" ca="1" si="23">OFFSET($C$22,0,R14)-$C$22-R14*$B$6</f>
        <v>0.12500000000000017</v>
      </c>
      <c r="S15" s="74">
        <f t="shared" ref="S15" ca="1" si="24">OFFSET($C$22,0,S14)-$C$22-S14*$B$6</f>
        <v>0.12500000000000014</v>
      </c>
      <c r="T15" s="74">
        <f t="shared" ref="T15" ca="1" si="25">OFFSET($C$22,0,T14)-$C$22-T14*$B$6</f>
        <v>0.12500000000000008</v>
      </c>
      <c r="U15" s="74">
        <f t="shared" ref="U15" ca="1" si="26">OFFSET($C$22,0,U14)-$C$22-U14*$B$6</f>
        <v>0.12500000000000003</v>
      </c>
      <c r="V15" s="74">
        <f t="shared" ref="V15" ca="1" si="27">OFFSET($C$22,0,V14)-$C$22-V14*$B$6</f>
        <v>0.12499999999999999</v>
      </c>
      <c r="W15" s="74">
        <f t="shared" ref="W15" ca="1" si="28">OFFSET($C$22,0,W14)-$C$22-W14*$B$6</f>
        <v>0.12499999999999994</v>
      </c>
      <c r="X15" s="74">
        <f t="shared" ref="X15" ca="1" si="29">OFFSET($C$22,0,X14)-$C$22-X14*$B$6</f>
        <v>0.12499999999999989</v>
      </c>
      <c r="Y15" s="74">
        <f t="shared" ref="Y15" ca="1" si="30">OFFSET($C$22,0,Y14)-$C$22-Y14*$B$6</f>
        <v>0.12499999999999983</v>
      </c>
      <c r="Z15" s="74">
        <f t="shared" ref="Z15" ca="1" si="31">OFFSET($C$22,0,Z14)-$C$22-Z14*$B$6</f>
        <v>0.12499999999999978</v>
      </c>
      <c r="AA15" s="74">
        <f t="shared" ref="AA15" ca="1" si="32">OFFSET($C$22,0,AA14)-$C$22-AA14*$B$6</f>
        <v>0.12499999999999975</v>
      </c>
    </row>
    <row r="16" spans="1:32" ht="47.25">
      <c r="A16" s="57" t="s">
        <v>78</v>
      </c>
      <c r="C16" s="56">
        <f>'Deaths averted'!B21</f>
        <v>0.47348000000000001</v>
      </c>
      <c r="D16" s="59">
        <f t="shared" ref="D16:M16" ca="1" si="33">D15+D12</f>
        <v>0.35381442446043165</v>
      </c>
      <c r="E16" s="59">
        <f t="shared" ca="1" si="33"/>
        <v>0.35933151079136688</v>
      </c>
      <c r="F16" s="59">
        <f t="shared" ca="1" si="33"/>
        <v>0.39614426258992813</v>
      </c>
      <c r="G16" s="59">
        <f t="shared" ca="1" si="33"/>
        <v>0.43295701438848921</v>
      </c>
      <c r="H16" s="59">
        <f t="shared" ca="1" si="33"/>
        <v>0.46976976618705035</v>
      </c>
      <c r="I16" s="59">
        <f t="shared" ca="1" si="33"/>
        <v>0.52908251798561146</v>
      </c>
      <c r="J16" s="59">
        <f t="shared" ca="1" si="33"/>
        <v>0.55908251798561148</v>
      </c>
      <c r="K16" s="59">
        <f t="shared" ca="1" si="33"/>
        <v>0.58908251798561151</v>
      </c>
      <c r="L16" s="59">
        <f t="shared" ca="1" si="33"/>
        <v>0.61908251798561142</v>
      </c>
      <c r="M16" s="59">
        <f t="shared" ca="1" si="33"/>
        <v>0.64908251798561145</v>
      </c>
      <c r="N16" s="59">
        <f t="shared" ref="N16:Q16" ca="1" si="34">N15+N12</f>
        <v>0.65908251798561135</v>
      </c>
      <c r="O16" s="59">
        <f t="shared" ca="1" si="34"/>
        <v>0.66908251798561136</v>
      </c>
      <c r="P16" s="59">
        <f t="shared" ca="1" si="34"/>
        <v>0.67908251798561126</v>
      </c>
      <c r="Q16" s="59">
        <f t="shared" ca="1" si="34"/>
        <v>0.68908251798561126</v>
      </c>
      <c r="R16" s="59">
        <f t="shared" ref="R16" ca="1" si="35">R15+R12</f>
        <v>0.69908251798561127</v>
      </c>
      <c r="S16" s="59">
        <f t="shared" ref="S16" ca="1" si="36">S15+S12</f>
        <v>0.70658251798561111</v>
      </c>
      <c r="T16" s="59">
        <f t="shared" ref="T16" ca="1" si="37">T15+T12</f>
        <v>0.71408251798561106</v>
      </c>
      <c r="U16" s="59">
        <f t="shared" ref="U16" ca="1" si="38">U15+U12</f>
        <v>0.72158251798561091</v>
      </c>
      <c r="V16" s="59">
        <f t="shared" ref="V16" ca="1" si="39">V15+V12</f>
        <v>0.72908251798561086</v>
      </c>
      <c r="W16" s="59">
        <f t="shared" ref="W16" ca="1" si="40">W15+W12</f>
        <v>0.7365825179856107</v>
      </c>
      <c r="X16" s="59">
        <f t="shared" ref="X16" ca="1" si="41">X15+X12</f>
        <v>0.74408251798561065</v>
      </c>
      <c r="Y16" s="59">
        <f t="shared" ref="Y16" ca="1" si="42">Y15+Y12</f>
        <v>0.7515825179856106</v>
      </c>
      <c r="Z16" s="59">
        <f t="shared" ref="Z16" ca="1" si="43">Z15+Z12</f>
        <v>0.75908251798561044</v>
      </c>
      <c r="AA16" s="59">
        <f t="shared" ref="AA16" ca="1" si="44">AA15+AA12</f>
        <v>0.76658251798561039</v>
      </c>
    </row>
    <row r="17" spans="1:27">
      <c r="A17" s="57"/>
      <c r="C17" s="56"/>
      <c r="D17" s="59"/>
      <c r="E17" s="59"/>
      <c r="F17" s="59"/>
      <c r="G17" s="59"/>
      <c r="H17" s="59"/>
      <c r="I17" s="59"/>
      <c r="J17" s="59"/>
      <c r="K17" s="59"/>
      <c r="L17" s="59"/>
      <c r="M17" s="59"/>
    </row>
    <row r="18" spans="1:27">
      <c r="A18" s="57"/>
      <c r="C18" s="56"/>
      <c r="D18" s="59"/>
      <c r="E18" s="59"/>
      <c r="F18" s="59"/>
      <c r="G18" s="59"/>
      <c r="H18" s="59"/>
      <c r="I18" s="59"/>
      <c r="J18" s="59"/>
      <c r="K18" s="59"/>
      <c r="L18" s="59"/>
      <c r="M18" s="59"/>
    </row>
    <row r="19" spans="1:27">
      <c r="C19" s="56"/>
      <c r="D19" s="59"/>
      <c r="E19" s="59"/>
      <c r="F19" s="59"/>
      <c r="G19" s="59"/>
      <c r="H19" s="59"/>
      <c r="I19" s="59"/>
      <c r="J19" s="59"/>
      <c r="K19" s="59"/>
      <c r="L19" s="59"/>
      <c r="M19" s="59"/>
    </row>
    <row r="20" spans="1:27">
      <c r="A20" s="123" t="s">
        <v>67</v>
      </c>
      <c r="B20" s="121"/>
      <c r="C20" s="122">
        <f>IF('Deaths averted'!$H$33=Options!$A$2,C16,MAX(C7,C16))</f>
        <v>0.47348000000000001</v>
      </c>
      <c r="D20" s="122">
        <f ca="1">IF('Deaths averted'!$H$33=Options!$A$2,D16,MAX(D7,D16))</f>
        <v>0.48098000000000002</v>
      </c>
      <c r="E20" s="122">
        <f ca="1">IF('Deaths averted'!$H$33=Options!$A$2,E16,MAX(E7,E16))</f>
        <v>0.48848000000000003</v>
      </c>
      <c r="F20" s="122">
        <f ca="1">IF('Deaths averted'!$H$33=Options!$A$2,F16,MAX(F7,F16))</f>
        <v>0.49598000000000003</v>
      </c>
      <c r="G20" s="122">
        <f ca="1">IF('Deaths averted'!$H$33=Options!$A$2,G16,MAX(G7,G16))</f>
        <v>0.50348000000000004</v>
      </c>
      <c r="H20" s="122">
        <f ca="1">IF('Deaths averted'!$H$33=Options!$A$2,H16,MAX(H7,H16))</f>
        <v>0.51097999999999999</v>
      </c>
      <c r="I20" s="122">
        <f ca="1">IF('Deaths averted'!$H$33=Options!$A$2,I16,MAX(I7,I16))</f>
        <v>0.52908251798561146</v>
      </c>
      <c r="J20" s="122">
        <f ca="1">IF('Deaths averted'!$H$33=Options!$A$2,J16,MAX(J7,J16))</f>
        <v>0.55908251798561148</v>
      </c>
      <c r="K20" s="122">
        <f ca="1">IF('Deaths averted'!$H$33=Options!$A$2,K16,MAX(K7,K16))</f>
        <v>0.58908251798561151</v>
      </c>
      <c r="L20" s="122">
        <f ca="1">IF('Deaths averted'!$H$33=Options!$A$2,L16,MAX(L7,L16))</f>
        <v>0.61908251798561142</v>
      </c>
      <c r="M20" s="122">
        <f ca="1">IF('Deaths averted'!$H$33=Options!$A$2,M16,MAX(M7,M16))</f>
        <v>0.64908251798561145</v>
      </c>
      <c r="N20" s="122">
        <f ca="1">IF('Deaths averted'!$H$33=Options!$A$2,N16,MAX(N7,N16))</f>
        <v>0.65908251798561135</v>
      </c>
      <c r="O20" s="122">
        <f ca="1">IF('Deaths averted'!$H$33=Options!$A$2,O16,MAX(O7,O16))</f>
        <v>0.66908251798561136</v>
      </c>
      <c r="P20" s="122">
        <f ca="1">IF('Deaths averted'!$H$33=Options!$A$2,P16,MAX(P7,P16))</f>
        <v>0.67908251798561126</v>
      </c>
      <c r="Q20" s="122">
        <f ca="1">IF('Deaths averted'!$H$33=Options!$A$2,Q16,MAX(Q7,Q16))</f>
        <v>0.68908251798561126</v>
      </c>
      <c r="R20" s="122">
        <f ca="1">IF('Deaths averted'!$H$33=Options!$A$2,R16,MAX(R7,R16))</f>
        <v>0.69908251798561127</v>
      </c>
      <c r="S20" s="122">
        <f ca="1">IF('Deaths averted'!$H$33=Options!$A$2,S16,MAX(S7,S16))</f>
        <v>0.70658251798561111</v>
      </c>
      <c r="T20" s="122">
        <f ca="1">IF('Deaths averted'!$H$33=Options!$A$2,T16,MAX(T7,T16))</f>
        <v>0.71408251798561106</v>
      </c>
      <c r="U20" s="122">
        <f ca="1">IF('Deaths averted'!$H$33=Options!$A$2,U16,MAX(U7,U16))</f>
        <v>0.72158251798561091</v>
      </c>
      <c r="V20" s="122">
        <f ca="1">IF('Deaths averted'!$H$33=Options!$A$2,V16,MAX(V7,V16))</f>
        <v>0.72908251798561086</v>
      </c>
      <c r="W20" s="122">
        <f ca="1">IF('Deaths averted'!$H$33=Options!$A$2,W16,MAX(W7,W16))</f>
        <v>0.7365825179856107</v>
      </c>
      <c r="X20" s="122">
        <f ca="1">IF('Deaths averted'!$H$33=Options!$A$2,X16,MAX(X7,X16))</f>
        <v>0.74408251798561065</v>
      </c>
      <c r="Y20" s="122">
        <f ca="1">IF('Deaths averted'!$H$33=Options!$A$2,Y16,MAX(Y7,Y16))</f>
        <v>0.7515825179856106</v>
      </c>
      <c r="Z20" s="122">
        <f ca="1">IF('Deaths averted'!$H$33=Options!$A$2,Z16,MAX(Z7,Z16))</f>
        <v>0.75908251798561044</v>
      </c>
      <c r="AA20" s="122">
        <f ca="1">IF('Deaths averted'!$H$33=Options!$A$2,AA16,MAX(AA7,AA16))</f>
        <v>0.76658251798561039</v>
      </c>
    </row>
    <row r="22" spans="1:27" ht="30">
      <c r="A22" s="124" t="s">
        <v>41</v>
      </c>
      <c r="B22" s="125"/>
      <c r="C22" s="126">
        <f>MAX('Deaths averted'!C25,C20)</f>
        <v>0.47348000000000001</v>
      </c>
      <c r="D22" s="126">
        <f ca="1">MAX('Deaths averted'!D25,D20)</f>
        <v>0.50348000000000004</v>
      </c>
      <c r="E22" s="126">
        <f ca="1">MAX('Deaths averted'!E25,E20)</f>
        <v>0.53348000000000007</v>
      </c>
      <c r="F22" s="126">
        <f ca="1">MAX('Deaths averted'!F25,F20)</f>
        <v>0.56348000000000009</v>
      </c>
      <c r="G22" s="126">
        <f ca="1">MAX('Deaths averted'!G25,G20)</f>
        <v>0.59348000000000012</v>
      </c>
      <c r="H22" s="126">
        <f ca="1">MAX('Deaths averted'!H25,H20)</f>
        <v>0.62348000000000015</v>
      </c>
      <c r="I22" s="126">
        <f ca="1">MAX('Deaths averted'!I25,I20)</f>
        <v>0.63348000000000015</v>
      </c>
      <c r="J22" s="126">
        <f ca="1">MAX('Deaths averted'!J25,J20)</f>
        <v>0.64348000000000016</v>
      </c>
      <c r="K22" s="126">
        <f ca="1">MAX('Deaths averted'!K25,K20)</f>
        <v>0.65348000000000017</v>
      </c>
      <c r="L22" s="126">
        <f ca="1">MAX('Deaths averted'!L25,L20)</f>
        <v>0.66348000000000018</v>
      </c>
      <c r="M22" s="126">
        <f ca="1">MAX('Deaths averted'!M25,M20)</f>
        <v>0.67348000000000019</v>
      </c>
      <c r="N22" s="126">
        <f ca="1">MAX('Deaths averted'!N25,N20)</f>
        <v>0.68098000000000014</v>
      </c>
      <c r="O22" s="126">
        <f ca="1">MAX('Deaths averted'!O25,O20)</f>
        <v>0.68848000000000009</v>
      </c>
      <c r="P22" s="126">
        <f ca="1">MAX('Deaths averted'!P25,P20)</f>
        <v>0.69598000000000004</v>
      </c>
      <c r="Q22" s="126">
        <f ca="1">MAX('Deaths averted'!Q25,Q20)</f>
        <v>0.70347999999999999</v>
      </c>
      <c r="R22" s="126">
        <f ca="1">MAX('Deaths averted'!R25,R20)</f>
        <v>0.71097999999999995</v>
      </c>
      <c r="S22" s="126">
        <f ca="1">MAX('Deaths averted'!S25,S20)</f>
        <v>0.7184799999999999</v>
      </c>
      <c r="T22" s="126">
        <f ca="1">MAX('Deaths averted'!T25,T20)</f>
        <v>0.72597999999999985</v>
      </c>
      <c r="U22" s="126">
        <f ca="1">MAX('Deaths averted'!U25,U20)</f>
        <v>0.7334799999999998</v>
      </c>
      <c r="V22" s="126">
        <f ca="1">MAX('Deaths averted'!V25,V20)</f>
        <v>0.74097999999999975</v>
      </c>
      <c r="W22" s="126">
        <f ca="1">MAX('Deaths averted'!W25,W20)</f>
        <v>0.7484799999999997</v>
      </c>
      <c r="X22" s="126">
        <f ca="1">MAX('Deaths averted'!X25,X20)</f>
        <v>0.75597999999999965</v>
      </c>
      <c r="Y22" s="126">
        <f ca="1">MAX('Deaths averted'!Y25,Y20)</f>
        <v>0.7634799999999996</v>
      </c>
      <c r="Z22" s="126">
        <f ca="1">MAX('Deaths averted'!Z25,Z20)</f>
        <v>0.77097999999999955</v>
      </c>
      <c r="AA22" s="126">
        <f ca="1">MAX('Deaths averted'!AA25,AA20)</f>
        <v>0.77847999999999951</v>
      </c>
    </row>
    <row r="26" spans="1:27">
      <c r="A26" s="38" t="s">
        <v>174</v>
      </c>
    </row>
    <row r="28" spans="1:27" ht="63">
      <c r="A28" s="57" t="s">
        <v>175</v>
      </c>
      <c r="C28">
        <v>3</v>
      </c>
    </row>
    <row r="29" spans="1:27" ht="126">
      <c r="A29" s="57" t="s">
        <v>139</v>
      </c>
      <c r="C29" s="60">
        <f>0.25*2625000+0.1*18104138.14</f>
        <v>2466663.8140000002</v>
      </c>
    </row>
    <row r="30" spans="1:27" ht="47.25">
      <c r="A30" s="57" t="s">
        <v>75</v>
      </c>
      <c r="C30">
        <f ca="1">(C29/('Deaths averted'!D38))/C28</f>
        <v>331.94441653919841</v>
      </c>
    </row>
    <row r="31" spans="1:27" ht="31.5">
      <c r="A31" s="57" t="s">
        <v>77</v>
      </c>
      <c r="C31">
        <f ca="1">C30/(1+'Deaths averted'!B28)</f>
        <v>316.13753956114135</v>
      </c>
    </row>
    <row r="33" spans="1:3" ht="47.25">
      <c r="A33" s="57" t="s">
        <v>195</v>
      </c>
      <c r="C33" s="60">
        <v>18104138.141424775</v>
      </c>
    </row>
    <row r="34" spans="1:3" ht="47.25">
      <c r="A34" s="57" t="s">
        <v>76</v>
      </c>
      <c r="C34" s="61">
        <f ca="1">(C33/'Deaths averted'!D38)/C28</f>
        <v>2436.3139955237916</v>
      </c>
    </row>
    <row r="35" spans="1:3" ht="47.25">
      <c r="A35" s="57" t="s">
        <v>140</v>
      </c>
      <c r="C35">
        <f ca="1">C34/(1+'Deaths averted'!B28)^(B13+3)</f>
        <v>1648.993210431885</v>
      </c>
    </row>
    <row r="37" spans="1:3" ht="31.5">
      <c r="A37" s="57" t="s">
        <v>176</v>
      </c>
      <c r="C37">
        <f ca="1">C31+C35</f>
        <v>1965.1307499930263</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6"/>
  <sheetViews>
    <sheetView topLeftCell="A66" workbookViewId="0">
      <selection activeCell="E83" sqref="E83"/>
    </sheetView>
  </sheetViews>
  <sheetFormatPr defaultColWidth="11.125" defaultRowHeight="15.75"/>
  <cols>
    <col min="1" max="1" width="29.125" customWidth="1"/>
    <col min="2" max="2" width="11.5" bestFit="1" customWidth="1"/>
    <col min="4" max="4" width="15.375" customWidth="1"/>
    <col min="5" max="5" width="13.875" customWidth="1"/>
    <col min="6" max="6" width="23.875" customWidth="1"/>
    <col min="7" max="7" width="20.375" customWidth="1"/>
    <col min="10" max="10" width="25.375" customWidth="1"/>
    <col min="11" max="11" width="13.625" customWidth="1"/>
  </cols>
  <sheetData>
    <row r="1" spans="1:26">
      <c r="A1" s="76"/>
      <c r="B1" s="76"/>
      <c r="C1" s="76"/>
      <c r="D1" s="76"/>
      <c r="E1" s="76"/>
      <c r="F1" s="76"/>
      <c r="G1" s="76"/>
      <c r="H1" s="76"/>
      <c r="I1" s="76"/>
      <c r="J1" s="76"/>
      <c r="K1" s="76"/>
      <c r="L1" s="76"/>
      <c r="M1" s="76"/>
      <c r="N1" s="76"/>
      <c r="O1" s="76"/>
      <c r="P1" s="76"/>
      <c r="Q1" s="76"/>
      <c r="R1" s="76"/>
      <c r="S1" s="76"/>
      <c r="T1" s="76"/>
      <c r="U1" s="76"/>
      <c r="V1" s="76"/>
      <c r="W1" s="76"/>
      <c r="X1" s="76"/>
      <c r="Y1" s="76"/>
      <c r="Z1" s="76"/>
    </row>
    <row r="2" spans="1:26">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c r="A3" s="76"/>
      <c r="B3" s="76"/>
      <c r="C3" s="76"/>
      <c r="D3" s="76"/>
      <c r="E3" s="76"/>
      <c r="F3" s="76"/>
      <c r="G3" s="76"/>
      <c r="H3" s="76"/>
      <c r="I3" s="76"/>
      <c r="J3" s="76"/>
      <c r="K3" s="76"/>
      <c r="L3" s="76"/>
      <c r="M3" s="76"/>
      <c r="N3" s="76"/>
      <c r="O3" s="76"/>
      <c r="P3" s="76"/>
      <c r="Q3" s="76"/>
      <c r="R3" s="76"/>
      <c r="S3" s="76"/>
      <c r="T3" s="76"/>
      <c r="U3" s="76"/>
      <c r="V3" s="76"/>
      <c r="W3" s="76"/>
      <c r="X3" s="76"/>
      <c r="Y3" s="76"/>
      <c r="Z3" s="76"/>
    </row>
    <row r="4" spans="1:26">
      <c r="A4" s="76"/>
      <c r="B4" s="76"/>
      <c r="C4" s="76"/>
      <c r="D4" s="76"/>
      <c r="E4" s="76"/>
      <c r="F4" s="79" t="s">
        <v>112</v>
      </c>
      <c r="G4" s="113">
        <f>B83*D7*F5</f>
        <v>224319.09502621565</v>
      </c>
      <c r="H4" s="76"/>
      <c r="I4" s="76"/>
      <c r="J4" s="76"/>
      <c r="K4" s="76"/>
      <c r="L4" s="76"/>
      <c r="M4" s="76"/>
      <c r="N4" s="76"/>
      <c r="O4" s="76"/>
      <c r="P4" s="76"/>
      <c r="Q4" s="76"/>
      <c r="R4" s="76"/>
      <c r="S4" s="76"/>
      <c r="T4" s="76"/>
      <c r="U4" s="76"/>
      <c r="V4" s="76"/>
      <c r="W4" s="76"/>
      <c r="X4" s="76"/>
      <c r="Y4" s="76"/>
      <c r="Z4" s="76"/>
    </row>
    <row r="5" spans="1:26">
      <c r="A5" s="76"/>
      <c r="B5" s="76"/>
      <c r="C5" s="76"/>
      <c r="D5" s="76"/>
      <c r="E5" s="84"/>
      <c r="F5" s="85">
        <f>1-CFRNoAmox</f>
        <v>0.97779244026123058</v>
      </c>
      <c r="H5" s="76"/>
      <c r="I5" s="76"/>
      <c r="J5" s="76"/>
      <c r="K5" s="76"/>
      <c r="L5" s="76"/>
      <c r="M5" s="76"/>
      <c r="N5" s="76"/>
      <c r="O5" s="76"/>
      <c r="P5" s="76"/>
      <c r="Q5" s="76"/>
      <c r="R5" s="76"/>
      <c r="S5" s="76"/>
      <c r="T5" s="76"/>
      <c r="U5" s="76"/>
      <c r="V5" s="76"/>
      <c r="W5" s="76"/>
      <c r="X5" s="76"/>
      <c r="Y5" s="76"/>
      <c r="Z5" s="76"/>
    </row>
    <row r="6" spans="1:26">
      <c r="A6" s="76"/>
      <c r="B6" s="76"/>
      <c r="C6" s="76"/>
      <c r="D6" s="79" t="s">
        <v>106</v>
      </c>
      <c r="E6" s="88"/>
      <c r="F6" s="86"/>
      <c r="G6" s="76"/>
      <c r="H6" s="76"/>
      <c r="I6" s="76"/>
      <c r="J6" s="76"/>
      <c r="K6" s="76"/>
      <c r="L6" s="76"/>
      <c r="M6" s="76"/>
      <c r="N6" s="76"/>
      <c r="O6" s="76"/>
      <c r="P6" s="76"/>
      <c r="Q6" s="76"/>
      <c r="R6" s="76"/>
      <c r="S6" s="76"/>
      <c r="T6" s="76"/>
      <c r="U6" s="76"/>
      <c r="V6" s="76"/>
      <c r="W6" s="76"/>
      <c r="X6" s="76"/>
      <c r="Y6" s="76"/>
      <c r="Z6" s="76"/>
    </row>
    <row r="7" spans="1:26">
      <c r="A7" s="76"/>
      <c r="B7" s="76"/>
      <c r="C7" s="84"/>
      <c r="D7" s="85">
        <f>NoCare</f>
        <v>0.28999999999999998</v>
      </c>
      <c r="E7" s="83"/>
      <c r="F7" s="103"/>
      <c r="G7" s="76"/>
      <c r="H7" s="76"/>
      <c r="I7" s="76"/>
      <c r="J7" s="76"/>
      <c r="K7" s="76"/>
      <c r="L7" s="76"/>
      <c r="M7" s="76"/>
      <c r="N7" s="76"/>
      <c r="O7" s="76"/>
      <c r="P7" s="76"/>
      <c r="Q7" s="76"/>
      <c r="R7" s="76"/>
      <c r="S7" s="76"/>
      <c r="T7" s="76"/>
      <c r="U7" s="76"/>
      <c r="V7" s="76"/>
      <c r="W7" s="76"/>
      <c r="X7" s="76"/>
      <c r="Y7" s="76"/>
      <c r="Z7" s="76"/>
    </row>
    <row r="8" spans="1:26">
      <c r="A8" s="76"/>
      <c r="B8" s="76"/>
      <c r="C8" s="84"/>
      <c r="D8" s="86"/>
      <c r="E8" s="84"/>
      <c r="F8" s="90" t="s">
        <v>113</v>
      </c>
      <c r="G8" s="113">
        <f>B83*D7*F9</f>
        <v>5094.7210248531637</v>
      </c>
      <c r="H8" s="76"/>
      <c r="I8" s="76"/>
      <c r="J8" s="76"/>
      <c r="K8" s="76"/>
      <c r="L8" s="76"/>
      <c r="M8" s="76"/>
      <c r="N8" s="76"/>
      <c r="O8" s="76"/>
      <c r="P8" s="76"/>
      <c r="Q8" s="76"/>
      <c r="R8" s="76"/>
      <c r="S8" s="76"/>
      <c r="T8" s="76"/>
      <c r="U8" s="76"/>
      <c r="V8" s="76"/>
      <c r="W8" s="76"/>
      <c r="X8" s="76"/>
      <c r="Y8" s="76"/>
      <c r="Z8" s="76"/>
    </row>
    <row r="9" spans="1:26">
      <c r="A9" s="76"/>
      <c r="B9" s="76"/>
      <c r="C9" s="84"/>
      <c r="D9" s="86"/>
      <c r="E9" s="76"/>
      <c r="F9" s="77">
        <f>CFRNoAmox</f>
        <v>2.2207559738769395E-2</v>
      </c>
      <c r="H9" s="76"/>
      <c r="I9" s="76"/>
      <c r="J9" s="76"/>
      <c r="K9" s="76"/>
      <c r="L9" s="76"/>
      <c r="M9" s="76"/>
      <c r="N9" s="76"/>
      <c r="O9" s="76"/>
      <c r="P9" s="76"/>
      <c r="Q9" s="76"/>
      <c r="R9" s="76"/>
      <c r="S9" s="76"/>
      <c r="T9" s="76"/>
      <c r="U9" s="76"/>
      <c r="V9" s="76"/>
      <c r="W9" s="76"/>
      <c r="X9" s="76"/>
      <c r="Y9" s="76"/>
      <c r="Z9" s="76"/>
    </row>
    <row r="10" spans="1:26">
      <c r="A10" s="76"/>
      <c r="B10" s="76"/>
      <c r="C10" s="84"/>
      <c r="D10" s="86"/>
      <c r="E10" s="76"/>
      <c r="F10" s="76"/>
      <c r="G10" s="76"/>
      <c r="H10" s="76"/>
      <c r="I10" s="76"/>
      <c r="J10" s="76"/>
      <c r="K10" s="76"/>
      <c r="L10" s="76"/>
      <c r="M10" s="76"/>
      <c r="N10" s="76"/>
      <c r="O10" s="76"/>
      <c r="P10" s="76"/>
      <c r="Q10" s="76"/>
      <c r="R10" s="76"/>
      <c r="S10" s="76"/>
      <c r="T10" s="76"/>
      <c r="U10" s="76"/>
      <c r="V10" s="76"/>
      <c r="W10" s="76"/>
      <c r="X10" s="76"/>
      <c r="Y10" s="76"/>
      <c r="Z10" s="76"/>
    </row>
    <row r="11" spans="1:26">
      <c r="A11" s="76"/>
      <c r="B11" s="76"/>
      <c r="C11" s="84"/>
      <c r="D11" s="86"/>
      <c r="E11" s="76"/>
      <c r="F11" s="76"/>
      <c r="G11" s="76"/>
      <c r="H11" s="91"/>
      <c r="I11" s="76"/>
      <c r="J11" s="76"/>
      <c r="K11" s="76"/>
      <c r="L11" s="76"/>
      <c r="M11" s="76"/>
      <c r="N11" s="76"/>
      <c r="O11" s="76"/>
      <c r="P11" s="76"/>
      <c r="Q11" s="76"/>
      <c r="R11" s="76"/>
      <c r="S11" s="76"/>
      <c r="T11" s="76"/>
      <c r="U11" s="76"/>
      <c r="V11" s="76"/>
      <c r="W11" s="76"/>
      <c r="X11" s="76"/>
      <c r="Y11" s="76"/>
      <c r="Z11" s="76"/>
    </row>
    <row r="12" spans="1:26">
      <c r="A12" s="76"/>
      <c r="B12" s="76"/>
      <c r="C12" s="84"/>
      <c r="D12" s="86"/>
      <c r="E12" s="76"/>
      <c r="F12" s="76"/>
      <c r="G12" s="76"/>
      <c r="H12" s="91" t="s">
        <v>112</v>
      </c>
      <c r="I12" s="113">
        <f>B83*D23*F15*H13</f>
        <v>0</v>
      </c>
      <c r="J12" s="76"/>
      <c r="K12" s="76"/>
      <c r="L12" s="76"/>
      <c r="M12" s="76"/>
      <c r="N12" s="76"/>
      <c r="O12" s="76"/>
      <c r="P12" s="76"/>
      <c r="Q12" s="76"/>
      <c r="R12" s="76"/>
      <c r="S12" s="76"/>
      <c r="T12" s="76"/>
      <c r="U12" s="76"/>
      <c r="V12" s="76"/>
      <c r="W12" s="76"/>
      <c r="X12" s="76"/>
      <c r="Y12" s="76"/>
      <c r="Z12" s="76"/>
    </row>
    <row r="13" spans="1:26">
      <c r="A13" s="76"/>
      <c r="B13" s="76"/>
      <c r="C13" s="84"/>
      <c r="D13" s="86"/>
      <c r="E13" s="76"/>
      <c r="F13" s="76"/>
      <c r="G13" s="84"/>
      <c r="H13" s="89">
        <f>1-CFRNoAmox</f>
        <v>0.97779244026123058</v>
      </c>
      <c r="I13" s="76"/>
      <c r="J13" s="76"/>
      <c r="K13" s="76"/>
      <c r="L13" s="76"/>
      <c r="M13" s="76"/>
      <c r="N13" s="76"/>
      <c r="O13" s="76"/>
      <c r="P13" s="76"/>
      <c r="Q13" s="76"/>
      <c r="R13" s="76"/>
      <c r="S13" s="76"/>
      <c r="T13" s="76"/>
      <c r="U13" s="76"/>
      <c r="V13" s="76"/>
      <c r="W13" s="76"/>
      <c r="X13" s="76"/>
      <c r="Y13" s="76"/>
      <c r="Z13" s="76"/>
    </row>
    <row r="14" spans="1:26" ht="31.5">
      <c r="A14" s="76"/>
      <c r="B14" s="76"/>
      <c r="C14" s="84"/>
      <c r="D14" s="86"/>
      <c r="E14" s="76"/>
      <c r="F14" s="78" t="s">
        <v>108</v>
      </c>
      <c r="G14" s="109"/>
      <c r="H14" s="86"/>
      <c r="I14" s="76"/>
      <c r="J14" s="76"/>
      <c r="K14" s="76"/>
      <c r="L14" s="76"/>
      <c r="M14" s="76"/>
      <c r="N14" s="76"/>
      <c r="O14" s="76"/>
      <c r="P14" s="76"/>
      <c r="Q14" s="76"/>
      <c r="R14" s="76"/>
      <c r="S14" s="76"/>
      <c r="T14" s="76"/>
      <c r="U14" s="76"/>
      <c r="V14" s="76"/>
      <c r="W14" s="76"/>
      <c r="X14" s="76"/>
      <c r="Y14" s="76"/>
      <c r="Z14" s="76"/>
    </row>
    <row r="15" spans="1:26">
      <c r="A15" s="76"/>
      <c r="B15" s="76"/>
      <c r="C15" s="84"/>
      <c r="D15" s="86"/>
      <c r="E15" s="84"/>
      <c r="F15" s="85">
        <f>1-PublicDiagnosis</f>
        <v>0</v>
      </c>
      <c r="G15" s="110"/>
      <c r="H15" s="103"/>
      <c r="I15" s="84"/>
      <c r="J15" s="76"/>
      <c r="K15" s="76"/>
      <c r="L15" s="76"/>
      <c r="M15" s="76"/>
      <c r="N15" s="76"/>
      <c r="O15" s="76"/>
      <c r="P15" s="76"/>
      <c r="Q15" s="76"/>
      <c r="R15" s="76"/>
      <c r="S15" s="76"/>
      <c r="T15" s="76"/>
      <c r="U15" s="76"/>
      <c r="V15" s="76"/>
      <c r="W15" s="76"/>
      <c r="X15" s="76"/>
      <c r="Y15" s="76"/>
      <c r="Z15" s="76"/>
    </row>
    <row r="16" spans="1:26">
      <c r="A16" s="76"/>
      <c r="B16" s="76"/>
      <c r="C16" s="84"/>
      <c r="D16" s="86"/>
      <c r="E16" s="84"/>
      <c r="F16" s="85"/>
      <c r="G16" s="111"/>
      <c r="H16" s="90" t="s">
        <v>113</v>
      </c>
      <c r="I16" s="114">
        <f>B83*D23*F15*H17</f>
        <v>0</v>
      </c>
      <c r="J16" s="76"/>
      <c r="K16" s="76"/>
      <c r="L16" s="76"/>
      <c r="M16" s="76"/>
      <c r="N16" s="76"/>
      <c r="O16" s="76"/>
      <c r="P16" s="76"/>
      <c r="Q16" s="76"/>
      <c r="R16" s="76"/>
      <c r="S16" s="76"/>
      <c r="T16" s="76"/>
      <c r="U16" s="76"/>
      <c r="V16" s="76"/>
      <c r="W16" s="76"/>
      <c r="X16" s="76"/>
      <c r="Y16" s="76"/>
      <c r="Z16" s="76"/>
    </row>
    <row r="17" spans="1:26">
      <c r="A17" s="76"/>
      <c r="B17" s="76"/>
      <c r="C17" s="84"/>
      <c r="D17" s="86"/>
      <c r="E17" s="84"/>
      <c r="F17" s="85"/>
      <c r="G17" s="106"/>
      <c r="H17" s="77">
        <f>CFRNoAmox</f>
        <v>2.2207559738769395E-2</v>
      </c>
      <c r="I17" s="84"/>
      <c r="J17" s="76"/>
      <c r="K17" s="76"/>
      <c r="L17" s="76"/>
      <c r="M17" s="76"/>
      <c r="N17" s="76"/>
      <c r="O17" s="76"/>
      <c r="P17" s="76"/>
      <c r="Q17" s="76"/>
      <c r="R17" s="76"/>
      <c r="S17" s="76"/>
      <c r="T17" s="76"/>
      <c r="U17" s="76"/>
      <c r="V17" s="76"/>
      <c r="W17" s="76"/>
      <c r="X17" s="76"/>
      <c r="Y17" s="76"/>
      <c r="Z17" s="76"/>
    </row>
    <row r="18" spans="1:26">
      <c r="A18" s="76"/>
      <c r="B18" s="76"/>
      <c r="C18" s="84"/>
      <c r="D18" s="86"/>
      <c r="E18" s="84"/>
      <c r="F18" s="86"/>
      <c r="G18" s="106"/>
      <c r="H18" s="76"/>
      <c r="I18" s="84"/>
      <c r="J18" s="76"/>
      <c r="K18" s="76"/>
      <c r="L18" s="76"/>
      <c r="M18" s="76"/>
      <c r="N18" s="76"/>
      <c r="O18" s="76"/>
      <c r="P18" s="76"/>
      <c r="Q18" s="76"/>
      <c r="R18" s="76"/>
      <c r="S18" s="76"/>
      <c r="T18" s="76"/>
      <c r="U18" s="76"/>
      <c r="V18" s="76"/>
      <c r="W18" s="76"/>
      <c r="X18" s="76"/>
      <c r="Y18" s="76"/>
      <c r="Z18" s="76"/>
    </row>
    <row r="19" spans="1:26">
      <c r="A19" s="76"/>
      <c r="B19" s="76"/>
      <c r="C19" s="84"/>
      <c r="D19" s="86"/>
      <c r="E19" s="84"/>
      <c r="F19" s="86"/>
      <c r="G19" s="106"/>
      <c r="H19" s="76"/>
      <c r="I19" s="84"/>
      <c r="J19" s="76"/>
      <c r="K19" s="76"/>
      <c r="L19" s="76"/>
      <c r="M19" s="76"/>
      <c r="N19" s="76"/>
      <c r="O19" s="76"/>
      <c r="P19" s="76"/>
      <c r="Q19" s="76"/>
      <c r="R19" s="76"/>
      <c r="S19" s="76"/>
      <c r="T19" s="76"/>
      <c r="U19" s="76"/>
      <c r="V19" s="76"/>
      <c r="W19" s="76"/>
      <c r="X19" s="76"/>
      <c r="Y19" s="76"/>
      <c r="Z19" s="76"/>
    </row>
    <row r="20" spans="1:26">
      <c r="A20" s="76"/>
      <c r="B20" s="76"/>
      <c r="C20" s="84"/>
      <c r="D20" s="86"/>
      <c r="E20" s="84"/>
      <c r="F20" s="86"/>
      <c r="G20" s="106"/>
      <c r="H20" s="76"/>
      <c r="I20" s="84"/>
      <c r="J20" s="79" t="s">
        <v>112</v>
      </c>
      <c r="K20" s="113">
        <f>B83*D23*F25*H23*J21</f>
        <v>318253.74791780428</v>
      </c>
      <c r="L20" s="76"/>
      <c r="M20" s="76"/>
      <c r="N20" s="76"/>
      <c r="O20" s="76"/>
      <c r="P20" s="76"/>
      <c r="Q20" s="76"/>
      <c r="R20" s="76"/>
      <c r="S20" s="76"/>
      <c r="T20" s="76"/>
      <c r="U20" s="76"/>
      <c r="V20" s="76"/>
      <c r="W20" s="76"/>
      <c r="X20" s="76"/>
      <c r="Y20" s="76"/>
      <c r="Z20" s="76"/>
    </row>
    <row r="21" spans="1:26">
      <c r="A21" s="76"/>
      <c r="B21" s="76"/>
      <c r="C21" s="84"/>
      <c r="D21" s="86"/>
      <c r="E21" s="84"/>
      <c r="F21" s="85"/>
      <c r="G21" s="76"/>
      <c r="H21" s="76"/>
      <c r="I21" s="84"/>
      <c r="J21" s="85">
        <f>1-CFRAmox</f>
        <v>0.99333773207836917</v>
      </c>
      <c r="K21" s="76"/>
      <c r="L21" s="76"/>
      <c r="M21" s="76"/>
      <c r="N21" s="76"/>
      <c r="O21" s="76"/>
      <c r="P21" s="76"/>
      <c r="Q21" s="76"/>
      <c r="R21" s="76"/>
      <c r="S21" s="76"/>
      <c r="T21" s="76"/>
      <c r="U21" s="76"/>
      <c r="V21" s="76"/>
      <c r="W21" s="76"/>
      <c r="X21" s="76"/>
      <c r="Y21" s="76"/>
      <c r="Z21" s="76"/>
    </row>
    <row r="22" spans="1:26" ht="31.5">
      <c r="A22" s="80" t="s">
        <v>145</v>
      </c>
      <c r="B22" s="81"/>
      <c r="C22" s="82"/>
      <c r="D22" s="87" t="s">
        <v>105</v>
      </c>
      <c r="E22" s="88"/>
      <c r="F22" s="86"/>
      <c r="G22" s="76"/>
      <c r="H22" s="78" t="s">
        <v>111</v>
      </c>
      <c r="I22" s="88"/>
      <c r="J22" s="86"/>
      <c r="K22" s="76"/>
      <c r="L22" s="76"/>
      <c r="M22" s="76"/>
      <c r="N22" s="76"/>
      <c r="O22" s="76"/>
      <c r="P22" s="76"/>
      <c r="Q22" s="76"/>
      <c r="R22" s="76"/>
      <c r="S22" s="76"/>
      <c r="T22" s="76"/>
      <c r="U22" s="76"/>
      <c r="V22" s="76"/>
      <c r="W22" s="76"/>
      <c r="X22" s="76"/>
      <c r="Y22" s="76"/>
      <c r="Z22" s="76"/>
    </row>
    <row r="23" spans="1:26">
      <c r="A23">
        <f>NumPneumo</f>
        <v>791082.12431403052</v>
      </c>
      <c r="B23" s="77"/>
      <c r="C23" s="83"/>
      <c r="D23" s="85">
        <f>SeekPublicSector</f>
        <v>0.54</v>
      </c>
      <c r="E23" s="83"/>
      <c r="F23" s="103"/>
      <c r="G23" s="84"/>
      <c r="H23" s="85">
        <f>PublicAmoxStock</f>
        <v>0.75</v>
      </c>
      <c r="I23" s="83"/>
      <c r="J23" s="90" t="s">
        <v>113</v>
      </c>
      <c r="K23" s="113">
        <f>B83*D23*F25*H23*J24</f>
        <v>2134.5124293781369</v>
      </c>
      <c r="L23" s="76"/>
      <c r="M23" s="76"/>
      <c r="N23" s="76"/>
      <c r="O23" s="76"/>
      <c r="P23" s="76"/>
      <c r="Q23" s="76"/>
      <c r="R23" s="76"/>
      <c r="S23" s="76"/>
      <c r="T23" s="76"/>
      <c r="U23" s="76"/>
      <c r="V23" s="76"/>
      <c r="W23" s="76"/>
      <c r="X23" s="76"/>
      <c r="Y23" s="76"/>
      <c r="Z23" s="76"/>
    </row>
    <row r="24" spans="1:26">
      <c r="A24" s="76"/>
      <c r="B24" s="76"/>
      <c r="C24" s="84"/>
      <c r="D24" s="86"/>
      <c r="E24" s="84"/>
      <c r="F24" s="90" t="s">
        <v>109</v>
      </c>
      <c r="G24" s="88"/>
      <c r="H24" s="86"/>
      <c r="I24" s="76"/>
      <c r="J24" s="77">
        <f>CFRAmox</f>
        <v>6.6622679216308198E-3</v>
      </c>
      <c r="K24" s="76"/>
      <c r="L24" s="76"/>
      <c r="M24" s="76"/>
      <c r="N24" s="76"/>
      <c r="O24" s="76"/>
      <c r="P24" s="76"/>
      <c r="Q24" s="76"/>
      <c r="R24" s="76"/>
      <c r="S24" s="76"/>
      <c r="T24" s="76"/>
      <c r="U24" s="76"/>
      <c r="V24" s="76"/>
      <c r="W24" s="76"/>
      <c r="X24" s="76"/>
      <c r="Y24" s="76"/>
      <c r="Z24" s="76"/>
    </row>
    <row r="25" spans="1:26">
      <c r="A25" s="76"/>
      <c r="B25" s="76"/>
      <c r="C25" s="84"/>
      <c r="D25" s="86"/>
      <c r="E25" s="76"/>
      <c r="F25" s="77">
        <f>PublicDiagnosis</f>
        <v>1</v>
      </c>
      <c r="G25" s="83"/>
      <c r="H25" s="86"/>
      <c r="I25" s="76"/>
      <c r="J25" s="76"/>
      <c r="K25" s="76"/>
      <c r="L25" s="76"/>
      <c r="M25" s="76"/>
      <c r="N25" s="76"/>
      <c r="O25" s="76"/>
      <c r="P25" s="76"/>
      <c r="Q25" s="76"/>
      <c r="R25" s="76"/>
      <c r="S25" s="76"/>
      <c r="T25" s="76"/>
      <c r="U25" s="76"/>
      <c r="V25" s="76"/>
      <c r="W25" s="76"/>
      <c r="X25" s="76"/>
      <c r="Y25" s="76"/>
      <c r="Z25" s="76"/>
    </row>
    <row r="26" spans="1:26">
      <c r="A26" s="76" t="s">
        <v>129</v>
      </c>
      <c r="B26" s="76"/>
      <c r="C26" s="84"/>
      <c r="D26" s="86"/>
      <c r="E26" s="76"/>
      <c r="F26" s="76"/>
      <c r="G26" s="84"/>
      <c r="H26" s="104"/>
      <c r="I26" s="76"/>
      <c r="J26" s="76"/>
      <c r="K26" s="76"/>
      <c r="L26" s="76"/>
      <c r="M26" s="76"/>
      <c r="N26" s="76"/>
      <c r="O26" s="76"/>
      <c r="P26" s="76"/>
      <c r="Q26" s="76"/>
      <c r="R26" s="76"/>
      <c r="S26" s="76"/>
      <c r="T26" s="76"/>
      <c r="U26" s="76"/>
      <c r="V26" s="76"/>
      <c r="W26" s="76"/>
      <c r="X26" s="76"/>
      <c r="Y26" s="76"/>
      <c r="Z26" s="76"/>
    </row>
    <row r="27" spans="1:26">
      <c r="A27" s="113">
        <f>G4+G8+I12+I16+K20+K23+N29+N32+Q35+Q38+Q42+Q45+N47+N50+J55+J58+N60+N63+N68+N73</f>
        <v>791082.12431403075</v>
      </c>
      <c r="B27" s="76"/>
      <c r="C27" s="84"/>
      <c r="D27" s="86"/>
      <c r="E27" s="76"/>
      <c r="F27" s="76"/>
      <c r="G27" s="84"/>
      <c r="H27" s="104"/>
      <c r="I27" s="76"/>
      <c r="J27" s="76"/>
      <c r="K27" s="76"/>
      <c r="L27" s="76"/>
      <c r="M27" s="76"/>
      <c r="N27" s="76"/>
      <c r="O27" s="76"/>
      <c r="P27" s="76"/>
      <c r="Q27" s="76"/>
      <c r="R27" s="76"/>
      <c r="S27" s="76"/>
      <c r="T27" s="76"/>
      <c r="U27" s="76"/>
      <c r="V27" s="76"/>
      <c r="W27" s="76"/>
      <c r="X27" s="76"/>
      <c r="Y27" s="76"/>
      <c r="Z27" s="76"/>
    </row>
    <row r="28" spans="1:26">
      <c r="A28" s="76"/>
      <c r="B28" s="76"/>
      <c r="C28" s="84"/>
      <c r="D28" s="86"/>
      <c r="E28" s="76"/>
      <c r="F28" s="76"/>
      <c r="G28" s="84"/>
      <c r="H28" s="86"/>
      <c r="I28" s="76"/>
      <c r="J28" s="76"/>
      <c r="K28" s="76"/>
      <c r="L28" s="76"/>
      <c r="M28" s="76"/>
      <c r="N28" s="76"/>
      <c r="O28" s="76"/>
      <c r="P28" s="76"/>
      <c r="Q28" s="76"/>
      <c r="R28" s="76"/>
      <c r="S28" s="76"/>
      <c r="T28" s="76"/>
      <c r="U28" s="76"/>
      <c r="V28" s="76"/>
      <c r="W28" s="76"/>
      <c r="X28" s="76"/>
      <c r="Y28" s="76"/>
      <c r="Z28" s="76"/>
    </row>
    <row r="29" spans="1:26">
      <c r="A29" s="76"/>
      <c r="B29" s="76"/>
      <c r="C29" s="84"/>
      <c r="D29" s="86"/>
      <c r="E29" s="76"/>
      <c r="F29" s="76"/>
      <c r="G29" s="84"/>
      <c r="H29" s="86"/>
      <c r="I29" s="76"/>
      <c r="J29" s="76"/>
      <c r="K29" s="76"/>
      <c r="L29" s="76"/>
      <c r="M29" s="79" t="s">
        <v>112</v>
      </c>
      <c r="N29" s="113">
        <f>B83*D23*F25*H40*J32*M30</f>
        <v>83539.525044245835</v>
      </c>
      <c r="O29" s="76"/>
      <c r="P29" s="76"/>
      <c r="Q29" s="76"/>
      <c r="R29" s="76"/>
      <c r="S29" s="76"/>
      <c r="T29" s="76"/>
      <c r="U29" s="76"/>
      <c r="V29" s="76"/>
      <c r="W29" s="76"/>
      <c r="X29" s="76"/>
      <c r="Y29" s="76"/>
      <c r="Z29" s="76"/>
    </row>
    <row r="30" spans="1:26">
      <c r="A30" s="76"/>
      <c r="B30" s="76"/>
      <c r="C30" s="84"/>
      <c r="D30" s="86"/>
      <c r="E30" s="76"/>
      <c r="F30" s="76"/>
      <c r="G30" s="84"/>
      <c r="H30" s="86"/>
      <c r="I30" s="76"/>
      <c r="J30" s="76"/>
      <c r="K30" s="76"/>
      <c r="L30" s="84"/>
      <c r="M30" s="85">
        <f>1-CFRNoAmox</f>
        <v>0.97779244026123058</v>
      </c>
      <c r="N30" s="76"/>
      <c r="O30" s="76"/>
      <c r="P30" s="76"/>
      <c r="Q30" s="76"/>
      <c r="R30" s="76"/>
      <c r="S30" s="76"/>
      <c r="T30" s="76"/>
      <c r="U30" s="76"/>
      <c r="V30" s="76"/>
      <c r="W30" s="76"/>
      <c r="X30" s="76"/>
      <c r="Y30" s="76"/>
      <c r="Z30" s="76"/>
    </row>
    <row r="31" spans="1:26">
      <c r="A31" s="76"/>
      <c r="B31" s="76"/>
      <c r="C31" s="84"/>
      <c r="D31" s="86"/>
      <c r="E31" s="76"/>
      <c r="F31" s="76"/>
      <c r="G31" s="84"/>
      <c r="H31" s="86"/>
      <c r="I31" s="76"/>
      <c r="J31" s="79" t="s">
        <v>115</v>
      </c>
      <c r="K31" s="79"/>
      <c r="L31" s="105"/>
      <c r="M31" s="86"/>
      <c r="N31" s="76"/>
      <c r="O31" s="76"/>
      <c r="P31" s="76"/>
      <c r="Q31" s="76"/>
      <c r="R31" s="76"/>
      <c r="S31" s="76"/>
      <c r="T31" s="76"/>
      <c r="U31" s="76"/>
      <c r="V31" s="76"/>
      <c r="W31" s="76"/>
      <c r="X31" s="76"/>
      <c r="Y31" s="76"/>
      <c r="Z31" s="76"/>
    </row>
    <row r="32" spans="1:26">
      <c r="A32" s="76"/>
      <c r="B32" s="76"/>
      <c r="C32" s="84"/>
      <c r="D32" s="86"/>
      <c r="E32" s="76"/>
      <c r="F32" s="76"/>
      <c r="G32" s="84"/>
      <c r="H32" s="86"/>
      <c r="I32" s="84"/>
      <c r="J32" s="85">
        <f>GivesUp</f>
        <v>0.8</v>
      </c>
      <c r="K32" s="77"/>
      <c r="L32" s="83"/>
      <c r="M32" s="90" t="s">
        <v>113</v>
      </c>
      <c r="N32" s="113">
        <f>B83*D23*F25*H40*J32*M33</f>
        <v>1897.3443816694544</v>
      </c>
      <c r="O32" s="76"/>
      <c r="P32" s="76"/>
      <c r="Q32" s="76"/>
      <c r="R32" s="76"/>
      <c r="S32" s="76"/>
      <c r="T32" s="76"/>
      <c r="U32" s="76"/>
      <c r="V32" s="76"/>
      <c r="W32" s="76"/>
      <c r="X32" s="76"/>
      <c r="Y32" s="76"/>
      <c r="Z32" s="76"/>
    </row>
    <row r="33" spans="1:26">
      <c r="A33" s="76"/>
      <c r="B33" s="76"/>
      <c r="C33" s="84"/>
      <c r="D33" s="86"/>
      <c r="E33" s="76"/>
      <c r="F33" s="76"/>
      <c r="G33" s="84"/>
      <c r="H33" s="86"/>
      <c r="I33" s="84"/>
      <c r="J33" s="86"/>
      <c r="K33" s="76"/>
      <c r="L33" s="76"/>
      <c r="M33" s="77">
        <f>CFRNoAmox</f>
        <v>2.2207559738769395E-2</v>
      </c>
      <c r="N33" s="76"/>
      <c r="O33" s="76"/>
      <c r="P33" s="76"/>
      <c r="Q33" s="76"/>
      <c r="R33" s="76"/>
      <c r="S33" s="76"/>
      <c r="T33" s="76"/>
      <c r="U33" s="76"/>
      <c r="V33" s="76"/>
      <c r="W33" s="76"/>
      <c r="X33" s="76"/>
      <c r="Y33" s="76"/>
      <c r="Z33" s="76"/>
    </row>
    <row r="34" spans="1:26">
      <c r="A34" s="76"/>
      <c r="B34" s="76"/>
      <c r="C34" s="84"/>
      <c r="D34" s="86"/>
      <c r="E34" s="76"/>
      <c r="F34" s="76"/>
      <c r="G34" s="84"/>
      <c r="H34" s="86"/>
      <c r="I34" s="84"/>
      <c r="J34" s="86"/>
      <c r="K34" s="76"/>
      <c r="L34" s="76"/>
      <c r="M34" s="77"/>
      <c r="N34" s="76"/>
      <c r="O34" s="76"/>
      <c r="P34" s="91"/>
      <c r="Q34" s="76"/>
      <c r="R34" s="76"/>
      <c r="S34" s="76"/>
      <c r="T34" s="76"/>
      <c r="U34" s="76"/>
      <c r="V34" s="76"/>
      <c r="W34" s="76"/>
      <c r="X34" s="76"/>
      <c r="Y34" s="76"/>
      <c r="Z34" s="76"/>
    </row>
    <row r="35" spans="1:26">
      <c r="A35" s="76"/>
      <c r="B35" s="76"/>
      <c r="C35" s="84"/>
      <c r="D35" s="86"/>
      <c r="E35" s="76"/>
      <c r="F35" s="76"/>
      <c r="G35" s="84"/>
      <c r="H35" s="86"/>
      <c r="I35" s="84"/>
      <c r="J35" s="86"/>
      <c r="K35" s="76"/>
      <c r="L35" s="76"/>
      <c r="M35" s="76"/>
      <c r="N35" s="76"/>
      <c r="O35" s="76"/>
      <c r="P35" s="79" t="s">
        <v>112</v>
      </c>
      <c r="Q35" s="113">
        <f>B83*D23*F25*H40*J40*M38*P36</f>
        <v>2610.6101576326823</v>
      </c>
      <c r="R35" s="76"/>
      <c r="S35" s="76"/>
      <c r="T35" s="76"/>
      <c r="U35" s="76"/>
      <c r="V35" s="76"/>
      <c r="W35" s="76"/>
      <c r="X35" s="76"/>
      <c r="Y35" s="76"/>
      <c r="Z35" s="76"/>
    </row>
    <row r="36" spans="1:26">
      <c r="A36" s="76"/>
      <c r="B36" s="76"/>
      <c r="C36" s="84"/>
      <c r="D36" s="86"/>
      <c r="E36" s="76"/>
      <c r="F36" s="76"/>
      <c r="G36" s="84"/>
      <c r="H36" s="86"/>
      <c r="I36" s="84"/>
      <c r="J36" s="86"/>
      <c r="K36" s="76"/>
      <c r="L36" s="76"/>
      <c r="M36" s="76"/>
      <c r="N36" s="76"/>
      <c r="O36" s="84"/>
      <c r="P36" s="85">
        <f>1-CFRNoAmox</f>
        <v>0.97779244026123058</v>
      </c>
      <c r="Q36" s="76"/>
      <c r="R36" s="76"/>
      <c r="S36" s="76"/>
      <c r="T36" s="76"/>
      <c r="U36" s="76"/>
      <c r="V36" s="76"/>
      <c r="W36" s="76"/>
      <c r="X36" s="76"/>
      <c r="Y36" s="76"/>
      <c r="Z36" s="76"/>
    </row>
    <row r="37" spans="1:26">
      <c r="A37" s="76"/>
      <c r="B37" s="76"/>
      <c r="C37" s="84"/>
      <c r="D37" s="86"/>
      <c r="E37" s="76"/>
      <c r="F37" s="76"/>
      <c r="G37" s="84"/>
      <c r="H37" s="86"/>
      <c r="I37" s="84"/>
      <c r="J37" s="86"/>
      <c r="K37" s="76"/>
      <c r="L37" s="76"/>
      <c r="M37" s="79" t="s">
        <v>115</v>
      </c>
      <c r="N37" s="79"/>
      <c r="O37" s="105"/>
      <c r="P37" s="86"/>
      <c r="Q37" s="76"/>
      <c r="R37" s="76"/>
      <c r="S37" s="76"/>
      <c r="T37" s="76"/>
      <c r="U37" s="76"/>
      <c r="V37" s="76"/>
      <c r="W37" s="76"/>
      <c r="X37" s="76"/>
      <c r="Y37" s="76"/>
      <c r="Z37" s="76"/>
    </row>
    <row r="38" spans="1:26">
      <c r="A38" s="76"/>
      <c r="B38" s="76"/>
      <c r="C38" s="84"/>
      <c r="D38" s="86"/>
      <c r="E38" s="76"/>
      <c r="F38" s="76"/>
      <c r="G38" s="84"/>
      <c r="H38" s="86"/>
      <c r="I38" s="84"/>
      <c r="J38" s="86"/>
      <c r="K38" s="76"/>
      <c r="L38" s="84"/>
      <c r="M38" s="85">
        <f>1-PublicAmoxStock</f>
        <v>0.25</v>
      </c>
      <c r="N38" s="77"/>
      <c r="O38" s="83"/>
      <c r="P38" s="90" t="s">
        <v>113</v>
      </c>
      <c r="Q38" s="113">
        <f>B83*D23*F25*H40*J40*M38*P39</f>
        <v>59.292011927170449</v>
      </c>
      <c r="R38" s="76"/>
      <c r="S38" s="76"/>
      <c r="T38" s="76"/>
      <c r="U38" s="76"/>
      <c r="V38" s="76"/>
      <c r="W38" s="76"/>
      <c r="X38" s="76"/>
      <c r="Y38" s="76"/>
      <c r="Z38" s="76"/>
    </row>
    <row r="39" spans="1:26" ht="31.5">
      <c r="A39" s="76"/>
      <c r="B39" s="76"/>
      <c r="C39" s="84"/>
      <c r="D39" s="86"/>
      <c r="E39" s="76"/>
      <c r="F39" s="76"/>
      <c r="G39" s="84"/>
      <c r="H39" s="87" t="s">
        <v>114</v>
      </c>
      <c r="I39" s="88"/>
      <c r="J39" s="90" t="s">
        <v>123</v>
      </c>
      <c r="K39" s="79"/>
      <c r="L39" s="105"/>
      <c r="M39" s="86"/>
      <c r="N39" s="76"/>
      <c r="O39" s="76"/>
      <c r="P39" s="77">
        <f>CFRNoAmox</f>
        <v>2.2207559738769395E-2</v>
      </c>
      <c r="Q39" s="76"/>
      <c r="R39" s="76"/>
      <c r="S39" s="76"/>
      <c r="T39" s="76"/>
      <c r="U39" s="76"/>
      <c r="V39" s="76"/>
      <c r="W39" s="76"/>
      <c r="X39" s="76"/>
      <c r="Y39" s="76"/>
      <c r="Z39" s="76"/>
    </row>
    <row r="40" spans="1:26">
      <c r="A40" s="76"/>
      <c r="B40" s="76"/>
      <c r="C40" s="84"/>
      <c r="D40" s="86"/>
      <c r="E40" s="76"/>
      <c r="F40" s="76"/>
      <c r="G40" s="84"/>
      <c r="H40" s="77">
        <f>1-PublicAmoxStock</f>
        <v>0.25</v>
      </c>
      <c r="I40" s="83"/>
      <c r="J40" s="85">
        <f>SecondPublic</f>
        <v>0.1</v>
      </c>
      <c r="K40" s="77"/>
      <c r="L40" s="83"/>
      <c r="M40" s="86"/>
      <c r="N40" s="76"/>
      <c r="O40" s="76"/>
      <c r="P40" s="76"/>
      <c r="Q40" s="76"/>
      <c r="R40" s="76"/>
      <c r="S40" s="76"/>
      <c r="T40" s="76"/>
      <c r="U40" s="76"/>
      <c r="V40" s="76"/>
      <c r="W40" s="76"/>
      <c r="X40" s="76"/>
      <c r="Y40" s="76"/>
      <c r="Z40" s="76"/>
    </row>
    <row r="41" spans="1:26">
      <c r="A41" s="76"/>
      <c r="B41" s="76"/>
      <c r="C41" s="84"/>
      <c r="D41" s="86"/>
      <c r="E41" s="76"/>
      <c r="F41" s="76"/>
      <c r="G41" s="84"/>
      <c r="H41" s="77"/>
      <c r="I41" s="83"/>
      <c r="J41" s="85"/>
      <c r="K41" s="77"/>
      <c r="L41" s="83"/>
      <c r="M41" s="86"/>
      <c r="N41" s="76"/>
      <c r="O41" s="76"/>
      <c r="Q41" s="76"/>
      <c r="R41" s="76"/>
      <c r="S41" s="76"/>
      <c r="T41" s="76"/>
      <c r="U41" s="76"/>
      <c r="V41" s="76"/>
      <c r="W41" s="76"/>
      <c r="X41" s="76"/>
      <c r="Y41" s="76"/>
      <c r="Z41" s="76"/>
    </row>
    <row r="42" spans="1:26">
      <c r="A42" s="76"/>
      <c r="B42" s="76"/>
      <c r="C42" s="84"/>
      <c r="D42" s="86"/>
      <c r="E42" s="76"/>
      <c r="F42" s="76"/>
      <c r="G42" s="84"/>
      <c r="H42" s="76"/>
      <c r="I42" s="84"/>
      <c r="J42" s="86"/>
      <c r="K42" s="76"/>
      <c r="L42" s="84"/>
      <c r="M42" s="86"/>
      <c r="N42" s="76"/>
      <c r="O42" s="76"/>
      <c r="P42" s="79" t="s">
        <v>112</v>
      </c>
      <c r="Q42" s="113">
        <f>B83*D23*F25*H40*J40*M44*P43</f>
        <v>7956.3436979451053</v>
      </c>
      <c r="R42" s="76"/>
      <c r="S42" s="76"/>
      <c r="T42" s="76"/>
      <c r="U42" s="76"/>
      <c r="V42" s="76"/>
      <c r="W42" s="76"/>
      <c r="X42" s="76"/>
      <c r="Y42" s="76"/>
      <c r="Z42" s="76"/>
    </row>
    <row r="43" spans="1:26">
      <c r="A43" s="76"/>
      <c r="B43" s="76"/>
      <c r="C43" s="84"/>
      <c r="D43" s="86"/>
      <c r="E43" s="76"/>
      <c r="F43" s="76"/>
      <c r="G43" s="84"/>
      <c r="H43" s="76"/>
      <c r="I43" s="84"/>
      <c r="J43" s="86"/>
      <c r="K43" s="76"/>
      <c r="L43" s="84"/>
      <c r="M43" s="90" t="s">
        <v>111</v>
      </c>
      <c r="N43" s="79"/>
      <c r="O43" s="105"/>
      <c r="P43" s="85">
        <f>1-CFRAmox</f>
        <v>0.99333773207836917</v>
      </c>
      <c r="Q43" s="76"/>
      <c r="R43" s="76"/>
      <c r="S43" s="76"/>
      <c r="T43" s="76"/>
      <c r="U43" s="76"/>
      <c r="V43" s="76"/>
      <c r="W43" s="76"/>
      <c r="X43" s="76"/>
      <c r="Y43" s="76"/>
      <c r="Z43" s="76"/>
    </row>
    <row r="44" spans="1:26">
      <c r="A44" s="76"/>
      <c r="B44" s="76"/>
      <c r="C44" s="84"/>
      <c r="D44" s="86"/>
      <c r="E44" s="76"/>
      <c r="F44" s="76"/>
      <c r="G44" s="84"/>
      <c r="H44" s="76"/>
      <c r="I44" s="84"/>
      <c r="J44" s="86"/>
      <c r="K44" s="76"/>
      <c r="L44" s="76"/>
      <c r="M44" s="77">
        <f>PublicAmoxStock</f>
        <v>0.75</v>
      </c>
      <c r="N44" s="77"/>
      <c r="O44" s="83"/>
      <c r="P44" s="103"/>
      <c r="Q44" s="76"/>
      <c r="R44" s="76"/>
      <c r="S44" s="76"/>
      <c r="T44" s="76"/>
      <c r="U44" s="76"/>
      <c r="V44" s="76"/>
      <c r="W44" s="76"/>
      <c r="X44" s="76"/>
      <c r="Y44" s="76"/>
      <c r="Z44" s="76"/>
    </row>
    <row r="45" spans="1:26">
      <c r="A45" s="76"/>
      <c r="B45" s="76"/>
      <c r="C45" s="84"/>
      <c r="D45" s="86"/>
      <c r="E45" s="76"/>
      <c r="F45" s="76"/>
      <c r="G45" s="84"/>
      <c r="H45" s="76"/>
      <c r="I45" s="84"/>
      <c r="J45" s="86"/>
      <c r="K45" s="76"/>
      <c r="L45" s="76"/>
      <c r="M45" s="76"/>
      <c r="N45" s="76"/>
      <c r="O45" s="84"/>
      <c r="P45" s="90" t="s">
        <v>113</v>
      </c>
      <c r="Q45" s="113">
        <f>B83*D23*F25*H40*J40*M44*P46</f>
        <v>53.362810734453419</v>
      </c>
      <c r="R45" s="76"/>
      <c r="S45" s="76"/>
      <c r="T45" s="76"/>
      <c r="U45" s="76"/>
      <c r="V45" s="76"/>
      <c r="W45" s="76"/>
      <c r="X45" s="76"/>
      <c r="Y45" s="76"/>
      <c r="Z45" s="76"/>
    </row>
    <row r="46" spans="1:26">
      <c r="A46" s="76"/>
      <c r="B46" s="76"/>
      <c r="C46" s="84"/>
      <c r="D46" s="86"/>
      <c r="E46" s="76"/>
      <c r="F46" s="76"/>
      <c r="G46" s="84"/>
      <c r="H46" s="76"/>
      <c r="I46" s="84"/>
      <c r="J46" s="86"/>
      <c r="K46" s="76"/>
      <c r="L46" s="76"/>
      <c r="M46" s="76"/>
      <c r="N46" s="76"/>
      <c r="O46" s="76"/>
      <c r="P46" s="77">
        <f>CFRAmox</f>
        <v>6.6622679216308198E-3</v>
      </c>
      <c r="Q46" s="76"/>
      <c r="R46" s="76"/>
      <c r="S46" s="76"/>
      <c r="T46" s="76"/>
      <c r="U46" s="76"/>
      <c r="V46" s="76"/>
      <c r="W46" s="76"/>
      <c r="X46" s="76"/>
      <c r="Y46" s="76"/>
      <c r="Z46" s="76"/>
    </row>
    <row r="47" spans="1:26">
      <c r="A47" s="76"/>
      <c r="B47" s="76"/>
      <c r="C47" s="84"/>
      <c r="D47" s="86"/>
      <c r="E47" s="76"/>
      <c r="F47" s="76"/>
      <c r="G47" s="84"/>
      <c r="H47" s="76"/>
      <c r="I47" s="84"/>
      <c r="J47" s="103"/>
      <c r="K47" s="76"/>
      <c r="L47" s="76"/>
      <c r="M47" s="79" t="s">
        <v>112</v>
      </c>
      <c r="N47" s="113">
        <f>B83*D23*F25*H40*J49*M48</f>
        <v>10608.458263926808</v>
      </c>
      <c r="O47" s="76"/>
      <c r="P47" s="76"/>
      <c r="Q47" s="76"/>
      <c r="R47" s="76"/>
      <c r="S47" s="76"/>
      <c r="T47" s="76"/>
      <c r="U47" s="76"/>
      <c r="V47" s="76"/>
      <c r="W47" s="76"/>
      <c r="X47" s="76"/>
      <c r="Y47" s="76"/>
      <c r="Z47" s="76"/>
    </row>
    <row r="48" spans="1:26" ht="47.25">
      <c r="A48" s="76"/>
      <c r="B48" s="76"/>
      <c r="C48" s="84"/>
      <c r="D48" s="86"/>
      <c r="E48" s="76"/>
      <c r="F48" s="76"/>
      <c r="G48" s="76"/>
      <c r="H48" s="77"/>
      <c r="I48" s="84"/>
      <c r="J48" s="87" t="s">
        <v>186</v>
      </c>
      <c r="K48" s="79"/>
      <c r="L48" s="105"/>
      <c r="M48" s="85">
        <f>1-CFRAmox</f>
        <v>0.99333773207836917</v>
      </c>
      <c r="N48" s="76"/>
      <c r="O48" s="76"/>
      <c r="P48" s="76"/>
      <c r="Q48" s="76"/>
      <c r="R48" s="76"/>
      <c r="S48" s="76"/>
      <c r="T48" s="76"/>
      <c r="U48" s="76"/>
      <c r="V48" s="76"/>
      <c r="W48" s="76"/>
      <c r="X48" s="76"/>
      <c r="Y48" s="76"/>
      <c r="Z48" s="76"/>
    </row>
    <row r="49" spans="1:26">
      <c r="A49" s="76"/>
      <c r="B49" s="76"/>
      <c r="C49" s="84"/>
      <c r="D49" s="86"/>
      <c r="E49" s="76"/>
      <c r="F49" s="76"/>
      <c r="G49" s="76"/>
      <c r="H49" s="77"/>
      <c r="I49" s="76"/>
      <c r="J49" s="77">
        <f>SecondPrivate</f>
        <v>0.1</v>
      </c>
      <c r="K49" s="77"/>
      <c r="L49" s="83"/>
      <c r="M49" s="86"/>
      <c r="N49" s="76"/>
      <c r="O49" s="76"/>
      <c r="P49" s="76"/>
      <c r="Q49" s="76"/>
      <c r="R49" s="76"/>
      <c r="S49" s="76"/>
      <c r="T49" s="76"/>
      <c r="U49" s="76"/>
      <c r="V49" s="76"/>
      <c r="W49" s="76"/>
      <c r="X49" s="76"/>
      <c r="Y49" s="76"/>
      <c r="Z49" s="76"/>
    </row>
    <row r="50" spans="1:26">
      <c r="A50" s="76"/>
      <c r="B50" s="76"/>
      <c r="C50" s="84"/>
      <c r="D50" s="86"/>
      <c r="E50" s="76"/>
      <c r="F50" s="76"/>
      <c r="G50" s="76"/>
      <c r="H50" s="77"/>
      <c r="I50" s="76"/>
      <c r="J50" s="76"/>
      <c r="K50" s="76"/>
      <c r="L50" s="84"/>
      <c r="M50" s="90" t="s">
        <v>113</v>
      </c>
      <c r="N50" s="113">
        <f>B83*D23*F25*H40*J49*M51</f>
        <v>71.150414312604553</v>
      </c>
      <c r="O50" s="76"/>
      <c r="P50" s="76"/>
      <c r="Q50" s="76"/>
      <c r="R50" s="76"/>
      <c r="S50" s="76"/>
      <c r="T50" s="76"/>
      <c r="U50" s="76"/>
      <c r="V50" s="76"/>
      <c r="W50" s="76"/>
      <c r="X50" s="76"/>
      <c r="Y50" s="76"/>
      <c r="Z50" s="76"/>
    </row>
    <row r="51" spans="1:26">
      <c r="A51" s="76"/>
      <c r="B51" s="76"/>
      <c r="C51" s="84"/>
      <c r="D51" s="86"/>
      <c r="E51" s="76"/>
      <c r="F51" s="76"/>
      <c r="G51" s="76"/>
      <c r="H51" s="76"/>
      <c r="I51" s="76"/>
      <c r="J51" s="76"/>
      <c r="K51" s="76"/>
      <c r="L51" s="76"/>
      <c r="M51" s="77">
        <f>CFRAmox</f>
        <v>6.6622679216308198E-3</v>
      </c>
      <c r="N51" s="76"/>
      <c r="O51" s="76"/>
      <c r="P51" s="76"/>
      <c r="Q51" s="76"/>
      <c r="R51" s="76"/>
      <c r="S51" s="76"/>
      <c r="T51" s="76"/>
      <c r="U51" s="76"/>
      <c r="V51" s="76"/>
      <c r="W51" s="76"/>
      <c r="X51" s="76"/>
      <c r="Y51" s="76"/>
      <c r="Z51" s="76"/>
    </row>
    <row r="52" spans="1:26">
      <c r="A52" s="76"/>
      <c r="B52" s="76"/>
      <c r="C52" s="84"/>
      <c r="D52" s="86"/>
      <c r="E52" s="76"/>
      <c r="F52" s="76"/>
      <c r="G52" s="76"/>
      <c r="H52" s="76"/>
      <c r="I52" s="76"/>
      <c r="J52" s="76"/>
      <c r="K52" s="76"/>
      <c r="L52" s="76"/>
      <c r="M52" s="76"/>
      <c r="N52" s="76"/>
      <c r="O52" s="76"/>
      <c r="P52" s="76"/>
      <c r="Q52" s="76"/>
      <c r="R52" s="76"/>
      <c r="S52" s="76"/>
      <c r="T52" s="76"/>
      <c r="U52" s="76"/>
      <c r="V52" s="76"/>
      <c r="W52" s="76"/>
      <c r="X52" s="76"/>
      <c r="Y52" s="76"/>
      <c r="Z52" s="76"/>
    </row>
    <row r="53" spans="1:26">
      <c r="A53" s="76"/>
      <c r="B53" s="76"/>
      <c r="C53" s="84"/>
      <c r="D53" s="86"/>
      <c r="E53" s="76"/>
      <c r="F53" s="76"/>
      <c r="G53" s="76"/>
      <c r="H53" s="76"/>
      <c r="I53" s="76"/>
      <c r="J53" s="76"/>
      <c r="K53" s="76"/>
      <c r="L53" s="76"/>
      <c r="M53" s="76"/>
      <c r="N53" s="76"/>
      <c r="O53" s="76"/>
      <c r="P53" s="76"/>
      <c r="Q53" s="76"/>
      <c r="R53" s="76"/>
      <c r="S53" s="76"/>
      <c r="T53" s="76"/>
      <c r="U53" s="76"/>
      <c r="V53" s="76"/>
      <c r="W53" s="76"/>
      <c r="X53" s="76"/>
      <c r="Y53" s="76"/>
      <c r="Z53" s="76"/>
    </row>
    <row r="54" spans="1:26">
      <c r="A54" s="76"/>
      <c r="B54" s="76"/>
      <c r="C54" s="84"/>
      <c r="D54" s="86"/>
      <c r="E54" s="76"/>
      <c r="F54" s="76"/>
      <c r="G54" s="76"/>
      <c r="H54" s="76"/>
      <c r="I54" s="76"/>
      <c r="J54" s="76"/>
      <c r="K54" s="76"/>
      <c r="L54" s="76"/>
      <c r="M54" s="76"/>
      <c r="N54" s="76"/>
      <c r="O54" s="76"/>
      <c r="P54" s="76"/>
      <c r="Q54" s="76"/>
      <c r="R54" s="76"/>
      <c r="S54" s="76"/>
      <c r="T54" s="76"/>
      <c r="U54" s="76"/>
      <c r="V54" s="76"/>
      <c r="W54" s="76"/>
      <c r="X54" s="76"/>
      <c r="Y54" s="76"/>
      <c r="Z54" s="76"/>
    </row>
    <row r="55" spans="1:26">
      <c r="A55" s="76"/>
      <c r="B55" s="76"/>
      <c r="C55" s="84"/>
      <c r="D55" s="86"/>
      <c r="E55" s="76"/>
      <c r="F55" s="76"/>
      <c r="G55" s="76"/>
      <c r="H55" s="76"/>
      <c r="I55" s="79" t="s">
        <v>112</v>
      </c>
      <c r="J55" s="113">
        <f>B83*D61*G57*I56</f>
        <v>32874.3501331523</v>
      </c>
      <c r="K55" s="76"/>
      <c r="L55" s="76"/>
      <c r="M55" s="76"/>
      <c r="N55" s="76"/>
      <c r="O55" s="76"/>
      <c r="P55" s="76"/>
      <c r="Q55" s="76"/>
      <c r="R55" s="76"/>
      <c r="S55" s="76"/>
      <c r="T55" s="76"/>
      <c r="U55" s="76"/>
      <c r="V55" s="76"/>
      <c r="W55" s="76"/>
      <c r="X55" s="76"/>
      <c r="Y55" s="76"/>
      <c r="Z55" s="76"/>
    </row>
    <row r="56" spans="1:26" ht="47.25">
      <c r="A56" s="76"/>
      <c r="B56" s="76"/>
      <c r="C56" s="84"/>
      <c r="D56" s="86"/>
      <c r="E56" s="76"/>
      <c r="F56" s="76"/>
      <c r="G56" s="78" t="s">
        <v>108</v>
      </c>
      <c r="H56" s="88"/>
      <c r="I56" s="85">
        <f>1-CFRNoAmox</f>
        <v>0.97779244026123058</v>
      </c>
      <c r="J56" s="76"/>
      <c r="K56" s="76"/>
      <c r="L56" s="76"/>
      <c r="M56" s="76"/>
      <c r="N56" s="76"/>
      <c r="O56" s="76"/>
      <c r="P56" s="76"/>
      <c r="Q56" s="76"/>
      <c r="R56" s="76"/>
      <c r="S56" s="76"/>
      <c r="T56" s="76"/>
      <c r="U56" s="76"/>
      <c r="V56" s="76"/>
      <c r="W56" s="76"/>
      <c r="X56" s="76"/>
      <c r="Y56" s="76"/>
      <c r="Z56" s="76"/>
    </row>
    <row r="57" spans="1:26">
      <c r="A57" s="76"/>
      <c r="B57" s="76"/>
      <c r="C57" s="84"/>
      <c r="D57" s="86"/>
      <c r="E57" s="76"/>
      <c r="F57" s="84"/>
      <c r="G57" s="85">
        <f>1-PrivateDiagnosis</f>
        <v>0.25</v>
      </c>
      <c r="H57" s="83"/>
      <c r="I57" s="86"/>
      <c r="J57" s="76"/>
      <c r="K57" s="76"/>
      <c r="L57" s="76"/>
      <c r="M57" s="76"/>
      <c r="N57" s="76"/>
      <c r="O57" s="76"/>
      <c r="P57" s="76"/>
      <c r="Q57" s="76"/>
      <c r="R57" s="76"/>
      <c r="S57" s="76"/>
      <c r="T57" s="76"/>
      <c r="U57" s="76"/>
      <c r="V57" s="76"/>
      <c r="W57" s="76"/>
      <c r="X57" s="76"/>
      <c r="Y57" s="76"/>
      <c r="Z57" s="76"/>
    </row>
    <row r="58" spans="1:26">
      <c r="A58" s="76"/>
      <c r="B58" s="76"/>
      <c r="C58" s="84"/>
      <c r="D58" s="86"/>
      <c r="E58" s="76"/>
      <c r="F58" s="84"/>
      <c r="G58" s="86"/>
      <c r="H58" s="84"/>
      <c r="I58" s="90" t="s">
        <v>113</v>
      </c>
      <c r="J58" s="113">
        <f>B83*D61*G57*I59</f>
        <v>746.64015019399824</v>
      </c>
      <c r="K58" s="76"/>
      <c r="L58" s="76"/>
      <c r="M58" s="76"/>
      <c r="N58" s="76"/>
      <c r="O58" s="76"/>
      <c r="P58" s="76"/>
      <c r="Q58" s="76"/>
      <c r="R58" s="76"/>
      <c r="S58" s="76"/>
      <c r="T58" s="76"/>
      <c r="U58" s="76"/>
      <c r="V58" s="76"/>
      <c r="W58" s="76"/>
      <c r="X58" s="76"/>
      <c r="Y58" s="76"/>
      <c r="Z58" s="76"/>
    </row>
    <row r="59" spans="1:26">
      <c r="A59" s="76"/>
      <c r="B59" s="76"/>
      <c r="C59" s="84"/>
      <c r="D59" s="93"/>
      <c r="E59" s="91"/>
      <c r="F59" s="92"/>
      <c r="G59" s="86"/>
      <c r="H59" s="84"/>
      <c r="I59" s="76">
        <f>CFRNoAmox</f>
        <v>2.2207559738769395E-2</v>
      </c>
      <c r="J59" s="76"/>
      <c r="K59" s="76"/>
      <c r="L59" s="76"/>
      <c r="N59" s="76"/>
      <c r="O59" s="76"/>
      <c r="P59" s="76"/>
      <c r="Q59" s="76"/>
      <c r="R59" s="76"/>
      <c r="S59" s="76"/>
      <c r="T59" s="76"/>
      <c r="U59" s="76"/>
      <c r="V59" s="76"/>
      <c r="W59" s="76"/>
      <c r="X59" s="76"/>
      <c r="Y59" s="76"/>
      <c r="Z59" s="76"/>
    </row>
    <row r="60" spans="1:26" ht="31.5">
      <c r="A60" s="76"/>
      <c r="B60" s="76"/>
      <c r="C60" s="84"/>
      <c r="D60" s="87" t="s">
        <v>107</v>
      </c>
      <c r="E60" s="79"/>
      <c r="F60" s="88"/>
      <c r="G60" s="75"/>
      <c r="H60" s="76"/>
      <c r="I60" s="77"/>
      <c r="J60" s="76"/>
      <c r="K60" s="76"/>
      <c r="L60" s="76"/>
      <c r="M60" s="79" t="s">
        <v>112</v>
      </c>
      <c r="N60" s="112">
        <f>B83*D61*G66*J62*M61</f>
        <v>6114.629124766333</v>
      </c>
      <c r="O60" s="76"/>
      <c r="P60" s="76"/>
      <c r="Q60" s="76"/>
      <c r="R60" s="76"/>
      <c r="S60" s="76"/>
      <c r="T60" s="76"/>
      <c r="U60" s="76"/>
      <c r="V60" s="76"/>
      <c r="W60" s="76"/>
      <c r="X60" s="76"/>
      <c r="Y60" s="76"/>
      <c r="Z60" s="76"/>
    </row>
    <row r="61" spans="1:26">
      <c r="A61" s="76"/>
      <c r="B61" s="76"/>
      <c r="C61" s="76"/>
      <c r="D61" s="77">
        <f>SeekPrivateSector</f>
        <v>0.17</v>
      </c>
      <c r="E61" s="77"/>
      <c r="F61" s="83"/>
      <c r="G61" s="86"/>
      <c r="H61" s="76"/>
      <c r="I61" s="76"/>
      <c r="J61" s="79" t="s">
        <v>110</v>
      </c>
      <c r="K61" s="79"/>
      <c r="L61" s="88"/>
      <c r="M61" s="85">
        <f>1-CFRNoAmox</f>
        <v>0.97779244026123058</v>
      </c>
      <c r="N61" s="76"/>
      <c r="O61" s="76"/>
      <c r="P61" s="76"/>
      <c r="Q61" s="76"/>
      <c r="R61" s="76"/>
      <c r="S61" s="76"/>
      <c r="T61" s="76"/>
      <c r="U61" s="76"/>
      <c r="V61" s="76"/>
      <c r="W61" s="76"/>
      <c r="X61" s="76"/>
      <c r="Y61" s="76"/>
      <c r="Z61" s="76"/>
    </row>
    <row r="62" spans="1:26">
      <c r="A62" s="76"/>
      <c r="B62" s="76"/>
      <c r="C62" s="76"/>
      <c r="D62" s="76"/>
      <c r="E62" s="76"/>
      <c r="F62" s="84"/>
      <c r="G62" s="86"/>
      <c r="H62" s="76"/>
      <c r="I62" s="84"/>
      <c r="J62" s="89">
        <f>1-PrivateAmoxStock</f>
        <v>6.2000000000000055E-2</v>
      </c>
      <c r="K62" s="77"/>
      <c r="L62" s="83"/>
      <c r="M62" s="86"/>
      <c r="N62" s="76"/>
      <c r="O62" s="76"/>
      <c r="P62" s="76"/>
      <c r="Q62" s="76"/>
      <c r="R62" s="76"/>
      <c r="S62" s="76"/>
      <c r="T62" s="76"/>
      <c r="U62" s="76"/>
      <c r="V62" s="76"/>
      <c r="W62" s="76"/>
      <c r="X62" s="76"/>
      <c r="Y62" s="76"/>
      <c r="Z62" s="76"/>
    </row>
    <row r="63" spans="1:26">
      <c r="A63" s="91"/>
      <c r="B63" s="91"/>
      <c r="C63" s="91"/>
      <c r="D63" s="91"/>
      <c r="E63" s="91"/>
      <c r="F63" s="92"/>
      <c r="G63" s="93"/>
      <c r="H63" s="91"/>
      <c r="I63" s="92"/>
      <c r="J63" s="93"/>
      <c r="K63" s="91"/>
      <c r="L63" s="92"/>
      <c r="M63" s="90" t="s">
        <v>113</v>
      </c>
      <c r="N63" s="115">
        <f>B83*D61*G66*J62*M64</f>
        <v>138.87506793608381</v>
      </c>
      <c r="O63" s="91"/>
      <c r="P63" s="91"/>
      <c r="Q63" s="91"/>
      <c r="R63" s="91"/>
      <c r="S63" s="91"/>
      <c r="T63" s="91"/>
      <c r="U63" s="91"/>
      <c r="V63" s="91"/>
      <c r="W63" s="91"/>
      <c r="X63" s="91"/>
      <c r="Y63" s="91"/>
      <c r="Z63" s="91"/>
    </row>
    <row r="64" spans="1:26">
      <c r="A64" s="95"/>
      <c r="B64" s="95"/>
      <c r="C64" s="95"/>
      <c r="D64" s="95"/>
      <c r="E64" s="95"/>
      <c r="F64" s="96"/>
      <c r="G64" s="98"/>
      <c r="H64" s="95"/>
      <c r="I64" s="96"/>
      <c r="J64" s="98"/>
      <c r="K64" s="95"/>
      <c r="L64" s="95"/>
      <c r="M64" s="94">
        <f>CFRNoAmox</f>
        <v>2.2207559738769395E-2</v>
      </c>
      <c r="N64" s="95"/>
      <c r="O64" s="95"/>
      <c r="P64" s="95"/>
      <c r="Q64" s="95"/>
      <c r="R64" s="95"/>
      <c r="S64" s="95"/>
      <c r="T64" s="95"/>
      <c r="U64" s="95"/>
      <c r="V64" s="95"/>
      <c r="W64" s="95"/>
      <c r="X64" s="95"/>
      <c r="Y64" s="95"/>
      <c r="Z64" s="95"/>
    </row>
    <row r="65" spans="1:26">
      <c r="A65" s="94"/>
      <c r="B65" s="94"/>
      <c r="C65" s="94"/>
      <c r="D65" s="94"/>
      <c r="E65" s="94"/>
      <c r="F65" s="97"/>
      <c r="G65" s="100" t="s">
        <v>109</v>
      </c>
      <c r="H65" s="101"/>
      <c r="I65" s="102"/>
      <c r="J65" s="99"/>
      <c r="K65" s="94"/>
      <c r="L65" s="94"/>
      <c r="M65" s="94"/>
      <c r="N65" s="94"/>
      <c r="O65" s="94"/>
      <c r="P65" s="94"/>
      <c r="Q65" s="94"/>
      <c r="R65" s="94"/>
      <c r="S65" s="94"/>
      <c r="T65" s="94"/>
      <c r="U65" s="94"/>
      <c r="V65" s="94"/>
      <c r="W65" s="94"/>
      <c r="X65" s="94"/>
      <c r="Y65" s="94"/>
      <c r="Z65" s="94"/>
    </row>
    <row r="66" spans="1:26">
      <c r="A66" s="95"/>
      <c r="B66" s="95"/>
      <c r="C66" s="95"/>
      <c r="D66" s="95"/>
      <c r="E66" s="95"/>
      <c r="F66" s="95"/>
      <c r="G66" s="94">
        <f>PrivateDiagnosis</f>
        <v>0.75</v>
      </c>
      <c r="H66" s="94"/>
      <c r="I66" s="97"/>
      <c r="J66" s="98"/>
      <c r="K66" s="95"/>
      <c r="L66" s="95"/>
      <c r="M66" s="95"/>
      <c r="N66" s="95"/>
      <c r="O66" s="95"/>
      <c r="P66" s="95"/>
      <c r="Q66" s="95"/>
      <c r="R66" s="95"/>
      <c r="S66" s="95"/>
      <c r="T66" s="95"/>
      <c r="U66" s="95"/>
      <c r="V66" s="95"/>
      <c r="W66" s="95"/>
      <c r="X66" s="95"/>
      <c r="Y66" s="95"/>
      <c r="Z66" s="95"/>
    </row>
    <row r="67" spans="1:26">
      <c r="A67" s="95"/>
      <c r="B67" s="95"/>
      <c r="C67" s="95"/>
      <c r="D67" s="95"/>
      <c r="E67" s="95"/>
      <c r="F67" s="95"/>
      <c r="G67" s="95"/>
      <c r="H67" s="95"/>
      <c r="I67" s="96"/>
      <c r="J67" s="98"/>
      <c r="K67" s="95"/>
      <c r="L67" s="95"/>
      <c r="M67" s="95"/>
      <c r="N67" s="95"/>
      <c r="O67" s="95"/>
      <c r="P67" s="95"/>
      <c r="Q67" s="95"/>
      <c r="R67" s="95"/>
      <c r="S67" s="95"/>
      <c r="T67" s="95"/>
      <c r="U67" s="95"/>
      <c r="V67" s="95"/>
      <c r="W67" s="95"/>
      <c r="X67" s="95"/>
      <c r="Y67" s="95"/>
      <c r="Z67" s="95"/>
    </row>
    <row r="68" spans="1:26">
      <c r="A68" s="95"/>
      <c r="B68" s="95"/>
      <c r="C68" s="95"/>
      <c r="D68" s="95"/>
      <c r="E68" s="95"/>
      <c r="F68" s="95"/>
      <c r="G68" s="95"/>
      <c r="H68" s="95"/>
      <c r="I68" s="96"/>
      <c r="J68" s="98"/>
      <c r="K68" s="95"/>
      <c r="L68" s="96"/>
      <c r="M68" s="79" t="s">
        <v>112</v>
      </c>
      <c r="N68" s="116">
        <f>B83*D61*G66*J71*M69</f>
        <v>93979.153042542704</v>
      </c>
      <c r="O68" s="95"/>
      <c r="P68" s="95"/>
      <c r="Q68" s="95"/>
      <c r="R68" s="95"/>
      <c r="S68" s="95"/>
      <c r="T68" s="95"/>
      <c r="U68" s="95"/>
      <c r="V68" s="95"/>
      <c r="W68" s="95"/>
      <c r="X68" s="95"/>
      <c r="Y68" s="95"/>
      <c r="Z68" s="95"/>
    </row>
    <row r="69" spans="1:26">
      <c r="A69" s="95"/>
      <c r="B69" s="95"/>
      <c r="C69" s="95"/>
      <c r="D69" s="95"/>
      <c r="E69" s="95"/>
      <c r="F69" s="95"/>
      <c r="G69" s="95"/>
      <c r="H69" s="95"/>
      <c r="I69" s="96"/>
      <c r="J69" s="98"/>
      <c r="K69" s="95"/>
      <c r="L69" s="96"/>
      <c r="M69" s="98">
        <f>1-CFRAmox</f>
        <v>0.99333773207836917</v>
      </c>
      <c r="N69" s="95"/>
      <c r="O69" s="95"/>
      <c r="P69" s="95"/>
      <c r="Q69" s="95"/>
      <c r="R69" s="95"/>
      <c r="S69" s="95"/>
      <c r="T69" s="95"/>
      <c r="U69" s="95"/>
      <c r="V69" s="95"/>
      <c r="W69" s="95"/>
      <c r="X69" s="95"/>
      <c r="Y69" s="95"/>
      <c r="Z69" s="95"/>
    </row>
    <row r="70" spans="1:26">
      <c r="A70" s="95"/>
      <c r="B70" s="95"/>
      <c r="C70" s="95"/>
      <c r="D70" s="95"/>
      <c r="E70" s="95"/>
      <c r="F70" s="95"/>
      <c r="G70" s="95"/>
      <c r="H70" s="95"/>
      <c r="I70" s="96"/>
      <c r="J70" s="100" t="s">
        <v>111</v>
      </c>
      <c r="K70" s="101"/>
      <c r="L70" s="102"/>
      <c r="M70" s="98"/>
      <c r="N70" s="95"/>
      <c r="O70" s="95"/>
      <c r="P70" s="95"/>
      <c r="Q70" s="95"/>
      <c r="R70" s="95"/>
      <c r="S70" s="95"/>
      <c r="T70" s="95"/>
      <c r="U70" s="95"/>
      <c r="V70" s="95"/>
      <c r="W70" s="95"/>
      <c r="X70" s="95"/>
      <c r="Y70" s="95"/>
      <c r="Z70" s="95"/>
    </row>
    <row r="71" spans="1:26">
      <c r="A71" s="95"/>
      <c r="B71" s="95"/>
      <c r="C71" s="95"/>
      <c r="D71" s="95"/>
      <c r="E71" s="95"/>
      <c r="F71" s="95"/>
      <c r="G71" s="95"/>
      <c r="H71" s="95"/>
      <c r="I71" s="95"/>
      <c r="J71" s="94">
        <f>PrivateAmoxStock</f>
        <v>0.93799999999999994</v>
      </c>
      <c r="K71" s="94"/>
      <c r="L71" s="97"/>
      <c r="M71" s="98"/>
      <c r="N71" s="95"/>
      <c r="O71" s="95"/>
      <c r="P71" s="95"/>
      <c r="Q71" s="95"/>
      <c r="R71" s="95"/>
      <c r="S71" s="95"/>
      <c r="T71" s="95"/>
      <c r="U71" s="95"/>
      <c r="V71" s="95"/>
      <c r="W71" s="95"/>
      <c r="X71" s="95"/>
      <c r="Y71" s="95"/>
      <c r="Z71" s="95"/>
    </row>
    <row r="72" spans="1:26">
      <c r="A72" s="95"/>
      <c r="B72" s="95"/>
      <c r="C72" s="95"/>
      <c r="D72" s="95"/>
      <c r="E72" s="95"/>
      <c r="F72" s="95"/>
      <c r="G72" s="95"/>
      <c r="H72" s="95"/>
      <c r="I72" s="95"/>
      <c r="J72" s="95"/>
      <c r="K72" s="95"/>
      <c r="L72" s="96"/>
      <c r="M72" s="98"/>
      <c r="N72" s="95"/>
      <c r="O72" s="95"/>
      <c r="P72" s="95"/>
      <c r="Q72" s="95"/>
      <c r="R72" s="95"/>
      <c r="S72" s="95"/>
      <c r="T72" s="95"/>
      <c r="U72" s="95"/>
      <c r="V72" s="95"/>
      <c r="W72" s="95"/>
      <c r="X72" s="95"/>
      <c r="Y72" s="95"/>
      <c r="Z72" s="95"/>
    </row>
    <row r="73" spans="1:26">
      <c r="A73" s="95"/>
      <c r="B73" s="95"/>
      <c r="C73" s="95"/>
      <c r="D73" s="95"/>
      <c r="E73" s="95"/>
      <c r="F73" s="95"/>
      <c r="G73" s="95"/>
      <c r="H73" s="95"/>
      <c r="I73" s="95"/>
      <c r="J73" s="95"/>
      <c r="K73" s="95"/>
      <c r="L73" s="96"/>
      <c r="M73" s="100" t="s">
        <v>113</v>
      </c>
      <c r="N73" s="116">
        <f>B83*D61*G66*J71*M74</f>
        <v>630.31361479377347</v>
      </c>
      <c r="O73" s="95"/>
      <c r="P73" s="95"/>
      <c r="Q73" s="95"/>
      <c r="R73" s="95"/>
      <c r="S73" s="95"/>
      <c r="T73" s="95"/>
      <c r="U73" s="95"/>
      <c r="V73" s="95"/>
      <c r="W73" s="95"/>
      <c r="X73" s="95"/>
      <c r="Y73" s="95"/>
      <c r="Z73" s="95"/>
    </row>
    <row r="74" spans="1:26">
      <c r="A74" s="95"/>
      <c r="B74" s="95"/>
      <c r="C74" s="95"/>
      <c r="D74" s="95"/>
      <c r="E74" s="95"/>
      <c r="F74" s="95"/>
      <c r="G74" s="95"/>
      <c r="H74" s="95"/>
      <c r="I74" s="95"/>
      <c r="J74" s="95"/>
      <c r="K74" s="95"/>
      <c r="L74" s="95"/>
      <c r="M74" s="94">
        <f>CFRAmox</f>
        <v>6.6622679216308198E-3</v>
      </c>
      <c r="N74" s="95"/>
      <c r="O74" s="95"/>
      <c r="P74" s="95"/>
      <c r="Q74" s="95"/>
      <c r="R74" s="95"/>
      <c r="S74" s="95"/>
      <c r="T74" s="95"/>
      <c r="U74" s="95"/>
      <c r="V74" s="95"/>
      <c r="W74" s="95"/>
      <c r="X74" s="95"/>
      <c r="Y74" s="95"/>
      <c r="Z74" s="95"/>
    </row>
    <row r="75" spans="1:26">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82" spans="1:12">
      <c r="A82" s="38" t="s">
        <v>116</v>
      </c>
      <c r="B82" s="38" t="s">
        <v>117</v>
      </c>
      <c r="C82" s="38" t="s">
        <v>118</v>
      </c>
      <c r="D82" s="38" t="s">
        <v>17</v>
      </c>
      <c r="G82" s="38" t="s">
        <v>130</v>
      </c>
      <c r="K82" s="59"/>
      <c r="L82" s="56"/>
    </row>
    <row r="83" spans="1:12" ht="31.5">
      <c r="A83" s="57" t="s">
        <v>119</v>
      </c>
      <c r="B83" s="107">
        <f>0.269*'Deaths averted'!U2</f>
        <v>791082.12431403052</v>
      </c>
      <c r="C83" t="s">
        <v>201</v>
      </c>
      <c r="D83" t="s">
        <v>147</v>
      </c>
      <c r="E83" t="s">
        <v>146</v>
      </c>
      <c r="G83" t="s">
        <v>131</v>
      </c>
      <c r="I83" s="61">
        <f>G8+I16+K23+N32+Q38+Q45+N50+N63+J58+N73</f>
        <v>10826.211905798838</v>
      </c>
      <c r="K83" s="108"/>
      <c r="L83" s="56"/>
    </row>
    <row r="84" spans="1:12">
      <c r="A84" s="141" t="s">
        <v>106</v>
      </c>
      <c r="B84" s="133">
        <v>0.28999999999999998</v>
      </c>
      <c r="C84" t="s">
        <v>201</v>
      </c>
      <c r="D84" t="s">
        <v>177</v>
      </c>
      <c r="E84" t="s">
        <v>146</v>
      </c>
      <c r="G84" t="s">
        <v>132</v>
      </c>
      <c r="I84" s="127">
        <f>(K20+K23+Q42+Q45+N47+N50+N68+N73)/B83</f>
        <v>0.54821999999999993</v>
      </c>
    </row>
    <row r="85" spans="1:12">
      <c r="A85" s="138" t="s">
        <v>107</v>
      </c>
      <c r="B85" s="139">
        <v>0.17</v>
      </c>
      <c r="C85" t="s">
        <v>201</v>
      </c>
      <c r="D85" t="s">
        <v>177</v>
      </c>
      <c r="E85" t="s">
        <v>146</v>
      </c>
    </row>
    <row r="86" spans="1:12">
      <c r="A86" s="138" t="s">
        <v>105</v>
      </c>
      <c r="B86" s="140">
        <v>0.54</v>
      </c>
      <c r="C86" t="s">
        <v>201</v>
      </c>
      <c r="E86" t="s">
        <v>146</v>
      </c>
      <c r="L86" s="59"/>
    </row>
    <row r="87" spans="1:12">
      <c r="A87" s="57" t="s">
        <v>120</v>
      </c>
      <c r="B87">
        <f>('Deaths averted'!D11/(1-'Deaths averted'!B20*'Deaths averted'!B16))/A23</f>
        <v>2.2207559738769395E-2</v>
      </c>
      <c r="C87" t="s">
        <v>24</v>
      </c>
      <c r="D87" t="s">
        <v>148</v>
      </c>
      <c r="E87" t="s">
        <v>146</v>
      </c>
    </row>
    <row r="88" spans="1:12">
      <c r="A88" s="57" t="s">
        <v>122</v>
      </c>
      <c r="B88">
        <f>CFRNoAmox*(1-'Deaths averted'!B16)</f>
        <v>6.6622679216308198E-3</v>
      </c>
      <c r="C88" t="s">
        <v>24</v>
      </c>
      <c r="D88" t="s">
        <v>149</v>
      </c>
      <c r="E88" t="s">
        <v>146</v>
      </c>
    </row>
    <row r="89" spans="1:12">
      <c r="A89" s="138" t="s">
        <v>121</v>
      </c>
      <c r="B89" s="140">
        <v>1</v>
      </c>
      <c r="C89" t="s">
        <v>185</v>
      </c>
      <c r="D89" t="s">
        <v>184</v>
      </c>
      <c r="E89" t="s">
        <v>146</v>
      </c>
    </row>
    <row r="90" spans="1:12" ht="47.25">
      <c r="A90" s="138" t="s">
        <v>124</v>
      </c>
      <c r="B90" s="140">
        <v>0.8</v>
      </c>
      <c r="C90" t="s">
        <v>70</v>
      </c>
    </row>
    <row r="91" spans="1:12" ht="47.25">
      <c r="A91" s="138" t="s">
        <v>125</v>
      </c>
      <c r="B91" s="140">
        <v>0.1</v>
      </c>
      <c r="C91" t="s">
        <v>70</v>
      </c>
    </row>
    <row r="92" spans="1:12" ht="47.25">
      <c r="A92" s="138" t="s">
        <v>187</v>
      </c>
      <c r="B92" s="140">
        <v>0.1</v>
      </c>
      <c r="C92" t="s">
        <v>70</v>
      </c>
    </row>
    <row r="93" spans="1:12">
      <c r="A93" s="138" t="s">
        <v>126</v>
      </c>
      <c r="B93" s="140">
        <v>0.75</v>
      </c>
      <c r="C93" t="s">
        <v>150</v>
      </c>
      <c r="D93" t="s">
        <v>146</v>
      </c>
    </row>
    <row r="94" spans="1:12" ht="31.5">
      <c r="A94" s="138" t="s">
        <v>127</v>
      </c>
      <c r="B94" s="140">
        <v>0.75</v>
      </c>
      <c r="C94" t="s">
        <v>151</v>
      </c>
      <c r="D94" t="s">
        <v>152</v>
      </c>
      <c r="E94" t="s">
        <v>146</v>
      </c>
    </row>
    <row r="95" spans="1:12" ht="31.5">
      <c r="A95" s="138" t="s">
        <v>128</v>
      </c>
      <c r="B95" s="140">
        <v>0.93799999999999994</v>
      </c>
      <c r="C95" t="s">
        <v>151</v>
      </c>
      <c r="D95" t="s">
        <v>153</v>
      </c>
      <c r="E95" t="s">
        <v>146</v>
      </c>
    </row>
    <row r="96" spans="1:12">
      <c r="H96" s="56"/>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topLeftCell="A78" workbookViewId="0">
      <selection activeCell="B92" sqref="B92"/>
    </sheetView>
  </sheetViews>
  <sheetFormatPr defaultColWidth="11.125" defaultRowHeight="15.75"/>
  <cols>
    <col min="1" max="1" width="29" customWidth="1"/>
    <col min="2" max="2" width="11.5" bestFit="1" customWidth="1"/>
    <col min="4" max="4" width="15.375" customWidth="1"/>
    <col min="5" max="5" width="13.875" customWidth="1"/>
    <col min="6" max="6" width="23.875" customWidth="1"/>
    <col min="7" max="7" width="20.375" customWidth="1"/>
    <col min="10" max="10" width="25.375" customWidth="1"/>
  </cols>
  <sheetData>
    <row r="1" spans="1:26">
      <c r="A1" s="76"/>
      <c r="B1" s="76"/>
      <c r="C1" s="76"/>
      <c r="D1" s="76"/>
      <c r="E1" s="76"/>
      <c r="F1" s="76"/>
      <c r="G1" s="76"/>
      <c r="H1" s="76"/>
      <c r="I1" s="76"/>
      <c r="J1" s="76"/>
      <c r="K1" s="76"/>
      <c r="L1" s="76"/>
      <c r="M1" s="76"/>
      <c r="N1" s="76"/>
      <c r="O1" s="76"/>
      <c r="P1" s="76"/>
      <c r="Q1" s="76"/>
      <c r="R1" s="76"/>
      <c r="S1" s="76"/>
      <c r="T1" s="76"/>
      <c r="U1" s="76"/>
      <c r="V1" s="76"/>
      <c r="W1" s="76"/>
      <c r="X1" s="76"/>
      <c r="Y1" s="76"/>
      <c r="Z1" s="76"/>
    </row>
    <row r="2" spans="1:26">
      <c r="A2" s="76"/>
      <c r="B2" s="76"/>
      <c r="C2" s="76"/>
      <c r="D2" s="76"/>
      <c r="E2" s="76"/>
      <c r="F2" s="76"/>
      <c r="G2" s="76"/>
      <c r="H2" s="76"/>
      <c r="I2" s="76"/>
      <c r="J2" s="76"/>
      <c r="K2" s="76"/>
      <c r="L2" s="76"/>
      <c r="M2" s="76"/>
      <c r="N2" s="76"/>
      <c r="O2" s="76"/>
      <c r="P2" s="76"/>
      <c r="Q2" s="76"/>
      <c r="R2" s="76"/>
      <c r="S2" s="76"/>
      <c r="T2" s="76"/>
      <c r="U2" s="76"/>
      <c r="V2" s="76"/>
      <c r="W2" s="76"/>
      <c r="X2" s="76"/>
      <c r="Y2" s="76"/>
      <c r="Z2" s="76"/>
    </row>
    <row r="3" spans="1:26">
      <c r="A3" s="76"/>
      <c r="B3" s="76"/>
      <c r="C3" s="76"/>
      <c r="D3" s="76"/>
      <c r="E3" s="76"/>
      <c r="F3" s="76"/>
      <c r="G3" s="76"/>
      <c r="H3" s="76"/>
      <c r="I3" s="76"/>
      <c r="J3" s="76"/>
      <c r="K3" s="76"/>
      <c r="L3" s="76"/>
      <c r="M3" s="76"/>
      <c r="N3" s="76"/>
      <c r="O3" s="76"/>
      <c r="P3" s="76"/>
      <c r="Q3" s="76"/>
      <c r="R3" s="76"/>
      <c r="S3" s="76"/>
      <c r="T3" s="76"/>
      <c r="U3" s="76"/>
      <c r="V3" s="76"/>
      <c r="W3" s="76"/>
      <c r="X3" s="76"/>
      <c r="Y3" s="76"/>
      <c r="Z3" s="76"/>
    </row>
    <row r="4" spans="1:26">
      <c r="A4" s="76"/>
      <c r="B4" s="76"/>
      <c r="C4" s="76"/>
      <c r="D4" s="76"/>
      <c r="E4" s="76"/>
      <c r="F4" s="79" t="s">
        <v>112</v>
      </c>
      <c r="G4" s="113">
        <f>A23*D7*F5</f>
        <v>0</v>
      </c>
      <c r="H4" s="76"/>
      <c r="I4" s="76"/>
      <c r="J4" s="76"/>
      <c r="K4" s="76"/>
      <c r="L4" s="76"/>
      <c r="M4" s="76"/>
      <c r="N4" s="76"/>
      <c r="O4" s="76"/>
      <c r="P4" s="76"/>
      <c r="Q4" s="76"/>
      <c r="R4" s="76"/>
      <c r="S4" s="76"/>
      <c r="T4" s="76"/>
      <c r="U4" s="76"/>
      <c r="V4" s="76"/>
      <c r="W4" s="76"/>
      <c r="X4" s="76"/>
      <c r="Y4" s="76"/>
      <c r="Z4" s="76"/>
    </row>
    <row r="5" spans="1:26">
      <c r="A5" s="76"/>
      <c r="B5" s="76"/>
      <c r="C5" s="76"/>
      <c r="D5" s="76"/>
      <c r="E5" s="84"/>
      <c r="F5" s="85">
        <f>1-SevereCFRNoAmox</f>
        <v>0</v>
      </c>
      <c r="H5" s="76"/>
      <c r="I5" s="76"/>
      <c r="J5" s="76"/>
      <c r="K5" s="76"/>
      <c r="L5" s="76"/>
      <c r="M5" s="76"/>
      <c r="N5" s="76"/>
      <c r="O5" s="76"/>
      <c r="P5" s="76"/>
      <c r="Q5" s="76"/>
      <c r="R5" s="76"/>
      <c r="S5" s="76"/>
      <c r="T5" s="76"/>
      <c r="U5" s="76"/>
      <c r="V5" s="76"/>
      <c r="W5" s="76"/>
      <c r="X5" s="76"/>
      <c r="Y5" s="76"/>
      <c r="Z5" s="76"/>
    </row>
    <row r="6" spans="1:26">
      <c r="A6" s="76"/>
      <c r="B6" s="76"/>
      <c r="C6" s="76"/>
      <c r="D6" s="79" t="s">
        <v>106</v>
      </c>
      <c r="E6" s="88"/>
      <c r="F6" s="86"/>
      <c r="G6" s="76"/>
      <c r="H6" s="76"/>
      <c r="I6" s="76"/>
      <c r="J6" s="76"/>
      <c r="K6" s="76"/>
      <c r="L6" s="76"/>
      <c r="M6" s="76"/>
      <c r="N6" s="76"/>
      <c r="O6" s="76"/>
      <c r="P6" s="76"/>
      <c r="Q6" s="76"/>
      <c r="R6" s="76"/>
      <c r="S6" s="76"/>
      <c r="T6" s="76"/>
      <c r="U6" s="76"/>
      <c r="V6" s="76"/>
      <c r="W6" s="76"/>
      <c r="X6" s="76"/>
      <c r="Y6" s="76"/>
      <c r="Z6" s="76"/>
    </row>
    <row r="7" spans="1:26">
      <c r="A7" s="76"/>
      <c r="B7" s="76"/>
      <c r="C7" s="84"/>
      <c r="D7" s="85">
        <f>SevereNoCare</f>
        <v>0.2</v>
      </c>
      <c r="E7" s="83"/>
      <c r="F7" s="103"/>
      <c r="G7" s="76"/>
      <c r="H7" s="76"/>
      <c r="I7" s="76"/>
      <c r="J7" s="76"/>
      <c r="K7" s="76"/>
      <c r="L7" s="76"/>
      <c r="M7" s="76"/>
      <c r="N7" s="76"/>
      <c r="O7" s="76"/>
      <c r="P7" s="76"/>
      <c r="Q7" s="76"/>
      <c r="R7" s="76"/>
      <c r="S7" s="76"/>
      <c r="T7" s="76"/>
      <c r="U7" s="76"/>
      <c r="V7" s="76"/>
      <c r="W7" s="76"/>
      <c r="X7" s="76"/>
      <c r="Y7" s="76"/>
      <c r="Z7" s="76"/>
    </row>
    <row r="8" spans="1:26">
      <c r="A8" s="76"/>
      <c r="B8" s="76"/>
      <c r="C8" s="84"/>
      <c r="D8" s="86"/>
      <c r="E8" s="84"/>
      <c r="F8" s="90" t="s">
        <v>113</v>
      </c>
      <c r="G8" s="113">
        <f>A23*D7*F9</f>
        <v>3954.6581530940784</v>
      </c>
      <c r="H8" s="76"/>
      <c r="I8" s="76"/>
      <c r="J8" s="76"/>
      <c r="K8" s="76"/>
      <c r="L8" s="76"/>
      <c r="M8" s="76"/>
      <c r="N8" s="76"/>
      <c r="O8" s="76"/>
      <c r="P8" s="76"/>
      <c r="Q8" s="76"/>
      <c r="R8" s="76"/>
      <c r="S8" s="76"/>
      <c r="T8" s="76"/>
      <c r="U8" s="76"/>
      <c r="V8" s="76"/>
      <c r="W8" s="76"/>
      <c r="X8" s="76"/>
      <c r="Y8" s="76"/>
      <c r="Z8" s="76"/>
    </row>
    <row r="9" spans="1:26">
      <c r="A9" s="76"/>
      <c r="B9" s="76"/>
      <c r="C9" s="84"/>
      <c r="D9" s="86"/>
      <c r="E9" s="76"/>
      <c r="F9" s="77">
        <f>SevereCFRNoAmox</f>
        <v>1</v>
      </c>
      <c r="H9" s="76"/>
      <c r="I9" s="76"/>
      <c r="J9" s="76"/>
      <c r="K9" s="76"/>
      <c r="L9" s="76"/>
      <c r="M9" s="76"/>
      <c r="N9" s="76"/>
      <c r="O9" s="76"/>
      <c r="P9" s="76"/>
      <c r="Q9" s="76"/>
      <c r="R9" s="76"/>
      <c r="S9" s="76"/>
      <c r="T9" s="76"/>
      <c r="U9" s="76"/>
      <c r="V9" s="76"/>
      <c r="W9" s="76"/>
      <c r="X9" s="76"/>
      <c r="Y9" s="76"/>
      <c r="Z9" s="76"/>
    </row>
    <row r="10" spans="1:26">
      <c r="A10" s="76"/>
      <c r="B10" s="76"/>
      <c r="C10" s="84"/>
      <c r="D10" s="86"/>
      <c r="E10" s="76"/>
      <c r="F10" s="76"/>
      <c r="G10" s="76"/>
      <c r="H10" s="76"/>
      <c r="I10" s="76"/>
      <c r="J10" s="76"/>
      <c r="K10" s="76"/>
      <c r="L10" s="76"/>
      <c r="M10" s="76"/>
      <c r="N10" s="76"/>
      <c r="O10" s="76"/>
      <c r="P10" s="76"/>
      <c r="Q10" s="76"/>
      <c r="R10" s="76"/>
      <c r="S10" s="76"/>
      <c r="T10" s="76"/>
      <c r="U10" s="76"/>
      <c r="V10" s="76"/>
      <c r="W10" s="76"/>
      <c r="X10" s="76"/>
      <c r="Y10" s="76"/>
      <c r="Z10" s="76"/>
    </row>
    <row r="11" spans="1:26">
      <c r="A11" s="76"/>
      <c r="B11" s="76"/>
      <c r="C11" s="84"/>
      <c r="D11" s="86"/>
      <c r="E11" s="76"/>
      <c r="F11" s="76"/>
      <c r="G11" s="76"/>
      <c r="H11" s="91"/>
      <c r="I11" s="76"/>
      <c r="J11" s="76"/>
      <c r="K11" s="76"/>
      <c r="L11" s="76"/>
      <c r="M11" s="76"/>
      <c r="N11" s="76"/>
      <c r="O11" s="76"/>
      <c r="P11" s="76"/>
      <c r="Q11" s="76"/>
      <c r="R11" s="76"/>
      <c r="S11" s="76"/>
      <c r="T11" s="76"/>
      <c r="U11" s="76"/>
      <c r="V11" s="76"/>
      <c r="W11" s="76"/>
      <c r="X11" s="76"/>
      <c r="Y11" s="76"/>
      <c r="Z11" s="76"/>
    </row>
    <row r="12" spans="1:26">
      <c r="A12" s="76"/>
      <c r="B12" s="76"/>
      <c r="C12" s="84"/>
      <c r="D12" s="86"/>
      <c r="E12" s="76"/>
      <c r="F12" s="76"/>
      <c r="G12" s="76"/>
      <c r="H12" s="91" t="s">
        <v>112</v>
      </c>
      <c r="I12" s="113">
        <f>A23*D23*F15*H13</f>
        <v>0</v>
      </c>
      <c r="J12" s="76"/>
      <c r="K12" s="76"/>
      <c r="L12" s="76"/>
      <c r="M12" s="76"/>
      <c r="N12" s="76"/>
      <c r="O12" s="76"/>
      <c r="P12" s="76"/>
      <c r="Q12" s="76"/>
      <c r="R12" s="76"/>
      <c r="S12" s="76"/>
      <c r="T12" s="76"/>
      <c r="U12" s="76"/>
      <c r="V12" s="76"/>
      <c r="W12" s="76"/>
      <c r="X12" s="76"/>
      <c r="Y12" s="76"/>
      <c r="Z12" s="76"/>
    </row>
    <row r="13" spans="1:26">
      <c r="A13" s="76"/>
      <c r="B13" s="76"/>
      <c r="C13" s="84"/>
      <c r="D13" s="86"/>
      <c r="E13" s="76"/>
      <c r="F13" s="76"/>
      <c r="G13" s="84"/>
      <c r="H13" s="89">
        <f>1-SevereCFRNoAmox</f>
        <v>0</v>
      </c>
      <c r="I13" s="76"/>
      <c r="J13" s="76"/>
      <c r="K13" s="76"/>
      <c r="L13" s="76"/>
      <c r="M13" s="76"/>
      <c r="N13" s="76"/>
      <c r="O13" s="76"/>
      <c r="P13" s="76"/>
      <c r="Q13" s="76"/>
      <c r="R13" s="76"/>
      <c r="S13" s="76"/>
      <c r="T13" s="76"/>
      <c r="U13" s="76"/>
      <c r="V13" s="76"/>
      <c r="W13" s="76"/>
      <c r="X13" s="76"/>
      <c r="Y13" s="76"/>
      <c r="Z13" s="76"/>
    </row>
    <row r="14" spans="1:26" ht="31.5">
      <c r="A14" s="76"/>
      <c r="B14" s="76"/>
      <c r="C14" s="84"/>
      <c r="D14" s="86"/>
      <c r="E14" s="76"/>
      <c r="F14" s="78" t="s">
        <v>108</v>
      </c>
      <c r="G14" s="109"/>
      <c r="H14" s="86"/>
      <c r="I14" s="76"/>
      <c r="J14" s="76"/>
      <c r="K14" s="76"/>
      <c r="L14" s="76"/>
      <c r="M14" s="76"/>
      <c r="N14" s="76"/>
      <c r="O14" s="76"/>
      <c r="P14" s="76"/>
      <c r="Q14" s="76"/>
      <c r="R14" s="76"/>
      <c r="S14" s="76"/>
      <c r="T14" s="76"/>
      <c r="U14" s="76"/>
      <c r="V14" s="76"/>
      <c r="W14" s="76"/>
      <c r="X14" s="76"/>
      <c r="Y14" s="76"/>
      <c r="Z14" s="76"/>
    </row>
    <row r="15" spans="1:26">
      <c r="A15" s="76"/>
      <c r="B15" s="76"/>
      <c r="C15" s="84"/>
      <c r="D15" s="86"/>
      <c r="E15" s="84"/>
      <c r="F15" s="85">
        <f>1-SeverePublicDiagnosis</f>
        <v>0.19999999999999996</v>
      </c>
      <c r="G15" s="110"/>
      <c r="H15" s="103"/>
      <c r="I15" s="84"/>
      <c r="J15" s="76"/>
      <c r="K15" s="76"/>
      <c r="L15" s="76"/>
      <c r="M15" s="76"/>
      <c r="N15" s="76"/>
      <c r="O15" s="76"/>
      <c r="P15" s="76"/>
      <c r="Q15" s="76"/>
      <c r="R15" s="76"/>
      <c r="S15" s="76"/>
      <c r="T15" s="76"/>
      <c r="U15" s="76"/>
      <c r="V15" s="76"/>
      <c r="W15" s="76"/>
      <c r="X15" s="76"/>
      <c r="Y15" s="76"/>
      <c r="Z15" s="76"/>
    </row>
    <row r="16" spans="1:26">
      <c r="A16" s="76"/>
      <c r="B16" s="76"/>
      <c r="C16" s="84"/>
      <c r="D16" s="86"/>
      <c r="E16" s="84"/>
      <c r="F16" s="85"/>
      <c r="G16" s="111"/>
      <c r="H16" s="90" t="s">
        <v>113</v>
      </c>
      <c r="I16" s="114">
        <f>A23*D23*F15*H17</f>
        <v>2175.0619842017427</v>
      </c>
      <c r="J16" s="76"/>
      <c r="K16" s="76"/>
      <c r="L16" s="76"/>
      <c r="M16" s="76"/>
      <c r="N16" s="76"/>
      <c r="O16" s="76"/>
      <c r="P16" s="76"/>
      <c r="Q16" s="76"/>
      <c r="R16" s="76"/>
      <c r="S16" s="76"/>
      <c r="T16" s="76"/>
      <c r="U16" s="76"/>
      <c r="V16" s="76"/>
      <c r="W16" s="76"/>
      <c r="X16" s="76"/>
      <c r="Y16" s="76"/>
      <c r="Z16" s="76"/>
    </row>
    <row r="17" spans="1:26">
      <c r="A17" s="76"/>
      <c r="B17" s="76"/>
      <c r="C17" s="84"/>
      <c r="D17" s="86"/>
      <c r="E17" s="84"/>
      <c r="F17" s="85"/>
      <c r="G17" s="106"/>
      <c r="H17" s="77">
        <f>SevereCFRNoAmox</f>
        <v>1</v>
      </c>
      <c r="I17" s="84"/>
      <c r="J17" s="76"/>
      <c r="K17" s="76"/>
      <c r="L17" s="76"/>
      <c r="M17" s="76"/>
      <c r="N17" s="76"/>
      <c r="O17" s="76"/>
      <c r="P17" s="76"/>
      <c r="Q17" s="76"/>
      <c r="R17" s="76"/>
      <c r="S17" s="76"/>
      <c r="T17" s="76"/>
      <c r="U17" s="76"/>
      <c r="V17" s="76"/>
      <c r="W17" s="76"/>
      <c r="X17" s="76"/>
      <c r="Y17" s="76"/>
      <c r="Z17" s="76"/>
    </row>
    <row r="18" spans="1:26">
      <c r="A18" s="76"/>
      <c r="B18" s="76"/>
      <c r="C18" s="84"/>
      <c r="D18" s="86"/>
      <c r="E18" s="84"/>
      <c r="F18" s="86"/>
      <c r="G18" s="106"/>
      <c r="H18" s="76"/>
      <c r="I18" s="84"/>
      <c r="J18" s="76"/>
      <c r="K18" s="76"/>
      <c r="L18" s="76"/>
      <c r="M18" s="76"/>
      <c r="N18" s="76"/>
      <c r="O18" s="76"/>
      <c r="P18" s="76"/>
      <c r="Q18" s="76"/>
      <c r="R18" s="76"/>
      <c r="S18" s="76"/>
      <c r="T18" s="76"/>
      <c r="U18" s="76"/>
      <c r="V18" s="76"/>
      <c r="W18" s="76"/>
      <c r="X18" s="76"/>
      <c r="Y18" s="76"/>
      <c r="Z18" s="76"/>
    </row>
    <row r="19" spans="1:26">
      <c r="A19" s="76"/>
      <c r="B19" s="76"/>
      <c r="C19" s="84"/>
      <c r="D19" s="86"/>
      <c r="E19" s="84"/>
      <c r="F19" s="86"/>
      <c r="G19" s="106"/>
      <c r="H19" s="76"/>
      <c r="I19" s="84"/>
      <c r="J19" s="76"/>
      <c r="K19" s="76"/>
      <c r="L19" s="76"/>
      <c r="M19" s="76"/>
      <c r="N19" s="76"/>
      <c r="O19" s="76"/>
      <c r="P19" s="76"/>
      <c r="Q19" s="76"/>
      <c r="R19" s="76"/>
      <c r="S19" s="76"/>
      <c r="T19" s="76"/>
      <c r="U19" s="76"/>
      <c r="V19" s="76"/>
      <c r="W19" s="76"/>
      <c r="X19" s="76"/>
      <c r="Y19" s="76"/>
      <c r="Z19" s="76"/>
    </row>
    <row r="20" spans="1:26">
      <c r="A20" s="76"/>
      <c r="B20" s="76"/>
      <c r="C20" s="84"/>
      <c r="D20" s="86"/>
      <c r="E20" s="84"/>
      <c r="F20" s="86"/>
      <c r="G20" s="106"/>
      <c r="H20" s="76"/>
      <c r="I20" s="84"/>
      <c r="J20" s="79" t="s">
        <v>112</v>
      </c>
      <c r="K20" s="113">
        <f>A23*D23*F25*H23*J21</f>
        <v>3367.8659763379801</v>
      </c>
      <c r="L20" s="76"/>
      <c r="M20" s="76"/>
      <c r="N20" s="76"/>
      <c r="O20" s="76"/>
      <c r="P20" s="76"/>
      <c r="Q20" s="76"/>
      <c r="R20" s="76"/>
      <c r="S20" s="76"/>
      <c r="T20" s="76"/>
      <c r="U20" s="76"/>
      <c r="V20" s="76"/>
      <c r="W20" s="76"/>
      <c r="X20" s="76"/>
      <c r="Y20" s="76"/>
      <c r="Z20" s="76"/>
    </row>
    <row r="21" spans="1:26">
      <c r="A21" s="76"/>
      <c r="B21" s="76"/>
      <c r="C21" s="84"/>
      <c r="D21" s="86"/>
      <c r="E21" s="84"/>
      <c r="F21" s="85"/>
      <c r="G21" s="76"/>
      <c r="H21" s="76"/>
      <c r="I21" s="84"/>
      <c r="J21" s="85">
        <f>1-SevereCFRAmox</f>
        <v>0.7</v>
      </c>
      <c r="K21" s="76"/>
      <c r="L21" s="76"/>
      <c r="M21" s="76"/>
      <c r="N21" s="76"/>
      <c r="O21" s="76"/>
      <c r="P21" s="76"/>
      <c r="Q21" s="76"/>
      <c r="R21" s="76"/>
      <c r="S21" s="76"/>
      <c r="T21" s="76"/>
      <c r="U21" s="76"/>
      <c r="V21" s="76"/>
      <c r="W21" s="76"/>
      <c r="X21" s="76"/>
      <c r="Y21" s="76"/>
      <c r="Z21" s="76"/>
    </row>
    <row r="22" spans="1:26" ht="47.25">
      <c r="A22" s="80" t="s">
        <v>144</v>
      </c>
      <c r="B22" s="81"/>
      <c r="C22" s="82"/>
      <c r="D22" s="87" t="s">
        <v>105</v>
      </c>
      <c r="E22" s="88"/>
      <c r="F22" s="86"/>
      <c r="G22" s="76"/>
      <c r="H22" s="78" t="s">
        <v>111</v>
      </c>
      <c r="I22" s="88"/>
      <c r="J22" s="86"/>
      <c r="K22" s="76"/>
      <c r="L22" s="76"/>
      <c r="M22" s="76"/>
      <c r="N22" s="76"/>
      <c r="O22" s="76"/>
      <c r="P22" s="76"/>
      <c r="Q22" s="76"/>
      <c r="R22" s="76"/>
      <c r="S22" s="76"/>
      <c r="T22" s="76"/>
      <c r="U22" s="76"/>
      <c r="V22" s="76"/>
      <c r="W22" s="76"/>
      <c r="X22" s="76"/>
      <c r="Y22" s="76"/>
      <c r="Z22" s="76"/>
    </row>
    <row r="23" spans="1:26">
      <c r="A23" s="107">
        <f>SevereNumPneumo</f>
        <v>19773.290765470392</v>
      </c>
      <c r="B23" s="77"/>
      <c r="C23" s="83"/>
      <c r="D23" s="85">
        <f>SeverePublic</f>
        <v>0.55000000000000004</v>
      </c>
      <c r="E23" s="83"/>
      <c r="F23" s="103"/>
      <c r="G23" s="84"/>
      <c r="H23" s="85">
        <f>PublicAmoxStock</f>
        <v>0.55300000000000005</v>
      </c>
      <c r="I23" s="83"/>
      <c r="J23" s="90" t="s">
        <v>113</v>
      </c>
      <c r="K23" s="113">
        <f>A23*D23*F25*H23*J24</f>
        <v>1443.3711327162775</v>
      </c>
      <c r="L23" s="76"/>
      <c r="M23" s="76"/>
      <c r="N23" s="76"/>
      <c r="O23" s="76"/>
      <c r="P23" s="76"/>
      <c r="Q23" s="76"/>
      <c r="R23" s="76"/>
      <c r="S23" s="76"/>
      <c r="T23" s="76"/>
      <c r="U23" s="76"/>
      <c r="V23" s="76"/>
      <c r="W23" s="76"/>
      <c r="X23" s="76"/>
      <c r="Y23" s="76"/>
      <c r="Z23" s="76"/>
    </row>
    <row r="24" spans="1:26">
      <c r="A24" s="76"/>
      <c r="B24" s="76"/>
      <c r="C24" s="84"/>
      <c r="D24" s="86"/>
      <c r="E24" s="84"/>
      <c r="F24" s="90" t="s">
        <v>109</v>
      </c>
      <c r="G24" s="88"/>
      <c r="H24" s="86"/>
      <c r="I24" s="76"/>
      <c r="J24" s="77">
        <f>SevereCFRAmox</f>
        <v>0.30000000000000004</v>
      </c>
      <c r="K24" s="76"/>
      <c r="L24" s="76"/>
      <c r="M24" s="76"/>
      <c r="N24" s="76"/>
      <c r="O24" s="76"/>
      <c r="P24" s="76"/>
      <c r="Q24" s="76"/>
      <c r="R24" s="76"/>
      <c r="S24" s="76"/>
      <c r="T24" s="76"/>
      <c r="U24" s="76"/>
      <c r="V24" s="76"/>
      <c r="W24" s="76"/>
      <c r="X24" s="76"/>
      <c r="Y24" s="76"/>
      <c r="Z24" s="76"/>
    </row>
    <row r="25" spans="1:26">
      <c r="A25" s="76"/>
      <c r="B25" s="76"/>
      <c r="C25" s="84"/>
      <c r="D25" s="86"/>
      <c r="E25" s="76"/>
      <c r="F25" s="77">
        <f>SeverePublicDiagnosis</f>
        <v>0.8</v>
      </c>
      <c r="G25" s="83"/>
      <c r="H25" s="86"/>
      <c r="I25" s="76"/>
      <c r="J25" s="76"/>
      <c r="K25" s="76"/>
      <c r="L25" s="76"/>
      <c r="M25" s="76"/>
      <c r="N25" s="76"/>
      <c r="O25" s="76"/>
      <c r="P25" s="76"/>
      <c r="Q25" s="76"/>
      <c r="R25" s="76"/>
      <c r="S25" s="76"/>
      <c r="T25" s="76"/>
      <c r="U25" s="76"/>
      <c r="V25" s="76"/>
      <c r="W25" s="76"/>
      <c r="X25" s="76"/>
      <c r="Y25" s="76"/>
      <c r="Z25" s="76"/>
    </row>
    <row r="26" spans="1:26">
      <c r="A26" s="76" t="s">
        <v>129</v>
      </c>
      <c r="B26" s="76"/>
      <c r="C26" s="84"/>
      <c r="D26" s="86"/>
      <c r="E26" s="76"/>
      <c r="F26" s="76"/>
      <c r="G26" s="84"/>
      <c r="H26" s="104"/>
      <c r="I26" s="76"/>
      <c r="J26" s="76"/>
      <c r="K26" s="76"/>
      <c r="L26" s="76"/>
      <c r="M26" s="76"/>
      <c r="N26" s="76"/>
      <c r="O26" s="76"/>
      <c r="P26" s="76"/>
      <c r="Q26" s="76"/>
      <c r="R26" s="76"/>
      <c r="S26" s="76"/>
      <c r="T26" s="76"/>
      <c r="U26" s="76"/>
      <c r="V26" s="76"/>
      <c r="W26" s="76"/>
      <c r="X26" s="76"/>
      <c r="Y26" s="76"/>
      <c r="Z26" s="76"/>
    </row>
    <row r="27" spans="1:26">
      <c r="A27" s="113">
        <f>G4+G8+I12+I16+K20+K23+N29+N32+Q35+Q38+Q42+Q45+N47+N50+J55+J58+N60+N63+N68+N73</f>
        <v>19773.290765470392</v>
      </c>
      <c r="B27" s="76"/>
      <c r="C27" s="84"/>
      <c r="D27" s="86"/>
      <c r="E27" s="76"/>
      <c r="F27" s="76"/>
      <c r="G27" s="84"/>
      <c r="H27" s="104"/>
      <c r="I27" s="76"/>
      <c r="J27" s="76"/>
      <c r="K27" s="76"/>
      <c r="L27" s="76"/>
      <c r="M27" s="76"/>
      <c r="N27" s="76"/>
      <c r="O27" s="76"/>
      <c r="P27" s="76"/>
      <c r="Q27" s="76"/>
      <c r="R27" s="76"/>
      <c r="S27" s="76"/>
      <c r="T27" s="76"/>
      <c r="U27" s="76"/>
      <c r="V27" s="76"/>
      <c r="W27" s="76"/>
      <c r="X27" s="76"/>
      <c r="Y27" s="76"/>
      <c r="Z27" s="76"/>
    </row>
    <row r="28" spans="1:26">
      <c r="A28" s="76"/>
      <c r="B28" s="76"/>
      <c r="C28" s="84"/>
      <c r="D28" s="86"/>
      <c r="E28" s="76"/>
      <c r="F28" s="76"/>
      <c r="G28" s="84"/>
      <c r="H28" s="86"/>
      <c r="I28" s="76"/>
      <c r="J28" s="76"/>
      <c r="K28" s="76"/>
      <c r="L28" s="76"/>
      <c r="M28" s="76"/>
      <c r="N28" s="76"/>
      <c r="O28" s="76"/>
      <c r="P28" s="76"/>
      <c r="Q28" s="76"/>
      <c r="R28" s="76"/>
      <c r="S28" s="76"/>
      <c r="T28" s="76"/>
      <c r="U28" s="76"/>
      <c r="V28" s="76"/>
      <c r="W28" s="76"/>
      <c r="X28" s="76"/>
      <c r="Y28" s="76"/>
      <c r="Z28" s="76"/>
    </row>
    <row r="29" spans="1:26">
      <c r="A29" s="76"/>
      <c r="B29" s="76"/>
      <c r="C29" s="84"/>
      <c r="D29" s="86"/>
      <c r="E29" s="76"/>
      <c r="F29" s="76"/>
      <c r="G29" s="84"/>
      <c r="H29" s="86"/>
      <c r="I29" s="76"/>
      <c r="J29" s="76"/>
      <c r="K29" s="76"/>
      <c r="L29" s="76"/>
      <c r="M29" s="79" t="s">
        <v>112</v>
      </c>
      <c r="N29" s="113">
        <f>A23*D23*F25*H40*J32*M30</f>
        <v>0</v>
      </c>
      <c r="O29" s="76"/>
      <c r="P29" s="76"/>
      <c r="Q29" s="76"/>
      <c r="R29" s="76"/>
      <c r="S29" s="76"/>
      <c r="T29" s="76"/>
      <c r="U29" s="76"/>
      <c r="V29" s="76"/>
      <c r="W29" s="76"/>
      <c r="X29" s="76"/>
      <c r="Y29" s="76"/>
      <c r="Z29" s="76"/>
    </row>
    <row r="30" spans="1:26">
      <c r="A30" s="76"/>
      <c r="B30" s="76"/>
      <c r="C30" s="84"/>
      <c r="D30" s="86"/>
      <c r="E30" s="76"/>
      <c r="F30" s="76"/>
      <c r="G30" s="84"/>
      <c r="H30" s="86"/>
      <c r="I30" s="76"/>
      <c r="J30" s="76"/>
      <c r="K30" s="76"/>
      <c r="L30" s="84"/>
      <c r="M30" s="85">
        <f>1-SevereCFRNoAmox</f>
        <v>0</v>
      </c>
      <c r="N30" s="76"/>
      <c r="O30" s="76"/>
      <c r="P30" s="76"/>
      <c r="Q30" s="76"/>
      <c r="R30" s="76"/>
      <c r="S30" s="76"/>
      <c r="T30" s="76"/>
      <c r="U30" s="76"/>
      <c r="V30" s="76"/>
      <c r="W30" s="76"/>
      <c r="X30" s="76"/>
      <c r="Y30" s="76"/>
      <c r="Z30" s="76"/>
    </row>
    <row r="31" spans="1:26">
      <c r="A31" s="76"/>
      <c r="B31" s="76"/>
      <c r="C31" s="84"/>
      <c r="D31" s="86"/>
      <c r="E31" s="76"/>
      <c r="F31" s="76"/>
      <c r="G31" s="84"/>
      <c r="H31" s="86"/>
      <c r="I31" s="76"/>
      <c r="J31" s="79" t="s">
        <v>115</v>
      </c>
      <c r="K31" s="79"/>
      <c r="L31" s="105"/>
      <c r="M31" s="86"/>
      <c r="N31" s="76"/>
      <c r="O31" s="76"/>
      <c r="P31" s="76"/>
      <c r="Q31" s="76"/>
      <c r="R31" s="76"/>
      <c r="S31" s="76"/>
      <c r="T31" s="76"/>
      <c r="U31" s="76"/>
      <c r="V31" s="76"/>
      <c r="W31" s="76"/>
      <c r="X31" s="76"/>
      <c r="Y31" s="76"/>
      <c r="Z31" s="76"/>
    </row>
    <row r="32" spans="1:26">
      <c r="A32" s="76"/>
      <c r="B32" s="76"/>
      <c r="C32" s="84"/>
      <c r="D32" s="86"/>
      <c r="E32" s="76"/>
      <c r="F32" s="76"/>
      <c r="G32" s="84"/>
      <c r="H32" s="86"/>
      <c r="I32" s="84"/>
      <c r="J32" s="85">
        <f>SevereGivesUp</f>
        <v>0.5</v>
      </c>
      <c r="K32" s="77"/>
      <c r="L32" s="83"/>
      <c r="M32" s="90" t="s">
        <v>113</v>
      </c>
      <c r="N32" s="113">
        <f>A23*D23*F25*H40*J32*M33</f>
        <v>1944.5054138763585</v>
      </c>
      <c r="O32" s="76"/>
      <c r="P32" s="76"/>
      <c r="Q32" s="76"/>
      <c r="R32" s="76"/>
      <c r="S32" s="76"/>
      <c r="T32" s="76"/>
      <c r="U32" s="76"/>
      <c r="V32" s="76"/>
      <c r="W32" s="76"/>
      <c r="X32" s="76"/>
      <c r="Y32" s="76"/>
      <c r="Z32" s="76"/>
    </row>
    <row r="33" spans="1:26">
      <c r="A33" s="76"/>
      <c r="B33" s="76"/>
      <c r="C33" s="84"/>
      <c r="D33" s="86"/>
      <c r="E33" s="76"/>
      <c r="F33" s="76"/>
      <c r="G33" s="84"/>
      <c r="H33" s="86"/>
      <c r="I33" s="84"/>
      <c r="J33" s="86"/>
      <c r="K33" s="76"/>
      <c r="L33" s="76"/>
      <c r="M33" s="77">
        <f>SevereCFRNoAmox</f>
        <v>1</v>
      </c>
      <c r="N33" s="76"/>
      <c r="O33" s="76"/>
      <c r="P33" s="76"/>
      <c r="Q33" s="76"/>
      <c r="R33" s="76"/>
      <c r="S33" s="76"/>
      <c r="T33" s="76"/>
      <c r="U33" s="76"/>
      <c r="V33" s="76"/>
      <c r="W33" s="76"/>
      <c r="X33" s="76"/>
      <c r="Y33" s="76"/>
      <c r="Z33" s="76"/>
    </row>
    <row r="34" spans="1:26">
      <c r="A34" s="76"/>
      <c r="B34" s="76"/>
      <c r="C34" s="84"/>
      <c r="D34" s="86"/>
      <c r="E34" s="76"/>
      <c r="F34" s="76"/>
      <c r="G34" s="84"/>
      <c r="H34" s="86"/>
      <c r="I34" s="84"/>
      <c r="J34" s="86"/>
      <c r="K34" s="76"/>
      <c r="L34" s="76"/>
      <c r="M34" s="77"/>
      <c r="N34" s="76"/>
      <c r="O34" s="76"/>
      <c r="P34" s="91"/>
      <c r="Q34" s="76"/>
      <c r="R34" s="76"/>
      <c r="S34" s="76"/>
      <c r="T34" s="76"/>
      <c r="U34" s="76"/>
      <c r="V34" s="76"/>
      <c r="W34" s="76"/>
      <c r="X34" s="76"/>
      <c r="Y34" s="76"/>
      <c r="Z34" s="76"/>
    </row>
    <row r="35" spans="1:26">
      <c r="A35" s="76"/>
      <c r="B35" s="76"/>
      <c r="C35" s="84"/>
      <c r="D35" s="86"/>
      <c r="E35" s="76"/>
      <c r="F35" s="76"/>
      <c r="G35" s="84"/>
      <c r="H35" s="86"/>
      <c r="I35" s="84"/>
      <c r="J35" s="86"/>
      <c r="K35" s="76"/>
      <c r="L35" s="76"/>
      <c r="M35" s="76"/>
      <c r="N35" s="76"/>
      <c r="O35" s="76"/>
      <c r="P35" s="79" t="s">
        <v>112</v>
      </c>
      <c r="Q35" s="113">
        <f>A23*D23*F25*H40*J40*M38*P36</f>
        <v>0</v>
      </c>
      <c r="R35" s="76"/>
      <c r="S35" s="76"/>
      <c r="T35" s="76"/>
      <c r="U35" s="76"/>
      <c r="V35" s="76"/>
      <c r="W35" s="76"/>
      <c r="X35" s="76"/>
      <c r="Y35" s="76"/>
      <c r="Z35" s="76"/>
    </row>
    <row r="36" spans="1:26">
      <c r="A36" s="76"/>
      <c r="B36" s="76"/>
      <c r="C36" s="84"/>
      <c r="D36" s="86"/>
      <c r="E36" s="76"/>
      <c r="F36" s="76"/>
      <c r="G36" s="84"/>
      <c r="H36" s="86"/>
      <c r="I36" s="84"/>
      <c r="J36" s="86"/>
      <c r="K36" s="76"/>
      <c r="L36" s="76"/>
      <c r="M36" s="76"/>
      <c r="N36" s="76"/>
      <c r="O36" s="84"/>
      <c r="P36" s="85">
        <f>1-SevereCFRNoAmox</f>
        <v>0</v>
      </c>
      <c r="Q36" s="76"/>
      <c r="R36" s="76"/>
      <c r="S36" s="76"/>
      <c r="T36" s="76"/>
      <c r="U36" s="76"/>
      <c r="V36" s="76"/>
      <c r="W36" s="76"/>
      <c r="X36" s="76"/>
      <c r="Y36" s="76"/>
      <c r="Z36" s="76"/>
    </row>
    <row r="37" spans="1:26">
      <c r="A37" s="76"/>
      <c r="B37" s="76"/>
      <c r="C37" s="84"/>
      <c r="D37" s="86"/>
      <c r="E37" s="76"/>
      <c r="F37" s="76"/>
      <c r="G37" s="84"/>
      <c r="H37" s="86"/>
      <c r="I37" s="84"/>
      <c r="J37" s="86"/>
      <c r="K37" s="76"/>
      <c r="L37" s="76"/>
      <c r="M37" s="79" t="s">
        <v>115</v>
      </c>
      <c r="N37" s="79"/>
      <c r="O37" s="105"/>
      <c r="P37" s="86"/>
      <c r="Q37" s="76"/>
      <c r="R37" s="76"/>
      <c r="S37" s="76"/>
      <c r="T37" s="76"/>
      <c r="U37" s="76"/>
      <c r="V37" s="76"/>
      <c r="W37" s="76"/>
      <c r="X37" s="76"/>
      <c r="Y37" s="76"/>
      <c r="Z37" s="76"/>
    </row>
    <row r="38" spans="1:26">
      <c r="A38" s="76"/>
      <c r="B38" s="76"/>
      <c r="C38" s="84"/>
      <c r="D38" s="86"/>
      <c r="E38" s="76"/>
      <c r="F38" s="76"/>
      <c r="G38" s="84"/>
      <c r="H38" s="86"/>
      <c r="I38" s="84"/>
      <c r="J38" s="86"/>
      <c r="K38" s="76"/>
      <c r="L38" s="84"/>
      <c r="M38" s="85">
        <f>1-PublicAmoxStock</f>
        <v>0.44699999999999995</v>
      </c>
      <c r="N38" s="77"/>
      <c r="O38" s="83"/>
      <c r="P38" s="90" t="s">
        <v>113</v>
      </c>
      <c r="Q38" s="113">
        <f>A23*D23*F25*H40*J40*M38*P39</f>
        <v>347.67756800109288</v>
      </c>
      <c r="R38" s="76"/>
      <c r="S38" s="76"/>
      <c r="T38" s="76"/>
      <c r="U38" s="76"/>
      <c r="V38" s="76"/>
      <c r="W38" s="76"/>
      <c r="X38" s="76"/>
      <c r="Y38" s="76"/>
      <c r="Z38" s="76"/>
    </row>
    <row r="39" spans="1:26" ht="31.5">
      <c r="A39" s="76"/>
      <c r="B39" s="76"/>
      <c r="C39" s="84"/>
      <c r="D39" s="86"/>
      <c r="E39" s="76"/>
      <c r="F39" s="76"/>
      <c r="G39" s="84"/>
      <c r="H39" s="87" t="s">
        <v>114</v>
      </c>
      <c r="I39" s="88"/>
      <c r="J39" s="90" t="s">
        <v>123</v>
      </c>
      <c r="K39" s="79"/>
      <c r="L39" s="105"/>
      <c r="M39" s="86"/>
      <c r="N39" s="76"/>
      <c r="O39" s="76"/>
      <c r="P39" s="77">
        <f>SevereCFRNoAmox</f>
        <v>1</v>
      </c>
      <c r="Q39" s="76"/>
      <c r="R39" s="76"/>
      <c r="S39" s="76"/>
      <c r="T39" s="76"/>
      <c r="U39" s="76"/>
      <c r="V39" s="76"/>
      <c r="W39" s="76"/>
      <c r="X39" s="76"/>
      <c r="Y39" s="76"/>
      <c r="Z39" s="76"/>
    </row>
    <row r="40" spans="1:26">
      <c r="A40" s="76"/>
      <c r="B40" s="76"/>
      <c r="C40" s="84"/>
      <c r="D40" s="86"/>
      <c r="E40" s="76"/>
      <c r="F40" s="76"/>
      <c r="G40" s="84"/>
      <c r="H40" s="77">
        <f>1-PublicAmoxStock</f>
        <v>0.44699999999999995</v>
      </c>
      <c r="I40" s="83"/>
      <c r="J40" s="85">
        <f>SevereSecondPublic</f>
        <v>0.2</v>
      </c>
      <c r="K40" s="77"/>
      <c r="L40" s="83"/>
      <c r="M40" s="86"/>
      <c r="N40" s="76"/>
      <c r="O40" s="76"/>
      <c r="P40" s="76"/>
      <c r="Q40" s="76"/>
      <c r="R40" s="76"/>
      <c r="S40" s="76"/>
      <c r="T40" s="76"/>
      <c r="U40" s="76"/>
      <c r="V40" s="76"/>
      <c r="W40" s="76"/>
      <c r="X40" s="76"/>
      <c r="Y40" s="76"/>
      <c r="Z40" s="76"/>
    </row>
    <row r="41" spans="1:26">
      <c r="A41" s="76"/>
      <c r="B41" s="76"/>
      <c r="C41" s="84"/>
      <c r="D41" s="86"/>
      <c r="E41" s="76"/>
      <c r="F41" s="76"/>
      <c r="G41" s="84"/>
      <c r="H41" s="77"/>
      <c r="I41" s="83"/>
      <c r="J41" s="85"/>
      <c r="K41" s="77"/>
      <c r="L41" s="83"/>
      <c r="M41" s="86"/>
      <c r="N41" s="76"/>
      <c r="O41" s="76"/>
      <c r="Q41" s="76"/>
      <c r="R41" s="76"/>
      <c r="S41" s="76"/>
      <c r="T41" s="76"/>
      <c r="U41" s="76"/>
      <c r="V41" s="76"/>
      <c r="W41" s="76"/>
      <c r="X41" s="76"/>
      <c r="Y41" s="76"/>
      <c r="Z41" s="76"/>
    </row>
    <row r="42" spans="1:26">
      <c r="A42" s="76"/>
      <c r="B42" s="76"/>
      <c r="C42" s="84"/>
      <c r="D42" s="86"/>
      <c r="E42" s="76"/>
      <c r="F42" s="76"/>
      <c r="G42" s="84"/>
      <c r="H42" s="76"/>
      <c r="I42" s="84"/>
      <c r="J42" s="86"/>
      <c r="K42" s="76"/>
      <c r="L42" s="84"/>
      <c r="M42" s="86"/>
      <c r="N42" s="76"/>
      <c r="O42" s="76"/>
      <c r="P42" s="79" t="s">
        <v>112</v>
      </c>
      <c r="Q42" s="113">
        <f>A23*D23*F25*H40*J40*M44*P43</f>
        <v>301.0872182846154</v>
      </c>
      <c r="R42" s="76"/>
      <c r="S42" s="76"/>
      <c r="T42" s="76"/>
      <c r="U42" s="76"/>
      <c r="V42" s="76"/>
      <c r="W42" s="76"/>
      <c r="X42" s="76"/>
      <c r="Y42" s="76"/>
      <c r="Z42" s="76"/>
    </row>
    <row r="43" spans="1:26">
      <c r="A43" s="76"/>
      <c r="B43" s="76"/>
      <c r="C43" s="84"/>
      <c r="D43" s="86"/>
      <c r="E43" s="76"/>
      <c r="F43" s="76"/>
      <c r="G43" s="84"/>
      <c r="H43" s="76"/>
      <c r="I43" s="84"/>
      <c r="J43" s="86"/>
      <c r="K43" s="76"/>
      <c r="L43" s="84"/>
      <c r="M43" s="90" t="s">
        <v>111</v>
      </c>
      <c r="N43" s="79"/>
      <c r="O43" s="105"/>
      <c r="P43" s="85">
        <f>1-SevereCFRAmox</f>
        <v>0.7</v>
      </c>
      <c r="Q43" s="76"/>
      <c r="R43" s="76"/>
      <c r="S43" s="76"/>
      <c r="T43" s="76"/>
      <c r="U43" s="76"/>
      <c r="V43" s="76"/>
      <c r="W43" s="76"/>
      <c r="X43" s="76"/>
      <c r="Y43" s="76"/>
      <c r="Z43" s="76"/>
    </row>
    <row r="44" spans="1:26">
      <c r="A44" s="76"/>
      <c r="B44" s="76"/>
      <c r="C44" s="84"/>
      <c r="D44" s="86"/>
      <c r="E44" s="76"/>
      <c r="F44" s="76"/>
      <c r="G44" s="84"/>
      <c r="H44" s="76"/>
      <c r="I44" s="84"/>
      <c r="J44" s="86"/>
      <c r="K44" s="76"/>
      <c r="L44" s="76"/>
      <c r="M44" s="77">
        <f>PublicAmoxStock</f>
        <v>0.55300000000000005</v>
      </c>
      <c r="N44" s="77"/>
      <c r="O44" s="83"/>
      <c r="P44" s="103"/>
      <c r="Q44" s="76"/>
      <c r="R44" s="76"/>
      <c r="S44" s="76"/>
      <c r="T44" s="76"/>
      <c r="U44" s="76"/>
      <c r="V44" s="76"/>
      <c r="W44" s="76"/>
      <c r="X44" s="76"/>
      <c r="Y44" s="76"/>
      <c r="Z44" s="76"/>
    </row>
    <row r="45" spans="1:26">
      <c r="A45" s="76"/>
      <c r="B45" s="76"/>
      <c r="C45" s="84"/>
      <c r="D45" s="86"/>
      <c r="E45" s="76"/>
      <c r="F45" s="76"/>
      <c r="G45" s="84"/>
      <c r="H45" s="76"/>
      <c r="I45" s="84"/>
      <c r="J45" s="86"/>
      <c r="K45" s="76"/>
      <c r="L45" s="76"/>
      <c r="M45" s="76"/>
      <c r="N45" s="76"/>
      <c r="O45" s="84"/>
      <c r="P45" s="90" t="s">
        <v>113</v>
      </c>
      <c r="Q45" s="113">
        <f>A23*D23*F25*H40*J40*M44*P46</f>
        <v>129.03737926483518</v>
      </c>
      <c r="R45" s="76"/>
      <c r="S45" s="76"/>
      <c r="T45" s="76"/>
      <c r="U45" s="76"/>
      <c r="V45" s="76"/>
      <c r="W45" s="76"/>
      <c r="X45" s="76"/>
      <c r="Y45" s="76"/>
      <c r="Z45" s="76"/>
    </row>
    <row r="46" spans="1:26">
      <c r="A46" s="76"/>
      <c r="B46" s="76"/>
      <c r="C46" s="84"/>
      <c r="D46" s="86"/>
      <c r="E46" s="76"/>
      <c r="F46" s="76"/>
      <c r="G46" s="84"/>
      <c r="H46" s="76"/>
      <c r="I46" s="84"/>
      <c r="J46" s="86"/>
      <c r="K46" s="76"/>
      <c r="L46" s="76"/>
      <c r="M46" s="76"/>
      <c r="N46" s="76"/>
      <c r="O46" s="76"/>
      <c r="P46" s="77">
        <f>SevereCFRAmox</f>
        <v>0.30000000000000004</v>
      </c>
      <c r="Q46" s="76"/>
      <c r="R46" s="76"/>
      <c r="S46" s="76"/>
      <c r="T46" s="76"/>
      <c r="U46" s="76"/>
      <c r="V46" s="76"/>
      <c r="W46" s="76"/>
      <c r="X46" s="76"/>
      <c r="Y46" s="76"/>
      <c r="Z46" s="76"/>
    </row>
    <row r="47" spans="1:26">
      <c r="A47" s="76"/>
      <c r="B47" s="76"/>
      <c r="C47" s="84"/>
      <c r="D47" s="86"/>
      <c r="E47" s="76"/>
      <c r="F47" s="76"/>
      <c r="G47" s="84"/>
      <c r="H47" s="76"/>
      <c r="I47" s="84"/>
      <c r="J47" s="103"/>
      <c r="K47" s="76"/>
      <c r="L47" s="76"/>
      <c r="M47" s="79" t="s">
        <v>112</v>
      </c>
      <c r="N47" s="113">
        <f>A23*D23*F25*H40*J49*M48</f>
        <v>816.6922738280706</v>
      </c>
      <c r="O47" s="76"/>
      <c r="P47" s="76"/>
      <c r="Q47" s="76"/>
      <c r="R47" s="76"/>
      <c r="S47" s="76"/>
      <c r="T47" s="76"/>
      <c r="U47" s="76"/>
      <c r="V47" s="76"/>
      <c r="W47" s="76"/>
      <c r="X47" s="76"/>
      <c r="Y47" s="76"/>
      <c r="Z47" s="76"/>
    </row>
    <row r="48" spans="1:26" ht="47.25">
      <c r="A48" s="76"/>
      <c r="B48" s="76"/>
      <c r="C48" s="84"/>
      <c r="D48" s="86"/>
      <c r="E48" s="76"/>
      <c r="F48" s="76"/>
      <c r="G48" s="76"/>
      <c r="H48" s="77"/>
      <c r="I48" s="84"/>
      <c r="J48" s="87" t="s">
        <v>188</v>
      </c>
      <c r="K48" s="79"/>
      <c r="L48" s="105"/>
      <c r="M48" s="85">
        <f>1-SevereCFRAmox</f>
        <v>0.7</v>
      </c>
      <c r="N48" s="76"/>
      <c r="O48" s="76"/>
      <c r="P48" s="76"/>
      <c r="Q48" s="76"/>
      <c r="R48" s="76"/>
      <c r="S48" s="76"/>
      <c r="T48" s="76"/>
      <c r="U48" s="76"/>
      <c r="V48" s="76"/>
      <c r="W48" s="76"/>
      <c r="X48" s="76"/>
      <c r="Y48" s="76"/>
      <c r="Z48" s="76"/>
    </row>
    <row r="49" spans="1:26">
      <c r="A49" s="76"/>
      <c r="B49" s="76"/>
      <c r="C49" s="84"/>
      <c r="D49" s="86"/>
      <c r="E49" s="76"/>
      <c r="F49" s="76"/>
      <c r="G49" s="76"/>
      <c r="H49" s="77"/>
      <c r="I49" s="76"/>
      <c r="J49" s="77">
        <f>SevereSecondPrivate</f>
        <v>0.3</v>
      </c>
      <c r="K49" s="77"/>
      <c r="L49" s="83"/>
      <c r="M49" s="86"/>
      <c r="N49" s="76"/>
      <c r="O49" s="76"/>
      <c r="P49" s="76"/>
      <c r="Q49" s="76"/>
      <c r="R49" s="76"/>
      <c r="S49" s="76"/>
      <c r="T49" s="76"/>
      <c r="U49" s="76"/>
      <c r="V49" s="76"/>
      <c r="W49" s="76"/>
      <c r="X49" s="76"/>
      <c r="Y49" s="76"/>
      <c r="Z49" s="76"/>
    </row>
    <row r="50" spans="1:26">
      <c r="A50" s="76"/>
      <c r="B50" s="76"/>
      <c r="C50" s="84"/>
      <c r="D50" s="86"/>
      <c r="E50" s="76"/>
      <c r="F50" s="76"/>
      <c r="G50" s="76"/>
      <c r="H50" s="77"/>
      <c r="I50" s="76"/>
      <c r="J50" s="76"/>
      <c r="K50" s="76"/>
      <c r="L50" s="84"/>
      <c r="M50" s="90" t="s">
        <v>113</v>
      </c>
      <c r="N50" s="113">
        <f>A23*D23*F25*H40*J49*M51</f>
        <v>350.0109744977446</v>
      </c>
      <c r="O50" s="76"/>
      <c r="P50" s="76"/>
      <c r="Q50" s="76"/>
      <c r="R50" s="76"/>
      <c r="S50" s="76"/>
      <c r="T50" s="76"/>
      <c r="U50" s="76"/>
      <c r="V50" s="76"/>
      <c r="W50" s="76"/>
      <c r="X50" s="76"/>
      <c r="Y50" s="76"/>
      <c r="Z50" s="76"/>
    </row>
    <row r="51" spans="1:26">
      <c r="A51" s="76"/>
      <c r="B51" s="76"/>
      <c r="C51" s="84"/>
      <c r="D51" s="86"/>
      <c r="E51" s="76"/>
      <c r="F51" s="76"/>
      <c r="G51" s="76"/>
      <c r="H51" s="76"/>
      <c r="I51" s="76"/>
      <c r="J51" s="76"/>
      <c r="K51" s="76"/>
      <c r="L51" s="76"/>
      <c r="M51" s="77">
        <f>SevereCFRAmox</f>
        <v>0.30000000000000004</v>
      </c>
      <c r="N51" s="76"/>
      <c r="O51" s="76"/>
      <c r="P51" s="76"/>
      <c r="Q51" s="76"/>
      <c r="R51" s="76"/>
      <c r="S51" s="76"/>
      <c r="T51" s="76"/>
      <c r="U51" s="76"/>
      <c r="V51" s="76"/>
      <c r="W51" s="76"/>
      <c r="X51" s="76"/>
      <c r="Y51" s="76"/>
      <c r="Z51" s="76"/>
    </row>
    <row r="52" spans="1:26">
      <c r="A52" s="76"/>
      <c r="B52" s="76"/>
      <c r="C52" s="84"/>
      <c r="D52" s="86"/>
      <c r="E52" s="76"/>
      <c r="F52" s="76"/>
      <c r="G52" s="76"/>
      <c r="H52" s="76"/>
      <c r="I52" s="76"/>
      <c r="J52" s="76"/>
      <c r="K52" s="76"/>
      <c r="L52" s="76"/>
      <c r="M52" s="76"/>
      <c r="N52" s="76"/>
      <c r="O52" s="76"/>
      <c r="P52" s="76"/>
      <c r="Q52" s="76"/>
      <c r="R52" s="76"/>
      <c r="S52" s="76"/>
      <c r="T52" s="76"/>
      <c r="U52" s="76"/>
      <c r="V52" s="76"/>
      <c r="W52" s="76"/>
      <c r="X52" s="76"/>
      <c r="Y52" s="76"/>
      <c r="Z52" s="76"/>
    </row>
    <row r="53" spans="1:26">
      <c r="A53" s="76"/>
      <c r="B53" s="76"/>
      <c r="C53" s="84"/>
      <c r="D53" s="86"/>
      <c r="E53" s="76"/>
      <c r="F53" s="76"/>
      <c r="G53" s="76"/>
      <c r="H53" s="76"/>
      <c r="I53" s="76"/>
      <c r="J53" s="76"/>
      <c r="K53" s="76"/>
      <c r="L53" s="76"/>
      <c r="M53" s="76"/>
      <c r="N53" s="76"/>
      <c r="O53" s="76"/>
      <c r="P53" s="76"/>
      <c r="Q53" s="76"/>
      <c r="R53" s="76"/>
      <c r="S53" s="76"/>
      <c r="T53" s="76"/>
      <c r="U53" s="76"/>
      <c r="V53" s="76"/>
      <c r="W53" s="76"/>
      <c r="X53" s="76"/>
      <c r="Y53" s="76"/>
      <c r="Z53" s="76"/>
    </row>
    <row r="54" spans="1:26">
      <c r="A54" s="76"/>
      <c r="B54" s="76"/>
      <c r="C54" s="84"/>
      <c r="D54" s="86"/>
      <c r="E54" s="76"/>
      <c r="F54" s="76"/>
      <c r="G54" s="76"/>
      <c r="H54" s="76"/>
      <c r="I54" s="76"/>
      <c r="J54" s="76"/>
      <c r="K54" s="76"/>
      <c r="L54" s="76"/>
      <c r="M54" s="76"/>
      <c r="N54" s="76"/>
      <c r="O54" s="76"/>
      <c r="P54" s="76"/>
      <c r="Q54" s="76"/>
      <c r="R54" s="76"/>
      <c r="S54" s="76"/>
      <c r="T54" s="76"/>
      <c r="U54" s="76"/>
      <c r="V54" s="76"/>
      <c r="W54" s="76"/>
      <c r="X54" s="76"/>
      <c r="Y54" s="76"/>
      <c r="Z54" s="76"/>
    </row>
    <row r="55" spans="1:26">
      <c r="A55" s="76"/>
      <c r="B55" s="76"/>
      <c r="C55" s="84"/>
      <c r="D55" s="86"/>
      <c r="E55" s="76"/>
      <c r="F55" s="76"/>
      <c r="G55" s="76"/>
      <c r="H55" s="76"/>
      <c r="I55" s="79" t="s">
        <v>112</v>
      </c>
      <c r="J55" s="113">
        <f>A23*D61*G57*I56</f>
        <v>0</v>
      </c>
      <c r="K55" s="76"/>
      <c r="L55" s="76"/>
      <c r="M55" s="76"/>
      <c r="N55" s="76"/>
      <c r="O55" s="76"/>
      <c r="P55" s="76"/>
      <c r="Q55" s="76"/>
      <c r="R55" s="76"/>
      <c r="S55" s="76"/>
      <c r="T55" s="76"/>
      <c r="U55" s="76"/>
      <c r="V55" s="76"/>
      <c r="W55" s="76"/>
      <c r="X55" s="76"/>
      <c r="Y55" s="76"/>
      <c r="Z55" s="76"/>
    </row>
    <row r="56" spans="1:26" ht="47.25">
      <c r="A56" s="76"/>
      <c r="B56" s="76"/>
      <c r="C56" s="84"/>
      <c r="D56" s="86"/>
      <c r="E56" s="76"/>
      <c r="F56" s="76"/>
      <c r="G56" s="78" t="s">
        <v>108</v>
      </c>
      <c r="H56" s="88"/>
      <c r="I56" s="85">
        <f>1-SevereCFRNoAmox</f>
        <v>0</v>
      </c>
      <c r="J56" s="76"/>
      <c r="K56" s="76"/>
      <c r="L56" s="76"/>
      <c r="M56" s="76"/>
      <c r="N56" s="76"/>
      <c r="O56" s="76"/>
      <c r="P56" s="76"/>
      <c r="Q56" s="76"/>
      <c r="R56" s="76"/>
      <c r="S56" s="76"/>
      <c r="T56" s="76"/>
      <c r="U56" s="76"/>
      <c r="V56" s="76"/>
      <c r="W56" s="76"/>
      <c r="X56" s="76"/>
      <c r="Y56" s="76"/>
      <c r="Z56" s="76"/>
    </row>
    <row r="57" spans="1:26">
      <c r="A57" s="76"/>
      <c r="B57" s="76"/>
      <c r="C57" s="84"/>
      <c r="D57" s="86"/>
      <c r="E57" s="76"/>
      <c r="F57" s="84"/>
      <c r="G57" s="85">
        <f>1-SeverePrivateDiagnosis</f>
        <v>0.19999999999999996</v>
      </c>
      <c r="H57" s="83"/>
      <c r="I57" s="86"/>
      <c r="J57" s="76"/>
      <c r="K57" s="76"/>
      <c r="L57" s="76"/>
      <c r="M57" s="76"/>
      <c r="N57" s="76"/>
      <c r="O57" s="76"/>
      <c r="P57" s="76"/>
      <c r="Q57" s="76"/>
      <c r="R57" s="76"/>
      <c r="S57" s="76"/>
      <c r="T57" s="76"/>
      <c r="U57" s="76"/>
      <c r="V57" s="76"/>
      <c r="W57" s="76"/>
      <c r="X57" s="76"/>
      <c r="Y57" s="76"/>
      <c r="Z57" s="76"/>
    </row>
    <row r="58" spans="1:26">
      <c r="A58" s="76"/>
      <c r="B58" s="76"/>
      <c r="C58" s="84"/>
      <c r="D58" s="86"/>
      <c r="E58" s="76"/>
      <c r="F58" s="84"/>
      <c r="G58" s="86"/>
      <c r="H58" s="84"/>
      <c r="I58" s="90" t="s">
        <v>113</v>
      </c>
      <c r="J58" s="113">
        <f>A23*D61*G57*I59</f>
        <v>988.66453827351938</v>
      </c>
      <c r="K58" s="76"/>
      <c r="L58" s="76"/>
      <c r="M58" s="76"/>
      <c r="N58" s="76"/>
      <c r="O58" s="76"/>
      <c r="P58" s="76"/>
      <c r="Q58" s="76"/>
      <c r="R58" s="76"/>
      <c r="S58" s="76"/>
      <c r="T58" s="76"/>
      <c r="U58" s="76"/>
      <c r="V58" s="76"/>
      <c r="W58" s="76"/>
      <c r="X58" s="76"/>
      <c r="Y58" s="76"/>
      <c r="Z58" s="76"/>
    </row>
    <row r="59" spans="1:26">
      <c r="A59" s="76"/>
      <c r="B59" s="76"/>
      <c r="C59" s="84"/>
      <c r="D59" s="93"/>
      <c r="E59" s="91"/>
      <c r="F59" s="92"/>
      <c r="G59" s="86"/>
      <c r="H59" s="84"/>
      <c r="I59" s="76">
        <f>SevereCFRNoAmox</f>
        <v>1</v>
      </c>
      <c r="J59" s="76"/>
      <c r="K59" s="76"/>
      <c r="L59" s="76"/>
      <c r="N59" s="76"/>
      <c r="O59" s="76"/>
      <c r="P59" s="76"/>
      <c r="Q59" s="76"/>
      <c r="R59" s="76"/>
      <c r="S59" s="76"/>
      <c r="T59" s="76"/>
      <c r="U59" s="76"/>
      <c r="V59" s="76"/>
      <c r="W59" s="76"/>
      <c r="X59" s="76"/>
      <c r="Y59" s="76"/>
      <c r="Z59" s="76"/>
    </row>
    <row r="60" spans="1:26" ht="31.5">
      <c r="A60" s="76"/>
      <c r="B60" s="76"/>
      <c r="C60" s="84"/>
      <c r="D60" s="87" t="s">
        <v>107</v>
      </c>
      <c r="E60" s="79"/>
      <c r="F60" s="88"/>
      <c r="G60" s="75"/>
      <c r="H60" s="76"/>
      <c r="I60" s="77"/>
      <c r="J60" s="76"/>
      <c r="K60" s="76"/>
      <c r="L60" s="76"/>
      <c r="M60" s="79" t="s">
        <v>112</v>
      </c>
      <c r="N60" s="112">
        <f>A23*D61*G66*J62*M61</f>
        <v>0</v>
      </c>
      <c r="O60" s="76"/>
      <c r="P60" s="76"/>
      <c r="Q60" s="76"/>
      <c r="R60" s="76"/>
      <c r="S60" s="76"/>
      <c r="T60" s="76"/>
      <c r="U60" s="76"/>
      <c r="V60" s="76"/>
      <c r="W60" s="76"/>
      <c r="X60" s="76"/>
      <c r="Y60" s="76"/>
      <c r="Z60" s="76"/>
    </row>
    <row r="61" spans="1:26">
      <c r="A61" s="76"/>
      <c r="B61" s="76"/>
      <c r="C61" s="76"/>
      <c r="D61" s="77">
        <f>SeverePrivate</f>
        <v>0.25</v>
      </c>
      <c r="E61" s="77"/>
      <c r="F61" s="83"/>
      <c r="G61" s="86"/>
      <c r="H61" s="76"/>
      <c r="I61" s="76"/>
      <c r="J61" s="79" t="s">
        <v>110</v>
      </c>
      <c r="K61" s="79"/>
      <c r="L61" s="88"/>
      <c r="M61" s="85">
        <f>1-SevereCFRNoAmox</f>
        <v>0</v>
      </c>
      <c r="N61" s="76"/>
      <c r="O61" s="76"/>
      <c r="P61" s="76"/>
      <c r="Q61" s="76"/>
      <c r="R61" s="76"/>
      <c r="S61" s="76"/>
      <c r="T61" s="76"/>
      <c r="U61" s="76"/>
      <c r="V61" s="76"/>
      <c r="W61" s="76"/>
      <c r="X61" s="76"/>
      <c r="Y61" s="76"/>
      <c r="Z61" s="76"/>
    </row>
    <row r="62" spans="1:26">
      <c r="A62" s="76"/>
      <c r="B62" s="76"/>
      <c r="C62" s="76"/>
      <c r="D62" s="76"/>
      <c r="E62" s="76"/>
      <c r="F62" s="84"/>
      <c r="G62" s="86"/>
      <c r="H62" s="76"/>
      <c r="I62" s="84"/>
      <c r="J62" s="89">
        <f>1-PrivateAmoxStock</f>
        <v>6.2000000000000055E-2</v>
      </c>
      <c r="K62" s="77"/>
      <c r="L62" s="83"/>
      <c r="M62" s="86"/>
      <c r="N62" s="76"/>
      <c r="O62" s="76"/>
      <c r="P62" s="76"/>
      <c r="Q62" s="76"/>
      <c r="R62" s="76"/>
      <c r="S62" s="76"/>
      <c r="T62" s="76"/>
      <c r="U62" s="76"/>
      <c r="V62" s="76"/>
      <c r="W62" s="76"/>
      <c r="X62" s="76"/>
      <c r="Y62" s="76"/>
      <c r="Z62" s="76"/>
    </row>
    <row r="63" spans="1:26">
      <c r="A63" s="91"/>
      <c r="B63" s="91"/>
      <c r="C63" s="91"/>
      <c r="D63" s="91"/>
      <c r="E63" s="91"/>
      <c r="F63" s="92"/>
      <c r="G63" s="93"/>
      <c r="H63" s="91"/>
      <c r="I63" s="92"/>
      <c r="J63" s="93"/>
      <c r="K63" s="91"/>
      <c r="L63" s="92"/>
      <c r="M63" s="90" t="s">
        <v>113</v>
      </c>
      <c r="N63" s="115">
        <f>A23*D61*G66*J62*M64</f>
        <v>245.18880549183308</v>
      </c>
      <c r="O63" s="91"/>
      <c r="P63" s="91"/>
      <c r="Q63" s="91"/>
      <c r="R63" s="91"/>
      <c r="S63" s="91"/>
      <c r="T63" s="91"/>
      <c r="U63" s="91"/>
      <c r="V63" s="91"/>
      <c r="W63" s="91"/>
      <c r="X63" s="91"/>
      <c r="Y63" s="91"/>
      <c r="Z63" s="91"/>
    </row>
    <row r="64" spans="1:26">
      <c r="A64" s="95"/>
      <c r="B64" s="95"/>
      <c r="C64" s="95"/>
      <c r="D64" s="95"/>
      <c r="E64" s="95"/>
      <c r="F64" s="96"/>
      <c r="G64" s="98"/>
      <c r="H64" s="95"/>
      <c r="I64" s="96"/>
      <c r="J64" s="98"/>
      <c r="K64" s="95"/>
      <c r="L64" s="95"/>
      <c r="M64" s="94">
        <f>SevereCFRNoAmox</f>
        <v>1</v>
      </c>
      <c r="N64" s="95"/>
      <c r="O64" s="95"/>
      <c r="P64" s="95"/>
      <c r="Q64" s="95"/>
      <c r="R64" s="95"/>
      <c r="S64" s="95"/>
      <c r="T64" s="95"/>
      <c r="U64" s="95"/>
      <c r="V64" s="95"/>
      <c r="W64" s="95"/>
      <c r="X64" s="95"/>
      <c r="Y64" s="95"/>
      <c r="Z64" s="95"/>
    </row>
    <row r="65" spans="1:26">
      <c r="A65" s="94"/>
      <c r="B65" s="94"/>
      <c r="C65" s="94"/>
      <c r="D65" s="94"/>
      <c r="E65" s="94"/>
      <c r="F65" s="97"/>
      <c r="G65" s="100" t="s">
        <v>109</v>
      </c>
      <c r="H65" s="101"/>
      <c r="I65" s="102"/>
      <c r="J65" s="99"/>
      <c r="K65" s="94"/>
      <c r="L65" s="94"/>
      <c r="M65" s="94"/>
      <c r="N65" s="94"/>
      <c r="O65" s="94"/>
      <c r="P65" s="94"/>
      <c r="Q65" s="94"/>
      <c r="R65" s="94"/>
      <c r="S65" s="94"/>
      <c r="T65" s="94"/>
      <c r="U65" s="94"/>
      <c r="V65" s="94"/>
      <c r="W65" s="94"/>
      <c r="X65" s="94"/>
      <c r="Y65" s="94"/>
      <c r="Z65" s="94"/>
    </row>
    <row r="66" spans="1:26">
      <c r="A66" s="95"/>
      <c r="B66" s="95"/>
      <c r="C66" s="95"/>
      <c r="D66" s="95"/>
      <c r="E66" s="95"/>
      <c r="F66" s="95"/>
      <c r="G66" s="94">
        <f>SeverePrivateDiagnosis</f>
        <v>0.8</v>
      </c>
      <c r="H66" s="94"/>
      <c r="I66" s="97"/>
      <c r="J66" s="98"/>
      <c r="K66" s="95"/>
      <c r="L66" s="95"/>
      <c r="M66" s="95"/>
      <c r="N66" s="95"/>
      <c r="O66" s="95"/>
      <c r="P66" s="95"/>
      <c r="Q66" s="95"/>
      <c r="R66" s="95"/>
      <c r="S66" s="95"/>
      <c r="T66" s="95"/>
      <c r="U66" s="95"/>
      <c r="V66" s="95"/>
      <c r="W66" s="95"/>
      <c r="X66" s="95"/>
      <c r="Y66" s="95"/>
      <c r="Z66" s="95"/>
    </row>
    <row r="67" spans="1:26">
      <c r="A67" s="95"/>
      <c r="B67" s="95"/>
      <c r="C67" s="95"/>
      <c r="D67" s="95"/>
      <c r="E67" s="95"/>
      <c r="F67" s="95"/>
      <c r="G67" s="95"/>
      <c r="H67" s="95"/>
      <c r="I67" s="96"/>
      <c r="J67" s="98"/>
      <c r="K67" s="95"/>
      <c r="L67" s="95"/>
      <c r="M67" s="95"/>
      <c r="N67" s="95"/>
      <c r="O67" s="95"/>
      <c r="P67" s="95"/>
      <c r="Q67" s="95"/>
      <c r="R67" s="95"/>
      <c r="S67" s="95"/>
      <c r="T67" s="95"/>
      <c r="U67" s="95"/>
      <c r="V67" s="95"/>
      <c r="W67" s="95"/>
      <c r="X67" s="95"/>
      <c r="Y67" s="95"/>
      <c r="Z67" s="95"/>
    </row>
    <row r="68" spans="1:26">
      <c r="A68" s="95"/>
      <c r="B68" s="95"/>
      <c r="C68" s="95"/>
      <c r="D68" s="95"/>
      <c r="E68" s="95"/>
      <c r="F68" s="95"/>
      <c r="G68" s="95"/>
      <c r="H68" s="95"/>
      <c r="I68" s="96"/>
      <c r="J68" s="98"/>
      <c r="K68" s="95"/>
      <c r="L68" s="96"/>
      <c r="M68" s="79" t="s">
        <v>112</v>
      </c>
      <c r="N68" s="116">
        <f>A23*D61*G66*J71*M69</f>
        <v>2596.6285433215717</v>
      </c>
      <c r="O68" s="95"/>
      <c r="P68" s="95"/>
      <c r="Q68" s="95"/>
      <c r="R68" s="95"/>
      <c r="S68" s="95"/>
      <c r="T68" s="95"/>
      <c r="U68" s="95"/>
      <c r="V68" s="95"/>
      <c r="W68" s="95"/>
      <c r="X68" s="95"/>
      <c r="Y68" s="95"/>
      <c r="Z68" s="95"/>
    </row>
    <row r="69" spans="1:26">
      <c r="A69" s="95"/>
      <c r="B69" s="95"/>
      <c r="C69" s="95"/>
      <c r="D69" s="95"/>
      <c r="E69" s="95"/>
      <c r="F69" s="95"/>
      <c r="G69" s="95"/>
      <c r="H69" s="95"/>
      <c r="I69" s="96"/>
      <c r="J69" s="98"/>
      <c r="K69" s="95"/>
      <c r="L69" s="96"/>
      <c r="M69" s="98">
        <f>1-SevereCFRAmox</f>
        <v>0.7</v>
      </c>
      <c r="N69" s="95"/>
      <c r="O69" s="95"/>
      <c r="P69" s="95"/>
      <c r="Q69" s="95"/>
      <c r="R69" s="95"/>
      <c r="S69" s="95"/>
      <c r="T69" s="95"/>
      <c r="U69" s="95"/>
      <c r="V69" s="95"/>
      <c r="W69" s="95"/>
      <c r="X69" s="95"/>
      <c r="Y69" s="95"/>
      <c r="Z69" s="95"/>
    </row>
    <row r="70" spans="1:26">
      <c r="A70" s="95"/>
      <c r="B70" s="95"/>
      <c r="C70" s="95"/>
      <c r="D70" s="95"/>
      <c r="E70" s="95"/>
      <c r="F70" s="95"/>
      <c r="G70" s="95"/>
      <c r="H70" s="95"/>
      <c r="I70" s="96"/>
      <c r="J70" s="100" t="s">
        <v>111</v>
      </c>
      <c r="K70" s="101"/>
      <c r="L70" s="102"/>
      <c r="M70" s="98"/>
      <c r="N70" s="95"/>
      <c r="O70" s="95"/>
      <c r="P70" s="95"/>
      <c r="Q70" s="95"/>
      <c r="R70" s="95"/>
      <c r="S70" s="95"/>
      <c r="T70" s="95"/>
      <c r="U70" s="95"/>
      <c r="V70" s="95"/>
      <c r="W70" s="95"/>
      <c r="X70" s="95"/>
      <c r="Y70" s="95"/>
      <c r="Z70" s="95"/>
    </row>
    <row r="71" spans="1:26">
      <c r="A71" s="95"/>
      <c r="B71" s="95"/>
      <c r="C71" s="95"/>
      <c r="D71" s="95"/>
      <c r="E71" s="95"/>
      <c r="F71" s="95"/>
      <c r="G71" s="95"/>
      <c r="H71" s="95"/>
      <c r="I71" s="95"/>
      <c r="J71" s="94">
        <f>PrivateAmoxStock</f>
        <v>0.93799999999999994</v>
      </c>
      <c r="K71" s="94"/>
      <c r="L71" s="97"/>
      <c r="M71" s="98"/>
      <c r="N71" s="95"/>
      <c r="O71" s="95"/>
      <c r="P71" s="95"/>
      <c r="Q71" s="95"/>
      <c r="R71" s="95"/>
      <c r="S71" s="95"/>
      <c r="T71" s="95"/>
      <c r="U71" s="95"/>
      <c r="V71" s="95"/>
      <c r="W71" s="95"/>
      <c r="X71" s="95"/>
      <c r="Y71" s="95"/>
      <c r="Z71" s="95"/>
    </row>
    <row r="72" spans="1:26">
      <c r="A72" s="95"/>
      <c r="B72" s="95"/>
      <c r="C72" s="95"/>
      <c r="D72" s="95"/>
      <c r="E72" s="95"/>
      <c r="F72" s="95"/>
      <c r="G72" s="95"/>
      <c r="H72" s="95"/>
      <c r="I72" s="95"/>
      <c r="J72" s="95"/>
      <c r="K72" s="95"/>
      <c r="L72" s="96"/>
      <c r="M72" s="98"/>
      <c r="N72" s="95"/>
      <c r="O72" s="95"/>
      <c r="P72" s="95"/>
      <c r="Q72" s="95"/>
      <c r="R72" s="95"/>
      <c r="S72" s="95"/>
      <c r="T72" s="95"/>
      <c r="U72" s="95"/>
      <c r="V72" s="95"/>
      <c r="W72" s="95"/>
      <c r="X72" s="95"/>
      <c r="Y72" s="95"/>
      <c r="Z72" s="95"/>
    </row>
    <row r="73" spans="1:26">
      <c r="A73" s="95"/>
      <c r="B73" s="95"/>
      <c r="C73" s="95"/>
      <c r="D73" s="95"/>
      <c r="E73" s="95"/>
      <c r="F73" s="95"/>
      <c r="G73" s="95"/>
      <c r="H73" s="95"/>
      <c r="I73" s="95"/>
      <c r="J73" s="95"/>
      <c r="K73" s="95"/>
      <c r="L73" s="96"/>
      <c r="M73" s="100" t="s">
        <v>113</v>
      </c>
      <c r="N73" s="116">
        <f>A23*D61*G66*J71*M74</f>
        <v>1112.8408042806739</v>
      </c>
      <c r="O73" s="95"/>
      <c r="P73" s="95"/>
      <c r="Q73" s="95"/>
      <c r="R73" s="95"/>
      <c r="S73" s="95"/>
      <c r="T73" s="95"/>
      <c r="U73" s="95"/>
      <c r="V73" s="95"/>
      <c r="W73" s="95"/>
      <c r="X73" s="95"/>
      <c r="Y73" s="95"/>
      <c r="Z73" s="95"/>
    </row>
    <row r="74" spans="1:26">
      <c r="A74" s="95"/>
      <c r="B74" s="95"/>
      <c r="C74" s="95"/>
      <c r="D74" s="95"/>
      <c r="E74" s="95"/>
      <c r="F74" s="95"/>
      <c r="G74" s="95"/>
      <c r="H74" s="95"/>
      <c r="I74" s="95"/>
      <c r="J74" s="95"/>
      <c r="K74" s="95"/>
      <c r="L74" s="95"/>
      <c r="M74" s="94">
        <f>SevereCFRAmox</f>
        <v>0.30000000000000004</v>
      </c>
      <c r="N74" s="95"/>
      <c r="O74" s="95"/>
      <c r="P74" s="95"/>
      <c r="Q74" s="95"/>
      <c r="R74" s="95"/>
      <c r="S74" s="95"/>
      <c r="T74" s="95"/>
      <c r="U74" s="95"/>
      <c r="V74" s="95"/>
      <c r="W74" s="95"/>
      <c r="X74" s="95"/>
      <c r="Y74" s="95"/>
      <c r="Z74" s="95"/>
    </row>
    <row r="75" spans="1:26">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82" spans="1:15">
      <c r="A82" s="38" t="s">
        <v>116</v>
      </c>
      <c r="B82" s="38" t="s">
        <v>117</v>
      </c>
      <c r="C82" s="38" t="s">
        <v>118</v>
      </c>
      <c r="D82" s="38" t="s">
        <v>17</v>
      </c>
      <c r="G82" s="38" t="s">
        <v>130</v>
      </c>
    </row>
    <row r="83" spans="1:15" ht="63">
      <c r="A83" s="57" t="s">
        <v>154</v>
      </c>
      <c r="B83" s="108">
        <f>'Deaths averted'!D11/((1-0.58)+(1-'Deaths averted'!B16)*0.58)</f>
        <v>19773.290765470392</v>
      </c>
      <c r="C83" t="s">
        <v>24</v>
      </c>
      <c r="D83" t="s">
        <v>159</v>
      </c>
      <c r="E83" t="s">
        <v>146</v>
      </c>
      <c r="G83" t="s">
        <v>131</v>
      </c>
      <c r="I83" s="61">
        <f>G8+I16+K23+N32+Q38+Q45+N50+N63+J58+N73</f>
        <v>12691.016753698153</v>
      </c>
      <c r="K83" s="57"/>
      <c r="L83" s="57"/>
      <c r="M83" s="57"/>
      <c r="N83" s="57"/>
      <c r="O83" s="57"/>
    </row>
    <row r="84" spans="1:15">
      <c r="A84" s="141" t="s">
        <v>106</v>
      </c>
      <c r="B84" s="133">
        <f>0.2</f>
        <v>0.2</v>
      </c>
      <c r="C84" t="s">
        <v>155</v>
      </c>
      <c r="D84" t="s">
        <v>146</v>
      </c>
      <c r="G84" t="s">
        <v>132</v>
      </c>
      <c r="I84" s="61">
        <f>(K20+K23+Q42+Q45+N47+N50+N68+N73)/A23</f>
        <v>0.51167680800000004</v>
      </c>
      <c r="K84" s="63"/>
      <c r="L84" s="56"/>
      <c r="M84" s="56"/>
      <c r="N84" s="56"/>
      <c r="O84" s="119"/>
    </row>
    <row r="85" spans="1:15">
      <c r="A85" s="141" t="s">
        <v>107</v>
      </c>
      <c r="B85" s="133">
        <v>0.25</v>
      </c>
      <c r="C85" t="s">
        <v>156</v>
      </c>
      <c r="D85" t="s">
        <v>146</v>
      </c>
    </row>
    <row r="86" spans="1:15">
      <c r="A86" s="141" t="s">
        <v>105</v>
      </c>
      <c r="B86" s="133">
        <f>1-(SevereNoCare+SeverePrivate)</f>
        <v>0.55000000000000004</v>
      </c>
      <c r="C86" t="s">
        <v>157</v>
      </c>
      <c r="D86" t="s">
        <v>146</v>
      </c>
    </row>
    <row r="87" spans="1:15">
      <c r="A87" t="s">
        <v>133</v>
      </c>
      <c r="B87">
        <v>1</v>
      </c>
      <c r="C87" t="s">
        <v>158</v>
      </c>
    </row>
    <row r="88" spans="1:15">
      <c r="A88" t="s">
        <v>122</v>
      </c>
      <c r="B88">
        <f>SevereCFRNoAmox*(1-'Deaths averted'!B16)</f>
        <v>0.30000000000000004</v>
      </c>
      <c r="C88" t="s">
        <v>24</v>
      </c>
    </row>
    <row r="89" spans="1:15">
      <c r="A89" s="141" t="s">
        <v>121</v>
      </c>
      <c r="B89" s="140">
        <v>0.8</v>
      </c>
      <c r="C89" t="s">
        <v>185</v>
      </c>
      <c r="D89" t="s">
        <v>184</v>
      </c>
      <c r="E89" t="s">
        <v>146</v>
      </c>
    </row>
    <row r="90" spans="1:15" ht="47.25">
      <c r="A90" s="138" t="s">
        <v>124</v>
      </c>
      <c r="B90" s="140">
        <v>0.5</v>
      </c>
      <c r="C90" t="s">
        <v>155</v>
      </c>
      <c r="D90" t="s">
        <v>146</v>
      </c>
    </row>
    <row r="91" spans="1:15" ht="47.25">
      <c r="A91" s="138" t="s">
        <v>125</v>
      </c>
      <c r="B91" s="140">
        <v>0.2</v>
      </c>
      <c r="C91" t="s">
        <v>157</v>
      </c>
      <c r="D91" t="s">
        <v>146</v>
      </c>
    </row>
    <row r="92" spans="1:15" ht="47.25">
      <c r="A92" s="138" t="s">
        <v>187</v>
      </c>
      <c r="B92" s="140">
        <v>0.3</v>
      </c>
      <c r="C92" t="s">
        <v>157</v>
      </c>
      <c r="D92" t="s">
        <v>146</v>
      </c>
    </row>
    <row r="93" spans="1:15">
      <c r="A93" s="138" t="s">
        <v>126</v>
      </c>
      <c r="B93" s="140">
        <v>0.8</v>
      </c>
      <c r="C93" t="s">
        <v>157</v>
      </c>
      <c r="D93" t="s">
        <v>146</v>
      </c>
    </row>
    <row r="94" spans="1:15" ht="31.5">
      <c r="A94" s="138" t="s">
        <v>127</v>
      </c>
      <c r="B94" s="140">
        <v>0.55300000000000005</v>
      </c>
      <c r="C94" t="s">
        <v>151</v>
      </c>
      <c r="D94" t="s">
        <v>152</v>
      </c>
      <c r="E94" t="s">
        <v>146</v>
      </c>
    </row>
    <row r="95" spans="1:15" ht="31.5">
      <c r="A95" s="138" t="s">
        <v>128</v>
      </c>
      <c r="B95" s="140">
        <v>0.93799999999999994</v>
      </c>
      <c r="C95" t="s">
        <v>151</v>
      </c>
      <c r="D95" t="s">
        <v>153</v>
      </c>
      <c r="E95" t="s">
        <v>146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A1:H30"/>
  <sheetViews>
    <sheetView zoomScale="80" zoomScaleNormal="80" zoomScalePageLayoutView="80" workbookViewId="0">
      <pane xSplit="2" ySplit="1" topLeftCell="C2" activePane="bottomRight" state="frozen"/>
      <selection pane="topRight" activeCell="C1" sqref="C1"/>
      <selection pane="bottomLeft" activeCell="A2" sqref="A2"/>
      <selection pane="bottomRight" activeCell="E5" sqref="E5"/>
    </sheetView>
  </sheetViews>
  <sheetFormatPr defaultColWidth="8.875" defaultRowHeight="15"/>
  <cols>
    <col min="1" max="1" width="28.875" style="6" bestFit="1" customWidth="1"/>
    <col min="2" max="2" width="33.625" style="6" bestFit="1" customWidth="1"/>
    <col min="3" max="3" width="32.375" style="6" customWidth="1"/>
    <col min="4" max="4" width="39.5" style="6" customWidth="1"/>
    <col min="5" max="5" width="41.375" style="6" customWidth="1"/>
    <col min="6" max="6" width="41.125" style="6" customWidth="1"/>
    <col min="7" max="7" width="43.625" style="6" customWidth="1"/>
    <col min="8" max="8" width="32.375" style="6" customWidth="1"/>
    <col min="9" max="16384" width="8.875" style="6"/>
  </cols>
  <sheetData>
    <row r="1" spans="1:8" s="7" customFormat="1">
      <c r="A1" s="39" t="s">
        <v>50</v>
      </c>
      <c r="B1" s="39" t="s">
        <v>51</v>
      </c>
      <c r="C1" s="39" t="s">
        <v>52</v>
      </c>
      <c r="D1" s="39" t="s">
        <v>53</v>
      </c>
      <c r="E1" s="39" t="s">
        <v>54</v>
      </c>
      <c r="F1" s="39" t="s">
        <v>55</v>
      </c>
      <c r="G1" s="39" t="s">
        <v>56</v>
      </c>
    </row>
    <row r="2" spans="1:8" ht="100.5" customHeight="1">
      <c r="A2" s="6" t="s">
        <v>57</v>
      </c>
      <c r="B2" s="40"/>
      <c r="E2" s="11"/>
      <c r="F2" s="41" t="s">
        <v>58</v>
      </c>
      <c r="G2" s="42" t="s">
        <v>59</v>
      </c>
    </row>
    <row r="3" spans="1:8" ht="45">
      <c r="A3" s="40"/>
      <c r="B3" s="6" t="s">
        <v>60</v>
      </c>
      <c r="F3" s="44"/>
      <c r="H3" s="46"/>
    </row>
    <row r="4" spans="1:8" ht="135">
      <c r="A4" s="40"/>
      <c r="D4" s="28" t="s">
        <v>61</v>
      </c>
      <c r="E4" s="142" t="s">
        <v>198</v>
      </c>
      <c r="F4" s="41" t="s">
        <v>62</v>
      </c>
      <c r="G4" s="42" t="s">
        <v>196</v>
      </c>
    </row>
    <row r="5" spans="1:8" ht="180">
      <c r="C5" s="6" t="s">
        <v>63</v>
      </c>
      <c r="D5" s="6" t="s">
        <v>64</v>
      </c>
      <c r="E5" s="142" t="s">
        <v>197</v>
      </c>
      <c r="F5" s="143" t="s">
        <v>200</v>
      </c>
      <c r="G5" s="42" t="s">
        <v>199</v>
      </c>
    </row>
    <row r="6" spans="1:8" ht="165">
      <c r="D6" s="40"/>
      <c r="E6" s="47" t="s">
        <v>65</v>
      </c>
      <c r="F6" s="45"/>
      <c r="G6" s="52"/>
    </row>
    <row r="7" spans="1:8" ht="70.349999999999994" customHeight="1">
      <c r="B7" s="43" t="s">
        <v>66</v>
      </c>
      <c r="E7" s="11"/>
      <c r="F7" s="45"/>
      <c r="G7" s="45"/>
    </row>
    <row r="8" spans="1:8">
      <c r="D8" s="48"/>
      <c r="E8" s="45"/>
      <c r="F8" s="144"/>
      <c r="G8" s="49"/>
    </row>
    <row r="9" spans="1:8">
      <c r="E9" s="50"/>
      <c r="F9" s="144"/>
      <c r="G9" s="144"/>
    </row>
    <row r="10" spans="1:8">
      <c r="C10" s="48"/>
      <c r="D10" s="48"/>
      <c r="E10" s="45"/>
      <c r="F10" s="144"/>
      <c r="G10" s="144"/>
    </row>
    <row r="11" spans="1:8">
      <c r="A11" s="43"/>
      <c r="D11" s="51"/>
      <c r="E11" s="52"/>
      <c r="F11" s="52"/>
      <c r="G11" s="45"/>
    </row>
    <row r="12" spans="1:8">
      <c r="E12" s="11"/>
      <c r="F12" s="45"/>
      <c r="G12" s="45"/>
    </row>
    <row r="13" spans="1:8">
      <c r="E13" s="11"/>
      <c r="F13" s="45"/>
      <c r="G13" s="45"/>
    </row>
    <row r="15" spans="1:8">
      <c r="E15" s="11"/>
      <c r="F15" s="45"/>
      <c r="G15" s="45"/>
    </row>
    <row r="16" spans="1:8">
      <c r="E16" s="11"/>
      <c r="F16" s="11"/>
      <c r="G16" s="11"/>
    </row>
    <row r="17" spans="5:7">
      <c r="E17" s="11"/>
      <c r="F17" s="11"/>
      <c r="G17" s="11"/>
    </row>
    <row r="18" spans="5:7">
      <c r="E18" s="11"/>
      <c r="F18" s="11"/>
      <c r="G18" s="11"/>
    </row>
    <row r="19" spans="5:7">
      <c r="E19" s="11"/>
      <c r="F19" s="11"/>
      <c r="G19" s="11"/>
    </row>
    <row r="20" spans="5:7">
      <c r="E20" s="11"/>
      <c r="F20" s="11"/>
      <c r="G20" s="11"/>
    </row>
    <row r="21" spans="5:7">
      <c r="E21" s="11"/>
      <c r="F21" s="11"/>
      <c r="G21" s="11"/>
    </row>
    <row r="22" spans="5:7">
      <c r="E22" s="11"/>
      <c r="F22" s="11"/>
      <c r="G22" s="11"/>
    </row>
    <row r="23" spans="5:7">
      <c r="E23" s="11"/>
    </row>
    <row r="24" spans="5:7">
      <c r="E24" s="11"/>
    </row>
    <row r="25" spans="5:7">
      <c r="E25" s="11"/>
    </row>
    <row r="26" spans="5:7">
      <c r="E26" s="11"/>
    </row>
    <row r="27" spans="5:7">
      <c r="E27" s="11"/>
    </row>
    <row r="28" spans="5:7">
      <c r="E28" s="11"/>
    </row>
    <row r="29" spans="5:7">
      <c r="E29" s="11"/>
    </row>
    <row r="30" spans="5:7">
      <c r="E30" s="11"/>
    </row>
  </sheetData>
  <dataConsolidate/>
  <mergeCells count="2">
    <mergeCell ref="F8:F10"/>
    <mergeCell ref="G9:G10"/>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2" sqref="A12"/>
    </sheetView>
  </sheetViews>
  <sheetFormatPr defaultColWidth="11.125" defaultRowHeight="15.75"/>
  <cols>
    <col min="1" max="1" width="52.625" customWidth="1"/>
  </cols>
  <sheetData>
    <row r="1" spans="1:1">
      <c r="A1" s="38" t="s">
        <v>44</v>
      </c>
    </row>
    <row r="2" spans="1:1">
      <c r="A2" t="s">
        <v>45</v>
      </c>
    </row>
    <row r="3" spans="1:1">
      <c r="A3" t="s">
        <v>46</v>
      </c>
    </row>
    <row r="4" spans="1:1">
      <c r="A4" t="s">
        <v>49</v>
      </c>
    </row>
    <row r="5" spans="1:1">
      <c r="A5" t="s">
        <v>47</v>
      </c>
    </row>
    <row r="6" spans="1:1">
      <c r="A6" t="s">
        <v>48</v>
      </c>
    </row>
    <row r="7" spans="1:1">
      <c r="A7" t="s">
        <v>178</v>
      </c>
    </row>
    <row r="8" spans="1:1">
      <c r="A8" t="s">
        <v>179</v>
      </c>
    </row>
    <row r="9" spans="1:1">
      <c r="A9" t="s">
        <v>180</v>
      </c>
    </row>
    <row r="10" spans="1:1">
      <c r="A10" t="s">
        <v>181</v>
      </c>
    </row>
    <row r="11" spans="1:1">
      <c r="A11" t="s">
        <v>182</v>
      </c>
    </row>
    <row r="12" spans="1:1">
      <c r="A12" t="s">
        <v>183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defaultColWidth="11.125" defaultRowHeight="15.75"/>
  <sheetData>
    <row r="1" spans="1:1">
      <c r="A1" s="120" t="s">
        <v>135</v>
      </c>
    </row>
    <row r="2" spans="1:1">
      <c r="A2" t="s">
        <v>136</v>
      </c>
    </row>
    <row r="3" spans="1:1">
      <c r="A3" t="s">
        <v>137</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workbookViewId="0">
      <selection activeCell="B30" sqref="B30"/>
    </sheetView>
  </sheetViews>
  <sheetFormatPr defaultColWidth="10.875" defaultRowHeight="12.75"/>
  <cols>
    <col min="1" max="2" width="10.875" style="66"/>
    <col min="3" max="3" width="32.875" style="66" customWidth="1"/>
    <col min="4" max="4" width="10.875" style="66"/>
    <col min="5" max="5" width="26.875" style="66" customWidth="1"/>
    <col min="6" max="6" width="10.875" style="66"/>
    <col min="7" max="7" width="16.125" style="66" customWidth="1"/>
    <col min="8" max="8" width="29.125" style="66" customWidth="1"/>
    <col min="9" max="9" width="12.375" style="66" bestFit="1" customWidth="1"/>
    <col min="10" max="13" width="10.875" style="66"/>
    <col min="14" max="14" width="28.875" style="66" customWidth="1"/>
    <col min="15" max="16384" width="10.875" style="66"/>
  </cols>
  <sheetData>
    <row r="1" spans="1:14">
      <c r="A1" s="65" t="s">
        <v>82</v>
      </c>
      <c r="B1" s="146" t="s">
        <v>134</v>
      </c>
      <c r="C1" s="146"/>
      <c r="D1" s="146"/>
      <c r="E1" s="146"/>
      <c r="F1" s="146"/>
      <c r="G1" s="146"/>
      <c r="H1" s="146"/>
    </row>
    <row r="2" spans="1:14" ht="54" customHeight="1">
      <c r="B2" s="146"/>
      <c r="C2" s="146"/>
      <c r="D2" s="146"/>
      <c r="E2" s="146"/>
      <c r="F2" s="146"/>
      <c r="G2" s="146"/>
      <c r="H2" s="146"/>
    </row>
    <row r="3" spans="1:14" ht="53.1" customHeight="1">
      <c r="A3" s="65"/>
      <c r="B3" s="146" t="s">
        <v>83</v>
      </c>
      <c r="C3" s="146"/>
      <c r="D3" s="146"/>
      <c r="E3" s="146"/>
      <c r="F3" s="146"/>
      <c r="G3" s="146"/>
      <c r="H3" s="146"/>
    </row>
    <row r="6" spans="1:14" ht="18">
      <c r="A6" s="147" t="s">
        <v>84</v>
      </c>
      <c r="B6" s="148"/>
      <c r="C6" s="148"/>
      <c r="E6" s="147" t="s">
        <v>85</v>
      </c>
      <c r="F6" s="148"/>
      <c r="G6" s="148"/>
      <c r="H6" s="148"/>
      <c r="J6" s="147" t="s">
        <v>86</v>
      </c>
      <c r="K6" s="147"/>
      <c r="L6" s="147"/>
      <c r="M6" s="147"/>
      <c r="N6" s="147"/>
    </row>
    <row r="7" spans="1:14" ht="38.25">
      <c r="A7" s="65" t="s">
        <v>87</v>
      </c>
      <c r="B7" s="67" t="s">
        <v>88</v>
      </c>
      <c r="C7" s="67" t="s">
        <v>89</v>
      </c>
      <c r="E7" s="67" t="s">
        <v>90</v>
      </c>
      <c r="F7" s="67" t="s">
        <v>91</v>
      </c>
      <c r="G7" s="67" t="s">
        <v>92</v>
      </c>
      <c r="H7" s="67" t="s">
        <v>93</v>
      </c>
      <c r="J7" s="65" t="s">
        <v>94</v>
      </c>
      <c r="K7" s="67" t="s">
        <v>95</v>
      </c>
      <c r="L7" s="145" t="s">
        <v>96</v>
      </c>
      <c r="M7" s="145"/>
      <c r="N7" s="65" t="s">
        <v>93</v>
      </c>
    </row>
    <row r="8" spans="1:14">
      <c r="B8" s="66">
        <v>37</v>
      </c>
      <c r="C8" s="68">
        <f ca="1">'Deaths averted'!E34</f>
        <v>9274.0727365643997</v>
      </c>
      <c r="E8" s="69"/>
      <c r="F8" s="72"/>
      <c r="G8" s="66">
        <f>COUNT(F8:F100)</f>
        <v>0</v>
      </c>
      <c r="H8" s="66">
        <f ca="1">IF(RAND() &lt; 0.111, 0.05, IF(RAND() &lt; 0.222, 0.2, IF(RAND() &lt; 0.333, 0.3, IF(RAND() &lt; 0.444, 0.4, IF(RAND() &lt; 0.555, 1, IF(RAND() &lt; 0.666, 1.5, IF(RAND() &lt; 0.777, 0.6, IF(RAND() &lt; 0.888, 1, 1.2))))))))</f>
        <v>0.2</v>
      </c>
      <c r="J8" s="69">
        <v>0.8</v>
      </c>
      <c r="K8" s="69">
        <v>0.05</v>
      </c>
      <c r="L8" s="66">
        <f>IF(AND(J8&lt;&gt;"", K8&lt;&gt;""),_xlfn.NORM.INV(0.025,J8,K8),"-")</f>
        <v>0.70200180077299734</v>
      </c>
      <c r="M8" s="66">
        <f>IF(AND(J8&lt;&gt;"", K8&lt;&gt;""),_xlfn.NORM.INV(0.975,J8,K8),"-")</f>
        <v>0.89799819922700275</v>
      </c>
      <c r="N8" s="66">
        <f ca="1">_xlfn.NORM.INV(RAND(), 0.8, 0.05)</f>
        <v>0.7267635440027389</v>
      </c>
    </row>
    <row r="9" spans="1:14">
      <c r="E9" s="69"/>
      <c r="F9" s="72"/>
      <c r="G9" s="65"/>
    </row>
    <row r="10" spans="1:14">
      <c r="E10" s="69"/>
      <c r="F10" s="72"/>
    </row>
    <row r="11" spans="1:14">
      <c r="E11" s="69"/>
      <c r="F11" s="72"/>
    </row>
    <row r="12" spans="1:14">
      <c r="E12" s="69"/>
      <c r="F12" s="72"/>
    </row>
    <row r="13" spans="1:14">
      <c r="E13" s="69"/>
      <c r="F13" s="69"/>
    </row>
    <row r="14" spans="1:14">
      <c r="E14" s="69"/>
      <c r="F14" s="69"/>
    </row>
    <row r="15" spans="1:14">
      <c r="E15" s="69"/>
      <c r="F15" s="69"/>
    </row>
    <row r="16" spans="1:14">
      <c r="E16" s="69"/>
      <c r="F16" s="69"/>
    </row>
    <row r="17" spans="5:5">
      <c r="E17" s="69"/>
    </row>
    <row r="18" spans="5:5">
      <c r="E18" s="69"/>
    </row>
  </sheetData>
  <mergeCells count="6">
    <mergeCell ref="L7:M7"/>
    <mergeCell ref="B1:H2"/>
    <mergeCell ref="B3:H3"/>
    <mergeCell ref="A6:C6"/>
    <mergeCell ref="E6:H6"/>
    <mergeCell ref="J6:N6"/>
  </mergeCells>
  <pageMargins left="0.75" right="0.75" top="1" bottom="1" header="0.5" footer="0.5"/>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anchor moveWithCells="1" sizeWithCells="1">
                  <from>
                    <xdr:col>2</xdr:col>
                    <xdr:colOff>142875</xdr:colOff>
                    <xdr:row>10</xdr:row>
                    <xdr:rowOff>28575</xdr:rowOff>
                  </from>
                  <to>
                    <xdr:col>2</xdr:col>
                    <xdr:colOff>2428875</xdr:colOff>
                    <xdr:row>13</xdr:row>
                    <xdr:rowOff>66675</xdr:rowOff>
                  </to>
                </anchor>
              </controlPr>
            </control>
          </mc:Choice>
        </mc:AlternateContent>
        <mc:AlternateContent xmlns:mc="http://schemas.openxmlformats.org/markup-compatibility/2006">
          <mc:Choice Requires="x14">
            <control shapeId="9218" r:id="rId5" name="Button 2">
              <controlPr defaultSize="0" print="0" autoFill="0" autoPict="0">
                <anchor moveWithCells="1" sizeWithCells="1">
                  <from>
                    <xdr:col>7</xdr:col>
                    <xdr:colOff>142875</xdr:colOff>
                    <xdr:row>10</xdr:row>
                    <xdr:rowOff>38100</xdr:rowOff>
                  </from>
                  <to>
                    <xdr:col>7</xdr:col>
                    <xdr:colOff>2066925</xdr:colOff>
                    <xdr:row>13</xdr:row>
                    <xdr:rowOff>66675</xdr:rowOff>
                  </to>
                </anchor>
              </controlPr>
            </control>
          </mc:Choice>
        </mc:AlternateContent>
        <mc:AlternateContent xmlns:mc="http://schemas.openxmlformats.org/markup-compatibility/2006">
          <mc:Choice Requires="x14">
            <control shapeId="9219" r:id="rId6" name="Button 3">
              <controlPr defaultSize="0" print="0" autoFill="0" autoPict="0">
                <anchor moveWithCells="1" sizeWithCells="1">
                  <from>
                    <xdr:col>2</xdr:col>
                    <xdr:colOff>161925</xdr:colOff>
                    <xdr:row>14</xdr:row>
                    <xdr:rowOff>38100</xdr:rowOff>
                  </from>
                  <to>
                    <xdr:col>2</xdr:col>
                    <xdr:colOff>2409825</xdr:colOff>
                    <xdr:row>17</xdr:row>
                    <xdr:rowOff>85725</xdr:rowOff>
                  </to>
                </anchor>
              </controlPr>
            </control>
          </mc:Choice>
        </mc:AlternateContent>
        <mc:AlternateContent xmlns:mc="http://schemas.openxmlformats.org/markup-compatibility/2006">
          <mc:Choice Requires="x14">
            <control shapeId="9220" r:id="rId7" name="Button 4">
              <controlPr defaultSize="0" print="0" autoFill="0" autoPict="0">
                <anchor moveWithCells="1" sizeWithCells="1">
                  <from>
                    <xdr:col>7</xdr:col>
                    <xdr:colOff>152400</xdr:colOff>
                    <xdr:row>14</xdr:row>
                    <xdr:rowOff>47625</xdr:rowOff>
                  </from>
                  <to>
                    <xdr:col>7</xdr:col>
                    <xdr:colOff>2085975</xdr:colOff>
                    <xdr:row>17</xdr:row>
                    <xdr:rowOff>76200</xdr:rowOff>
                  </to>
                </anchor>
              </controlPr>
            </control>
          </mc:Choice>
        </mc:AlternateContent>
        <mc:AlternateContent xmlns:mc="http://schemas.openxmlformats.org/markup-compatibility/2006">
          <mc:Choice Requires="x14">
            <control shapeId="9221" r:id="rId8" name="Button 5">
              <controlPr defaultSize="0" print="0" autoFill="0" autoPict="0">
                <anchor moveWithCells="1" sizeWithCells="1">
                  <from>
                    <xdr:col>13</xdr:col>
                    <xdr:colOff>142875</xdr:colOff>
                    <xdr:row>10</xdr:row>
                    <xdr:rowOff>66675</xdr:rowOff>
                  </from>
                  <to>
                    <xdr:col>13</xdr:col>
                    <xdr:colOff>2066925</xdr:colOff>
                    <xdr:row>13</xdr:row>
                    <xdr:rowOff>85725</xdr:rowOff>
                  </to>
                </anchor>
              </controlPr>
            </control>
          </mc:Choice>
        </mc:AlternateContent>
        <mc:AlternateContent xmlns:mc="http://schemas.openxmlformats.org/markup-compatibility/2006">
          <mc:Choice Requires="x14">
            <control shapeId="9222" r:id="rId9" name="Button 6">
              <controlPr defaultSize="0" print="0" autoFill="0" autoPict="0">
                <anchor moveWithCells="1" sizeWithCells="1">
                  <from>
                    <xdr:col>13</xdr:col>
                    <xdr:colOff>152400</xdr:colOff>
                    <xdr:row>14</xdr:row>
                    <xdr:rowOff>66675</xdr:rowOff>
                  </from>
                  <to>
                    <xdr:col>13</xdr:col>
                    <xdr:colOff>2085975</xdr:colOff>
                    <xdr:row>17</xdr:row>
                    <xdr:rowOff>85725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41</vt:i4>
      </vt:variant>
    </vt:vector>
  </HeadingPairs>
  <TitlesOfParts>
    <vt:vector size="49" baseType="lpstr">
      <vt:lpstr>Deaths averted</vt:lpstr>
      <vt:lpstr>Coverage over time</vt:lpstr>
      <vt:lpstr>Pneumonia case modeling</vt:lpstr>
      <vt:lpstr>Cases ending in death w no Amox</vt:lpstr>
      <vt:lpstr>Results framework</vt:lpstr>
      <vt:lpstr>Differences btwn GW &amp;  R4D CEA </vt:lpstr>
      <vt:lpstr>Options</vt:lpstr>
      <vt:lpstr>Distribution</vt:lpstr>
      <vt:lpstr>'Pneumonia case modeling'!CFRAmox</vt:lpstr>
      <vt:lpstr>CFRAmox</vt:lpstr>
      <vt:lpstr>'Pneumonia case modeling'!CFRNoAmox</vt:lpstr>
      <vt:lpstr>CFRNoAmox</vt:lpstr>
      <vt:lpstr>'Pneumonia case modeling'!CFRNoVaccines</vt:lpstr>
      <vt:lpstr>CFRNoVaccines</vt:lpstr>
      <vt:lpstr>'Pneumonia case modeling'!GivesUp</vt:lpstr>
      <vt:lpstr>GivesUp</vt:lpstr>
      <vt:lpstr>'Pneumonia case modeling'!NoCare</vt:lpstr>
      <vt:lpstr>NoCare</vt:lpstr>
      <vt:lpstr>NoCareSevere</vt:lpstr>
      <vt:lpstr>Num</vt:lpstr>
      <vt:lpstr>'Pneumonia case modeling'!NumPneumo</vt:lpstr>
      <vt:lpstr>NumSevPneu</vt:lpstr>
      <vt:lpstr>'Pneumonia case modeling'!PrivateAmoxStock</vt:lpstr>
      <vt:lpstr>PrivateAmoxStock</vt:lpstr>
      <vt:lpstr>'Pneumonia case modeling'!PrivateDiagnosis</vt:lpstr>
      <vt:lpstr>PrivateDiagnosis</vt:lpstr>
      <vt:lpstr>'Pneumonia case modeling'!PublicAmoxStock</vt:lpstr>
      <vt:lpstr>PublicAmoxStock</vt:lpstr>
      <vt:lpstr>'Pneumonia case modeling'!PublicDiagnosis</vt:lpstr>
      <vt:lpstr>PublicDiagnosis</vt:lpstr>
      <vt:lpstr>'Pneumonia case modeling'!SecondPrivate</vt:lpstr>
      <vt:lpstr>SecondPrivate</vt:lpstr>
      <vt:lpstr>'Pneumonia case modeling'!SecondPublic</vt:lpstr>
      <vt:lpstr>SecondPublic</vt:lpstr>
      <vt:lpstr>'Pneumonia case modeling'!SeekPrivateSector</vt:lpstr>
      <vt:lpstr>SeekPrivateSector</vt:lpstr>
      <vt:lpstr>'Pneumonia case modeling'!SeekPublicSector</vt:lpstr>
      <vt:lpstr>SeekPublicSector</vt:lpstr>
      <vt:lpstr>SevereCFRAmox</vt:lpstr>
      <vt:lpstr>SevereCFRNoAmox</vt:lpstr>
      <vt:lpstr>SevereGivesUp</vt:lpstr>
      <vt:lpstr>SevereNoCare</vt:lpstr>
      <vt:lpstr>SevereNumPneumo</vt:lpstr>
      <vt:lpstr>SeverePrivate</vt:lpstr>
      <vt:lpstr>SeverePrivateDiagnosis</vt:lpstr>
      <vt:lpstr>SeverePublic</vt:lpstr>
      <vt:lpstr>SeverePublicDiagnosis</vt:lpstr>
      <vt:lpstr>SevereSecondPrivate</vt:lpstr>
      <vt:lpstr>SevereSecondPublic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2016-07-31T23:42:44Z</dcterms:created>
  <dcterms:modified xsi:type="dcterms:W3CDTF">2016-07-31T23:54:21Z</dcterms:modified>
</cp:coreProperties>
</file>