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
  <bookViews>
    <workbookView xWindow="38000" yWindow="61756" windowWidth="21600" windowHeight="13580" tabRatio="500" activeTab="0"/>
  </bookViews>
  <sheets>
    <sheet name="Expenses" sheetId="1" r:id="rId1"/>
  </sheets>
  <externalReferences>
    <externalReference r:id="rId4"/>
    <externalReference r:id="rId5"/>
  </externalReferences>
  <definedNames>
    <definedName name="C_Total_Yr1">'Expenses'!$E$39</definedName>
    <definedName name="C_Total_Yr2">'Expenses'!$F$39</definedName>
    <definedName name="C_Total_Yr3">'Expenses'!$G$39</definedName>
    <definedName name="Exchange">'[1]Demography'!$K$2</definedName>
    <definedName name="inflation">'[1]Demography'!$K$3</definedName>
    <definedName name="O_Total_Yr1">'Expenses'!$D$75</definedName>
    <definedName name="O_Total_Yr2">'Expenses'!$E$75</definedName>
    <definedName name="O_Total_Yr3">'Expenses'!$F$75</definedName>
    <definedName name="Total_Community_Yr1">'[1]Summary'!$C$72</definedName>
    <definedName name="Total_Community_Yr2">'[1]Summary'!$D$72</definedName>
    <definedName name="Total_Community_Yr3">'[1]Summary'!$E$72</definedName>
    <definedName name="Total_Emergency_Yr1">'[1]Summary'!$C$65</definedName>
    <definedName name="Total_Emergency_Yr2">'[1]Summary'!$D$65</definedName>
    <definedName name="Total_Emergency_Yr3">'[1]Summary'!$E$65</definedName>
    <definedName name="Total_General_Yr1">'[1]Summary'!$C$9</definedName>
    <definedName name="Total_General_Yr2">'[1]Summary'!$D$9</definedName>
    <definedName name="Total_General_Yr3">'[1]Summary'!$E$9</definedName>
    <definedName name="Total_Inpatient_Yr1">'[1]Summary'!$C$37</definedName>
    <definedName name="Total_Inpatient_Yr2">'[1]Summary'!$D$37</definedName>
    <definedName name="Total_Inpatient_Yr3">'[1]Summary'!$E$37</definedName>
    <definedName name="Total_Laboratory_Yr1">'[1]Summary'!$C$23</definedName>
    <definedName name="Total_Laboratory_Yr2">'[1]Summary'!$D$23</definedName>
    <definedName name="Total_Laboratory_Yr3">'[1]Summary'!$E$23</definedName>
    <definedName name="Total_Obstetric_Yr1">'[1]Summary'!$C$51</definedName>
    <definedName name="Total_Obstetric_Yr2">'[1]Summary'!$D$51</definedName>
    <definedName name="Total_Obstetric_Yr3">'[1]Summary'!$E$51</definedName>
    <definedName name="Total_Outpatient_Yr1">'[1]Summary'!$C$16</definedName>
    <definedName name="Total_Outpatient_Yr2">'[1]Summary'!$D$16</definedName>
    <definedName name="Total_Outpatient_Yr3">'[1]Summary'!$E$16</definedName>
    <definedName name="Total_Radiology_Yr1">'[1]Summary'!$C$30</definedName>
    <definedName name="Total_Radiology_Yr2">'[1]Summary'!$D$30</definedName>
    <definedName name="Total_Radiology_Yr3">'[1]Summary'!$E$30</definedName>
    <definedName name="Total_Surgical_Yr1">'[1]Summary'!$C$58</definedName>
    <definedName name="Total_Surgical_Yr2">'[1]Summary'!$D$58</definedName>
    <definedName name="Total_Surgical_Yr3">'[1]Summary'!$E$58</definedName>
    <definedName name="Total_Transfusion_Yr1">'[1]Summary'!$C$44</definedName>
    <definedName name="Total_Transfusion_Yr2">'[1]Summary'!$D$44</definedName>
    <definedName name="Total_Transfusion_Yr3">'[1]Summary'!$E$44</definedName>
  </definedNames>
  <calcPr fullCalcOnLoad="1"/>
</workbook>
</file>

<file path=xl/sharedStrings.xml><?xml version="1.0" encoding="utf-8"?>
<sst xmlns="http://schemas.openxmlformats.org/spreadsheetml/2006/main" count="24" uniqueCount="24">
  <si>
    <t>*Because we lack financial data for 2010 broken down in the same categories, we assume that spending by category breaks down in the same proportions in 2010 as it did is projected to in 2011, except for surgical and transfusion, which we assume did not exist in 2010. Total for 2010 is from Nyaya Health, "Budget." (http://wiki.nyayahealth.org/w/page/4682609/Budget)</t>
  </si>
  <si>
    <t>2010*</t>
  </si>
  <si>
    <t>2011**</t>
  </si>
  <si>
    <t>2012**</t>
  </si>
  <si>
    <t>2013**</t>
  </si>
  <si>
    <t>**Data for 2011-2013 (projected) is from Nyaya Health, "Expansion Costing," Sheet Summary (USD)</t>
  </si>
  <si>
    <t>Community***</t>
  </si>
  <si>
    <t>General***</t>
  </si>
  <si>
    <t>Surgical plus blood transfusion</t>
  </si>
  <si>
    <t>***We have added the amout labeled "FCHV Program Costs: Achham" (below) from the General category and substracted it from there</t>
  </si>
  <si>
    <t>"Other additional costs"</t>
  </si>
  <si>
    <t>Outpatient</t>
  </si>
  <si>
    <t>Laboratory</t>
  </si>
  <si>
    <t>Radiology</t>
  </si>
  <si>
    <t>Inpatient</t>
  </si>
  <si>
    <t>Transfusion</t>
  </si>
  <si>
    <t>Obstetric</t>
  </si>
  <si>
    <t>Surgical</t>
  </si>
  <si>
    <t>Emergency</t>
  </si>
  <si>
    <t>Total expansion (2012-2013; 2011-2013 for surgery and transfusion)</t>
  </si>
  <si>
    <t>FCHV Program Costs: Achham</t>
  </si>
  <si>
    <t>Supplementary information</t>
  </si>
  <si>
    <t>Total</t>
  </si>
  <si>
    <t>% of expansion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</si>
</sst>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quot;$&quot;#,##0"/>
    <numFmt numFmtId="166" formatCode="_(&quot;$&quot;* #,##0_);_(&quot;$&quot;* \(#,##0\);_(&quot;$&quot;* &quot;-&quot;??_);_(@_)"/>
    <numFmt numFmtId="167" formatCode="&quot;$&quot;#,##0.00_);[Red]\(&quot;$&quot;#,##0.00\)"/>
    <numFmt numFmtId="168" formatCode="&quot;$&quot;#,##0_);[Red]\(&quot;$&quot;#,##0\)"/>
    <numFmt numFmtId="169" formatCode="&quot;$&quot;#,##0"/>
    <numFmt numFmtId="170" formatCode="&quot;$&quot;#,##0"/>
    <numFmt numFmtId="171" formatCode="_(* #,##0_);_(* \(#,##0\);_(* &quot;-&quot;??_);_(@_)"/>
    <numFmt numFmtId="172" formatCode="&quot;$&quot;#,##0.00"/>
    <numFmt numFmtId="173" formatCode="&quot;$&quot;#,##0.00"/>
    <numFmt numFmtId="174" formatCode="&quot;$&quot;#,##0"/>
    <numFmt numFmtId="175" formatCode="&quot;$&quot;#,##0"/>
    <numFmt numFmtId="176" formatCode="_(&quot;$&quot;* #,##0_);_(&quot;$&quot;* \(#,##0\);_(&quot;$&quot;* &quot;-&quot;_);_(@_)"/>
    <numFmt numFmtId="177" formatCode="_(* #,##0.00_);_(* \(#,##0.00\);_(* &quot;-&quot;??_);_(@_)"/>
    <numFmt numFmtId="178" formatCode="_(&quot;$&quot;* #,##0_);_(&quot;$&quot;* \(#,##0\);_(&quot;$&quot;* &quot;-&quot;_);_(@_)"/>
    <numFmt numFmtId="179" formatCode="0%"/>
    <numFmt numFmtId="180" formatCode="_(* #,##0_);_(* \(#,##0\);_(* &quot;-&quot;??_);_(@_)"/>
    <numFmt numFmtId="181" formatCode="_(&quot;$&quot;* #,##0_);_(&quot;$&quot;* \(#,##0\);_(&quot;$&quot;* &quot;-&quot;_);_(@_)"/>
    <numFmt numFmtId="182" formatCode="_(&quot;$&quot;* #,##0_);_(&quot;$&quot;* \(#,##0\);_(&quot;$&quot;* &quot;-&quot;_);_(@_)"/>
    <numFmt numFmtId="183" formatCode="0%"/>
  </numFmts>
  <fonts count="9">
    <font>
      <sz val="10"/>
      <name val="Verdana"/>
      <family val="0"/>
    </font>
    <font>
      <b/>
      <sz val="10"/>
      <name val="Verdana"/>
      <family val="0"/>
    </font>
    <font>
      <i/>
      <sz val="10"/>
      <name val="Verdana"/>
      <family val="0"/>
    </font>
    <font>
      <b/>
      <i/>
      <sz val="10"/>
      <name val="Verdana"/>
      <family val="0"/>
    </font>
    <font>
      <sz val="8"/>
      <name val="Verdana"/>
      <family val="0"/>
    </font>
    <font>
      <b/>
      <sz val="10"/>
      <name val="Arial"/>
      <family val="2"/>
    </font>
    <font>
      <u val="single"/>
      <sz val="10"/>
      <color indexed="12"/>
      <name val="Verdana"/>
      <family val="0"/>
    </font>
    <font>
      <u val="single"/>
      <sz val="10"/>
      <color indexed="61"/>
      <name val="Verdana"/>
      <family val="0"/>
    </font>
    <font>
      <sz val="10"/>
      <name val="Arial"/>
      <family val="0"/>
    </font>
  </fonts>
  <fills count="2">
    <fill>
      <patternFill/>
    </fill>
    <fill>
      <patternFill patternType="gray125"/>
    </fill>
  </fills>
  <borders count="2">
    <border>
      <left/>
      <right/>
      <top/>
      <bottom/>
      <diagonal/>
    </border>
    <border>
      <left>
        <color indexed="63"/>
      </left>
      <right>
        <color indexed="63"/>
      </right>
      <top>
        <color indexed="63"/>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Border="0">
      <alignment/>
      <protection/>
    </xf>
    <xf numFmtId="0" fontId="8" fillId="0" borderId="0" applyBorder="0">
      <alignment/>
      <protection/>
    </xf>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0" fontId="5" fillId="0" borderId="1" xfId="0" applyFont="1" applyBorder="1" applyAlignment="1">
      <alignment/>
    </xf>
    <xf numFmtId="165" fontId="8" fillId="0" borderId="1" xfId="0" applyNumberFormat="1" applyFont="1" applyBorder="1" applyAlignment="1">
      <alignment horizontal="right"/>
    </xf>
    <xf numFmtId="0" fontId="8" fillId="0" borderId="0" xfId="22" applyFont="1">
      <alignment/>
      <protection/>
    </xf>
    <xf numFmtId="166" fontId="8" fillId="0" borderId="0" xfId="17" applyNumberFormat="1" applyFont="1" applyAlignment="1">
      <alignment horizontal="right"/>
    </xf>
    <xf numFmtId="0" fontId="8" fillId="0" borderId="0" xfId="22" applyFont="1" applyBorder="1">
      <alignment/>
      <protection/>
    </xf>
    <xf numFmtId="0" fontId="8" fillId="0" borderId="0" xfId="22" applyFont="1" applyBorder="1" applyAlignment="1">
      <alignment horizontal="left"/>
      <protection/>
    </xf>
    <xf numFmtId="0" fontId="8" fillId="0" borderId="0" xfId="22" applyFont="1" applyFill="1" applyBorder="1">
      <alignment/>
      <protection/>
    </xf>
    <xf numFmtId="0" fontId="5" fillId="0" borderId="0" xfId="0" applyFont="1" applyAlignment="1">
      <alignment/>
    </xf>
    <xf numFmtId="166" fontId="8" fillId="0" borderId="0" xfId="17" applyNumberFormat="1" applyFont="1" applyAlignment="1">
      <alignment/>
    </xf>
    <xf numFmtId="165" fontId="0" fillId="0" borderId="0" xfId="0" applyNumberFormat="1" applyAlignment="1">
      <alignment/>
    </xf>
    <xf numFmtId="42" fontId="0" fillId="0" borderId="0" xfId="0" applyNumberFormat="1" applyAlignment="1">
      <alignment/>
    </xf>
    <xf numFmtId="42" fontId="0" fillId="0" borderId="0" xfId="0" applyNumberFormat="1" applyAlignment="1">
      <alignment/>
    </xf>
    <xf numFmtId="179" fontId="0" fillId="0" borderId="0" xfId="0" applyNumberFormat="1" applyAlignment="1">
      <alignment/>
    </xf>
    <xf numFmtId="0" fontId="8" fillId="0" borderId="0" xfId="22" applyFont="1" applyBorder="1" applyAlignment="1">
      <alignment horizontal="left" vertical="center"/>
      <protection/>
    </xf>
    <xf numFmtId="0" fontId="1" fillId="0" borderId="0" xfId="0" applyFont="1" applyAlignment="1">
      <alignment/>
    </xf>
    <xf numFmtId="0" fontId="2" fillId="0" borderId="0" xfId="0" applyFont="1" applyAlignment="1">
      <alignment/>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xf>
    <xf numFmtId="42" fontId="8" fillId="0" borderId="0" xfId="15" applyNumberFormat="1" applyFont="1" applyBorder="1" applyAlignment="1" applyProtection="1">
      <alignment/>
      <protection/>
    </xf>
    <xf numFmtId="165" fontId="1" fillId="0" borderId="0" xfId="0" applyNumberFormat="1" applyFont="1" applyAlignment="1">
      <alignment/>
    </xf>
    <xf numFmtId="166" fontId="5" fillId="0" borderId="0" xfId="17" applyNumberFormat="1" applyFont="1" applyAlignment="1">
      <alignment/>
    </xf>
    <xf numFmtId="179" fontId="1" fillId="0" borderId="0" xfId="0" applyNumberFormat="1" applyFont="1" applyAlignment="1">
      <alignment/>
    </xf>
    <xf numFmtId="0" fontId="8" fillId="0" borderId="0" xfId="0" applyNumberFormat="1" applyFont="1" applyAlignment="1">
      <alignment horizontal="center" wrapText="1"/>
    </xf>
    <xf numFmtId="179"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Capital Cost" xfId="21"/>
    <cellStyle name="Normal_Overhead Cos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talie\Documents\Microsoft%20User%20Data\Office%202008%20AutoRecovery\Expansion_Costing%202%20(version%20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yaya%20expense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ography"/>
      <sheetName val="Maintenance"/>
      <sheetName val="Staffing"/>
      <sheetName val="Operating"/>
      <sheetName val="Capital"/>
      <sheetName val="Summary"/>
      <sheetName val="Summary USD"/>
      <sheetName val="Timeline"/>
      <sheetName val="Lives Saved"/>
      <sheetName val="AddDrug"/>
      <sheetName val="DirCostDialog"/>
      <sheetName val="AddStaff"/>
      <sheetName val="Update_Pivots"/>
      <sheetName val="Currency"/>
    </sheetNames>
    <sheetDataSet>
      <sheetData sheetId="0">
        <row r="2">
          <cell r="K2">
            <v>72</v>
          </cell>
        </row>
        <row r="3">
          <cell r="K3">
            <v>0.13</v>
          </cell>
        </row>
      </sheetData>
      <sheetData sheetId="5">
        <row r="9">
          <cell r="C9">
            <v>8713000</v>
          </cell>
          <cell r="D9">
            <v>11174344.95334888</v>
          </cell>
          <cell r="E9">
            <v>11316970.283023125</v>
          </cell>
        </row>
        <row r="16">
          <cell r="C16">
            <v>3176060</v>
          </cell>
          <cell r="D16">
            <v>4368225.7243030025</v>
          </cell>
          <cell r="E16">
            <v>5872569.400721123</v>
          </cell>
        </row>
        <row r="23">
          <cell r="C23">
            <v>488250</v>
          </cell>
          <cell r="D23">
            <v>911848.5028556853</v>
          </cell>
          <cell r="E23">
            <v>1114257.0995525275</v>
          </cell>
        </row>
        <row r="30">
          <cell r="C30">
            <v>631850</v>
          </cell>
          <cell r="D30">
            <v>926205.0194601477</v>
          </cell>
          <cell r="E30">
            <v>1008573.7552915947</v>
          </cell>
        </row>
        <row r="37">
          <cell r="C37">
            <v>1586920</v>
          </cell>
          <cell r="D37">
            <v>3225211.881888301</v>
          </cell>
          <cell r="E37">
            <v>5332383.8423293345</v>
          </cell>
        </row>
        <row r="44">
          <cell r="C44">
            <v>969392.9008000002</v>
          </cell>
          <cell r="D44">
            <v>1232536.9888038018</v>
          </cell>
          <cell r="E44">
            <v>1864364.4188049969</v>
          </cell>
        </row>
        <row r="51">
          <cell r="C51">
            <v>544708.3200000001</v>
          </cell>
          <cell r="D51">
            <v>777795.3563685018</v>
          </cell>
          <cell r="E51">
            <v>782219.6576113778</v>
          </cell>
        </row>
        <row r="58">
          <cell r="C58">
            <v>6508086.42</v>
          </cell>
          <cell r="D58">
            <v>5511790.276582707</v>
          </cell>
          <cell r="E58">
            <v>6074401.836573222</v>
          </cell>
        </row>
        <row r="65">
          <cell r="C65">
            <v>1155660</v>
          </cell>
          <cell r="D65">
            <v>1604723.0795542186</v>
          </cell>
          <cell r="E65">
            <v>2198769.1825556657</v>
          </cell>
        </row>
        <row r="72">
          <cell r="C72">
            <v>2551180</v>
          </cell>
          <cell r="D72">
            <v>5415789.483170904</v>
          </cell>
          <cell r="E72">
            <v>15318793.473059693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4"/>
  <sheetViews>
    <sheetView tabSelected="1" workbookViewId="0" topLeftCell="A1">
      <selection activeCell="B15" sqref="B15"/>
    </sheetView>
  </sheetViews>
  <sheetFormatPr defaultColWidth="11.00390625" defaultRowHeight="12.75"/>
  <cols>
    <col min="1" max="1" width="24.375" style="0" customWidth="1"/>
    <col min="2" max="2" width="12.375" style="0" bestFit="1" customWidth="1"/>
    <col min="6" max="6" width="16.375" style="0" customWidth="1"/>
    <col min="7" max="7" width="12.875" style="0" customWidth="1"/>
  </cols>
  <sheetData>
    <row r="2" spans="1:4" ht="13.5" thickBot="1">
      <c r="A2" s="2"/>
      <c r="B2" s="3"/>
      <c r="C2" s="3"/>
      <c r="D2" s="3"/>
    </row>
    <row r="3" spans="1:7" s="19" customFormat="1" ht="52.5" thickTop="1">
      <c r="A3" s="18"/>
      <c r="B3" s="19" t="s">
        <v>1</v>
      </c>
      <c r="C3" s="26" t="s">
        <v>2</v>
      </c>
      <c r="D3" s="26" t="s">
        <v>3</v>
      </c>
      <c r="E3" s="26" t="s">
        <v>4</v>
      </c>
      <c r="F3" s="19" t="s">
        <v>19</v>
      </c>
      <c r="G3" s="19" t="s">
        <v>23</v>
      </c>
    </row>
    <row r="4" spans="1:7" ht="13.5" thickTop="1">
      <c r="A4" s="4" t="s">
        <v>7</v>
      </c>
      <c r="B4" s="12">
        <f>B$14*(C4/(SUM(C$4:C$13)-C$9-C$11))</f>
        <v>62703.85015741864</v>
      </c>
      <c r="C4" s="5">
        <f>(Total_General_Yr1-C23)/Exchange</f>
        <v>101013.88888888889</v>
      </c>
      <c r="D4" s="5">
        <f>(Total_General_Yr2-D23)/Exchange</f>
        <v>132599.2354631789</v>
      </c>
      <c r="E4" s="5">
        <f>(Total_General_Yr3-E23)/Exchange</f>
        <v>131642.1428197656</v>
      </c>
      <c r="F4" s="13">
        <f>SUM(C4:E4)-3*B4</f>
        <v>177143.71669957746</v>
      </c>
      <c r="G4" s="14">
        <f>F4/$F$14</f>
        <v>0.16508734681826684</v>
      </c>
    </row>
    <row r="5" spans="1:7" ht="13.5" thickTop="1">
      <c r="A5" s="6" t="s">
        <v>11</v>
      </c>
      <c r="B5" s="12">
        <f aca="true" t="shared" si="0" ref="B5:B13">B$14*(C5/(SUM(C$4:C$13)-C$9-C$11))</f>
        <v>27382.26183568968</v>
      </c>
      <c r="C5" s="5">
        <f>Total_Outpatient_Yr1/Exchange</f>
        <v>44111.944444444445</v>
      </c>
      <c r="D5" s="5">
        <f>Total_Outpatient_Yr2/Exchange</f>
        <v>60669.80172643059</v>
      </c>
      <c r="E5" s="5">
        <f>Total_Outpatient_Yr3/Exchange</f>
        <v>81563.46389890449</v>
      </c>
      <c r="F5" s="13">
        <f aca="true" t="shared" si="1" ref="F5:F13">SUM(C5:E5)-3*B5</f>
        <v>104198.42456271051</v>
      </c>
      <c r="G5" s="14">
        <f aca="true" t="shared" si="2" ref="G5:G22">F5/$F$14</f>
        <v>0.09710669830234084</v>
      </c>
    </row>
    <row r="6" spans="1:7" ht="13.5" thickTop="1">
      <c r="A6" s="6" t="s">
        <v>12</v>
      </c>
      <c r="B6" s="12">
        <f t="shared" si="0"/>
        <v>4209.425936939317</v>
      </c>
      <c r="C6" s="5">
        <f>Total_Laboratory_Yr1/Exchange</f>
        <v>6781.25</v>
      </c>
      <c r="D6" s="5">
        <f>Total_Laboratory_Yr2/Exchange</f>
        <v>12664.562539662296</v>
      </c>
      <c r="E6" s="5">
        <f>Total_Laboratory_Yr3/Exchange</f>
        <v>15475.79304934066</v>
      </c>
      <c r="F6" s="13">
        <f t="shared" si="1"/>
        <v>22293.327778185005</v>
      </c>
      <c r="G6" s="14">
        <f t="shared" si="2"/>
        <v>0.020776047850978103</v>
      </c>
    </row>
    <row r="7" spans="1:7" ht="13.5" thickTop="1">
      <c r="A7" s="6" t="s">
        <v>13</v>
      </c>
      <c r="B7" s="12">
        <f t="shared" si="0"/>
        <v>5447.467031756492</v>
      </c>
      <c r="C7" s="5">
        <f>Total_Radiology_Yr1/Exchange</f>
        <v>8775.694444444445</v>
      </c>
      <c r="D7" s="5">
        <f>Total_Radiology_Yr2/Exchange</f>
        <v>12863.958603613162</v>
      </c>
      <c r="E7" s="5">
        <f>Total_Radiology_Yr3/Exchange</f>
        <v>14007.96882349437</v>
      </c>
      <c r="F7" s="13">
        <f t="shared" si="1"/>
        <v>19305.220776282502</v>
      </c>
      <c r="G7" s="14">
        <f t="shared" si="2"/>
        <v>0.017991310880658303</v>
      </c>
    </row>
    <row r="8" spans="1:7" ht="13.5" thickTop="1">
      <c r="A8" s="6" t="s">
        <v>14</v>
      </c>
      <c r="B8" s="12">
        <f t="shared" si="0"/>
        <v>13681.561101582673</v>
      </c>
      <c r="C8" s="5">
        <f>Total_Inpatient_Yr1/Exchange</f>
        <v>22040.555555555555</v>
      </c>
      <c r="D8" s="5">
        <f>Total_Inpatient_Yr2/Exchange</f>
        <v>44794.609470670846</v>
      </c>
      <c r="E8" s="5">
        <f>Total_Inpatient_Yr3/Exchange</f>
        <v>74060.88669901853</v>
      </c>
      <c r="F8" s="13">
        <f t="shared" si="1"/>
        <v>99851.36842049692</v>
      </c>
      <c r="G8" s="14">
        <f t="shared" si="2"/>
        <v>0.09305550202872329</v>
      </c>
    </row>
    <row r="9" spans="1:7" ht="13.5" thickTop="1">
      <c r="A9" s="6" t="s">
        <v>15</v>
      </c>
      <c r="B9" s="12">
        <v>0</v>
      </c>
      <c r="C9" s="5">
        <f>Total_Transfusion_Yr1/Exchange</f>
        <v>13463.790288888891</v>
      </c>
      <c r="D9" s="5">
        <f>Total_Transfusion_Yr2/Exchange</f>
        <v>17118.569288941693</v>
      </c>
      <c r="E9" s="5">
        <f>Total_Transfusion_Yr3/Exchange</f>
        <v>25893.95026118051</v>
      </c>
      <c r="F9" s="13">
        <f t="shared" si="1"/>
        <v>56476.3098390111</v>
      </c>
      <c r="G9" s="14">
        <f t="shared" si="2"/>
        <v>0.05263254222683339</v>
      </c>
    </row>
    <row r="10" spans="1:7" ht="13.5" thickTop="1">
      <c r="A10" s="6" t="s">
        <v>16</v>
      </c>
      <c r="B10" s="12">
        <f t="shared" si="0"/>
        <v>4696.178863849752</v>
      </c>
      <c r="C10" s="5">
        <f>Total_Obstetric_Yr1/Exchange</f>
        <v>7565.393333333334</v>
      </c>
      <c r="D10" s="5">
        <f>Total_Obstetric_Yr2/Exchange</f>
        <v>10802.713282895858</v>
      </c>
      <c r="E10" s="5">
        <f>Total_Obstetric_Yr3/Exchange</f>
        <v>10864.161911269135</v>
      </c>
      <c r="F10" s="13">
        <f t="shared" si="1"/>
        <v>15143.731935949076</v>
      </c>
      <c r="G10" s="14">
        <f t="shared" si="2"/>
        <v>0.014113052231329026</v>
      </c>
    </row>
    <row r="11" spans="1:7" ht="13.5" thickTop="1">
      <c r="A11" s="6" t="s">
        <v>17</v>
      </c>
      <c r="B11" s="12">
        <v>0</v>
      </c>
      <c r="C11" s="5">
        <f>Total_Surgical_Yr1/Exchange</f>
        <v>90390.08916666667</v>
      </c>
      <c r="D11" s="5">
        <f>Total_Surgical_Yr2/Exchange</f>
        <v>76552.64273031538</v>
      </c>
      <c r="E11" s="5">
        <f>Total_Surgical_Yr3/Exchange</f>
        <v>84366.69217462809</v>
      </c>
      <c r="F11" s="13">
        <f t="shared" si="1"/>
        <v>251309.42407161015</v>
      </c>
      <c r="G11" s="14">
        <f t="shared" si="2"/>
        <v>0.2342053493253129</v>
      </c>
    </row>
    <row r="12" spans="1:7" ht="12.75">
      <c r="A12" s="7" t="s">
        <v>18</v>
      </c>
      <c r="B12" s="12">
        <f t="shared" si="0"/>
        <v>9963.47194732881</v>
      </c>
      <c r="C12" s="5">
        <f>Total_Emergency_Yr1/Exchange</f>
        <v>16050.833333333334</v>
      </c>
      <c r="D12" s="5">
        <f>Total_Emergency_Yr2/Exchange</f>
        <v>22287.820549364147</v>
      </c>
      <c r="E12" s="5">
        <f>Total_Emergency_Yr3/Exchange</f>
        <v>30538.46086882869</v>
      </c>
      <c r="F12" s="13">
        <f t="shared" si="1"/>
        <v>38986.698909539744</v>
      </c>
      <c r="G12" s="14">
        <f t="shared" si="2"/>
        <v>0.03633327110943408</v>
      </c>
    </row>
    <row r="13" spans="1:7" ht="12.75">
      <c r="A13" s="8" t="s">
        <v>6</v>
      </c>
      <c r="B13" s="12">
        <f t="shared" si="0"/>
        <v>34409.78312543464</v>
      </c>
      <c r="C13" s="5">
        <f>(Total_Community_Yr1+C23)/Exchange</f>
        <v>55433.055555555555</v>
      </c>
      <c r="D13" s="5">
        <f>(Total_Community_Yr2+D23)/Exchange</f>
        <v>97819.29837737366</v>
      </c>
      <c r="E13" s="5">
        <f>(Total_Community_Yr3+E23)/Exchange</f>
        <v>238299.0204591624</v>
      </c>
      <c r="F13" s="13">
        <f t="shared" si="1"/>
        <v>288322.02501578775</v>
      </c>
      <c r="G13" s="14">
        <f t="shared" si="2"/>
        <v>0.2686988792261233</v>
      </c>
    </row>
    <row r="14" spans="1:7" s="16" customFormat="1" ht="12.75">
      <c r="A14" s="9" t="s">
        <v>22</v>
      </c>
      <c r="B14" s="23">
        <v>162494</v>
      </c>
      <c r="C14" s="24">
        <f>SUM(C4:C13)</f>
        <v>365626.49501111114</v>
      </c>
      <c r="D14" s="24">
        <f>SUM(D4:D13)</f>
        <v>488173.2120324465</v>
      </c>
      <c r="E14" s="24">
        <f>SUM(E4:E13)</f>
        <v>706712.5409655925</v>
      </c>
      <c r="F14" s="24">
        <f>SUM(F4:F13)</f>
        <v>1073030.2480091501</v>
      </c>
      <c r="G14" s="25">
        <f>SUM(G4:G13)</f>
        <v>1</v>
      </c>
    </row>
    <row r="15" spans="1:7" ht="12.75">
      <c r="A15" s="9"/>
      <c r="B15" s="11"/>
      <c r="C15" s="10"/>
      <c r="D15" s="10"/>
      <c r="E15" s="10"/>
      <c r="F15" s="10"/>
      <c r="G15" s="14"/>
    </row>
    <row r="16" spans="1:7" ht="42.75" customHeight="1">
      <c r="A16" s="20" t="s">
        <v>0</v>
      </c>
      <c r="B16" s="20"/>
      <c r="C16" s="20"/>
      <c r="D16" s="20"/>
      <c r="E16" s="20"/>
      <c r="F16" s="21"/>
      <c r="G16" s="21"/>
    </row>
    <row r="17" spans="1:7" ht="18.75" customHeight="1">
      <c r="A17" s="20" t="s">
        <v>5</v>
      </c>
      <c r="B17" s="20"/>
      <c r="C17" s="20"/>
      <c r="D17" s="20"/>
      <c r="E17" s="20"/>
      <c r="F17" s="21"/>
      <c r="G17" s="21"/>
    </row>
    <row r="18" spans="1:7" ht="18" customHeight="1">
      <c r="A18" t="s">
        <v>9</v>
      </c>
      <c r="B18" s="1"/>
      <c r="C18" s="1"/>
      <c r="D18" s="1"/>
      <c r="E18" s="1"/>
      <c r="F18" s="10"/>
      <c r="G18" s="14"/>
    </row>
    <row r="19" spans="1:7" ht="12.75">
      <c r="A19" s="9"/>
      <c r="B19" s="11"/>
      <c r="C19" s="10"/>
      <c r="D19" s="10"/>
      <c r="E19" s="10"/>
      <c r="F19" s="10"/>
      <c r="G19" s="14"/>
    </row>
    <row r="20" ht="12.75">
      <c r="A20" s="17" t="s">
        <v>21</v>
      </c>
    </row>
    <row r="21" ht="12.75">
      <c r="A21" s="17"/>
    </row>
    <row r="22" spans="1:7" ht="12.75">
      <c r="A22" t="s">
        <v>8</v>
      </c>
      <c r="B22" s="12">
        <f>B11+B9</f>
        <v>0</v>
      </c>
      <c r="C22" s="12">
        <f>C11+C9</f>
        <v>103853.87945555557</v>
      </c>
      <c r="D22" s="12">
        <f>D11+D9</f>
        <v>93671.21201925707</v>
      </c>
      <c r="E22" s="12">
        <f>E11+E9</f>
        <v>110260.6424358086</v>
      </c>
      <c r="F22" s="12">
        <f>F11+F9</f>
        <v>307785.73391062126</v>
      </c>
      <c r="G22" s="14">
        <f t="shared" si="2"/>
        <v>0.2868378915521463</v>
      </c>
    </row>
    <row r="23" spans="1:5" ht="12.75">
      <c r="A23" s="15" t="s">
        <v>20</v>
      </c>
      <c r="C23" s="22">
        <f>9*160000</f>
        <v>1440000</v>
      </c>
      <c r="D23" s="22">
        <f>C23+C23*inflation</f>
        <v>1627200</v>
      </c>
      <c r="E23" s="22">
        <f>D23+D23*inflation</f>
        <v>1838736</v>
      </c>
    </row>
    <row r="24" spans="1:7" ht="12.75">
      <c r="A24" t="s">
        <v>10</v>
      </c>
      <c r="B24" s="12">
        <f>B6+B7+B10+B12</f>
        <v>24316.54377987437</v>
      </c>
      <c r="C24" s="12">
        <f>C6+C7+C10+C12</f>
        <v>39173.171111111114</v>
      </c>
      <c r="D24" s="12">
        <f>D6+D7+D10+D12</f>
        <v>58619.05497553546</v>
      </c>
      <c r="E24" s="12">
        <f>E6+E7+E10+E12</f>
        <v>70886.38465293284</v>
      </c>
      <c r="F24" s="12">
        <f>F6+F7+F10+F12</f>
        <v>95728.97939995633</v>
      </c>
      <c r="G24" s="27">
        <f>G6+G7+G10+G12</f>
        <v>0.08921368207239952</v>
      </c>
    </row>
  </sheetData>
  <mergeCells count="2">
    <mergeCell ref="A16:G16"/>
    <mergeCell ref="A17:G1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Stone</dc:creator>
  <cp:keywords/>
  <dc:description/>
  <cp:lastModifiedBy>Natalie Stone</cp:lastModifiedBy>
  <dcterms:created xsi:type="dcterms:W3CDTF">2011-03-01T20:53:13Z</dcterms:created>
  <dcterms:modified xsi:type="dcterms:W3CDTF">2011-03-04T13:52:54Z</dcterms:modified>
  <cp:category/>
  <cp:version/>
  <cp:contentType/>
  <cp:contentStatus/>
</cp:coreProperties>
</file>