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REVISED Learning Phase Budget" sheetId="1" r:id="rId1"/>
    <sheet name="Projections for Number of Infan" sheetId="2" r:id="rId2"/>
  </sheets>
  <calcPr calcId="145621"/>
</workbook>
</file>

<file path=xl/calcChain.xml><?xml version="1.0" encoding="utf-8"?>
<calcChain xmlns="http://schemas.openxmlformats.org/spreadsheetml/2006/main">
  <c r="CA20" i="2" l="1"/>
  <c r="AY20" i="2"/>
  <c r="W20" i="2"/>
  <c r="BZ19" i="2"/>
  <c r="CA19" i="2" s="1"/>
  <c r="AX19" i="2"/>
  <c r="AY19" i="2" s="1"/>
  <c r="V19" i="2"/>
  <c r="BY18" i="2"/>
  <c r="CA18" i="2" s="1"/>
  <c r="AW18" i="2"/>
  <c r="AX18" i="2" s="1"/>
  <c r="U18" i="2"/>
  <c r="BX17" i="2"/>
  <c r="BZ17" i="2" s="1"/>
  <c r="AV17" i="2"/>
  <c r="AX17" i="2" s="1"/>
  <c r="T17" i="2"/>
  <c r="BY16" i="2"/>
  <c r="BX16" i="2"/>
  <c r="BW16" i="2"/>
  <c r="BZ16" i="2" s="1"/>
  <c r="AW16" i="2"/>
  <c r="AV16" i="2"/>
  <c r="AU16" i="2"/>
  <c r="AX16" i="2" s="1"/>
  <c r="S16" i="2"/>
  <c r="BY15" i="2"/>
  <c r="BX15" i="2"/>
  <c r="BV15" i="2"/>
  <c r="BW15" i="2" s="1"/>
  <c r="AW15" i="2"/>
  <c r="AV15" i="2"/>
  <c r="AT15" i="2"/>
  <c r="AU15" i="2" s="1"/>
  <c r="R15" i="2"/>
  <c r="BX14" i="2"/>
  <c r="BU14" i="2"/>
  <c r="BV14" i="2" s="1"/>
  <c r="AV14" i="2"/>
  <c r="AS14" i="2"/>
  <c r="AT14" i="2" s="1"/>
  <c r="Q14" i="2"/>
  <c r="BT13" i="2"/>
  <c r="BV13" i="2" s="1"/>
  <c r="AR13" i="2"/>
  <c r="AT13" i="2" s="1"/>
  <c r="P13" i="2"/>
  <c r="BU12" i="2"/>
  <c r="BT12" i="2"/>
  <c r="BS12" i="2"/>
  <c r="BV12" i="2" s="1"/>
  <c r="AS12" i="2"/>
  <c r="AR12" i="2"/>
  <c r="AQ12" i="2"/>
  <c r="AT12" i="2" s="1"/>
  <c r="O12" i="2"/>
  <c r="CA11" i="2"/>
  <c r="BU11" i="2"/>
  <c r="BR11" i="2"/>
  <c r="BS11" i="2" s="1"/>
  <c r="AY11" i="2"/>
  <c r="AP11" i="2"/>
  <c r="AR11" i="2" s="1"/>
  <c r="N11" i="2"/>
  <c r="BZ10" i="2"/>
  <c r="BT10" i="2"/>
  <c r="BS10" i="2"/>
  <c r="BQ10" i="2"/>
  <c r="BR10" i="2" s="1"/>
  <c r="AX10" i="2"/>
  <c r="AR10" i="2"/>
  <c r="AO10" i="2"/>
  <c r="AP10" i="2" s="1"/>
  <c r="M10" i="2"/>
  <c r="BY9" i="2"/>
  <c r="BR9" i="2"/>
  <c r="BQ9" i="2"/>
  <c r="BP9" i="2"/>
  <c r="BS9" i="2" s="1"/>
  <c r="AW9" i="2"/>
  <c r="AQ9" i="2"/>
  <c r="AP9" i="2"/>
  <c r="AO9" i="2"/>
  <c r="AN9" i="2"/>
  <c r="L9" i="2"/>
  <c r="BX8" i="2"/>
  <c r="BO8" i="2"/>
  <c r="BQ8" i="2" s="1"/>
  <c r="AV8" i="2"/>
  <c r="AO8" i="2"/>
  <c r="AN8" i="2"/>
  <c r="AM8" i="2"/>
  <c r="AP8" i="2" s="1"/>
  <c r="K8" i="2"/>
  <c r="BW7" i="2"/>
  <c r="BQ7" i="2"/>
  <c r="BN7" i="2"/>
  <c r="BO7" i="2" s="1"/>
  <c r="AU7" i="2"/>
  <c r="AL7" i="2"/>
  <c r="AN7" i="2" s="1"/>
  <c r="J7" i="2"/>
  <c r="BV6" i="2"/>
  <c r="BP6" i="2"/>
  <c r="BO6" i="2"/>
  <c r="BN6" i="2"/>
  <c r="BM6" i="2"/>
  <c r="AT6" i="2"/>
  <c r="AN6" i="2"/>
  <c r="AK6" i="2"/>
  <c r="AL6" i="2" s="1"/>
  <c r="I6" i="2"/>
  <c r="BU5" i="2"/>
  <c r="BO5" i="2"/>
  <c r="BN5" i="2"/>
  <c r="BM5" i="2"/>
  <c r="BL5" i="2"/>
  <c r="AS5" i="2"/>
  <c r="AM5" i="2"/>
  <c r="AJ5" i="2"/>
  <c r="AK5" i="2" s="1"/>
  <c r="H5" i="2"/>
  <c r="B3" i="2" s="1"/>
  <c r="E57" i="1" s="1"/>
  <c r="D68" i="1"/>
  <c r="C68" i="1" s="1"/>
  <c r="C66" i="1"/>
  <c r="C65" i="1"/>
  <c r="E64" i="1"/>
  <c r="C64" i="1"/>
  <c r="E63" i="1"/>
  <c r="C63" i="1"/>
  <c r="E62" i="1"/>
  <c r="C62" i="1"/>
  <c r="E61" i="1"/>
  <c r="C61" i="1"/>
  <c r="C60" i="1"/>
  <c r="D59" i="1"/>
  <c r="C59" i="1" s="1"/>
  <c r="C56" i="1"/>
  <c r="E55" i="1"/>
  <c r="C55" i="1"/>
  <c r="E54" i="1"/>
  <c r="C54" i="1" s="1"/>
  <c r="C53" i="1"/>
  <c r="E53" i="1" s="1"/>
  <c r="E52" i="1"/>
  <c r="C52" i="1" s="1"/>
  <c r="C51" i="1"/>
  <c r="C50" i="1"/>
  <c r="E49" i="1"/>
  <c r="C49" i="1" s="1"/>
  <c r="E48" i="1"/>
  <c r="C48" i="1"/>
  <c r="E46" i="1"/>
  <c r="C46" i="1" s="1"/>
  <c r="E45" i="1"/>
  <c r="C45" i="1"/>
  <c r="C44" i="1"/>
  <c r="C40" i="1" s="1"/>
  <c r="E37" i="1"/>
  <c r="C37" i="1"/>
  <c r="E36" i="1"/>
  <c r="C36" i="1" s="1"/>
  <c r="C35" i="1" s="1"/>
  <c r="E33" i="1"/>
  <c r="C33" i="1"/>
  <c r="E32" i="1"/>
  <c r="C32" i="1"/>
  <c r="C28" i="1" s="1"/>
  <c r="E31" i="1"/>
  <c r="E30" i="1"/>
  <c r="C24" i="1"/>
  <c r="C26" i="1" s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AL5" i="2" l="1"/>
  <c r="AM6" i="2"/>
  <c r="B4" i="2" s="1"/>
  <c r="E58" i="1" s="1"/>
  <c r="C57" i="1" s="1"/>
  <c r="AO7" i="2"/>
  <c r="BP7" i="2"/>
  <c r="B5" i="2" s="1"/>
  <c r="B6" i="2" s="1"/>
  <c r="BR8" i="2"/>
  <c r="AQ10" i="2"/>
  <c r="AS11" i="2"/>
  <c r="BT11" i="2"/>
  <c r="AU13" i="2"/>
  <c r="BW13" i="2"/>
  <c r="AU14" i="2"/>
  <c r="BW14" i="2"/>
  <c r="AY17" i="2"/>
  <c r="CA17" i="2"/>
  <c r="AY18" i="2"/>
  <c r="AM7" i="2"/>
  <c r="BP8" i="2"/>
  <c r="AQ11" i="2"/>
  <c r="AS13" i="2"/>
  <c r="BU13" i="2"/>
  <c r="AW17" i="2"/>
  <c r="BY17" i="2"/>
  <c r="BZ18" i="2"/>
  <c r="C25" i="1"/>
  <c r="C6" i="1" s="1"/>
  <c r="B3" i="1" l="1"/>
  <c r="B5" i="1" s="1"/>
</calcChain>
</file>

<file path=xl/sharedStrings.xml><?xml version="1.0" encoding="utf-8"?>
<sst xmlns="http://schemas.openxmlformats.org/spreadsheetml/2006/main" count="306" uniqueCount="162">
  <si>
    <t>Projections for Number of Infants</t>
  </si>
  <si>
    <t>Projections for Number of Payouts</t>
  </si>
  <si>
    <t>CCTs for Immunizations: Learning / Pre-RCT Phase Budget: March 2017 - June 2018</t>
  </si>
  <si>
    <t>Projections for CCT Disbursements</t>
  </si>
  <si>
    <t>Jan 2017</t>
  </si>
  <si>
    <t>Item</t>
  </si>
  <si>
    <t>Projection in USD based on Assumptions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</si>
  <si>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</si>
  <si>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</si>
  <si>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</si>
  <si>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</si>
  <si>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</si>
  <si>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</si>
  <si>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</si>
  <si>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</si>
  <si>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</si>
  <si>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</si>
  <si>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</si>
  <si>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Number of Units</t>
  </si>
  <si>
    <t>Jan 2018</t>
  </si>
  <si>
    <t>Cost per Unit in NGN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</si>
  <si>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</si>
  <si>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</si>
  <si>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</si>
  <si>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</si>
  <si>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</si>
  <si>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</si>
  <si>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</si>
  <si>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</si>
  <si>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</si>
  <si>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</si>
  <si>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</si>
  <si>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</si>
  <si>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</si>
  <si>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Notes</t>
  </si>
  <si>
    <t>Total Funding Seeking:</t>
  </si>
  <si>
    <t># Infants:</t>
  </si>
  <si>
    <t># Payouts:</t>
  </si>
  <si>
    <t>Number of months:</t>
  </si>
  <si>
    <t>Total CCTs in NGN:</t>
  </si>
  <si>
    <t>Cost per Mother/Infant:</t>
  </si>
  <si>
    <t>Fixed Costs for 24 Months</t>
  </si>
  <si>
    <t>Total US and Nigerian fixed costs for 16 months:</t>
  </si>
  <si>
    <t>Assumes 24 months of fixed management/ HQ costs.</t>
  </si>
  <si>
    <t>Total CCTs in USD:</t>
  </si>
  <si>
    <t>Management Team (3 staff), 24 months</t>
  </si>
  <si>
    <t>Assumes $52,000 per chief officer per year, including payroll taxes, in 2017. Assumes $66,000 per chief officer per year, including payroll taxes, in 2018.</t>
  </si>
  <si>
    <t>Payroll Taxes (US), 24 months</t>
  </si>
  <si>
    <t>Insurance (Other)</t>
  </si>
  <si>
    <t>Payroll Fees</t>
  </si>
  <si>
    <t>Accounting</t>
  </si>
  <si>
    <t>Assumes $45 for Xero per month; $1,000 for preparation and filing of annual federal 990, CA 199, and AG RRF-1 filings; $2,000 for discounted audit</t>
  </si>
  <si>
    <t>US Legal</t>
  </si>
  <si>
    <t>Annual filing fees</t>
  </si>
  <si>
    <t>Telephone &amp; Internet</t>
  </si>
  <si>
    <t>Pilot Sites</t>
  </si>
  <si>
    <t># Clinics:</t>
  </si>
  <si>
    <t>Travel (international and domestic)</t>
  </si>
  <si>
    <t>Assumes 6 trips including international/domestic fares from Europe, 4 trips including international/domestic fares from the US per year</t>
  </si>
  <si>
    <t>Office expenses (virtual mailbox, file storage, etc)</t>
  </si>
  <si>
    <t>Bank and CCT Transfer Fees</t>
  </si>
  <si>
    <t>Accident Insurance (for field staff)</t>
  </si>
  <si>
    <t>IT Projects</t>
  </si>
  <si>
    <t>Assumes $20,000 per year for database, Google Sheets, and doForms development support</t>
  </si>
  <si>
    <t>Senior Advisor (Economist)</t>
  </si>
  <si>
    <t>Provides additional expert opinion on key decisions regarding research design</t>
  </si>
  <si>
    <t>Nigeria Office</t>
  </si>
  <si>
    <t>HQ in Uyo and eventually Abuja</t>
  </si>
  <si>
    <t>Equipment for Staff in Nigeria</t>
  </si>
  <si>
    <t>Assumes six $500 laptops.</t>
  </si>
  <si>
    <t>Nigeria Accounting and Legal</t>
  </si>
  <si>
    <t># Average New Infants Per Clinic/ Month:</t>
  </si>
  <si>
    <t>Annual audit, annual filing, setup of pension accounts, setup PAYE tax payments for each state</t>
  </si>
  <si>
    <t>Government Relations Manager</t>
  </si>
  <si>
    <t>[Official title TBD] Assumes one mid-level to senior staff member at $2,000 per month</t>
  </si>
  <si>
    <t>State Operations Managers</t>
  </si>
  <si>
    <t>Assumes two State Operations Managers at $500 per month.</t>
  </si>
  <si>
    <t>Payroll for Nigerian Senior Staff</t>
  </si>
  <si>
    <t>Assumes 12% payroll taxes.</t>
  </si>
  <si>
    <t>Pension Contributions for Nigerian Staff</t>
  </si>
  <si>
    <t>Assumes 18% for senior Nigerian salary costs (as of 1 July 2014, all employers with 3 or more employees have to participate in the Contributory Pension Scheme); 
-        Minimum of 10% contribution by employer
-        Minimum of 8% by employee</t>
  </si>
  <si>
    <t>Miscellaneous</t>
  </si>
  <si>
    <t>Scoping Northern States</t>
  </si>
  <si>
    <t>Total of Scoping period:</t>
  </si>
  <si>
    <t>Expansion Manager</t>
  </si>
  <si>
    <t>[Official title TBD] Assumes one mid-level to senior staff member at $1,500 per month. Plus 12% payroll taxes for employee taxes and potential NHF contributions.</t>
  </si>
  <si>
    <t>Learning Sites</t>
  </si>
  <si>
    <t>Flights to 10 states to meet with Ministry and collect basic data (preliminary visits)</t>
  </si>
  <si>
    <t>Assumes 10 flight tickets at 35,000 Naira each way (20 tickets total); assume up to 8 additional tickets (two trips to each state) for Patrick to visit 2 focal states</t>
  </si>
  <si>
    <t>Hotel and meals for each preliminary visit</t>
  </si>
  <si>
    <t>Assume 21-night stay in main city of each state; 3,000 NGN salary/day; 15,000 NGN transport/day; 6,000 Naira hotel; 3,000 NGN/meals; 3,000 NGN miscellaneous; one day for family planning supply-side assessments</t>
  </si>
  <si>
    <t>In-depth stay in 3 selected states</t>
  </si>
  <si>
    <t>Assume 21-night stay in main city of each state; 3,000 NGN salary/day; 15,000 NGN transport/day; 6,000 Naira hotel; 3,000 NGN/meals; 2,000 NGN miscellaneous</t>
  </si>
  <si>
    <t># Average New Infants Per Clinic/ Month (lower volume in NW, start with BCG only):</t>
  </si>
  <si>
    <t>Visit by Patrick in 3 selected states</t>
  </si>
  <si>
    <t xml:space="preserve">Assume two 5-night stays in main city of three states; 15,000 NGN transport/day; 8,000 Naira hotel; 2,000 NGN miscellaneous </t>
  </si>
  <si>
    <t>Matching Study</t>
  </si>
  <si>
    <t>Total of data collection for matching study:</t>
  </si>
  <si>
    <t># matching clinics:</t>
  </si>
  <si>
    <t>Collection of historical data</t>
  </si>
  <si>
    <t>RCT Batch 1</t>
  </si>
  <si>
    <t>Assumes can assess each clinic for the following costs per day: 3,000 NGN salary/day; 15,000 NGN transport/day; 2,000 NGN lunch for Ministry; 6,000 Naira hotel; 3,000 NGN/meals; 2,000 NGN flight; 2,000 NGN miscellaneous; assumes 4 days per clinic because new clinics (not pilot sites)</t>
  </si>
  <si>
    <t>Assistance of expansion coordinator</t>
  </si>
  <si>
    <t>Assumes 5 hours per clinic at $3.00/hour for Angelica</t>
  </si>
  <si>
    <t>Transcription of historical data</t>
  </si>
  <si>
    <t>Assumes transcription for approximately 3 years, when available. Includes $0.03 per record transcribed plus $0.02 for auditing. Total of $0.05 per record for up to 3,000 records per clinic.</t>
  </si>
  <si>
    <t>Learning Phase and RCT Phase Field Expenses:
Per Clinic</t>
  </si>
  <si>
    <t>Total for Learning Phase:</t>
  </si>
  <si>
    <t># Average Infants Per Clinic/ Month:</t>
  </si>
  <si>
    <t># learning clinics:</t>
  </si>
  <si>
    <t>Assumes 12 Pre-RCT learning sites for 14 months (6 clinic in each of two focal states); 50 RCT sites for 15 months per site; 50 control sites</t>
  </si>
  <si>
    <t># months:</t>
  </si>
  <si>
    <t># RCT clinics:</t>
  </si>
  <si>
    <t>Assumes 50 treatment sites for 15 months per site (enough to complete payouts for infants enrolled at end of RCT study period); includes 100 clinics total because will need to conduct initial visits and collect data at control sites</t>
  </si>
  <si>
    <t>Clinic assessments</t>
  </si>
  <si>
    <t>Assumes can assess each clinic (in-depth supply-side assessment) for the following costs: 3,000 NGN salary/day; 15,000 NGN transport/day; 2,000 NGN lunch for Ministry; 6,000 Naira hotel; 3,000 NGN/meals; 3,000 NGN flight; 5,000 NGN miscellaneous</t>
  </si>
  <si>
    <t>Assumes can collect historical data for each clinic for the following costs: 3,000 NGN salary/day; 15,000 NGN transport/day; 2,000 NGN lunch for Ministry; 6,000 Naira hotel; 3,000 NGN/meals; 3,000 NGN flight; 5,000 NGN miscellaneous; assumes 4 days per clinic</t>
  </si>
  <si>
    <t>Assumes 5 hours per clinic at $3.00/hour for Angelica (data review assistant)</t>
  </si>
  <si>
    <t>Clinic trainings</t>
  </si>
  <si>
    <t>Assumes can train 2 clinics for the following costs: 3,000 NGN salary/day; 15,000 NGN transport/day; 2,000 NGN lunch for Ministry; 6,000 Naira hotel; 3,000 NGN/meals; 20,000 NGN catering for clinic staff; 3,000 NGN flight; 2,000 NGN miscellaneous</t>
  </si>
  <si>
    <t>Clinic audits</t>
  </si>
  <si>
    <t>RCT Batch 2</t>
  </si>
  <si>
    <t>Assumes can audit 2 clinics for the following costs: 3,000 NGN salary/day; 15,000 NGN transport/day; 6,000 Naira hotel; 3,000 NGN meals; 3,000 NGN flight; 2,000 NGN miscellaneous</t>
  </si>
  <si>
    <t>Printing (posters)</t>
  </si>
  <si>
    <t>Bimonthly refreshments for nurses</t>
  </si>
  <si>
    <t>Assumes bimonthly refreshments for nurses; N5000 per time</t>
  </si>
  <si>
    <t>Phone for field staff</t>
  </si>
  <si>
    <t>60,000 NGN per Samsung J2 including power bank and case. Works for at least one year (50 weeks), then potential replacement; assumes each field staff can operate an average of 3 clinics/week</t>
  </si>
  <si>
    <t>Technology per field staff (doForms, etc)</t>
  </si>
  <si>
    <t>Assumes $149 doForms annual fee and $50 for other phone app and setup costs; assumes each field staff can operate an average of 3 clinics/week</t>
  </si>
  <si>
    <t>Phone credit</t>
  </si>
  <si>
    <t>Assumes 200 Naira per clinic day for general communications; assumes an average of 1.5 days per week per clinic; assumes 50 operational weeks per year</t>
  </si>
  <si>
    <t>Internet for sending data</t>
  </si>
  <si>
    <t>Assumes 200 Naira per clinic day; assumes an average of 1.5 days per week per clinic; assumes 50 operational weeks per year</t>
  </si>
  <si>
    <t>Learning Phase and RCT Phase Field Expenses:
Per Vaccination
Incentive Paid</t>
  </si>
  <si>
    <t>Total based on number of vaccination incentives projected to pay out:</t>
  </si>
  <si>
    <t># new children across all clinics:</t>
  </si>
  <si>
    <t>Assumes an average of 70 new infants per month per clinic</t>
  </si>
  <si>
    <t># payouts:</t>
  </si>
  <si>
    <t>Assumes every mother/infant pair are offered five payouts</t>
  </si>
  <si>
    <t>CCTs: BCG through Penta 3</t>
  </si>
  <si>
    <t>Assumes that 90% of women are retained from BCG through Penta 3; each payout is 500 Naira</t>
  </si>
  <si>
    <t>CCTs: Measles</t>
  </si>
  <si>
    <t>Assumes that 70% get measles incentive</t>
  </si>
  <si>
    <t>Staff salaries</t>
  </si>
  <si>
    <t>Assumes staff member earns 2,500 NGN/day - 3,000 NGN salary/day; processes an average of 20 payouts per day.</t>
  </si>
  <si>
    <t>Staff taxes</t>
  </si>
  <si>
    <t>Includes Nigerian employer PAYE taxes and required fund contributions (National Housing Fund, Employee Compensation Fund)</t>
  </si>
  <si>
    <t>Field transportation</t>
  </si>
  <si>
    <t>Assumes staff member processes an average of 20 payouts per clinic visit</t>
  </si>
  <si>
    <t>Printing (leaflets)</t>
  </si>
  <si>
    <t>Assumes each woman benefits from an average of 4.3 payouts; includes one referral leaflet</t>
  </si>
  <si>
    <t>SMS reminders</t>
  </si>
  <si>
    <t>Assume one message/ payout; average Twilio message is 1 cent, 1 cent for Textit = 2 cents per message</t>
  </si>
  <si>
    <t>Experimentation to Improve Cost-Effectiveness</t>
  </si>
  <si>
    <t>Total for experimentation:</t>
  </si>
  <si>
    <t>Pilot family planning incentives for implants at 3 clinics for six months</t>
  </si>
  <si>
    <t>Assumes 80 women per clinic per month for six months; incentive will be 2,000 Naira</t>
  </si>
  <si>
    <t>Visits to control sites to check family planning data for removal of implants</t>
  </si>
  <si>
    <t>Phone calls to inquire about implant</t>
  </si>
  <si>
    <t>Basic research and meetings regarding Vitamin A supplementation with key IPs and government stakeholders</t>
  </si>
  <si>
    <t>Collaborate with IDinsight to assess income of a subset of RI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</si>
</sst>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"/>
    <numFmt numFmtId="166" formatCode="[$₦]#,##0.00"/>
    <numFmt numFmtId="167" formatCode="[$₦]#,##0"/>
    <numFmt numFmtId="168" formatCode="&quot;$&quot;#,##0"/>
  </numFmts>
  <fonts count="15" x14ac:knownFonts="1">
    <font>
      <sz val="10"/>
      <color rgb="FF000000"/>
      <name val="Arial"/>
    </font>
    <font>
      <b/>
      <sz val="10"/>
      <name val="Arial"/>
    </font>
    <font>
      <b/>
      <sz val="12"/>
      <color rgb="FF0000FF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10"/>
      <name val="Arial"/>
    </font>
    <font>
      <sz val="8"/>
      <name val="Arial"/>
    </font>
    <font>
      <b/>
      <sz val="10"/>
      <color rgb="FF666666"/>
      <name val="Arial"/>
    </font>
    <font>
      <sz val="8"/>
      <color rgb="FF000000"/>
      <name val="Arial"/>
    </font>
    <font>
      <sz val="10"/>
      <color rgb="FF0000FF"/>
      <name val="Arial"/>
    </font>
    <font>
      <sz val="10"/>
      <color rgb="FF666666"/>
      <name val="Arial"/>
    </font>
    <font>
      <sz val="10"/>
      <color rgb="FF999999"/>
      <name val="Arial"/>
    </font>
    <font>
      <sz val="10"/>
      <name val="Arial"/>
    </font>
    <font>
      <sz val="8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D9D9D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6" fontId="3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1" fillId="2" borderId="4" xfId="0" applyFont="1" applyFill="1" applyBorder="1" applyAlignment="1"/>
    <xf numFmtId="3" fontId="1" fillId="2" borderId="5" xfId="0" applyNumberFormat="1" applyFont="1" applyFill="1" applyBorder="1"/>
    <xf numFmtId="0" fontId="1" fillId="0" borderId="0" xfId="0" applyFont="1" applyAlignment="1"/>
    <xf numFmtId="164" fontId="4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Alignment="1">
      <alignment horizontal="center" wrapText="1"/>
    </xf>
    <xf numFmtId="1" fontId="6" fillId="0" borderId="0" xfId="0" applyNumberFormat="1" applyFont="1"/>
    <xf numFmtId="165" fontId="7" fillId="2" borderId="0" xfId="0" applyNumberFormat="1" applyFont="1" applyFill="1" applyAlignment="1">
      <alignment horizontal="center" wrapText="1"/>
    </xf>
    <xf numFmtId="0" fontId="1" fillId="2" borderId="6" xfId="0" applyFont="1" applyFill="1" applyBorder="1" applyAlignment="1"/>
    <xf numFmtId="166" fontId="7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3" fontId="1" fillId="2" borderId="7" xfId="0" applyNumberFormat="1" applyFont="1" applyFill="1" applyBorder="1"/>
    <xf numFmtId="1" fontId="4" fillId="2" borderId="0" xfId="0" applyNumberFormat="1" applyFont="1" applyFill="1" applyAlignment="1">
      <alignment horizontal="left" wrapText="1"/>
    </xf>
    <xf numFmtId="167" fontId="1" fillId="2" borderId="7" xfId="0" applyNumberFormat="1" applyFont="1" applyFill="1" applyBorder="1"/>
    <xf numFmtId="1" fontId="8" fillId="0" borderId="0" xfId="0" applyNumberFormat="1" applyFont="1"/>
    <xf numFmtId="164" fontId="5" fillId="2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/>
    <xf numFmtId="165" fontId="10" fillId="0" borderId="0" xfId="0" applyNumberFormat="1" applyFont="1"/>
    <xf numFmtId="166" fontId="10" fillId="0" borderId="0" xfId="0" applyNumberFormat="1" applyFont="1"/>
    <xf numFmtId="164" fontId="5" fillId="0" borderId="0" xfId="0" applyNumberFormat="1" applyFont="1" applyAlignment="1">
      <alignment wrapText="1"/>
    </xf>
    <xf numFmtId="0" fontId="1" fillId="2" borderId="8" xfId="0" applyFont="1" applyFill="1" applyBorder="1" applyAlignment="1"/>
    <xf numFmtId="0" fontId="5" fillId="0" borderId="0" xfId="0" applyFont="1" applyAlignment="1">
      <alignment wrapText="1"/>
    </xf>
    <xf numFmtId="164" fontId="1" fillId="2" borderId="9" xfId="0" applyNumberFormat="1" applyFont="1" applyFill="1" applyBorder="1"/>
    <xf numFmtId="164" fontId="5" fillId="0" borderId="0" xfId="0" applyNumberFormat="1" applyFont="1" applyAlignment="1"/>
    <xf numFmtId="164" fontId="5" fillId="0" borderId="0" xfId="0" applyNumberFormat="1" applyFont="1"/>
    <xf numFmtId="165" fontId="10" fillId="0" borderId="0" xfId="0" applyNumberFormat="1" applyFont="1" applyAlignment="1"/>
    <xf numFmtId="166" fontId="10" fillId="0" borderId="0" xfId="0" applyNumberFormat="1" applyFont="1" applyAlignment="1"/>
    <xf numFmtId="164" fontId="5" fillId="0" borderId="0" xfId="0" applyNumberFormat="1" applyFont="1" applyAlignment="1"/>
    <xf numFmtId="164" fontId="5" fillId="0" borderId="0" xfId="0" applyNumberFormat="1" applyFont="1" applyAlignment="1">
      <alignment wrapText="1"/>
    </xf>
    <xf numFmtId="168" fontId="5" fillId="0" borderId="0" xfId="0" applyNumberFormat="1" applyFont="1" applyAlignment="1">
      <alignment wrapText="1"/>
    </xf>
    <xf numFmtId="0" fontId="1" fillId="4" borderId="0" xfId="0" applyFont="1" applyFill="1" applyAlignment="1"/>
    <xf numFmtId="0" fontId="5" fillId="0" borderId="0" xfId="0" applyFont="1" applyAlignment="1"/>
    <xf numFmtId="0" fontId="1" fillId="4" borderId="0" xfId="0" applyFont="1" applyFill="1" applyAlignment="1">
      <alignment wrapText="1"/>
    </xf>
    <xf numFmtId="0" fontId="5" fillId="0" borderId="11" xfId="0" applyFont="1" applyBorder="1" applyAlignment="1">
      <alignment wrapText="1"/>
    </xf>
    <xf numFmtId="164" fontId="5" fillId="0" borderId="11" xfId="0" applyNumberFormat="1" applyFont="1" applyBorder="1" applyAlignment="1"/>
    <xf numFmtId="0" fontId="5" fillId="0" borderId="0" xfId="0" applyFont="1" applyAlignment="1">
      <alignment horizontal="left"/>
    </xf>
    <xf numFmtId="165" fontId="10" fillId="0" borderId="11" xfId="0" applyNumberFormat="1" applyFont="1" applyBorder="1" applyAlignment="1"/>
    <xf numFmtId="166" fontId="10" fillId="0" borderId="11" xfId="0" applyNumberFormat="1" applyFont="1" applyBorder="1" applyAlignment="1"/>
    <xf numFmtId="164" fontId="5" fillId="0" borderId="11" xfId="0" applyNumberFormat="1" applyFont="1" applyBorder="1" applyAlignment="1">
      <alignment wrapText="1"/>
    </xf>
    <xf numFmtId="1" fontId="10" fillId="0" borderId="0" xfId="0" applyNumberFormat="1" applyFont="1" applyAlignment="1"/>
    <xf numFmtId="0" fontId="11" fillId="0" borderId="0" xfId="0" applyFont="1" applyAlignment="1">
      <alignment wrapText="1"/>
    </xf>
    <xf numFmtId="164" fontId="11" fillId="0" borderId="0" xfId="0" applyNumberFormat="1" applyFont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64" fontId="11" fillId="0" borderId="0" xfId="0" applyNumberFormat="1" applyFont="1" applyAlignment="1">
      <alignment wrapText="1"/>
    </xf>
    <xf numFmtId="1" fontId="11" fillId="0" borderId="0" xfId="0" applyNumberFormat="1" applyFont="1" applyAlignment="1"/>
    <xf numFmtId="0" fontId="9" fillId="0" borderId="12" xfId="0" applyFont="1" applyBorder="1" applyAlignment="1">
      <alignment wrapText="1"/>
    </xf>
    <xf numFmtId="164" fontId="9" fillId="0" borderId="12" xfId="0" applyNumberFormat="1" applyFont="1" applyBorder="1" applyAlignment="1"/>
    <xf numFmtId="165" fontId="10" fillId="0" borderId="12" xfId="0" applyNumberFormat="1" applyFont="1" applyBorder="1" applyAlignment="1"/>
    <xf numFmtId="1" fontId="10" fillId="0" borderId="12" xfId="0" applyNumberFormat="1" applyFont="1" applyBorder="1" applyAlignment="1"/>
    <xf numFmtId="164" fontId="5" fillId="0" borderId="12" xfId="0" applyNumberFormat="1" applyFont="1" applyBorder="1" applyAlignment="1">
      <alignment wrapText="1"/>
    </xf>
    <xf numFmtId="165" fontId="10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1" fontId="13" fillId="0" borderId="0" xfId="0" applyNumberFormat="1" applyFont="1" applyAlignment="1">
      <alignment horizontal="right"/>
    </xf>
    <xf numFmtId="1" fontId="12" fillId="0" borderId="0" xfId="0" applyNumberFormat="1" applyFont="1" applyAlignment="1"/>
    <xf numFmtId="165" fontId="10" fillId="0" borderId="11" xfId="0" applyNumberFormat="1" applyFont="1" applyBorder="1"/>
    <xf numFmtId="0" fontId="5" fillId="0" borderId="11" xfId="0" applyFont="1" applyBorder="1" applyAlignment="1">
      <alignment wrapText="1"/>
    </xf>
    <xf numFmtId="165" fontId="10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164" fontId="14" fillId="0" borderId="0" xfId="0" applyNumberFormat="1" applyFont="1" applyAlignment="1"/>
    <xf numFmtId="1" fontId="1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11" fillId="0" borderId="12" xfId="0" applyFont="1" applyBorder="1" applyAlignment="1">
      <alignment wrapText="1"/>
    </xf>
    <xf numFmtId="164" fontId="11" fillId="0" borderId="12" xfId="0" applyNumberFormat="1" applyFont="1" applyBorder="1" applyAlignment="1"/>
    <xf numFmtId="165" fontId="11" fillId="0" borderId="12" xfId="0" applyNumberFormat="1" applyFont="1" applyBorder="1"/>
    <xf numFmtId="166" fontId="11" fillId="0" borderId="12" xfId="0" applyNumberFormat="1" applyFont="1" applyBorder="1" applyAlignment="1"/>
    <xf numFmtId="165" fontId="11" fillId="0" borderId="0" xfId="0" applyNumberFormat="1" applyFont="1"/>
    <xf numFmtId="0" fontId="11" fillId="0" borderId="0" xfId="0" applyFont="1"/>
    <xf numFmtId="168" fontId="11" fillId="0" borderId="0" xfId="0" applyNumberFormat="1" applyFont="1" applyAlignment="1"/>
    <xf numFmtId="0" fontId="5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164" fontId="5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0" borderId="10" xfId="0" applyFont="1" applyBorder="1"/>
    <xf numFmtId="0" fontId="11" fillId="3" borderId="0" xfId="0" applyFont="1" applyFill="1" applyAlignment="1">
      <alignment horizontal="center" vertical="center" wrapText="1"/>
    </xf>
    <xf numFmtId="164" fontId="5" fillId="0" borderId="12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24.140625" customWidth="1"/>
    <col min="2" max="2" width="37.5703125" customWidth="1"/>
    <col min="4" max="4" width="15.7109375" customWidth="1"/>
    <col min="6" max="6" width="66.42578125" customWidth="1"/>
  </cols>
  <sheetData>
    <row r="1" spans="1:6" ht="13.5" x14ac:dyDescent="0.25">
      <c r="A1" s="1"/>
      <c r="B1" s="82" t="s">
        <v>2</v>
      </c>
      <c r="C1" s="80"/>
      <c r="D1" s="80"/>
      <c r="E1" s="80"/>
      <c r="F1" s="80"/>
    </row>
    <row r="2" spans="1:6" ht="38.25" x14ac:dyDescent="0.2">
      <c r="A2" s="1"/>
      <c r="B2" s="1" t="s">
        <v>5</v>
      </c>
      <c r="C2" s="4" t="s">
        <v>6</v>
      </c>
      <c r="D2" s="6" t="s">
        <v>18</v>
      </c>
      <c r="E2" s="8" t="s">
        <v>20</v>
      </c>
      <c r="F2" s="4" t="s">
        <v>34</v>
      </c>
    </row>
    <row r="3" spans="1:6" ht="12.75" x14ac:dyDescent="0.2">
      <c r="A3" s="9" t="s">
        <v>35</v>
      </c>
      <c r="B3" s="13">
        <f>(C6+C28+C35+C40+C57+C67)</f>
        <v>819059.1142248062</v>
      </c>
      <c r="C3" s="14"/>
      <c r="D3" s="16"/>
      <c r="E3" s="18"/>
      <c r="F3" s="19"/>
    </row>
    <row r="4" spans="1:6" ht="12.75" x14ac:dyDescent="0.2">
      <c r="A4" s="9" t="s">
        <v>38</v>
      </c>
      <c r="B4" s="21">
        <v>16</v>
      </c>
      <c r="C4" s="14"/>
      <c r="D4" s="16"/>
      <c r="E4" s="18"/>
      <c r="F4" s="4"/>
    </row>
    <row r="5" spans="1:6" ht="12.75" x14ac:dyDescent="0.2">
      <c r="A5" s="9" t="s">
        <v>40</v>
      </c>
      <c r="B5" s="13">
        <f>((500*4*0.9)+(2000*0.7))/300*(1+((B3-'Projections for Number of Infan'!B6)/B3))</f>
        <v>18.690170429620785</v>
      </c>
      <c r="C5" s="14"/>
      <c r="D5" s="16"/>
      <c r="E5" s="18"/>
      <c r="F5" s="24"/>
    </row>
    <row r="6" spans="1:6" ht="25.5" x14ac:dyDescent="0.2">
      <c r="A6" s="83" t="s">
        <v>41</v>
      </c>
      <c r="B6" s="25" t="s">
        <v>42</v>
      </c>
      <c r="C6" s="26">
        <f>SUM(C7:C27)*(B4/24)</f>
        <v>407546.66666666663</v>
      </c>
      <c r="D6" s="27"/>
      <c r="E6" s="28"/>
      <c r="F6" s="29" t="s">
        <v>43</v>
      </c>
    </row>
    <row r="7" spans="1:6" ht="15.75" customHeight="1" x14ac:dyDescent="0.2">
      <c r="A7" s="80"/>
      <c r="B7" s="31" t="s">
        <v>45</v>
      </c>
      <c r="C7" s="33">
        <f>((52000*(1-0.153))*3+(66000*(1-0.153))*3)</f>
        <v>299838</v>
      </c>
      <c r="D7" s="27"/>
      <c r="E7" s="28"/>
      <c r="F7" s="81" t="s">
        <v>46</v>
      </c>
    </row>
    <row r="8" spans="1:6" ht="15.75" customHeight="1" x14ac:dyDescent="0.2">
      <c r="A8" s="80"/>
      <c r="B8" s="31" t="s">
        <v>47</v>
      </c>
      <c r="C8" s="34">
        <f>((52000*(0.153))*3+(66000*(0.153))*3)</f>
        <v>54162</v>
      </c>
      <c r="D8" s="27"/>
      <c r="E8" s="28"/>
      <c r="F8" s="80"/>
    </row>
    <row r="9" spans="1:6" ht="12.75" x14ac:dyDescent="0.2">
      <c r="A9" s="80"/>
      <c r="B9" s="31" t="s">
        <v>48</v>
      </c>
      <c r="C9" s="33">
        <f>2380*2</f>
        <v>4760</v>
      </c>
      <c r="D9" s="35"/>
      <c r="E9" s="36"/>
      <c r="F9" s="29"/>
    </row>
    <row r="10" spans="1:6" ht="12.75" x14ac:dyDescent="0.2">
      <c r="A10" s="80"/>
      <c r="B10" s="31" t="s">
        <v>49</v>
      </c>
      <c r="C10" s="33">
        <f>(35*12)*2</f>
        <v>840</v>
      </c>
      <c r="D10" s="35"/>
      <c r="E10" s="36"/>
      <c r="F10" s="29"/>
    </row>
    <row r="11" spans="1:6" ht="25.5" x14ac:dyDescent="0.2">
      <c r="A11" s="80"/>
      <c r="B11" s="31" t="s">
        <v>50</v>
      </c>
      <c r="C11" s="37">
        <f>((45*12)+1000+2000)*2</f>
        <v>7080</v>
      </c>
      <c r="D11" s="35"/>
      <c r="E11" s="36"/>
      <c r="F11" s="38" t="s">
        <v>51</v>
      </c>
    </row>
    <row r="12" spans="1:6" ht="12.75" x14ac:dyDescent="0.2">
      <c r="A12" s="80"/>
      <c r="B12" s="31" t="s">
        <v>52</v>
      </c>
      <c r="C12" s="37">
        <f>1000*2</f>
        <v>2000</v>
      </c>
      <c r="D12" s="35"/>
      <c r="E12" s="36"/>
      <c r="F12" s="38" t="s">
        <v>53</v>
      </c>
    </row>
    <row r="13" spans="1:6" ht="12.75" x14ac:dyDescent="0.2">
      <c r="A13" s="80"/>
      <c r="B13" s="31" t="s">
        <v>54</v>
      </c>
      <c r="C13" s="37">
        <f>1500*2</f>
        <v>3000</v>
      </c>
      <c r="D13" s="35"/>
      <c r="E13" s="36"/>
      <c r="F13" s="39"/>
    </row>
    <row r="14" spans="1:6" ht="25.5" x14ac:dyDescent="0.2">
      <c r="A14" s="80"/>
      <c r="B14" s="31" t="s">
        <v>57</v>
      </c>
      <c r="C14" s="33">
        <f>(6*1500+2*2000*2)*2</f>
        <v>34000</v>
      </c>
      <c r="D14" s="35"/>
      <c r="E14" s="36"/>
      <c r="F14" s="29" t="s">
        <v>58</v>
      </c>
    </row>
    <row r="15" spans="1:6" ht="25.5" x14ac:dyDescent="0.2">
      <c r="A15" s="80"/>
      <c r="B15" s="31" t="s">
        <v>59</v>
      </c>
      <c r="C15" s="33">
        <f>(20*12+100+400)*2</f>
        <v>1480</v>
      </c>
      <c r="D15" s="35"/>
      <c r="E15" s="36"/>
      <c r="F15" s="29"/>
    </row>
    <row r="16" spans="1:6" ht="12.75" x14ac:dyDescent="0.2">
      <c r="A16" s="80"/>
      <c r="B16" s="31" t="s">
        <v>60</v>
      </c>
      <c r="C16" s="33">
        <f>800*2</f>
        <v>1600</v>
      </c>
      <c r="D16" s="35"/>
      <c r="E16" s="36"/>
      <c r="F16" s="29"/>
    </row>
    <row r="17" spans="1:6" ht="12.75" x14ac:dyDescent="0.2">
      <c r="A17" s="80"/>
      <c r="B17" s="31" t="s">
        <v>61</v>
      </c>
      <c r="C17" s="33">
        <f>1500*2</f>
        <v>3000</v>
      </c>
      <c r="D17" s="35"/>
      <c r="E17" s="36"/>
      <c r="F17" s="29"/>
    </row>
    <row r="18" spans="1:6" ht="25.5" x14ac:dyDescent="0.2">
      <c r="A18" s="80"/>
      <c r="B18" s="31" t="s">
        <v>62</v>
      </c>
      <c r="C18" s="33">
        <v>40000</v>
      </c>
      <c r="D18" s="35"/>
      <c r="E18" s="36"/>
      <c r="F18" s="29" t="s">
        <v>63</v>
      </c>
    </row>
    <row r="19" spans="1:6" ht="25.5" x14ac:dyDescent="0.2">
      <c r="A19" s="80"/>
      <c r="B19" s="31" t="s">
        <v>64</v>
      </c>
      <c r="C19" s="33">
        <f t="shared" ref="C19:C20" si="0">5000*2</f>
        <v>10000</v>
      </c>
      <c r="D19" s="35"/>
      <c r="E19" s="36"/>
      <c r="F19" s="29" t="s">
        <v>65</v>
      </c>
    </row>
    <row r="20" spans="1:6" ht="12.75" x14ac:dyDescent="0.2">
      <c r="A20" s="80"/>
      <c r="B20" s="31" t="s">
        <v>66</v>
      </c>
      <c r="C20" s="33">
        <f t="shared" si="0"/>
        <v>10000</v>
      </c>
      <c r="D20" s="35"/>
      <c r="E20" s="36"/>
      <c r="F20" s="29" t="s">
        <v>67</v>
      </c>
    </row>
    <row r="21" spans="1:6" ht="12.75" x14ac:dyDescent="0.2">
      <c r="A21" s="80"/>
      <c r="B21" s="41" t="s">
        <v>68</v>
      </c>
      <c r="C21" s="33">
        <f>6*500</f>
        <v>3000</v>
      </c>
      <c r="F21" s="31" t="s">
        <v>69</v>
      </c>
    </row>
    <row r="22" spans="1:6" ht="25.5" x14ac:dyDescent="0.2">
      <c r="A22" s="80"/>
      <c r="B22" s="41" t="s">
        <v>70</v>
      </c>
      <c r="C22" s="33">
        <f>2500*2</f>
        <v>5000</v>
      </c>
      <c r="F22" s="31" t="s">
        <v>72</v>
      </c>
    </row>
    <row r="23" spans="1:6" ht="25.5" x14ac:dyDescent="0.2">
      <c r="A23" s="80"/>
      <c r="B23" s="31" t="s">
        <v>73</v>
      </c>
      <c r="C23" s="33">
        <f>(2000*12)*2</f>
        <v>48000</v>
      </c>
      <c r="D23" s="35"/>
      <c r="E23" s="36"/>
      <c r="F23" s="29" t="s">
        <v>74</v>
      </c>
    </row>
    <row r="24" spans="1:6" ht="12.75" x14ac:dyDescent="0.2">
      <c r="A24" s="80"/>
      <c r="B24" s="31" t="s">
        <v>75</v>
      </c>
      <c r="C24" s="33">
        <f>(500*12*D24)*2</f>
        <v>24000</v>
      </c>
      <c r="D24" s="35">
        <v>2</v>
      </c>
      <c r="E24" s="36">
        <v>150000</v>
      </c>
      <c r="F24" s="29" t="s">
        <v>76</v>
      </c>
    </row>
    <row r="25" spans="1:6" ht="12.75" x14ac:dyDescent="0.2">
      <c r="A25" s="80"/>
      <c r="B25" s="31" t="s">
        <v>77</v>
      </c>
      <c r="C25" s="33">
        <f>SUM(C23:C24)*0.12</f>
        <v>8640</v>
      </c>
      <c r="D25" s="35"/>
      <c r="E25" s="36"/>
      <c r="F25" s="29" t="s">
        <v>78</v>
      </c>
    </row>
    <row r="26" spans="1:6" ht="63.75" x14ac:dyDescent="0.2">
      <c r="A26" s="80"/>
      <c r="B26" s="31" t="s">
        <v>79</v>
      </c>
      <c r="C26" s="33">
        <f>((SUM(C23:C24)*0.18)*2)</f>
        <v>25920</v>
      </c>
      <c r="D26" s="35"/>
      <c r="E26" s="36"/>
      <c r="F26" s="29" t="s">
        <v>80</v>
      </c>
    </row>
    <row r="27" spans="1:6" ht="12.75" x14ac:dyDescent="0.2">
      <c r="A27" s="84"/>
      <c r="B27" s="43" t="s">
        <v>81</v>
      </c>
      <c r="C27" s="44">
        <v>25000</v>
      </c>
      <c r="D27" s="46"/>
      <c r="E27" s="47"/>
      <c r="F27" s="48"/>
    </row>
    <row r="28" spans="1:6" ht="12.75" x14ac:dyDescent="0.2">
      <c r="A28" s="79" t="s">
        <v>82</v>
      </c>
      <c r="B28" s="25" t="s">
        <v>83</v>
      </c>
      <c r="C28" s="26">
        <f>SUM(C29:C34)</f>
        <v>23590</v>
      </c>
      <c r="D28" s="35"/>
      <c r="E28" s="49"/>
      <c r="F28" s="29"/>
    </row>
    <row r="29" spans="1:6" ht="38.25" x14ac:dyDescent="0.2">
      <c r="A29" s="80"/>
      <c r="B29" s="50" t="s">
        <v>84</v>
      </c>
      <c r="C29" s="51">
        <v>0</v>
      </c>
      <c r="D29" s="52"/>
      <c r="E29" s="53"/>
      <c r="F29" s="54" t="s">
        <v>85</v>
      </c>
    </row>
    <row r="30" spans="1:6" ht="38.25" x14ac:dyDescent="0.2">
      <c r="A30" s="80"/>
      <c r="B30" s="50" t="s">
        <v>87</v>
      </c>
      <c r="C30" s="51">
        <v>0</v>
      </c>
      <c r="D30" s="52"/>
      <c r="E30" s="55">
        <f>35000*10*2+35000*2*2*2</f>
        <v>980000</v>
      </c>
      <c r="F30" s="54" t="s">
        <v>88</v>
      </c>
    </row>
    <row r="31" spans="1:6" ht="38.25" x14ac:dyDescent="0.2">
      <c r="A31" s="80"/>
      <c r="B31" s="50" t="s">
        <v>89</v>
      </c>
      <c r="C31" s="51">
        <v>0</v>
      </c>
      <c r="D31" s="52">
        <v>10</v>
      </c>
      <c r="E31" s="55">
        <f>30000*21</f>
        <v>630000</v>
      </c>
      <c r="F31" s="54" t="s">
        <v>90</v>
      </c>
    </row>
    <row r="32" spans="1:6" ht="38.25" x14ac:dyDescent="0.2">
      <c r="A32" s="80"/>
      <c r="B32" s="31" t="s">
        <v>91</v>
      </c>
      <c r="C32" s="33">
        <f t="shared" ref="C32:C33" si="1">IF(D32="",E32/300,(E32/300)*D32)</f>
        <v>6090</v>
      </c>
      <c r="D32" s="35">
        <v>3</v>
      </c>
      <c r="E32" s="49">
        <f>29000*21</f>
        <v>609000</v>
      </c>
      <c r="F32" s="29" t="s">
        <v>92</v>
      </c>
    </row>
    <row r="33" spans="1:6" ht="25.5" x14ac:dyDescent="0.2">
      <c r="A33" s="80"/>
      <c r="B33" s="31" t="s">
        <v>94</v>
      </c>
      <c r="C33" s="33">
        <f t="shared" si="1"/>
        <v>2500</v>
      </c>
      <c r="D33" s="35">
        <v>6</v>
      </c>
      <c r="E33" s="49">
        <f>25000*5</f>
        <v>125000</v>
      </c>
      <c r="F33" s="29" t="s">
        <v>95</v>
      </c>
    </row>
    <row r="34" spans="1:6" ht="12.75" x14ac:dyDescent="0.2">
      <c r="A34" s="80"/>
      <c r="B34" s="31" t="s">
        <v>81</v>
      </c>
      <c r="C34" s="33">
        <v>15000</v>
      </c>
      <c r="D34" s="35"/>
      <c r="E34" s="49"/>
      <c r="F34" s="29"/>
    </row>
    <row r="35" spans="1:6" ht="12.75" x14ac:dyDescent="0.2">
      <c r="A35" s="79" t="s">
        <v>96</v>
      </c>
      <c r="B35" s="56" t="s">
        <v>97</v>
      </c>
      <c r="C35" s="57">
        <f>SUM(C36:C38)*E35+C39</f>
        <v>10260</v>
      </c>
      <c r="D35" s="58" t="s">
        <v>98</v>
      </c>
      <c r="E35" s="59">
        <v>12</v>
      </c>
      <c r="F35" s="60"/>
    </row>
    <row r="36" spans="1:6" ht="51" x14ac:dyDescent="0.2">
      <c r="A36" s="80"/>
      <c r="B36" s="31" t="s">
        <v>99</v>
      </c>
      <c r="C36" s="33">
        <f t="shared" ref="C36:C37" si="2">IF(D36="",E36/300,(E36/300)*D36)</f>
        <v>440</v>
      </c>
      <c r="D36" s="35">
        <v>4</v>
      </c>
      <c r="E36" s="36">
        <f>33000</f>
        <v>33000</v>
      </c>
      <c r="F36" s="29" t="s">
        <v>101</v>
      </c>
    </row>
    <row r="37" spans="1:6" ht="12.75" x14ac:dyDescent="0.2">
      <c r="A37" s="80"/>
      <c r="B37" s="41" t="s">
        <v>102</v>
      </c>
      <c r="C37" s="33">
        <f t="shared" si="2"/>
        <v>15</v>
      </c>
      <c r="D37" s="35">
        <v>5</v>
      </c>
      <c r="E37" s="36">
        <f>300*3</f>
        <v>900</v>
      </c>
      <c r="F37" s="29" t="s">
        <v>103</v>
      </c>
    </row>
    <row r="38" spans="1:6" ht="38.25" x14ac:dyDescent="0.2">
      <c r="A38" s="80"/>
      <c r="B38" s="31" t="s">
        <v>104</v>
      </c>
      <c r="C38" s="33">
        <v>150</v>
      </c>
      <c r="D38" s="35"/>
      <c r="E38" s="36"/>
      <c r="F38" s="29" t="s">
        <v>105</v>
      </c>
    </row>
    <row r="39" spans="1:6" ht="12.75" x14ac:dyDescent="0.2">
      <c r="A39" s="80"/>
      <c r="B39" s="31" t="s">
        <v>81</v>
      </c>
      <c r="C39" s="33">
        <v>3000</v>
      </c>
      <c r="D39" s="35"/>
      <c r="E39" s="49"/>
      <c r="F39" s="29"/>
    </row>
    <row r="40" spans="1:6" ht="12.75" x14ac:dyDescent="0.2">
      <c r="A40" s="79" t="s">
        <v>106</v>
      </c>
      <c r="B40" s="56" t="s">
        <v>107</v>
      </c>
      <c r="C40" s="57">
        <f>SUM(C44:C56)*(E40+E42)</f>
        <v>20056</v>
      </c>
      <c r="D40" s="58" t="s">
        <v>109</v>
      </c>
      <c r="E40" s="59">
        <v>12</v>
      </c>
      <c r="F40" s="86" t="s">
        <v>110</v>
      </c>
    </row>
    <row r="41" spans="1:6" ht="15.75" customHeight="1" x14ac:dyDescent="0.2">
      <c r="A41" s="80"/>
      <c r="B41" s="31"/>
      <c r="C41" s="33"/>
      <c r="D41" s="61" t="s">
        <v>111</v>
      </c>
      <c r="E41" s="49">
        <v>14</v>
      </c>
      <c r="F41" s="80"/>
    </row>
    <row r="42" spans="1:6" ht="12.75" x14ac:dyDescent="0.2">
      <c r="A42" s="80"/>
      <c r="B42" s="31"/>
      <c r="C42" s="33"/>
      <c r="D42" s="35" t="s">
        <v>112</v>
      </c>
      <c r="E42" s="49">
        <v>0</v>
      </c>
      <c r="F42" s="87" t="s">
        <v>113</v>
      </c>
    </row>
    <row r="43" spans="1:6" ht="25.5" customHeight="1" x14ac:dyDescent="0.2">
      <c r="A43" s="80"/>
      <c r="B43" s="31"/>
      <c r="C43" s="33"/>
      <c r="D43" s="61" t="s">
        <v>111</v>
      </c>
      <c r="E43" s="49">
        <v>0</v>
      </c>
      <c r="F43" s="80"/>
    </row>
    <row r="44" spans="1:6" ht="51" x14ac:dyDescent="0.2">
      <c r="A44" s="80"/>
      <c r="B44" s="31" t="s">
        <v>114</v>
      </c>
      <c r="C44" s="33">
        <f t="shared" ref="C44:C46" si="3">IF(D44="",E44/300,(E44/300)*D44)</f>
        <v>123.33333333333333</v>
      </c>
      <c r="D44" s="35">
        <v>1</v>
      </c>
      <c r="E44" s="36">
        <v>37000</v>
      </c>
      <c r="F44" s="29" t="s">
        <v>115</v>
      </c>
    </row>
    <row r="45" spans="1:6" ht="51" x14ac:dyDescent="0.2">
      <c r="A45" s="80"/>
      <c r="B45" s="31" t="s">
        <v>99</v>
      </c>
      <c r="C45" s="33">
        <f t="shared" si="3"/>
        <v>493.33333333333331</v>
      </c>
      <c r="D45" s="35">
        <v>4</v>
      </c>
      <c r="E45" s="36">
        <f>37000</f>
        <v>37000</v>
      </c>
      <c r="F45" s="29" t="s">
        <v>116</v>
      </c>
    </row>
    <row r="46" spans="1:6" ht="12.75" x14ac:dyDescent="0.2">
      <c r="A46" s="80"/>
      <c r="B46" s="41" t="s">
        <v>102</v>
      </c>
      <c r="C46" s="33">
        <f t="shared" si="3"/>
        <v>15</v>
      </c>
      <c r="D46" s="35">
        <v>5</v>
      </c>
      <c r="E46" s="36">
        <f>300*3</f>
        <v>900</v>
      </c>
      <c r="F46" s="29" t="s">
        <v>117</v>
      </c>
    </row>
    <row r="47" spans="1:6" ht="38.25" x14ac:dyDescent="0.2">
      <c r="A47" s="80"/>
      <c r="B47" s="31" t="s">
        <v>104</v>
      </c>
      <c r="C47" s="33">
        <v>150</v>
      </c>
      <c r="D47" s="35"/>
      <c r="E47" s="36"/>
      <c r="F47" s="29" t="s">
        <v>105</v>
      </c>
    </row>
    <row r="48" spans="1:6" ht="51" x14ac:dyDescent="0.2">
      <c r="A48" s="80"/>
      <c r="B48" s="31" t="s">
        <v>118</v>
      </c>
      <c r="C48" s="33">
        <f t="shared" ref="C48:C52" si="4">IF(D48="",E48/300,(E48/300)*D48)</f>
        <v>90</v>
      </c>
      <c r="D48" s="35"/>
      <c r="E48" s="36">
        <f>54000/2</f>
        <v>27000</v>
      </c>
      <c r="F48" s="29" t="s">
        <v>119</v>
      </c>
    </row>
    <row r="49" spans="1:6" ht="38.25" x14ac:dyDescent="0.2">
      <c r="A49" s="80"/>
      <c r="B49" s="31" t="s">
        <v>120</v>
      </c>
      <c r="C49" s="33">
        <f t="shared" si="4"/>
        <v>106.66666666666667</v>
      </c>
      <c r="D49" s="35">
        <v>2</v>
      </c>
      <c r="E49" s="36">
        <f>32000/2</f>
        <v>16000</v>
      </c>
      <c r="F49" s="29" t="s">
        <v>122</v>
      </c>
    </row>
    <row r="50" spans="1:6" ht="12.75" x14ac:dyDescent="0.2">
      <c r="A50" s="80"/>
      <c r="B50" s="31" t="s">
        <v>123</v>
      </c>
      <c r="C50" s="33">
        <f t="shared" si="4"/>
        <v>60</v>
      </c>
      <c r="D50" s="35"/>
      <c r="E50" s="36">
        <v>18000</v>
      </c>
      <c r="F50" s="29"/>
    </row>
    <row r="51" spans="1:6" ht="12.75" x14ac:dyDescent="0.2">
      <c r="A51" s="80"/>
      <c r="B51" s="31" t="s">
        <v>124</v>
      </c>
      <c r="C51" s="33">
        <f t="shared" si="4"/>
        <v>200</v>
      </c>
      <c r="D51" s="35">
        <v>12</v>
      </c>
      <c r="E51" s="36">
        <v>5000</v>
      </c>
      <c r="F51" s="62" t="s">
        <v>125</v>
      </c>
    </row>
    <row r="52" spans="1:6" ht="38.25" x14ac:dyDescent="0.2">
      <c r="A52" s="80"/>
      <c r="B52" s="31" t="s">
        <v>126</v>
      </c>
      <c r="C52" s="33">
        <f t="shared" si="4"/>
        <v>66.666666666666671</v>
      </c>
      <c r="D52" s="27"/>
      <c r="E52" s="28">
        <f>60000/3</f>
        <v>20000</v>
      </c>
      <c r="F52" s="31" t="s">
        <v>127</v>
      </c>
    </row>
    <row r="53" spans="1:6" ht="25.5" x14ac:dyDescent="0.2">
      <c r="A53" s="80"/>
      <c r="B53" s="31" t="s">
        <v>128</v>
      </c>
      <c r="C53" s="33">
        <f>(149+50)/3</f>
        <v>66.333333333333329</v>
      </c>
      <c r="D53" s="27"/>
      <c r="E53" s="28">
        <f>C53*300</f>
        <v>19900</v>
      </c>
      <c r="F53" s="31" t="s">
        <v>129</v>
      </c>
    </row>
    <row r="54" spans="1:6" ht="38.25" x14ac:dyDescent="0.2">
      <c r="A54" s="80"/>
      <c r="B54" s="31" t="s">
        <v>130</v>
      </c>
      <c r="C54" s="33">
        <f t="shared" ref="C54:C56" si="5">IF(D54="",E54/300,(E54/300)*D54)</f>
        <v>100</v>
      </c>
      <c r="D54" s="35">
        <v>100</v>
      </c>
      <c r="E54" s="28">
        <f t="shared" ref="E54:E55" si="6">200*1.5</f>
        <v>300</v>
      </c>
      <c r="F54" s="31" t="s">
        <v>131</v>
      </c>
    </row>
    <row r="55" spans="1:6" ht="25.5" x14ac:dyDescent="0.2">
      <c r="A55" s="80"/>
      <c r="B55" s="31" t="s">
        <v>132</v>
      </c>
      <c r="C55" s="33">
        <f t="shared" si="5"/>
        <v>100</v>
      </c>
      <c r="D55" s="35">
        <v>100</v>
      </c>
      <c r="E55" s="28">
        <f t="shared" si="6"/>
        <v>300</v>
      </c>
      <c r="F55" s="31" t="s">
        <v>133</v>
      </c>
    </row>
    <row r="56" spans="1:6" ht="12.75" x14ac:dyDescent="0.2">
      <c r="A56" s="80"/>
      <c r="B56" s="43" t="s">
        <v>81</v>
      </c>
      <c r="C56" s="44">
        <f t="shared" si="5"/>
        <v>100</v>
      </c>
      <c r="D56" s="65"/>
      <c r="E56" s="47">
        <v>30000</v>
      </c>
      <c r="F56" s="66"/>
    </row>
    <row r="57" spans="1:6" ht="25.5" x14ac:dyDescent="0.2">
      <c r="A57" s="79" t="s">
        <v>134</v>
      </c>
      <c r="B57" s="25" t="s">
        <v>135</v>
      </c>
      <c r="C57" s="26">
        <f>(E58*SUM(C61:C66))+'Projections for Number of Infan'!B6</f>
        <v>357606.44755813957</v>
      </c>
      <c r="D57" s="67" t="s">
        <v>136</v>
      </c>
      <c r="E57" s="49">
        <f>'Projections for Number of Infan'!B3</f>
        <v>18960</v>
      </c>
      <c r="F57" s="29" t="s">
        <v>137</v>
      </c>
    </row>
    <row r="58" spans="1:6" ht="12.75" x14ac:dyDescent="0.2">
      <c r="A58" s="80"/>
      <c r="B58" s="68"/>
      <c r="C58" s="69"/>
      <c r="D58" s="67" t="s">
        <v>138</v>
      </c>
      <c r="E58" s="49">
        <f>'Projections for Number of Infan'!B4</f>
        <v>73596</v>
      </c>
      <c r="F58" s="29" t="s">
        <v>139</v>
      </c>
    </row>
    <row r="59" spans="1:6" ht="25.5" x14ac:dyDescent="0.2">
      <c r="A59" s="80"/>
      <c r="B59" s="31" t="s">
        <v>140</v>
      </c>
      <c r="C59" s="33">
        <f t="shared" ref="C59:C66" si="7">IF(D59="",E59/300,(E59/300)*D59)</f>
        <v>6</v>
      </c>
      <c r="D59" s="35">
        <f>4*0.9</f>
        <v>3.6</v>
      </c>
      <c r="E59" s="36">
        <v>500</v>
      </c>
      <c r="F59" s="29" t="s">
        <v>141</v>
      </c>
    </row>
    <row r="60" spans="1:6" ht="12.75" x14ac:dyDescent="0.2">
      <c r="A60" s="80"/>
      <c r="B60" s="31" t="s">
        <v>142</v>
      </c>
      <c r="C60" s="33">
        <f t="shared" si="7"/>
        <v>4.666666666666667</v>
      </c>
      <c r="D60" s="35">
        <v>0.7</v>
      </c>
      <c r="E60" s="36">
        <v>2000</v>
      </c>
      <c r="F60" s="29" t="s">
        <v>143</v>
      </c>
    </row>
    <row r="61" spans="1:6" ht="25.5" x14ac:dyDescent="0.2">
      <c r="A61" s="80"/>
      <c r="B61" s="31" t="s">
        <v>144</v>
      </c>
      <c r="C61" s="33">
        <f t="shared" si="7"/>
        <v>0.45833333333333331</v>
      </c>
      <c r="D61" s="35"/>
      <c r="E61" s="36">
        <f>2750/20</f>
        <v>137.5</v>
      </c>
      <c r="F61" s="29" t="s">
        <v>145</v>
      </c>
    </row>
    <row r="62" spans="1:6" ht="25.5" x14ac:dyDescent="0.2">
      <c r="A62" s="80"/>
      <c r="B62" s="31" t="s">
        <v>146</v>
      </c>
      <c r="C62" s="33">
        <f t="shared" si="7"/>
        <v>0.11458333333333333</v>
      </c>
      <c r="D62" s="35"/>
      <c r="E62" s="36">
        <f>E61*0.25</f>
        <v>34.375</v>
      </c>
      <c r="F62" s="29" t="s">
        <v>147</v>
      </c>
    </row>
    <row r="63" spans="1:6" ht="12.75" x14ac:dyDescent="0.2">
      <c r="A63" s="80"/>
      <c r="B63" s="31" t="s">
        <v>148</v>
      </c>
      <c r="C63" s="33">
        <f t="shared" si="7"/>
        <v>0.33333333333333331</v>
      </c>
      <c r="D63" s="35"/>
      <c r="E63" s="36">
        <f>2000/20</f>
        <v>100</v>
      </c>
      <c r="F63" s="29" t="s">
        <v>149</v>
      </c>
    </row>
    <row r="64" spans="1:6" ht="25.5" x14ac:dyDescent="0.2">
      <c r="A64" s="80"/>
      <c r="B64" s="31" t="s">
        <v>150</v>
      </c>
      <c r="C64" s="33">
        <f t="shared" si="7"/>
        <v>0.15503875968992251</v>
      </c>
      <c r="D64" s="35">
        <v>2</v>
      </c>
      <c r="E64" s="36">
        <f>100/4.3</f>
        <v>23.255813953488374</v>
      </c>
      <c r="F64" s="29" t="s">
        <v>151</v>
      </c>
    </row>
    <row r="65" spans="1:6" ht="25.5" x14ac:dyDescent="0.2">
      <c r="A65" s="80"/>
      <c r="B65" s="31" t="s">
        <v>152</v>
      </c>
      <c r="C65" s="33">
        <f t="shared" si="7"/>
        <v>0.04</v>
      </c>
      <c r="D65" s="35">
        <v>2</v>
      </c>
      <c r="E65" s="36">
        <v>6</v>
      </c>
      <c r="F65" s="62" t="s">
        <v>153</v>
      </c>
    </row>
    <row r="66" spans="1:6" ht="12.75" x14ac:dyDescent="0.2">
      <c r="A66" s="80"/>
      <c r="B66" s="31" t="s">
        <v>81</v>
      </c>
      <c r="C66" s="33">
        <f t="shared" si="7"/>
        <v>1</v>
      </c>
      <c r="D66" s="27"/>
      <c r="E66" s="36">
        <v>300</v>
      </c>
      <c r="F66" s="71"/>
    </row>
    <row r="67" spans="1:6" ht="12.75" x14ac:dyDescent="0.2">
      <c r="A67" s="85" t="s">
        <v>154</v>
      </c>
      <c r="B67" s="72" t="s">
        <v>155</v>
      </c>
      <c r="C67" s="73">
        <v>0</v>
      </c>
      <c r="D67" s="74"/>
      <c r="E67" s="75"/>
      <c r="F67" s="72"/>
    </row>
    <row r="68" spans="1:6" ht="25.5" x14ac:dyDescent="0.2">
      <c r="A68" s="80"/>
      <c r="B68" s="50" t="s">
        <v>156</v>
      </c>
      <c r="C68" s="51">
        <f>IF(D68="",E68/300,(E68/300)*D68)</f>
        <v>9600</v>
      </c>
      <c r="D68" s="52">
        <f>3*6*80</f>
        <v>1440</v>
      </c>
      <c r="E68" s="53">
        <v>2000</v>
      </c>
      <c r="F68" s="50" t="s">
        <v>157</v>
      </c>
    </row>
    <row r="69" spans="1:6" ht="25.5" x14ac:dyDescent="0.2">
      <c r="A69" s="80"/>
      <c r="B69" s="50" t="s">
        <v>158</v>
      </c>
      <c r="C69" s="51">
        <v>2000</v>
      </c>
      <c r="D69" s="76"/>
      <c r="E69" s="53"/>
      <c r="F69" s="77"/>
    </row>
    <row r="70" spans="1:6" ht="12.75" x14ac:dyDescent="0.2">
      <c r="A70" s="80"/>
      <c r="B70" s="50" t="s">
        <v>159</v>
      </c>
      <c r="C70" s="51">
        <v>2000</v>
      </c>
      <c r="D70" s="76"/>
      <c r="E70" s="53"/>
      <c r="F70" s="77"/>
    </row>
    <row r="71" spans="1:6" ht="38.25" x14ac:dyDescent="0.2">
      <c r="A71" s="80"/>
      <c r="B71" s="50" t="s">
        <v>160</v>
      </c>
      <c r="C71" s="51">
        <v>1000</v>
      </c>
      <c r="D71" s="76"/>
      <c r="E71" s="53"/>
      <c r="F71" s="77"/>
    </row>
    <row r="72" spans="1:6" ht="25.5" x14ac:dyDescent="0.2">
      <c r="A72" s="80"/>
      <c r="B72" s="50" t="s">
        <v>161</v>
      </c>
      <c r="C72" s="51">
        <v>5000</v>
      </c>
      <c r="D72" s="76"/>
      <c r="E72" s="53"/>
      <c r="F72" s="77"/>
    </row>
    <row r="73" spans="1:6" ht="12.75" x14ac:dyDescent="0.2">
      <c r="A73" s="80"/>
      <c r="B73" s="50" t="s">
        <v>81</v>
      </c>
      <c r="C73" s="78">
        <v>5000</v>
      </c>
      <c r="D73" s="77"/>
      <c r="E73" s="77"/>
      <c r="F73" s="77"/>
    </row>
  </sheetData>
  <mergeCells count="10">
    <mergeCell ref="A67:A73"/>
    <mergeCell ref="F40:F41"/>
    <mergeCell ref="A28:A34"/>
    <mergeCell ref="F42:F43"/>
    <mergeCell ref="A35:A39"/>
    <mergeCell ref="A57:A66"/>
    <mergeCell ref="A40:A56"/>
    <mergeCell ref="F7:F8"/>
    <mergeCell ref="B1:F1"/>
    <mergeCell ref="A6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.75" customHeight="1" x14ac:dyDescent="0.2"/>
  <cols>
    <col min="1" max="1" width="22.42578125" customWidth="1"/>
    <col min="2" max="2" width="25" customWidth="1"/>
    <col min="3" max="87" width="7.28515625" customWidth="1"/>
  </cols>
  <sheetData>
    <row r="1" spans="1:87" ht="15.75" customHeight="1" x14ac:dyDescent="0.2">
      <c r="A1" s="2"/>
      <c r="B1" s="2"/>
      <c r="C1" s="2"/>
      <c r="D1" s="2"/>
      <c r="E1" s="2"/>
      <c r="F1" s="90" t="s">
        <v>0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2"/>
      <c r="AG1" s="2"/>
      <c r="AH1" s="90" t="s">
        <v>1</v>
      </c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2"/>
      <c r="BI1" s="2"/>
      <c r="BJ1" s="90" t="s">
        <v>3</v>
      </c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</row>
    <row r="2" spans="1:87" ht="15.75" customHeight="1" x14ac:dyDescent="0.2">
      <c r="A2" s="2"/>
      <c r="B2" s="2"/>
      <c r="C2" s="2"/>
      <c r="D2" s="2"/>
      <c r="E2" s="2"/>
      <c r="F2" s="3" t="s">
        <v>4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7" t="s">
        <v>19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25</v>
      </c>
      <c r="X2" s="3" t="s">
        <v>26</v>
      </c>
      <c r="Y2" s="3" t="s">
        <v>27</v>
      </c>
      <c r="Z2" s="3" t="s">
        <v>28</v>
      </c>
      <c r="AA2" s="3" t="s">
        <v>29</v>
      </c>
      <c r="AB2" s="3" t="s">
        <v>30</v>
      </c>
      <c r="AC2" s="3" t="s">
        <v>31</v>
      </c>
      <c r="AD2" s="3" t="s">
        <v>32</v>
      </c>
      <c r="AE2" s="3" t="s">
        <v>33</v>
      </c>
      <c r="AF2" s="2"/>
      <c r="AG2" s="2"/>
      <c r="AH2" s="3" t="s">
        <v>4</v>
      </c>
      <c r="AI2" s="3" t="s">
        <v>7</v>
      </c>
      <c r="AJ2" s="3" t="s">
        <v>8</v>
      </c>
      <c r="AK2" s="3" t="s">
        <v>9</v>
      </c>
      <c r="AL2" s="3" t="s">
        <v>10</v>
      </c>
      <c r="AM2" s="3" t="s">
        <v>11</v>
      </c>
      <c r="AN2" s="3" t="s">
        <v>12</v>
      </c>
      <c r="AO2" s="3" t="s">
        <v>13</v>
      </c>
      <c r="AP2" s="3" t="s">
        <v>14</v>
      </c>
      <c r="AQ2" s="3" t="s">
        <v>15</v>
      </c>
      <c r="AR2" s="3" t="s">
        <v>16</v>
      </c>
      <c r="AS2" s="5" t="s">
        <v>17</v>
      </c>
      <c r="AT2" s="7" t="s">
        <v>19</v>
      </c>
      <c r="AU2" s="3" t="s">
        <v>21</v>
      </c>
      <c r="AV2" s="3" t="s">
        <v>22</v>
      </c>
      <c r="AW2" s="3" t="s">
        <v>23</v>
      </c>
      <c r="AX2" s="3" t="s">
        <v>24</v>
      </c>
      <c r="AY2" s="3" t="s">
        <v>25</v>
      </c>
      <c r="AZ2" s="3" t="s">
        <v>26</v>
      </c>
      <c r="BA2" s="3" t="s">
        <v>27</v>
      </c>
      <c r="BB2" s="3" t="s">
        <v>28</v>
      </c>
      <c r="BC2" s="3" t="s">
        <v>29</v>
      </c>
      <c r="BD2" s="3" t="s">
        <v>30</v>
      </c>
      <c r="BE2" s="3" t="s">
        <v>31</v>
      </c>
      <c r="BF2" s="3" t="s">
        <v>32</v>
      </c>
      <c r="BG2" s="3" t="s">
        <v>33</v>
      </c>
      <c r="BH2" s="2"/>
      <c r="BI2" s="2"/>
      <c r="BJ2" s="3" t="s">
        <v>4</v>
      </c>
      <c r="BK2" s="3" t="s">
        <v>7</v>
      </c>
      <c r="BL2" s="3" t="s">
        <v>8</v>
      </c>
      <c r="BM2" s="3" t="s">
        <v>9</v>
      </c>
      <c r="BN2" s="3" t="s">
        <v>10</v>
      </c>
      <c r="BO2" s="3" t="s">
        <v>11</v>
      </c>
      <c r="BP2" s="3" t="s">
        <v>12</v>
      </c>
      <c r="BQ2" s="3" t="s">
        <v>13</v>
      </c>
      <c r="BR2" s="3" t="s">
        <v>14</v>
      </c>
      <c r="BS2" s="3" t="s">
        <v>15</v>
      </c>
      <c r="BT2" s="3" t="s">
        <v>16</v>
      </c>
      <c r="BU2" s="5" t="s">
        <v>17</v>
      </c>
      <c r="BV2" s="7" t="s">
        <v>19</v>
      </c>
      <c r="BW2" s="3" t="s">
        <v>21</v>
      </c>
      <c r="BX2" s="3" t="s">
        <v>22</v>
      </c>
      <c r="BY2" s="3" t="s">
        <v>23</v>
      </c>
      <c r="BZ2" s="3" t="s">
        <v>24</v>
      </c>
      <c r="CA2" s="3" t="s">
        <v>25</v>
      </c>
      <c r="CB2" s="3" t="s">
        <v>26</v>
      </c>
      <c r="CC2" s="3" t="s">
        <v>27</v>
      </c>
      <c r="CD2" s="3" t="s">
        <v>28</v>
      </c>
      <c r="CE2" s="3" t="s">
        <v>29</v>
      </c>
      <c r="CF2" s="3" t="s">
        <v>30</v>
      </c>
      <c r="CG2" s="3" t="s">
        <v>31</v>
      </c>
      <c r="CH2" s="3" t="s">
        <v>32</v>
      </c>
      <c r="CI2" s="3" t="s">
        <v>33</v>
      </c>
    </row>
    <row r="3" spans="1:87" ht="15.75" customHeight="1" x14ac:dyDescent="0.2">
      <c r="A3" s="10" t="s">
        <v>36</v>
      </c>
      <c r="B3" s="11">
        <f>SUM(F3:AE28)</f>
        <v>18960</v>
      </c>
      <c r="D3" s="12"/>
      <c r="E3" s="3" t="s">
        <v>4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3" t="s">
        <v>4</v>
      </c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3" t="s">
        <v>4</v>
      </c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</row>
    <row r="4" spans="1:87" ht="15.75" customHeight="1" x14ac:dyDescent="0.2">
      <c r="A4" s="17" t="s">
        <v>37</v>
      </c>
      <c r="B4" s="20">
        <f>SUM(AH3:BG28)</f>
        <v>73596</v>
      </c>
      <c r="D4" s="12"/>
      <c r="E4" s="3" t="s">
        <v>7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3" t="s">
        <v>7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3" t="s">
        <v>7</v>
      </c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</row>
    <row r="5" spans="1:87" ht="15.75" customHeight="1" x14ac:dyDescent="0.2">
      <c r="A5" s="17" t="s">
        <v>39</v>
      </c>
      <c r="B5" s="22">
        <f>SUM(BJ3:CI28)</f>
        <v>60888000</v>
      </c>
      <c r="E5" s="3" t="s">
        <v>8</v>
      </c>
      <c r="F5" s="15"/>
      <c r="G5" s="15"/>
      <c r="H5" s="15">
        <f>$C$8*$C$9*1</f>
        <v>1440</v>
      </c>
      <c r="I5" s="15"/>
      <c r="J5" s="15"/>
      <c r="K5" s="15"/>
      <c r="L5" s="15"/>
      <c r="M5" s="15"/>
      <c r="N5" s="15"/>
      <c r="O5" s="15"/>
      <c r="P5" s="15"/>
      <c r="AA5" s="15"/>
      <c r="AB5" s="15"/>
      <c r="AC5" s="15"/>
      <c r="AD5" s="15"/>
      <c r="AE5" s="15"/>
      <c r="AF5" s="15"/>
      <c r="AG5" s="3" t="s">
        <v>8</v>
      </c>
      <c r="AH5" s="15"/>
      <c r="AI5" s="15"/>
      <c r="AJ5" s="23">
        <f>$C$8*$C$9*1</f>
        <v>1440</v>
      </c>
      <c r="AK5" s="15">
        <f>AJ5*0.9</f>
        <v>1296</v>
      </c>
      <c r="AL5" s="15">
        <f>AJ5*0.9</f>
        <v>1296</v>
      </c>
      <c r="AM5" s="15">
        <f>AJ5*0.9</f>
        <v>1296</v>
      </c>
      <c r="AN5" s="15"/>
      <c r="AO5" s="15"/>
      <c r="AP5" s="15"/>
      <c r="AQ5" s="15"/>
      <c r="AR5" s="15"/>
      <c r="AS5" s="15">
        <f>$C$8*$C$9*0.7*1</f>
        <v>1007.9999999999999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3" t="s">
        <v>8</v>
      </c>
      <c r="BJ5" s="15"/>
      <c r="BK5" s="15"/>
      <c r="BL5" s="15">
        <f>$C$8*$C$9*750</f>
        <v>1080000</v>
      </c>
      <c r="BM5" s="15">
        <f>BL5*0.9</f>
        <v>972000</v>
      </c>
      <c r="BN5" s="15">
        <f>BL5*0.9</f>
        <v>972000</v>
      </c>
      <c r="BO5" s="15">
        <f>BL5*0.9</f>
        <v>972000</v>
      </c>
      <c r="BP5" s="15"/>
      <c r="BQ5" s="15"/>
      <c r="BR5" s="15"/>
      <c r="BS5" s="15"/>
      <c r="BT5" s="15"/>
      <c r="BU5" s="15">
        <f>$C$8*$C$9*0.7*2500</f>
        <v>2519999.9999999995</v>
      </c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</row>
    <row r="6" spans="1:87" ht="15.75" customHeight="1" x14ac:dyDescent="0.2">
      <c r="A6" s="30" t="s">
        <v>44</v>
      </c>
      <c r="B6" s="32">
        <f>B5/300</f>
        <v>202960</v>
      </c>
      <c r="D6" s="12"/>
      <c r="E6" s="3" t="s">
        <v>9</v>
      </c>
      <c r="F6" s="15"/>
      <c r="G6" s="15"/>
      <c r="H6" s="15"/>
      <c r="I6" s="15">
        <f>$C$8*$C$9*1</f>
        <v>1440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" t="s">
        <v>9</v>
      </c>
      <c r="AH6" s="15"/>
      <c r="AI6" s="15"/>
      <c r="AJ6" s="15"/>
      <c r="AK6" s="23">
        <f>$C$8*$C$9*1</f>
        <v>1440</v>
      </c>
      <c r="AL6" s="15">
        <f>AK6*0.9</f>
        <v>1296</v>
      </c>
      <c r="AM6" s="15">
        <f>AK6*0.9</f>
        <v>1296</v>
      </c>
      <c r="AN6" s="15">
        <f>AK6*0.9</f>
        <v>1296</v>
      </c>
      <c r="AO6" s="15"/>
      <c r="AP6" s="15"/>
      <c r="AQ6" s="15"/>
      <c r="AR6" s="15"/>
      <c r="AS6" s="15"/>
      <c r="AT6" s="15">
        <f>$C$8*$C$9*0.7*1</f>
        <v>1007.9999999999999</v>
      </c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" t="s">
        <v>9</v>
      </c>
      <c r="BJ6" s="15"/>
      <c r="BK6" s="15"/>
      <c r="BL6" s="15"/>
      <c r="BM6" s="15">
        <f>$C$8*$C$9*750</f>
        <v>1080000</v>
      </c>
      <c r="BN6" s="15">
        <f>BM6*0.9</f>
        <v>972000</v>
      </c>
      <c r="BO6" s="15">
        <f>BM6*0.9</f>
        <v>972000</v>
      </c>
      <c r="BP6" s="15">
        <f>BM6*0.9</f>
        <v>972000</v>
      </c>
      <c r="BQ6" s="15"/>
      <c r="BR6" s="15"/>
      <c r="BS6" s="15"/>
      <c r="BT6" s="15"/>
      <c r="BU6" s="15"/>
      <c r="BV6" s="15">
        <f>$C$8*$C$9*0.7*2500</f>
        <v>2519999.9999999995</v>
      </c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</row>
    <row r="7" spans="1:87" ht="15.75" customHeight="1" x14ac:dyDescent="0.2">
      <c r="D7" s="12"/>
      <c r="E7" s="3" t="s">
        <v>10</v>
      </c>
      <c r="F7" s="15"/>
      <c r="G7" s="15"/>
      <c r="H7" s="15"/>
      <c r="I7" s="15"/>
      <c r="J7" s="15">
        <f>$C$8*$C$9*1+$C$11*$C$12*1</f>
        <v>2280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3" t="s">
        <v>10</v>
      </c>
      <c r="AH7" s="15"/>
      <c r="AI7" s="15"/>
      <c r="AJ7" s="15"/>
      <c r="AK7" s="15"/>
      <c r="AL7" s="15">
        <f>$C$8*$C$9*1+$C$11*$C$12*1</f>
        <v>2280</v>
      </c>
      <c r="AM7" s="15">
        <f>AL7*0.9</f>
        <v>2052</v>
      </c>
      <c r="AN7" s="15">
        <f>AL7*0.9</f>
        <v>2052</v>
      </c>
      <c r="AO7" s="15">
        <f>AL7*0.9</f>
        <v>2052</v>
      </c>
      <c r="AP7" s="15"/>
      <c r="AQ7" s="15"/>
      <c r="AR7" s="15"/>
      <c r="AS7" s="15"/>
      <c r="AT7" s="15"/>
      <c r="AU7" s="15">
        <f>$C$8*$C$9*0.7*1+$C$11*$C$12*0.7*1</f>
        <v>1596</v>
      </c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3" t="s">
        <v>10</v>
      </c>
      <c r="BJ7" s="15"/>
      <c r="BK7" s="15"/>
      <c r="BL7" s="15"/>
      <c r="BM7" s="15"/>
      <c r="BN7" s="15">
        <f>$C$8*$C$9*750+$C$11*$C$12*500</f>
        <v>1500000</v>
      </c>
      <c r="BO7" s="15">
        <f>BN7*0.9</f>
        <v>1350000</v>
      </c>
      <c r="BP7" s="15">
        <f>BN7*0.9</f>
        <v>1350000</v>
      </c>
      <c r="BQ7" s="15">
        <f>BN7*0.9</f>
        <v>1350000</v>
      </c>
      <c r="BR7" s="15"/>
      <c r="BS7" s="15"/>
      <c r="BT7" s="15"/>
      <c r="BU7" s="15"/>
      <c r="BV7" s="15"/>
      <c r="BW7" s="15">
        <f>$C$8*$C$9*0.7*2500+$C$11*$C$12*0.7*3000</f>
        <v>4284000</v>
      </c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</row>
    <row r="8" spans="1:87" ht="15.75" customHeight="1" x14ac:dyDescent="0.2">
      <c r="A8" s="89" t="s">
        <v>55</v>
      </c>
      <c r="B8" s="40" t="s">
        <v>56</v>
      </c>
      <c r="C8" s="40">
        <v>9</v>
      </c>
      <c r="E8" s="3" t="s">
        <v>11</v>
      </c>
      <c r="F8" s="15"/>
      <c r="G8" s="15"/>
      <c r="H8" s="15"/>
      <c r="I8" s="15"/>
      <c r="J8" s="15"/>
      <c r="K8" s="15">
        <f>$C$8*$C$9*1+$C$11*$C$12*1</f>
        <v>2280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3" t="s">
        <v>11</v>
      </c>
      <c r="AH8" s="15"/>
      <c r="AI8" s="15"/>
      <c r="AJ8" s="15"/>
      <c r="AK8" s="15"/>
      <c r="AL8" s="15"/>
      <c r="AM8" s="15">
        <f>$C$8*$C$9*1+$C$11*$C$12*1</f>
        <v>2280</v>
      </c>
      <c r="AN8" s="15">
        <f>AM8*0.9</f>
        <v>2052</v>
      </c>
      <c r="AO8" s="15">
        <f>AM8*0.9</f>
        <v>2052</v>
      </c>
      <c r="AP8" s="15">
        <f>AM8*0.9</f>
        <v>2052</v>
      </c>
      <c r="AQ8" s="15"/>
      <c r="AR8" s="15"/>
      <c r="AS8" s="15"/>
      <c r="AT8" s="15"/>
      <c r="AU8" s="15"/>
      <c r="AV8" s="15">
        <f>$C$8*$C$9*0.7*1+$C$11*$C$12*0.7*1</f>
        <v>1596</v>
      </c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3" t="s">
        <v>11</v>
      </c>
      <c r="BJ8" s="15"/>
      <c r="BK8" s="15"/>
      <c r="BL8" s="15"/>
      <c r="BM8" s="15"/>
      <c r="BN8" s="15"/>
      <c r="BO8" s="15">
        <f>$C$8*$C$9*750+$C$11*$C$12*500</f>
        <v>1500000</v>
      </c>
      <c r="BP8" s="15">
        <f>BO8*0.9</f>
        <v>1350000</v>
      </c>
      <c r="BQ8" s="15">
        <f>BO8*0.9</f>
        <v>1350000</v>
      </c>
      <c r="BR8" s="15">
        <f>BO8*0.9</f>
        <v>1350000</v>
      </c>
      <c r="BS8" s="15"/>
      <c r="BT8" s="15"/>
      <c r="BU8" s="15"/>
      <c r="BV8" s="15"/>
      <c r="BW8" s="15"/>
      <c r="BX8" s="15">
        <f>$C$8*$C$9*0.7*2500+$C$11*$C$12*0.7*3000</f>
        <v>4284000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</row>
    <row r="9" spans="1:87" ht="15.75" customHeight="1" x14ac:dyDescent="0.2">
      <c r="A9" s="80"/>
      <c r="B9" s="42" t="s">
        <v>71</v>
      </c>
      <c r="C9" s="40">
        <v>160</v>
      </c>
      <c r="E9" s="3" t="s">
        <v>12</v>
      </c>
      <c r="F9" s="15"/>
      <c r="G9" s="15"/>
      <c r="H9" s="15"/>
      <c r="I9" s="15"/>
      <c r="J9" s="15"/>
      <c r="K9" s="15"/>
      <c r="L9" s="15">
        <f>$C$8*$C$9*1+$C$11*$C$12*1</f>
        <v>2280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" t="s">
        <v>12</v>
      </c>
      <c r="AH9" s="15"/>
      <c r="AI9" s="15"/>
      <c r="AJ9" s="15"/>
      <c r="AK9" s="15"/>
      <c r="AL9" s="15"/>
      <c r="AM9" s="15"/>
      <c r="AN9" s="15">
        <f>$C$8*$C$9*1+$C$11*$C$12*1</f>
        <v>2280</v>
      </c>
      <c r="AO9" s="15">
        <f>AN9*0.9</f>
        <v>2052</v>
      </c>
      <c r="AP9" s="15">
        <f>AN9*0.9</f>
        <v>2052</v>
      </c>
      <c r="AQ9" s="15">
        <f>AN9*0.9</f>
        <v>2052</v>
      </c>
      <c r="AR9" s="15"/>
      <c r="AS9" s="15"/>
      <c r="AT9" s="15"/>
      <c r="AU9" s="15"/>
      <c r="AV9" s="15"/>
      <c r="AW9" s="15">
        <f>$C$8*$C$9*0.7*1+$C$11*$C$12*0.7*1</f>
        <v>1596</v>
      </c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3" t="s">
        <v>12</v>
      </c>
      <c r="BJ9" s="15"/>
      <c r="BK9" s="15"/>
      <c r="BL9" s="15"/>
      <c r="BM9" s="15"/>
      <c r="BN9" s="15"/>
      <c r="BO9" s="15"/>
      <c r="BP9" s="15">
        <f>$C$8*$C$9*750+$C$11*$C$12*500</f>
        <v>1500000</v>
      </c>
      <c r="BQ9" s="15">
        <f>BP9*0.9</f>
        <v>1350000</v>
      </c>
      <c r="BR9" s="15">
        <f>BP9*0.9</f>
        <v>1350000</v>
      </c>
      <c r="BS9" s="15">
        <f>BP9*0.9</f>
        <v>1350000</v>
      </c>
      <c r="BT9" s="15"/>
      <c r="BU9" s="15"/>
      <c r="BV9" s="15"/>
      <c r="BW9" s="15"/>
      <c r="BX9" s="15"/>
      <c r="BY9" s="15">
        <f>$C$8*$C$9*0.7*2500+$C$11*$C$12*0.7*3000</f>
        <v>4284000</v>
      </c>
      <c r="BZ9" s="15"/>
      <c r="CA9" s="15"/>
      <c r="CB9" s="15"/>
      <c r="CC9" s="15"/>
      <c r="CD9" s="15"/>
      <c r="CE9" s="15"/>
      <c r="CF9" s="15"/>
      <c r="CG9" s="15"/>
      <c r="CH9" s="15"/>
      <c r="CI9" s="15"/>
    </row>
    <row r="10" spans="1:87" ht="15.75" customHeight="1" x14ac:dyDescent="0.2">
      <c r="A10" s="45"/>
      <c r="E10" s="3" t="s">
        <v>13</v>
      </c>
      <c r="F10" s="15"/>
      <c r="G10" s="15"/>
      <c r="H10" s="15"/>
      <c r="I10" s="15"/>
      <c r="J10" s="15"/>
      <c r="K10" s="15"/>
      <c r="L10" s="15"/>
      <c r="M10" s="15">
        <f>$C$11*$C$12*1</f>
        <v>840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 t="s">
        <v>13</v>
      </c>
      <c r="AH10" s="15"/>
      <c r="AI10" s="15"/>
      <c r="AJ10" s="15"/>
      <c r="AK10" s="15"/>
      <c r="AL10" s="15"/>
      <c r="AM10" s="15"/>
      <c r="AN10" s="15"/>
      <c r="AO10" s="15">
        <f>$C$11*$C$12*1</f>
        <v>840</v>
      </c>
      <c r="AP10" s="15">
        <f>AO10*0.9</f>
        <v>756</v>
      </c>
      <c r="AQ10" s="15">
        <f>AO10*0.9</f>
        <v>756</v>
      </c>
      <c r="AR10" s="15">
        <f>AO10*0.9</f>
        <v>756</v>
      </c>
      <c r="AS10" s="15"/>
      <c r="AT10" s="15"/>
      <c r="AU10" s="15"/>
      <c r="AV10" s="15"/>
      <c r="AW10" s="15"/>
      <c r="AX10" s="15">
        <f>$C$11*$C$12*0.7*1</f>
        <v>588</v>
      </c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3" t="s">
        <v>13</v>
      </c>
      <c r="BJ10" s="15"/>
      <c r="BK10" s="15"/>
      <c r="BL10" s="15"/>
      <c r="BM10" s="15"/>
      <c r="BN10" s="15"/>
      <c r="BO10" s="15"/>
      <c r="BP10" s="15"/>
      <c r="BQ10" s="15">
        <f>$C$11*$C$12*500</f>
        <v>420000</v>
      </c>
      <c r="BR10" s="15">
        <f>BQ10*0.9</f>
        <v>378000</v>
      </c>
      <c r="BS10" s="15">
        <f>BQ10*0.9</f>
        <v>378000</v>
      </c>
      <c r="BT10" s="15">
        <f>BQ10*0.9</f>
        <v>378000</v>
      </c>
      <c r="BU10" s="15"/>
      <c r="BV10" s="15"/>
      <c r="BW10" s="15"/>
      <c r="BX10" s="15"/>
      <c r="BY10" s="15"/>
      <c r="BZ10" s="15">
        <f>$C$11*$C$12*0.7*3000</f>
        <v>1764000</v>
      </c>
      <c r="CA10" s="15"/>
      <c r="CB10" s="15"/>
      <c r="CC10" s="15"/>
      <c r="CD10" s="15"/>
      <c r="CE10" s="15"/>
      <c r="CF10" s="15"/>
      <c r="CG10" s="15"/>
      <c r="CH10" s="15"/>
      <c r="CI10" s="15"/>
    </row>
    <row r="11" spans="1:87" ht="15.75" customHeight="1" x14ac:dyDescent="0.2">
      <c r="A11" s="89" t="s">
        <v>86</v>
      </c>
      <c r="B11" s="40" t="s">
        <v>56</v>
      </c>
      <c r="C11" s="40">
        <v>12</v>
      </c>
      <c r="E11" s="3" t="s">
        <v>14</v>
      </c>
      <c r="F11" s="15"/>
      <c r="G11" s="15"/>
      <c r="H11" s="15"/>
      <c r="I11" s="15"/>
      <c r="J11" s="15"/>
      <c r="K11" s="15"/>
      <c r="L11" s="15"/>
      <c r="M11" s="15"/>
      <c r="N11" s="15">
        <f>$C$11*$C$12*1</f>
        <v>840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" t="s">
        <v>14</v>
      </c>
      <c r="AH11" s="15"/>
      <c r="AI11" s="15"/>
      <c r="AJ11" s="15"/>
      <c r="AK11" s="15"/>
      <c r="AL11" s="15"/>
      <c r="AM11" s="15"/>
      <c r="AN11" s="15"/>
      <c r="AO11" s="15"/>
      <c r="AP11" s="15">
        <f>$C$11*$C$12*1</f>
        <v>840</v>
      </c>
      <c r="AQ11" s="15">
        <f>AP11*0.9</f>
        <v>756</v>
      </c>
      <c r="AR11" s="15">
        <f>AP11*0.9</f>
        <v>756</v>
      </c>
      <c r="AS11" s="15">
        <f>AP11*0.9</f>
        <v>756</v>
      </c>
      <c r="AT11" s="15"/>
      <c r="AU11" s="15"/>
      <c r="AV11" s="15"/>
      <c r="AW11" s="15"/>
      <c r="AX11" s="15"/>
      <c r="AY11" s="15">
        <f>$C$11*$C$12*0.7*1</f>
        <v>588</v>
      </c>
      <c r="AZ11" s="15"/>
      <c r="BA11" s="15"/>
      <c r="BB11" s="15"/>
      <c r="BC11" s="15"/>
      <c r="BD11" s="15"/>
      <c r="BE11" s="15"/>
      <c r="BF11" s="15"/>
      <c r="BG11" s="15"/>
      <c r="BH11" s="15"/>
      <c r="BI11" s="3" t="s">
        <v>14</v>
      </c>
      <c r="BJ11" s="15"/>
      <c r="BK11" s="15"/>
      <c r="BL11" s="15"/>
      <c r="BM11" s="15"/>
      <c r="BN11" s="15"/>
      <c r="BO11" s="15"/>
      <c r="BP11" s="15"/>
      <c r="BQ11" s="15"/>
      <c r="BR11" s="15">
        <f>$C$11*$C$12*500</f>
        <v>420000</v>
      </c>
      <c r="BS11" s="15">
        <f>BR11*0.9</f>
        <v>378000</v>
      </c>
      <c r="BT11" s="15">
        <f>BR11*0.9</f>
        <v>378000</v>
      </c>
      <c r="BU11" s="15">
        <f>BR11*0.9</f>
        <v>378000</v>
      </c>
      <c r="BV11" s="15"/>
      <c r="BW11" s="15"/>
      <c r="BX11" s="15"/>
      <c r="BY11" s="15"/>
      <c r="BZ11" s="15"/>
      <c r="CA11" s="15">
        <f>$C$11*$C$12*0.7*3000</f>
        <v>1764000</v>
      </c>
      <c r="CB11" s="15"/>
      <c r="CC11" s="15"/>
      <c r="CD11" s="15"/>
      <c r="CE11" s="15"/>
      <c r="CF11" s="15"/>
      <c r="CG11" s="15"/>
      <c r="CH11" s="15"/>
      <c r="CI11" s="15"/>
    </row>
    <row r="12" spans="1:87" ht="15.75" customHeight="1" x14ac:dyDescent="0.2">
      <c r="A12" s="80"/>
      <c r="B12" s="42" t="s">
        <v>93</v>
      </c>
      <c r="C12" s="40">
        <v>70</v>
      </c>
      <c r="E12" s="3" t="s">
        <v>15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>$C$11*$C$12*1</f>
        <v>840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" t="s">
        <v>15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>
        <f>$C$11*$C$12*1</f>
        <v>840</v>
      </c>
      <c r="AR12" s="15">
        <f>AQ12*0.9</f>
        <v>756</v>
      </c>
      <c r="AS12" s="15">
        <f>AQ12*0.9</f>
        <v>756</v>
      </c>
      <c r="AT12" s="15">
        <f>AQ12*0.9</f>
        <v>756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3" t="s">
        <v>15</v>
      </c>
      <c r="BJ12" s="15"/>
      <c r="BK12" s="15"/>
      <c r="BL12" s="15"/>
      <c r="BM12" s="15"/>
      <c r="BN12" s="15"/>
      <c r="BO12" s="15"/>
      <c r="BP12" s="15"/>
      <c r="BQ12" s="15"/>
      <c r="BR12" s="15"/>
      <c r="BS12" s="15">
        <f>$C$11*$C$12*500</f>
        <v>420000</v>
      </c>
      <c r="BT12" s="15">
        <f>BS12*0.9</f>
        <v>378000</v>
      </c>
      <c r="BU12" s="15">
        <f>BS12*0.9</f>
        <v>378000</v>
      </c>
      <c r="BV12" s="15">
        <f>BS12*0.9</f>
        <v>378000</v>
      </c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</row>
    <row r="13" spans="1:87" ht="15.75" customHeight="1" x14ac:dyDescent="0.2">
      <c r="A13" s="45"/>
      <c r="E13" s="3" t="s">
        <v>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>$C$11*$C$12*1</f>
        <v>840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" t="s">
        <v>16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>
        <f>$C$11*$C$12*1</f>
        <v>840</v>
      </c>
      <c r="AS13" s="15">
        <f>AR13*0.9</f>
        <v>756</v>
      </c>
      <c r="AT13" s="15">
        <f>AR13*0.9</f>
        <v>756</v>
      </c>
      <c r="AU13" s="15">
        <f>AR13*0.9</f>
        <v>756</v>
      </c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3" t="s">
        <v>16</v>
      </c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>
        <f>$C$11*$C$12*500</f>
        <v>420000</v>
      </c>
      <c r="BU13" s="15">
        <f>BT13*0.9</f>
        <v>378000</v>
      </c>
      <c r="BV13" s="15">
        <f>BT13*0.9</f>
        <v>378000</v>
      </c>
      <c r="BW13" s="15">
        <f>BT13*0.9</f>
        <v>378000</v>
      </c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</row>
    <row r="14" spans="1:87" ht="15.75" customHeight="1" x14ac:dyDescent="0.2">
      <c r="A14" s="88" t="s">
        <v>100</v>
      </c>
      <c r="B14" s="40" t="s">
        <v>56</v>
      </c>
      <c r="C14" s="40">
        <v>0</v>
      </c>
      <c r="E14" s="3" t="s">
        <v>17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>
        <f>$C$11*$C$12*1</f>
        <v>840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" t="s">
        <v>17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>
        <f>$C$11*$C$12*1</f>
        <v>840</v>
      </c>
      <c r="AT14" s="15">
        <f>AS14*0.9</f>
        <v>756</v>
      </c>
      <c r="AU14" s="15">
        <f>AS14*0.9</f>
        <v>756</v>
      </c>
      <c r="AV14" s="15">
        <f>AS14*0.9</f>
        <v>756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3" t="s">
        <v>17</v>
      </c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>
        <f>$C$11*$C$12*500</f>
        <v>420000</v>
      </c>
      <c r="BV14" s="15">
        <f>BU14*0.9</f>
        <v>378000</v>
      </c>
      <c r="BW14" s="15">
        <f>BU14*0.9</f>
        <v>378000</v>
      </c>
      <c r="BX14" s="15">
        <f>BU14*0.9</f>
        <v>378000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</row>
    <row r="15" spans="1:87" ht="15.75" customHeight="1" x14ac:dyDescent="0.2">
      <c r="A15" s="80"/>
      <c r="B15" s="42" t="s">
        <v>108</v>
      </c>
      <c r="C15" s="40">
        <v>0</v>
      </c>
      <c r="E15" s="3" t="s">
        <v>19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f>$C$11*$C$12*1</f>
        <v>840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3" t="s">
        <v>19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>
        <f>$C$11*$C$12*1</f>
        <v>840</v>
      </c>
      <c r="AU15" s="15">
        <f>AT15*0.9</f>
        <v>756</v>
      </c>
      <c r="AV15" s="15">
        <f>AT15*0.9</f>
        <v>756</v>
      </c>
      <c r="AW15" s="15">
        <f>AT15*0.9</f>
        <v>756</v>
      </c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3" t="s">
        <v>19</v>
      </c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>
        <f>$C$11*$C$12*500</f>
        <v>420000</v>
      </c>
      <c r="BW15" s="15">
        <f>BV15*0.9</f>
        <v>378000</v>
      </c>
      <c r="BX15" s="15">
        <f>BV15*0.9</f>
        <v>378000</v>
      </c>
      <c r="BY15" s="15">
        <f>BV15*0.9</f>
        <v>378000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</row>
    <row r="16" spans="1:87" ht="15.75" customHeight="1" x14ac:dyDescent="0.2">
      <c r="A16" s="45"/>
      <c r="E16" s="3" t="s">
        <v>21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>
        <f>$C$11*$C$12*1</f>
        <v>840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" t="s">
        <v>21</v>
      </c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>
        <f>$C$11*$C$12*1</f>
        <v>840</v>
      </c>
      <c r="AV16" s="15">
        <f>AU16*0.9</f>
        <v>756</v>
      </c>
      <c r="AW16" s="15">
        <f>AU16*0.9</f>
        <v>756</v>
      </c>
      <c r="AX16" s="15">
        <f>AU16*0.9</f>
        <v>756</v>
      </c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3" t="s">
        <v>21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>
        <f>$C$11*$C$12*500</f>
        <v>420000</v>
      </c>
      <c r="BX16" s="15">
        <f>BW16*0.9</f>
        <v>378000</v>
      </c>
      <c r="BY16" s="15">
        <f>BW16*0.9</f>
        <v>378000</v>
      </c>
      <c r="BZ16" s="15">
        <f>BW16*0.9</f>
        <v>378000</v>
      </c>
      <c r="CA16" s="15"/>
      <c r="CB16" s="15"/>
      <c r="CC16" s="15"/>
      <c r="CD16" s="15"/>
      <c r="CE16" s="15"/>
      <c r="CF16" s="15"/>
      <c r="CG16" s="15"/>
      <c r="CH16" s="15"/>
      <c r="CI16" s="15"/>
    </row>
    <row r="17" spans="1:87" ht="15.75" customHeight="1" x14ac:dyDescent="0.2">
      <c r="A17" s="88" t="s">
        <v>121</v>
      </c>
      <c r="B17" s="40" t="s">
        <v>56</v>
      </c>
      <c r="C17" s="40">
        <v>0</v>
      </c>
      <c r="E17" s="3" t="s">
        <v>22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f>$C$11*$C$12*1</f>
        <v>840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" t="s">
        <v>22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f>$C$11*$C$12*1</f>
        <v>840</v>
      </c>
      <c r="AW17" s="15">
        <f>AV17*0.9</f>
        <v>756</v>
      </c>
      <c r="AX17" s="15">
        <f>AV17*0.9</f>
        <v>756</v>
      </c>
      <c r="AY17" s="15">
        <f>AV17*0.9</f>
        <v>756</v>
      </c>
      <c r="AZ17" s="15"/>
      <c r="BA17" s="15"/>
      <c r="BB17" s="15"/>
      <c r="BC17" s="15"/>
      <c r="BD17" s="15"/>
      <c r="BE17" s="15"/>
      <c r="BF17" s="15"/>
      <c r="BG17" s="15"/>
      <c r="BH17" s="15"/>
      <c r="BI17" s="3" t="s">
        <v>22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>
        <f>$C$11*$C$12*500</f>
        <v>420000</v>
      </c>
      <c r="BY17" s="15">
        <f>BX17*0.9</f>
        <v>378000</v>
      </c>
      <c r="BZ17" s="15">
        <f>BX17*0.9</f>
        <v>378000</v>
      </c>
      <c r="CA17" s="15">
        <f>BX17*0.9</f>
        <v>378000</v>
      </c>
      <c r="CB17" s="15"/>
      <c r="CC17" s="15"/>
      <c r="CD17" s="15"/>
      <c r="CE17" s="15"/>
      <c r="CF17" s="15"/>
      <c r="CG17" s="15"/>
      <c r="CH17" s="63"/>
      <c r="CI17" s="63"/>
    </row>
    <row r="18" spans="1:87" ht="15.75" customHeight="1" x14ac:dyDescent="0.2">
      <c r="A18" s="80"/>
      <c r="B18" s="42" t="s">
        <v>108</v>
      </c>
      <c r="C18" s="40">
        <v>0</v>
      </c>
      <c r="E18" s="3" t="s">
        <v>23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f>$C$11*$C$12*1</f>
        <v>840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" t="s">
        <v>23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>
        <f>$C$11*$C$12*1</f>
        <v>840</v>
      </c>
      <c r="AX18" s="15">
        <f>AW18*0.9</f>
        <v>756</v>
      </c>
      <c r="AY18" s="15">
        <f>AW18*0.9</f>
        <v>756</v>
      </c>
      <c r="AZ18" s="15"/>
      <c r="BA18" s="15"/>
      <c r="BB18" s="15"/>
      <c r="BC18" s="15"/>
      <c r="BD18" s="15"/>
      <c r="BE18" s="15"/>
      <c r="BF18" s="15"/>
      <c r="BG18" s="15"/>
      <c r="BH18" s="15"/>
      <c r="BI18" s="3" t="s">
        <v>23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>
        <f>$C$11*$C$12*500</f>
        <v>420000</v>
      </c>
      <c r="BZ18" s="15">
        <f>BY18*0.9</f>
        <v>378000</v>
      </c>
      <c r="CA18" s="15">
        <f>BY18*0.9</f>
        <v>378000</v>
      </c>
      <c r="CB18" s="15"/>
      <c r="CC18" s="15"/>
      <c r="CD18" s="15"/>
      <c r="CE18" s="15"/>
      <c r="CF18" s="15"/>
      <c r="CG18" s="15"/>
      <c r="CH18" s="15"/>
      <c r="CI18" s="64"/>
    </row>
    <row r="19" spans="1:87" ht="15.75" customHeight="1" x14ac:dyDescent="0.2">
      <c r="E19" s="3" t="s">
        <v>24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>
        <f>$C$11*$C$12*1</f>
        <v>840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" t="s">
        <v>24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>
        <f>$C$11*$C$12*1</f>
        <v>840</v>
      </c>
      <c r="AY19" s="15">
        <f>AX19*0.9</f>
        <v>756</v>
      </c>
      <c r="AZ19" s="15"/>
      <c r="BA19" s="15"/>
      <c r="BB19" s="64"/>
      <c r="BC19" s="64"/>
      <c r="BD19" s="64"/>
      <c r="BE19" s="64"/>
      <c r="BF19" s="15"/>
      <c r="BG19" s="63"/>
      <c r="BH19" s="15"/>
      <c r="BI19" s="3" t="s">
        <v>24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>
        <f>$C$11*$C$12*500</f>
        <v>420000</v>
      </c>
      <c r="CA19" s="15">
        <f>BZ19*0.9</f>
        <v>378000</v>
      </c>
      <c r="CB19" s="15"/>
      <c r="CC19" s="15"/>
      <c r="CD19" s="64"/>
      <c r="CE19" s="64"/>
      <c r="CF19" s="64"/>
      <c r="CG19" s="64"/>
      <c r="CH19" s="64"/>
      <c r="CI19" s="63"/>
    </row>
    <row r="20" spans="1:87" ht="15.75" customHeight="1" x14ac:dyDescent="0.2">
      <c r="E20" s="3" t="s">
        <v>25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>
        <f>$C$11*$C$12*1</f>
        <v>840</v>
      </c>
      <c r="X20" s="15"/>
      <c r="Y20" s="15"/>
      <c r="Z20" s="15"/>
      <c r="AA20" s="15"/>
      <c r="AB20" s="15"/>
      <c r="AC20" s="15"/>
      <c r="AD20" s="15"/>
      <c r="AE20" s="15"/>
      <c r="AF20" s="15"/>
      <c r="AG20" s="3" t="s">
        <v>25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>
        <f>$C$11*$C$12*1</f>
        <v>840</v>
      </c>
      <c r="AZ20" s="15"/>
      <c r="BA20" s="15"/>
      <c r="BB20" s="15"/>
      <c r="BC20" s="64"/>
      <c r="BD20" s="64"/>
      <c r="BE20" s="64"/>
      <c r="BF20" s="15"/>
      <c r="BG20" s="15"/>
      <c r="BH20" s="15"/>
      <c r="BI20" s="3" t="s">
        <v>25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>
        <f>$C$11*$C$12*500</f>
        <v>420000</v>
      </c>
      <c r="CB20" s="15"/>
      <c r="CC20" s="15"/>
      <c r="CD20" s="15"/>
      <c r="CE20" s="64"/>
      <c r="CF20" s="64"/>
      <c r="CG20" s="64"/>
      <c r="CH20" s="64"/>
      <c r="CI20" s="64"/>
    </row>
    <row r="21" spans="1:87" ht="15.75" customHeight="1" x14ac:dyDescent="0.2">
      <c r="E21" s="3" t="s">
        <v>26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" t="s">
        <v>26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64"/>
      <c r="BE21" s="64"/>
      <c r="BF21" s="15"/>
      <c r="BG21" s="15"/>
      <c r="BH21" s="15"/>
      <c r="BI21" s="3" t="s">
        <v>26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64"/>
      <c r="CG21" s="64"/>
      <c r="CH21" s="64"/>
      <c r="CI21" s="64"/>
    </row>
    <row r="22" spans="1:87" ht="15.75" customHeight="1" x14ac:dyDescent="0.2">
      <c r="E22" s="3" t="s">
        <v>27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" t="s">
        <v>27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64"/>
      <c r="BF22" s="15"/>
      <c r="BG22" s="15"/>
      <c r="BH22" s="15"/>
      <c r="BI22" s="3" t="s">
        <v>27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63"/>
      <c r="CG22" s="64"/>
      <c r="CH22" s="64"/>
      <c r="CI22" s="64"/>
    </row>
    <row r="23" spans="1:87" ht="15.75" customHeight="1" x14ac:dyDescent="0.2">
      <c r="E23" s="3" t="s">
        <v>28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" t="s">
        <v>28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3" t="s">
        <v>28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63"/>
      <c r="CG23" s="63"/>
      <c r="CH23" s="63"/>
      <c r="CI23" s="63"/>
    </row>
    <row r="24" spans="1:87" ht="15.75" customHeight="1" x14ac:dyDescent="0.2">
      <c r="E24" s="3" t="s">
        <v>29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" t="s">
        <v>29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63"/>
      <c r="BE24" s="63"/>
      <c r="BF24" s="63"/>
      <c r="BG24" s="15"/>
      <c r="BH24" s="15"/>
      <c r="BI24" s="3" t="s">
        <v>29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63"/>
      <c r="CG24" s="63"/>
      <c r="CH24" s="63"/>
      <c r="CI24" s="63"/>
    </row>
    <row r="25" spans="1:87" ht="15.75" customHeight="1" x14ac:dyDescent="0.2">
      <c r="E25" s="3" t="s">
        <v>30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" t="s">
        <v>30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63"/>
      <c r="BE25" s="63"/>
      <c r="BF25" s="63"/>
      <c r="BG25" s="63"/>
      <c r="BH25" s="15"/>
      <c r="BI25" s="3" t="s">
        <v>30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63"/>
      <c r="CG25" s="63"/>
      <c r="CH25" s="63"/>
      <c r="CI25" s="63"/>
    </row>
    <row r="26" spans="1:87" ht="15.75" customHeight="1" x14ac:dyDescent="0.2">
      <c r="E26" s="3" t="s">
        <v>31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" t="s">
        <v>31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63"/>
      <c r="BF26" s="63"/>
      <c r="BG26" s="63"/>
      <c r="BH26" s="63"/>
      <c r="BI26" s="3" t="s">
        <v>31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63"/>
      <c r="CH26" s="63"/>
      <c r="CI26" s="63"/>
    </row>
    <row r="27" spans="1:87" ht="15.75" customHeight="1" x14ac:dyDescent="0.2">
      <c r="E27" s="3" t="s">
        <v>32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" t="s">
        <v>32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63"/>
      <c r="BF27" s="63"/>
      <c r="BG27" s="63"/>
      <c r="BH27" s="63"/>
      <c r="BI27" s="3" t="s">
        <v>32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63"/>
      <c r="CH27" s="63"/>
      <c r="CI27" s="63"/>
    </row>
    <row r="28" spans="1:87" ht="15.75" customHeight="1" x14ac:dyDescent="0.2">
      <c r="E28" s="3" t="s">
        <v>33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" t="s">
        <v>33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63"/>
      <c r="BF28" s="63"/>
      <c r="BG28" s="63"/>
      <c r="BH28" s="63"/>
      <c r="BI28" s="3" t="s">
        <v>33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63"/>
      <c r="CH28" s="63"/>
      <c r="CI28" s="70"/>
    </row>
  </sheetData>
  <mergeCells count="7">
    <mergeCell ref="A14:A15"/>
    <mergeCell ref="A17:A18"/>
    <mergeCell ref="A11:A12"/>
    <mergeCell ref="A8:A9"/>
    <mergeCell ref="BJ1:CI1"/>
    <mergeCell ref="AH1:BG1"/>
    <mergeCell ref="F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Learning Phase Budget</vt:lpstr>
      <vt:lpstr>Projections for Number of Infan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Zok</cp:lastModifiedBy>
  <dcterms:created xsi:type="dcterms:W3CDTF">2017-04-18T12:00:41Z</dcterms:created>
  <dcterms:modified xsi:type="dcterms:W3CDTF">2017-04-18T12:00:41Z</dcterms:modified>
</cp:coreProperties>
</file>