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autoCompressPictures="0"/>
  <bookViews>
    <workbookView xWindow="0" yWindow="0" windowWidth="24240" windowHeight="13740" tabRatio="500"/>
  </bookViews>
  <sheets>
    <sheet name=" CEA" sheetId="7" r:id="rId1"/>
    <sheet name="Sources" sheetId="6" r:id="rId2"/>
    <sheet name="Elie" sheetId="12" r:id="rId3"/>
    <sheet name="Sophie" sheetId="11" r:id="rId4"/>
    <sheet name="Natalie" sheetId="13" r:id="rId5"/>
    <sheet name="Josh" sheetId="14" r:id="rId6"/>
    <sheet name="Andrew" sheetId="16" r:id="rId7"/>
    <sheet name="Chelsea" sheetId="17" r:id="rId8"/>
    <sheet name="Chris" sheetId="18" r:id="rId9"/>
  </sheet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G121" i="14" l="1"/>
  <c r="G120" i="14"/>
  <c r="G121" i="18"/>
  <c r="G118" i="18"/>
  <c r="G120" i="18"/>
  <c r="G119" i="18"/>
  <c r="E105" i="18"/>
  <c r="E15" i="18"/>
  <c r="E16" i="18"/>
  <c r="E109" i="18"/>
  <c r="E27" i="18"/>
  <c r="E17" i="18"/>
  <c r="E106" i="18"/>
  <c r="E110" i="18"/>
  <c r="E111" i="18"/>
  <c r="E112" i="18"/>
  <c r="E121" i="18"/>
  <c r="E43" i="18"/>
  <c r="E42" i="18"/>
  <c r="E44" i="18"/>
  <c r="E28" i="18"/>
  <c r="E32" i="18"/>
  <c r="E35" i="18"/>
  <c r="E36" i="18"/>
  <c r="E38" i="18"/>
  <c r="E29" i="18"/>
  <c r="E39" i="18"/>
  <c r="E40" i="18"/>
  <c r="E46" i="18"/>
  <c r="E48" i="18"/>
  <c r="E54" i="18"/>
  <c r="E55" i="18"/>
  <c r="E116" i="18"/>
  <c r="E58" i="18"/>
  <c r="E59" i="18"/>
  <c r="E61" i="18"/>
  <c r="E63" i="18"/>
  <c r="E117" i="18"/>
  <c r="E67" i="18"/>
  <c r="E69" i="18"/>
  <c r="E78" i="18"/>
  <c r="E79" i="18"/>
  <c r="E80" i="18"/>
  <c r="E81" i="18"/>
  <c r="E118" i="18"/>
  <c r="E84" i="18"/>
  <c r="E88" i="18"/>
  <c r="E89" i="18"/>
  <c r="E90" i="18"/>
  <c r="E91" i="18"/>
  <c r="E119" i="18"/>
  <c r="E94" i="18"/>
  <c r="E98" i="18"/>
  <c r="E99" i="18"/>
  <c r="E100" i="18"/>
  <c r="E101" i="18"/>
  <c r="E120" i="18"/>
  <c r="E123" i="18"/>
  <c r="I130" i="18"/>
  <c r="F27" i="18"/>
  <c r="F28" i="18"/>
  <c r="F15" i="18"/>
  <c r="F17" i="18"/>
  <c r="F14" i="18"/>
  <c r="F19" i="18"/>
  <c r="F29" i="18"/>
  <c r="F16" i="18"/>
  <c r="F20" i="18"/>
  <c r="E19" i="18"/>
  <c r="E20" i="18"/>
  <c r="E124" i="18"/>
  <c r="E125" i="18"/>
  <c r="E130" i="18"/>
  <c r="D24" i="18"/>
  <c r="D27" i="18"/>
  <c r="D28" i="18"/>
  <c r="D17" i="18"/>
  <c r="D14" i="18"/>
  <c r="D19" i="18"/>
  <c r="D29" i="18"/>
  <c r="D16" i="18"/>
  <c r="D20" i="18"/>
  <c r="I129" i="18"/>
  <c r="I128" i="18"/>
  <c r="E128" i="18"/>
  <c r="I127" i="18"/>
  <c r="I126" i="18"/>
  <c r="I125" i="18"/>
  <c r="F109" i="18"/>
  <c r="F106" i="18"/>
  <c r="F110" i="18"/>
  <c r="F111" i="18"/>
  <c r="F112" i="18"/>
  <c r="F121" i="18"/>
  <c r="D105" i="18"/>
  <c r="D109" i="18"/>
  <c r="D106" i="18"/>
  <c r="D110" i="18"/>
  <c r="D111" i="18"/>
  <c r="D112" i="18"/>
  <c r="D121" i="18"/>
  <c r="C121" i="18"/>
  <c r="F94" i="18"/>
  <c r="F67" i="18"/>
  <c r="F69" i="18"/>
  <c r="F98" i="18"/>
  <c r="F99" i="18"/>
  <c r="F100" i="18"/>
  <c r="F101" i="18"/>
  <c r="F120" i="18"/>
  <c r="D94" i="18"/>
  <c r="D67" i="18"/>
  <c r="D69" i="18"/>
  <c r="D98" i="18"/>
  <c r="D99" i="18"/>
  <c r="D100" i="18"/>
  <c r="D101" i="18"/>
  <c r="D120" i="18"/>
  <c r="C120" i="18"/>
  <c r="F84" i="18"/>
  <c r="F88" i="18"/>
  <c r="F89" i="18"/>
  <c r="F90" i="18"/>
  <c r="F91" i="18"/>
  <c r="F119" i="18"/>
  <c r="D84" i="18"/>
  <c r="D88" i="18"/>
  <c r="D89" i="18"/>
  <c r="D90" i="18"/>
  <c r="D91" i="18"/>
  <c r="D119" i="18"/>
  <c r="C119" i="18"/>
  <c r="F78" i="18"/>
  <c r="F79" i="18"/>
  <c r="F80" i="18"/>
  <c r="F81" i="18"/>
  <c r="F118" i="18"/>
  <c r="D78" i="18"/>
  <c r="D79" i="18"/>
  <c r="D80" i="18"/>
  <c r="D81" i="18"/>
  <c r="D118" i="18"/>
  <c r="C118" i="18"/>
  <c r="F43" i="18"/>
  <c r="F42" i="18"/>
  <c r="F44" i="18"/>
  <c r="F32" i="18"/>
  <c r="F35" i="18"/>
  <c r="F36" i="18"/>
  <c r="F38" i="18"/>
  <c r="F39" i="18"/>
  <c r="F40" i="18"/>
  <c r="F46" i="18"/>
  <c r="F48" i="18"/>
  <c r="F58" i="18"/>
  <c r="F59" i="18"/>
  <c r="F61" i="18"/>
  <c r="F63" i="18"/>
  <c r="F117" i="18"/>
  <c r="D43" i="18"/>
  <c r="D42" i="18"/>
  <c r="D44" i="18"/>
  <c r="D32" i="18"/>
  <c r="D35" i="18"/>
  <c r="D36" i="18"/>
  <c r="D38" i="18"/>
  <c r="D39" i="18"/>
  <c r="D40" i="18"/>
  <c r="D46" i="18"/>
  <c r="D48" i="18"/>
  <c r="D58" i="18"/>
  <c r="D59" i="18"/>
  <c r="D61" i="18"/>
  <c r="D63" i="18"/>
  <c r="D117" i="18"/>
  <c r="C117" i="18"/>
  <c r="F54" i="18"/>
  <c r="F55" i="18"/>
  <c r="F116" i="18"/>
  <c r="D54" i="18"/>
  <c r="D55" i="18"/>
  <c r="D116" i="18"/>
  <c r="C116" i="18"/>
  <c r="F113" i="18"/>
  <c r="E113" i="18"/>
  <c r="D113" i="18"/>
  <c r="F102" i="18"/>
  <c r="E102" i="18"/>
  <c r="D102" i="18"/>
  <c r="F92" i="18"/>
  <c r="E92" i="18"/>
  <c r="D92" i="18"/>
  <c r="F82" i="18"/>
  <c r="E82" i="18"/>
  <c r="D82" i="18"/>
  <c r="E72" i="18"/>
  <c r="H72" i="18"/>
  <c r="F72" i="18"/>
  <c r="D72" i="18"/>
  <c r="G67" i="18"/>
  <c r="C67" i="18"/>
  <c r="F50" i="18"/>
  <c r="F64" i="18"/>
  <c r="E50" i="18"/>
  <c r="E64" i="18"/>
  <c r="D50" i="18"/>
  <c r="D64" i="18"/>
  <c r="F56" i="18"/>
  <c r="E56" i="18"/>
  <c r="D56" i="18"/>
  <c r="H42" i="18"/>
  <c r="G42" i="18"/>
  <c r="F18" i="18"/>
  <c r="E18" i="18"/>
  <c r="D18" i="18"/>
  <c r="E4" i="18"/>
  <c r="E3" i="18"/>
  <c r="E2" i="18"/>
  <c r="G122" i="17"/>
  <c r="G122" i="16"/>
  <c r="G122" i="14"/>
  <c r="G122" i="13"/>
  <c r="G118" i="17"/>
  <c r="G120" i="17"/>
  <c r="G119" i="17"/>
  <c r="G121" i="17"/>
  <c r="E105" i="17"/>
  <c r="E15" i="17"/>
  <c r="E16" i="17"/>
  <c r="E109" i="17"/>
  <c r="E27" i="17"/>
  <c r="E17" i="17"/>
  <c r="E106" i="17"/>
  <c r="E110" i="17"/>
  <c r="E111" i="17"/>
  <c r="E112" i="17"/>
  <c r="E121" i="17"/>
  <c r="E43" i="17"/>
  <c r="E42" i="17"/>
  <c r="E44" i="17"/>
  <c r="E28" i="17"/>
  <c r="E32" i="17"/>
  <c r="E35" i="17"/>
  <c r="E36" i="17"/>
  <c r="E38" i="17"/>
  <c r="E29" i="17"/>
  <c r="E39" i="17"/>
  <c r="E40" i="17"/>
  <c r="E46" i="17"/>
  <c r="E48" i="17"/>
  <c r="E54" i="17"/>
  <c r="E55" i="17"/>
  <c r="E116" i="17"/>
  <c r="E58" i="17"/>
  <c r="E59" i="17"/>
  <c r="E61" i="17"/>
  <c r="E63" i="17"/>
  <c r="E117" i="17"/>
  <c r="E67" i="17"/>
  <c r="E69" i="17"/>
  <c r="E78" i="17"/>
  <c r="E79" i="17"/>
  <c r="E80" i="17"/>
  <c r="E81" i="17"/>
  <c r="E118" i="17"/>
  <c r="E84" i="17"/>
  <c r="E88" i="17"/>
  <c r="E89" i="17"/>
  <c r="E90" i="17"/>
  <c r="E91" i="17"/>
  <c r="E119" i="17"/>
  <c r="E94" i="17"/>
  <c r="E98" i="17"/>
  <c r="E99" i="17"/>
  <c r="E100" i="17"/>
  <c r="E101" i="17"/>
  <c r="E120" i="17"/>
  <c r="E123" i="17"/>
  <c r="I130" i="17"/>
  <c r="F27" i="17"/>
  <c r="F28" i="17"/>
  <c r="F15" i="17"/>
  <c r="F17" i="17"/>
  <c r="F14" i="17"/>
  <c r="F19" i="17"/>
  <c r="F29" i="17"/>
  <c r="F16" i="17"/>
  <c r="F20" i="17"/>
  <c r="E19" i="17"/>
  <c r="E20" i="17"/>
  <c r="E124" i="17"/>
  <c r="E125" i="17"/>
  <c r="E130" i="17"/>
  <c r="D24" i="17"/>
  <c r="D27" i="17"/>
  <c r="D28" i="17"/>
  <c r="D17" i="17"/>
  <c r="D14" i="17"/>
  <c r="D19" i="17"/>
  <c r="D29" i="17"/>
  <c r="D16" i="17"/>
  <c r="D20" i="17"/>
  <c r="I129" i="17"/>
  <c r="I128" i="17"/>
  <c r="E128" i="17"/>
  <c r="I127" i="17"/>
  <c r="I126" i="17"/>
  <c r="I125" i="17"/>
  <c r="F109" i="17"/>
  <c r="F106" i="17"/>
  <c r="F110" i="17"/>
  <c r="F111" i="17"/>
  <c r="F112" i="17"/>
  <c r="F121" i="17"/>
  <c r="D105" i="17"/>
  <c r="D109" i="17"/>
  <c r="D106" i="17"/>
  <c r="D110" i="17"/>
  <c r="D111" i="17"/>
  <c r="D112" i="17"/>
  <c r="D121" i="17"/>
  <c r="C121" i="17"/>
  <c r="F94" i="17"/>
  <c r="F67" i="17"/>
  <c r="F69" i="17"/>
  <c r="F98" i="17"/>
  <c r="F99" i="17"/>
  <c r="F100" i="17"/>
  <c r="F101" i="17"/>
  <c r="F120" i="17"/>
  <c r="D94" i="17"/>
  <c r="D67" i="17"/>
  <c r="D69" i="17"/>
  <c r="D98" i="17"/>
  <c r="D99" i="17"/>
  <c r="D100" i="17"/>
  <c r="D101" i="17"/>
  <c r="D120" i="17"/>
  <c r="C120" i="17"/>
  <c r="F84" i="17"/>
  <c r="F88" i="17"/>
  <c r="F89" i="17"/>
  <c r="F90" i="17"/>
  <c r="F91" i="17"/>
  <c r="F119" i="17"/>
  <c r="D84" i="17"/>
  <c r="D88" i="17"/>
  <c r="D89" i="17"/>
  <c r="D90" i="17"/>
  <c r="D91" i="17"/>
  <c r="D119" i="17"/>
  <c r="C119" i="17"/>
  <c r="F78" i="17"/>
  <c r="F79" i="17"/>
  <c r="F80" i="17"/>
  <c r="F81" i="17"/>
  <c r="F118" i="17"/>
  <c r="D78" i="17"/>
  <c r="D79" i="17"/>
  <c r="D80" i="17"/>
  <c r="D81" i="17"/>
  <c r="D118" i="17"/>
  <c r="C118" i="17"/>
  <c r="F43" i="17"/>
  <c r="F42" i="17"/>
  <c r="F44" i="17"/>
  <c r="F32" i="17"/>
  <c r="F35" i="17"/>
  <c r="F36" i="17"/>
  <c r="F38" i="17"/>
  <c r="F39" i="17"/>
  <c r="F40" i="17"/>
  <c r="F46" i="17"/>
  <c r="F48" i="17"/>
  <c r="F58" i="17"/>
  <c r="F59" i="17"/>
  <c r="F61" i="17"/>
  <c r="F63" i="17"/>
  <c r="F117" i="17"/>
  <c r="D43" i="17"/>
  <c r="D42" i="17"/>
  <c r="D44" i="17"/>
  <c r="D32" i="17"/>
  <c r="D35" i="17"/>
  <c r="D36" i="17"/>
  <c r="D38" i="17"/>
  <c r="D39" i="17"/>
  <c r="D40" i="17"/>
  <c r="D46" i="17"/>
  <c r="D48" i="17"/>
  <c r="D58" i="17"/>
  <c r="D59" i="17"/>
  <c r="D61" i="17"/>
  <c r="D63" i="17"/>
  <c r="D117" i="17"/>
  <c r="C117" i="17"/>
  <c r="F54" i="17"/>
  <c r="F55" i="17"/>
  <c r="F116" i="17"/>
  <c r="D54" i="17"/>
  <c r="D55" i="17"/>
  <c r="D116" i="17"/>
  <c r="C116" i="17"/>
  <c r="F113" i="17"/>
  <c r="E113" i="17"/>
  <c r="D113" i="17"/>
  <c r="F102" i="17"/>
  <c r="E102" i="17"/>
  <c r="D102" i="17"/>
  <c r="F92" i="17"/>
  <c r="E92" i="17"/>
  <c r="D92" i="17"/>
  <c r="F82" i="17"/>
  <c r="E82" i="17"/>
  <c r="D82" i="17"/>
  <c r="E72" i="17"/>
  <c r="H72" i="17"/>
  <c r="F72" i="17"/>
  <c r="D72" i="17"/>
  <c r="G67" i="17"/>
  <c r="C67" i="17"/>
  <c r="F50" i="17"/>
  <c r="F64" i="17"/>
  <c r="E50" i="17"/>
  <c r="E64" i="17"/>
  <c r="D50" i="17"/>
  <c r="D64" i="17"/>
  <c r="F56" i="17"/>
  <c r="E56" i="17"/>
  <c r="D56" i="17"/>
  <c r="H42" i="17"/>
  <c r="G42" i="17"/>
  <c r="F18" i="17"/>
  <c r="E18" i="17"/>
  <c r="D18" i="17"/>
  <c r="E4" i="17"/>
  <c r="E3" i="17"/>
  <c r="E2" i="17"/>
  <c r="G121" i="16"/>
  <c r="G118" i="16"/>
  <c r="G120" i="16"/>
  <c r="G119" i="16"/>
  <c r="E105" i="16"/>
  <c r="E15" i="16"/>
  <c r="E16" i="16"/>
  <c r="E109" i="16"/>
  <c r="E27" i="16"/>
  <c r="E17" i="16"/>
  <c r="E106" i="16"/>
  <c r="E110" i="16"/>
  <c r="E111" i="16"/>
  <c r="E112" i="16"/>
  <c r="E121" i="16"/>
  <c r="E43" i="16"/>
  <c r="E42" i="16"/>
  <c r="E44" i="16"/>
  <c r="E28" i="16"/>
  <c r="E32" i="16"/>
  <c r="E35" i="16"/>
  <c r="E36" i="16"/>
  <c r="E38" i="16"/>
  <c r="E29" i="16"/>
  <c r="E39" i="16"/>
  <c r="E40" i="16"/>
  <c r="E46" i="16"/>
  <c r="E48" i="16"/>
  <c r="E54" i="16"/>
  <c r="E55" i="16"/>
  <c r="E116" i="16"/>
  <c r="E58" i="16"/>
  <c r="E59" i="16"/>
  <c r="E61" i="16"/>
  <c r="E63" i="16"/>
  <c r="E117" i="16"/>
  <c r="E67" i="16"/>
  <c r="E69" i="16"/>
  <c r="E78" i="16"/>
  <c r="E79" i="16"/>
  <c r="E80" i="16"/>
  <c r="E81" i="16"/>
  <c r="E118" i="16"/>
  <c r="E84" i="16"/>
  <c r="E88" i="16"/>
  <c r="E89" i="16"/>
  <c r="E90" i="16"/>
  <c r="E91" i="16"/>
  <c r="E119" i="16"/>
  <c r="E94" i="16"/>
  <c r="E98" i="16"/>
  <c r="E99" i="16"/>
  <c r="E100" i="16"/>
  <c r="E101" i="16"/>
  <c r="E120" i="16"/>
  <c r="E123" i="16"/>
  <c r="I130" i="16"/>
  <c r="F27" i="16"/>
  <c r="F28" i="16"/>
  <c r="F15" i="16"/>
  <c r="F17" i="16"/>
  <c r="F14" i="16"/>
  <c r="F19" i="16"/>
  <c r="F29" i="16"/>
  <c r="F16" i="16"/>
  <c r="F20" i="16"/>
  <c r="E19" i="16"/>
  <c r="E20" i="16"/>
  <c r="E124" i="16"/>
  <c r="E125" i="16"/>
  <c r="E130" i="16"/>
  <c r="D24" i="16"/>
  <c r="D27" i="16"/>
  <c r="D28" i="16"/>
  <c r="D17" i="16"/>
  <c r="D14" i="16"/>
  <c r="D19" i="16"/>
  <c r="D29" i="16"/>
  <c r="D16" i="16"/>
  <c r="D20" i="16"/>
  <c r="I129" i="16"/>
  <c r="I128" i="16"/>
  <c r="E128" i="16"/>
  <c r="I127" i="16"/>
  <c r="I126" i="16"/>
  <c r="I125" i="16"/>
  <c r="F109" i="16"/>
  <c r="F106" i="16"/>
  <c r="F110" i="16"/>
  <c r="F111" i="16"/>
  <c r="F112" i="16"/>
  <c r="F121" i="16"/>
  <c r="D105" i="16"/>
  <c r="D109" i="16"/>
  <c r="D106" i="16"/>
  <c r="D110" i="16"/>
  <c r="D111" i="16"/>
  <c r="D112" i="16"/>
  <c r="D121" i="16"/>
  <c r="C121" i="16"/>
  <c r="F94" i="16"/>
  <c r="F67" i="16"/>
  <c r="F69" i="16"/>
  <c r="F98" i="16"/>
  <c r="F99" i="16"/>
  <c r="F100" i="16"/>
  <c r="F101" i="16"/>
  <c r="F120" i="16"/>
  <c r="D94" i="16"/>
  <c r="D67" i="16"/>
  <c r="D69" i="16"/>
  <c r="D98" i="16"/>
  <c r="D99" i="16"/>
  <c r="D100" i="16"/>
  <c r="D101" i="16"/>
  <c r="D120" i="16"/>
  <c r="C120" i="16"/>
  <c r="F84" i="16"/>
  <c r="F88" i="16"/>
  <c r="F89" i="16"/>
  <c r="F90" i="16"/>
  <c r="F91" i="16"/>
  <c r="F119" i="16"/>
  <c r="D84" i="16"/>
  <c r="D88" i="16"/>
  <c r="D89" i="16"/>
  <c r="D90" i="16"/>
  <c r="D91" i="16"/>
  <c r="D119" i="16"/>
  <c r="C119" i="16"/>
  <c r="F78" i="16"/>
  <c r="F79" i="16"/>
  <c r="F80" i="16"/>
  <c r="F81" i="16"/>
  <c r="F118" i="16"/>
  <c r="D78" i="16"/>
  <c r="D79" i="16"/>
  <c r="D80" i="16"/>
  <c r="D81" i="16"/>
  <c r="D118" i="16"/>
  <c r="C118" i="16"/>
  <c r="F43" i="16"/>
  <c r="F42" i="16"/>
  <c r="F44" i="16"/>
  <c r="F32" i="16"/>
  <c r="F35" i="16"/>
  <c r="F36" i="16"/>
  <c r="F38" i="16"/>
  <c r="F39" i="16"/>
  <c r="F40" i="16"/>
  <c r="F46" i="16"/>
  <c r="F48" i="16"/>
  <c r="F58" i="16"/>
  <c r="F59" i="16"/>
  <c r="F61" i="16"/>
  <c r="F63" i="16"/>
  <c r="F117" i="16"/>
  <c r="D43" i="16"/>
  <c r="D42" i="16"/>
  <c r="D44" i="16"/>
  <c r="D32" i="16"/>
  <c r="D35" i="16"/>
  <c r="D36" i="16"/>
  <c r="D38" i="16"/>
  <c r="D39" i="16"/>
  <c r="D40" i="16"/>
  <c r="D46" i="16"/>
  <c r="D48" i="16"/>
  <c r="D58" i="16"/>
  <c r="D59" i="16"/>
  <c r="D61" i="16"/>
  <c r="D63" i="16"/>
  <c r="D117" i="16"/>
  <c r="C117" i="16"/>
  <c r="F54" i="16"/>
  <c r="F55" i="16"/>
  <c r="F116" i="16"/>
  <c r="D54" i="16"/>
  <c r="D55" i="16"/>
  <c r="D116" i="16"/>
  <c r="C116" i="16"/>
  <c r="F113" i="16"/>
  <c r="E113" i="16"/>
  <c r="D113" i="16"/>
  <c r="F102" i="16"/>
  <c r="E102" i="16"/>
  <c r="D102" i="16"/>
  <c r="F92" i="16"/>
  <c r="E92" i="16"/>
  <c r="D92" i="16"/>
  <c r="F82" i="16"/>
  <c r="E82" i="16"/>
  <c r="D82" i="16"/>
  <c r="E72" i="16"/>
  <c r="H72" i="16"/>
  <c r="F72" i="16"/>
  <c r="D72" i="16"/>
  <c r="G67" i="16"/>
  <c r="C67" i="16"/>
  <c r="F50" i="16"/>
  <c r="F64" i="16"/>
  <c r="E50" i="16"/>
  <c r="E64" i="16"/>
  <c r="D50" i="16"/>
  <c r="D64" i="16"/>
  <c r="F56" i="16"/>
  <c r="E56" i="16"/>
  <c r="D56" i="16"/>
  <c r="H42" i="16"/>
  <c r="G42" i="16"/>
  <c r="F18" i="16"/>
  <c r="E18" i="16"/>
  <c r="D18" i="16"/>
  <c r="E4" i="16"/>
  <c r="E3" i="16"/>
  <c r="E2" i="16"/>
  <c r="E105" i="14"/>
  <c r="E15" i="14"/>
  <c r="E16" i="14"/>
  <c r="E109" i="14"/>
  <c r="E27" i="14"/>
  <c r="E17" i="14"/>
  <c r="E106" i="14"/>
  <c r="E110" i="14"/>
  <c r="E111" i="14"/>
  <c r="E112" i="14"/>
  <c r="E121" i="14"/>
  <c r="E43" i="14"/>
  <c r="E42" i="14"/>
  <c r="E44" i="14"/>
  <c r="E28" i="14"/>
  <c r="E32" i="14"/>
  <c r="E35" i="14"/>
  <c r="E36" i="14"/>
  <c r="E38" i="14"/>
  <c r="E29" i="14"/>
  <c r="E39" i="14"/>
  <c r="E40" i="14"/>
  <c r="E46" i="14"/>
  <c r="E48" i="14"/>
  <c r="E54" i="14"/>
  <c r="E55" i="14"/>
  <c r="E116" i="14"/>
  <c r="E58" i="14"/>
  <c r="E59" i="14"/>
  <c r="E61" i="14"/>
  <c r="E63" i="14"/>
  <c r="E117" i="14"/>
  <c r="E67" i="14"/>
  <c r="E69" i="14"/>
  <c r="E78" i="14"/>
  <c r="E79" i="14"/>
  <c r="E80" i="14"/>
  <c r="E81" i="14"/>
  <c r="E118" i="14"/>
  <c r="E84" i="14"/>
  <c r="E88" i="14"/>
  <c r="E89" i="14"/>
  <c r="E90" i="14"/>
  <c r="E91" i="14"/>
  <c r="E119" i="14"/>
  <c r="E94" i="14"/>
  <c r="E98" i="14"/>
  <c r="E99" i="14"/>
  <c r="E100" i="14"/>
  <c r="E101" i="14"/>
  <c r="E120" i="14"/>
  <c r="E123" i="14"/>
  <c r="I130" i="14"/>
  <c r="F27" i="14"/>
  <c r="F28" i="14"/>
  <c r="F15" i="14"/>
  <c r="F17" i="14"/>
  <c r="F14" i="14"/>
  <c r="F19" i="14"/>
  <c r="F29" i="14"/>
  <c r="F16" i="14"/>
  <c r="F20" i="14"/>
  <c r="E19" i="14"/>
  <c r="E20" i="14"/>
  <c r="E124" i="14"/>
  <c r="E125" i="14"/>
  <c r="E130" i="14"/>
  <c r="D24" i="14"/>
  <c r="D27" i="14"/>
  <c r="D28" i="14"/>
  <c r="D17" i="14"/>
  <c r="D14" i="14"/>
  <c r="D19" i="14"/>
  <c r="D29" i="14"/>
  <c r="D16" i="14"/>
  <c r="D20" i="14"/>
  <c r="I129" i="14"/>
  <c r="I128" i="14"/>
  <c r="E128" i="14"/>
  <c r="I127" i="14"/>
  <c r="I126" i="14"/>
  <c r="I125" i="14"/>
  <c r="F109" i="14"/>
  <c r="F106" i="14"/>
  <c r="F110" i="14"/>
  <c r="F111" i="14"/>
  <c r="F112" i="14"/>
  <c r="F121" i="14"/>
  <c r="D105" i="14"/>
  <c r="D109" i="14"/>
  <c r="D106" i="14"/>
  <c r="D110" i="14"/>
  <c r="D111" i="14"/>
  <c r="D112" i="14"/>
  <c r="D121" i="14"/>
  <c r="C121" i="14"/>
  <c r="F94" i="14"/>
  <c r="F67" i="14"/>
  <c r="F69" i="14"/>
  <c r="F98" i="14"/>
  <c r="F99" i="14"/>
  <c r="F100" i="14"/>
  <c r="F101" i="14"/>
  <c r="F120" i="14"/>
  <c r="D94" i="14"/>
  <c r="D67" i="14"/>
  <c r="D69" i="14"/>
  <c r="D98" i="14"/>
  <c r="D99" i="14"/>
  <c r="D100" i="14"/>
  <c r="D101" i="14"/>
  <c r="D120" i="14"/>
  <c r="C120" i="14"/>
  <c r="F84" i="14"/>
  <c r="F88" i="14"/>
  <c r="F89" i="14"/>
  <c r="F90" i="14"/>
  <c r="F91" i="14"/>
  <c r="F119" i="14"/>
  <c r="D84" i="14"/>
  <c r="D88" i="14"/>
  <c r="D89" i="14"/>
  <c r="D90" i="14"/>
  <c r="D91" i="14"/>
  <c r="D119" i="14"/>
  <c r="C119" i="14"/>
  <c r="F78" i="14"/>
  <c r="F79" i="14"/>
  <c r="F80" i="14"/>
  <c r="F81" i="14"/>
  <c r="F118" i="14"/>
  <c r="D78" i="14"/>
  <c r="D79" i="14"/>
  <c r="D80" i="14"/>
  <c r="D81" i="14"/>
  <c r="D118" i="14"/>
  <c r="C118" i="14"/>
  <c r="F43" i="14"/>
  <c r="F42" i="14"/>
  <c r="F44" i="14"/>
  <c r="F32" i="14"/>
  <c r="F35" i="14"/>
  <c r="F36" i="14"/>
  <c r="F38" i="14"/>
  <c r="F39" i="14"/>
  <c r="F40" i="14"/>
  <c r="F46" i="14"/>
  <c r="F48" i="14"/>
  <c r="F58" i="14"/>
  <c r="F59" i="14"/>
  <c r="F61" i="14"/>
  <c r="F63" i="14"/>
  <c r="F117" i="14"/>
  <c r="D43" i="14"/>
  <c r="D42" i="14"/>
  <c r="D44" i="14"/>
  <c r="D32" i="14"/>
  <c r="D35" i="14"/>
  <c r="D36" i="14"/>
  <c r="D38" i="14"/>
  <c r="D39" i="14"/>
  <c r="D40" i="14"/>
  <c r="D46" i="14"/>
  <c r="D48" i="14"/>
  <c r="D58" i="14"/>
  <c r="D59" i="14"/>
  <c r="D61" i="14"/>
  <c r="D63" i="14"/>
  <c r="D117" i="14"/>
  <c r="C117" i="14"/>
  <c r="F54" i="14"/>
  <c r="F55" i="14"/>
  <c r="F116" i="14"/>
  <c r="D54" i="14"/>
  <c r="D55" i="14"/>
  <c r="D116" i="14"/>
  <c r="C116" i="14"/>
  <c r="F113" i="14"/>
  <c r="E113" i="14"/>
  <c r="D113" i="14"/>
  <c r="F102" i="14"/>
  <c r="E102" i="14"/>
  <c r="D102" i="14"/>
  <c r="F92" i="14"/>
  <c r="E92" i="14"/>
  <c r="D92" i="14"/>
  <c r="F82" i="14"/>
  <c r="E82" i="14"/>
  <c r="D82" i="14"/>
  <c r="E72" i="14"/>
  <c r="H72" i="14"/>
  <c r="F72" i="14"/>
  <c r="D72" i="14"/>
  <c r="G67" i="14"/>
  <c r="C67" i="14"/>
  <c r="F50" i="14"/>
  <c r="F64" i="14"/>
  <c r="E50" i="14"/>
  <c r="E64" i="14"/>
  <c r="D50" i="14"/>
  <c r="D64" i="14"/>
  <c r="F56" i="14"/>
  <c r="E56" i="14"/>
  <c r="D56" i="14"/>
  <c r="H42" i="14"/>
  <c r="G42" i="14"/>
  <c r="F18" i="14"/>
  <c r="E18" i="14"/>
  <c r="D18" i="14"/>
  <c r="E4" i="14"/>
  <c r="E3" i="14"/>
  <c r="E2" i="14"/>
  <c r="G118" i="13"/>
  <c r="G120" i="13"/>
  <c r="G119" i="13"/>
  <c r="E105" i="13"/>
  <c r="E15" i="13"/>
  <c r="E16" i="13"/>
  <c r="E109" i="13"/>
  <c r="E27" i="13"/>
  <c r="E17" i="13"/>
  <c r="E106" i="13"/>
  <c r="E110" i="13"/>
  <c r="E111" i="13"/>
  <c r="E112" i="13"/>
  <c r="E121" i="13"/>
  <c r="G121" i="13"/>
  <c r="E43" i="13"/>
  <c r="E42" i="13"/>
  <c r="E44" i="13"/>
  <c r="E28" i="13"/>
  <c r="E32" i="13"/>
  <c r="E35" i="13"/>
  <c r="E36" i="13"/>
  <c r="E38" i="13"/>
  <c r="E29" i="13"/>
  <c r="E39" i="13"/>
  <c r="E40" i="13"/>
  <c r="E46" i="13"/>
  <c r="E48" i="13"/>
  <c r="E54" i="13"/>
  <c r="E55" i="13"/>
  <c r="E116" i="13"/>
  <c r="E58" i="13"/>
  <c r="E59" i="13"/>
  <c r="E61" i="13"/>
  <c r="E63" i="13"/>
  <c r="E117" i="13"/>
  <c r="E67" i="13"/>
  <c r="E69" i="13"/>
  <c r="E78" i="13"/>
  <c r="E79" i="13"/>
  <c r="E80" i="13"/>
  <c r="E81" i="13"/>
  <c r="E118" i="13"/>
  <c r="E84" i="13"/>
  <c r="E88" i="13"/>
  <c r="E89" i="13"/>
  <c r="E90" i="13"/>
  <c r="E91" i="13"/>
  <c r="E119" i="13"/>
  <c r="E94" i="13"/>
  <c r="E98" i="13"/>
  <c r="E99" i="13"/>
  <c r="E100" i="13"/>
  <c r="E101" i="13"/>
  <c r="E120" i="13"/>
  <c r="E123" i="13"/>
  <c r="I130" i="13"/>
  <c r="F27" i="13"/>
  <c r="F28" i="13"/>
  <c r="F15" i="13"/>
  <c r="F17" i="13"/>
  <c r="F14" i="13"/>
  <c r="F19" i="13"/>
  <c r="F29" i="13"/>
  <c r="F16" i="13"/>
  <c r="F20" i="13"/>
  <c r="E19" i="13"/>
  <c r="E20" i="13"/>
  <c r="E124" i="13"/>
  <c r="E125" i="13"/>
  <c r="E130" i="13"/>
  <c r="D24" i="13"/>
  <c r="D27" i="13"/>
  <c r="D28" i="13"/>
  <c r="D17" i="13"/>
  <c r="D14" i="13"/>
  <c r="D19" i="13"/>
  <c r="D29" i="13"/>
  <c r="D16" i="13"/>
  <c r="D20" i="13"/>
  <c r="I129" i="13"/>
  <c r="I128" i="13"/>
  <c r="E128" i="13"/>
  <c r="I127" i="13"/>
  <c r="I126" i="13"/>
  <c r="I125" i="13"/>
  <c r="F109" i="13"/>
  <c r="F106" i="13"/>
  <c r="F110" i="13"/>
  <c r="F111" i="13"/>
  <c r="F112" i="13"/>
  <c r="F121" i="13"/>
  <c r="D105" i="13"/>
  <c r="D109" i="13"/>
  <c r="D106" i="13"/>
  <c r="D110" i="13"/>
  <c r="D111" i="13"/>
  <c r="D112" i="13"/>
  <c r="D121" i="13"/>
  <c r="C121" i="13"/>
  <c r="F94" i="13"/>
  <c r="F67" i="13"/>
  <c r="F69" i="13"/>
  <c r="F98" i="13"/>
  <c r="F99" i="13"/>
  <c r="F100" i="13"/>
  <c r="F101" i="13"/>
  <c r="F120" i="13"/>
  <c r="D94" i="13"/>
  <c r="D67" i="13"/>
  <c r="D69" i="13"/>
  <c r="D98" i="13"/>
  <c r="D99" i="13"/>
  <c r="D100" i="13"/>
  <c r="D101" i="13"/>
  <c r="D120" i="13"/>
  <c r="C120" i="13"/>
  <c r="F84" i="13"/>
  <c r="F88" i="13"/>
  <c r="F89" i="13"/>
  <c r="F90" i="13"/>
  <c r="F91" i="13"/>
  <c r="F119" i="13"/>
  <c r="D84" i="13"/>
  <c r="D88" i="13"/>
  <c r="D89" i="13"/>
  <c r="D90" i="13"/>
  <c r="D91" i="13"/>
  <c r="D119" i="13"/>
  <c r="C119" i="13"/>
  <c r="F78" i="13"/>
  <c r="F79" i="13"/>
  <c r="F80" i="13"/>
  <c r="F81" i="13"/>
  <c r="F118" i="13"/>
  <c r="D78" i="13"/>
  <c r="D79" i="13"/>
  <c r="D80" i="13"/>
  <c r="D81" i="13"/>
  <c r="D118" i="13"/>
  <c r="C118" i="13"/>
  <c r="F43" i="13"/>
  <c r="F42" i="13"/>
  <c r="F44" i="13"/>
  <c r="F32" i="13"/>
  <c r="F35" i="13"/>
  <c r="F36" i="13"/>
  <c r="F38" i="13"/>
  <c r="F39" i="13"/>
  <c r="F40" i="13"/>
  <c r="F46" i="13"/>
  <c r="F48" i="13"/>
  <c r="F58" i="13"/>
  <c r="F59" i="13"/>
  <c r="F61" i="13"/>
  <c r="F63" i="13"/>
  <c r="F117" i="13"/>
  <c r="D43" i="13"/>
  <c r="D42" i="13"/>
  <c r="D44" i="13"/>
  <c r="D32" i="13"/>
  <c r="D35" i="13"/>
  <c r="D36" i="13"/>
  <c r="D38" i="13"/>
  <c r="D39" i="13"/>
  <c r="D40" i="13"/>
  <c r="D46" i="13"/>
  <c r="D48" i="13"/>
  <c r="D58" i="13"/>
  <c r="D59" i="13"/>
  <c r="D61" i="13"/>
  <c r="D63" i="13"/>
  <c r="D117" i="13"/>
  <c r="C117" i="13"/>
  <c r="F54" i="13"/>
  <c r="F55" i="13"/>
  <c r="F116" i="13"/>
  <c r="D54" i="13"/>
  <c r="D55" i="13"/>
  <c r="D116" i="13"/>
  <c r="C116" i="13"/>
  <c r="F113" i="13"/>
  <c r="E113" i="13"/>
  <c r="D113" i="13"/>
  <c r="F102" i="13"/>
  <c r="E102" i="13"/>
  <c r="D102" i="13"/>
  <c r="F92" i="13"/>
  <c r="E92" i="13"/>
  <c r="D92" i="13"/>
  <c r="F82" i="13"/>
  <c r="E82" i="13"/>
  <c r="D82" i="13"/>
  <c r="E72" i="13"/>
  <c r="H72" i="13"/>
  <c r="F72" i="13"/>
  <c r="D72" i="13"/>
  <c r="G67" i="13"/>
  <c r="C67" i="13"/>
  <c r="F50" i="13"/>
  <c r="F64" i="13"/>
  <c r="E50" i="13"/>
  <c r="E64" i="13"/>
  <c r="D50" i="13"/>
  <c r="D64" i="13"/>
  <c r="F56" i="13"/>
  <c r="E56" i="13"/>
  <c r="D56" i="13"/>
  <c r="H42" i="13"/>
  <c r="G42" i="13"/>
  <c r="F18" i="13"/>
  <c r="E18" i="13"/>
  <c r="D18" i="13"/>
  <c r="E4" i="13"/>
  <c r="E3" i="13"/>
  <c r="E2" i="13"/>
  <c r="G121" i="12"/>
  <c r="G120" i="12"/>
  <c r="G119" i="12"/>
  <c r="G118" i="12"/>
  <c r="E105" i="12"/>
  <c r="E15" i="12"/>
  <c r="E16" i="12"/>
  <c r="E109" i="12"/>
  <c r="E27" i="12"/>
  <c r="E17" i="12"/>
  <c r="E106" i="12"/>
  <c r="E110" i="12"/>
  <c r="E111" i="12"/>
  <c r="E112" i="12"/>
  <c r="E121" i="12"/>
  <c r="E43" i="12"/>
  <c r="E42" i="12"/>
  <c r="E44" i="12"/>
  <c r="E28" i="12"/>
  <c r="E32" i="12"/>
  <c r="E35" i="12"/>
  <c r="E36" i="12"/>
  <c r="E38" i="12"/>
  <c r="E29" i="12"/>
  <c r="E39" i="12"/>
  <c r="E40" i="12"/>
  <c r="E46" i="12"/>
  <c r="E48" i="12"/>
  <c r="E54" i="12"/>
  <c r="E55" i="12"/>
  <c r="E116" i="12"/>
  <c r="E58" i="12"/>
  <c r="E59" i="12"/>
  <c r="E61" i="12"/>
  <c r="E63" i="12"/>
  <c r="E117" i="12"/>
  <c r="E67" i="12"/>
  <c r="E69" i="12"/>
  <c r="E78" i="12"/>
  <c r="E79" i="12"/>
  <c r="E80" i="12"/>
  <c r="E81" i="12"/>
  <c r="E118" i="12"/>
  <c r="E84" i="12"/>
  <c r="E88" i="12"/>
  <c r="E89" i="12"/>
  <c r="E90" i="12"/>
  <c r="E91" i="12"/>
  <c r="E119" i="12"/>
  <c r="E94" i="12"/>
  <c r="E98" i="12"/>
  <c r="E99" i="12"/>
  <c r="E100" i="12"/>
  <c r="E101" i="12"/>
  <c r="E120" i="12"/>
  <c r="E123" i="12"/>
  <c r="I130" i="12"/>
  <c r="F27" i="12"/>
  <c r="F28" i="12"/>
  <c r="F15" i="12"/>
  <c r="F17" i="12"/>
  <c r="F14" i="12"/>
  <c r="F19" i="12"/>
  <c r="F29" i="12"/>
  <c r="F16" i="12"/>
  <c r="F20" i="12"/>
  <c r="E19" i="12"/>
  <c r="E20" i="12"/>
  <c r="E124" i="12"/>
  <c r="E125" i="12"/>
  <c r="E130" i="12"/>
  <c r="D24" i="12"/>
  <c r="D27" i="12"/>
  <c r="D28" i="12"/>
  <c r="D17" i="12"/>
  <c r="D14" i="12"/>
  <c r="D19" i="12"/>
  <c r="D29" i="12"/>
  <c r="D16" i="12"/>
  <c r="D20" i="12"/>
  <c r="I129" i="12"/>
  <c r="I128" i="12"/>
  <c r="E128" i="12"/>
  <c r="I127" i="12"/>
  <c r="I126" i="12"/>
  <c r="I125" i="12"/>
  <c r="F109" i="12"/>
  <c r="F106" i="12"/>
  <c r="F110" i="12"/>
  <c r="F111" i="12"/>
  <c r="F112" i="12"/>
  <c r="F121" i="12"/>
  <c r="D105" i="12"/>
  <c r="D109" i="12"/>
  <c r="D106" i="12"/>
  <c r="D110" i="12"/>
  <c r="D111" i="12"/>
  <c r="D112" i="12"/>
  <c r="D121" i="12"/>
  <c r="C121" i="12"/>
  <c r="F94" i="12"/>
  <c r="F67" i="12"/>
  <c r="F69" i="12"/>
  <c r="F98" i="12"/>
  <c r="F99" i="12"/>
  <c r="F100" i="12"/>
  <c r="F101" i="12"/>
  <c r="F120" i="12"/>
  <c r="D94" i="12"/>
  <c r="D67" i="12"/>
  <c r="D69" i="12"/>
  <c r="D98" i="12"/>
  <c r="D99" i="12"/>
  <c r="D100" i="12"/>
  <c r="D101" i="12"/>
  <c r="D120" i="12"/>
  <c r="C120" i="12"/>
  <c r="F84" i="12"/>
  <c r="F88" i="12"/>
  <c r="F89" i="12"/>
  <c r="F90" i="12"/>
  <c r="F91" i="12"/>
  <c r="F119" i="12"/>
  <c r="D84" i="12"/>
  <c r="D88" i="12"/>
  <c r="D89" i="12"/>
  <c r="D90" i="12"/>
  <c r="D91" i="12"/>
  <c r="D119" i="12"/>
  <c r="C119" i="12"/>
  <c r="F78" i="12"/>
  <c r="F79" i="12"/>
  <c r="F80" i="12"/>
  <c r="F81" i="12"/>
  <c r="F118" i="12"/>
  <c r="D78" i="12"/>
  <c r="D79" i="12"/>
  <c r="D80" i="12"/>
  <c r="D81" i="12"/>
  <c r="D118" i="12"/>
  <c r="C118" i="12"/>
  <c r="F43" i="12"/>
  <c r="F42" i="12"/>
  <c r="F44" i="12"/>
  <c r="F32" i="12"/>
  <c r="F35" i="12"/>
  <c r="F36" i="12"/>
  <c r="F38" i="12"/>
  <c r="F39" i="12"/>
  <c r="F40" i="12"/>
  <c r="F46" i="12"/>
  <c r="F48" i="12"/>
  <c r="F58" i="12"/>
  <c r="F59" i="12"/>
  <c r="F61" i="12"/>
  <c r="F63" i="12"/>
  <c r="F117" i="12"/>
  <c r="D43" i="12"/>
  <c r="D42" i="12"/>
  <c r="D44" i="12"/>
  <c r="D32" i="12"/>
  <c r="D35" i="12"/>
  <c r="D36" i="12"/>
  <c r="D38" i="12"/>
  <c r="D39" i="12"/>
  <c r="D40" i="12"/>
  <c r="D46" i="12"/>
  <c r="D48" i="12"/>
  <c r="D58" i="12"/>
  <c r="D59" i="12"/>
  <c r="D61" i="12"/>
  <c r="D63" i="12"/>
  <c r="D117" i="12"/>
  <c r="C117" i="12"/>
  <c r="F54" i="12"/>
  <c r="F55" i="12"/>
  <c r="F116" i="12"/>
  <c r="D54" i="12"/>
  <c r="D55" i="12"/>
  <c r="D116" i="12"/>
  <c r="C116" i="12"/>
  <c r="F113" i="12"/>
  <c r="E113" i="12"/>
  <c r="D113" i="12"/>
  <c r="F102" i="12"/>
  <c r="E102" i="12"/>
  <c r="D102" i="12"/>
  <c r="F92" i="12"/>
  <c r="E92" i="12"/>
  <c r="D92" i="12"/>
  <c r="F82" i="12"/>
  <c r="E82" i="12"/>
  <c r="D82" i="12"/>
  <c r="E72" i="12"/>
  <c r="H72" i="12"/>
  <c r="F72" i="12"/>
  <c r="D72" i="12"/>
  <c r="G67" i="12"/>
  <c r="C67" i="12"/>
  <c r="F50" i="12"/>
  <c r="F64" i="12"/>
  <c r="E50" i="12"/>
  <c r="E64" i="12"/>
  <c r="D50" i="12"/>
  <c r="D64" i="12"/>
  <c r="F56" i="12"/>
  <c r="E56" i="12"/>
  <c r="D56" i="12"/>
  <c r="H42" i="12"/>
  <c r="G42" i="12"/>
  <c r="F18" i="12"/>
  <c r="E18" i="12"/>
  <c r="D18" i="12"/>
  <c r="E4" i="12"/>
  <c r="E3" i="12"/>
  <c r="E2" i="12"/>
  <c r="G121" i="11"/>
  <c r="G120" i="11"/>
  <c r="G119" i="11"/>
  <c r="E105" i="11"/>
  <c r="E15" i="11"/>
  <c r="E16" i="11"/>
  <c r="E109" i="11"/>
  <c r="E27" i="11"/>
  <c r="E17" i="11"/>
  <c r="E106" i="11"/>
  <c r="E110" i="11"/>
  <c r="E111" i="11"/>
  <c r="E112" i="11"/>
  <c r="E121" i="11"/>
  <c r="E43" i="11"/>
  <c r="E42" i="11"/>
  <c r="E44" i="11"/>
  <c r="E28" i="11"/>
  <c r="E32" i="11"/>
  <c r="E35" i="11"/>
  <c r="E36" i="11"/>
  <c r="E38" i="11"/>
  <c r="E29" i="11"/>
  <c r="E39" i="11"/>
  <c r="E40" i="11"/>
  <c r="E46" i="11"/>
  <c r="E48" i="11"/>
  <c r="E54" i="11"/>
  <c r="E55" i="11"/>
  <c r="E116" i="11"/>
  <c r="E58" i="11"/>
  <c r="E59" i="11"/>
  <c r="E61" i="11"/>
  <c r="E63" i="11"/>
  <c r="E117" i="11"/>
  <c r="E67" i="11"/>
  <c r="E69" i="11"/>
  <c r="E78" i="11"/>
  <c r="E79" i="11"/>
  <c r="E80" i="11"/>
  <c r="E81" i="11"/>
  <c r="E118" i="11"/>
  <c r="E84" i="11"/>
  <c r="E88" i="11"/>
  <c r="E89" i="11"/>
  <c r="E90" i="11"/>
  <c r="E91" i="11"/>
  <c r="E119" i="11"/>
  <c r="E94" i="11"/>
  <c r="E98" i="11"/>
  <c r="E99" i="11"/>
  <c r="E100" i="11"/>
  <c r="E101" i="11"/>
  <c r="E120" i="11"/>
  <c r="E123" i="11"/>
  <c r="I130" i="11"/>
  <c r="F27" i="11"/>
  <c r="F28" i="11"/>
  <c r="F15" i="11"/>
  <c r="F17" i="11"/>
  <c r="F14" i="11"/>
  <c r="F19" i="11"/>
  <c r="F29" i="11"/>
  <c r="F16" i="11"/>
  <c r="F20" i="11"/>
  <c r="E19" i="11"/>
  <c r="E20" i="11"/>
  <c r="E124" i="11"/>
  <c r="E125" i="11"/>
  <c r="E130" i="11"/>
  <c r="D24" i="11"/>
  <c r="D27" i="11"/>
  <c r="D28" i="11"/>
  <c r="D17" i="11"/>
  <c r="D14" i="11"/>
  <c r="D19" i="11"/>
  <c r="D29" i="11"/>
  <c r="D16" i="11"/>
  <c r="D20" i="11"/>
  <c r="I129" i="11"/>
  <c r="I128" i="11"/>
  <c r="E128" i="11"/>
  <c r="I127" i="11"/>
  <c r="I126" i="11"/>
  <c r="I125" i="11"/>
  <c r="F109" i="11"/>
  <c r="F106" i="11"/>
  <c r="F110" i="11"/>
  <c r="F111" i="11"/>
  <c r="F112" i="11"/>
  <c r="F121" i="11"/>
  <c r="D105" i="11"/>
  <c r="D109" i="11"/>
  <c r="D106" i="11"/>
  <c r="D110" i="11"/>
  <c r="D111" i="11"/>
  <c r="D112" i="11"/>
  <c r="D121" i="11"/>
  <c r="C121" i="11"/>
  <c r="F94" i="11"/>
  <c r="F67" i="11"/>
  <c r="F69" i="11"/>
  <c r="F98" i="11"/>
  <c r="F99" i="11"/>
  <c r="F100" i="11"/>
  <c r="F101" i="11"/>
  <c r="F120" i="11"/>
  <c r="D94" i="11"/>
  <c r="D67" i="11"/>
  <c r="D69" i="11"/>
  <c r="D98" i="11"/>
  <c r="D99" i="11"/>
  <c r="D100" i="11"/>
  <c r="D101" i="11"/>
  <c r="D120" i="11"/>
  <c r="C120" i="11"/>
  <c r="F84" i="11"/>
  <c r="F88" i="11"/>
  <c r="F89" i="11"/>
  <c r="F90" i="11"/>
  <c r="F91" i="11"/>
  <c r="F119" i="11"/>
  <c r="D84" i="11"/>
  <c r="D88" i="11"/>
  <c r="D89" i="11"/>
  <c r="D90" i="11"/>
  <c r="D91" i="11"/>
  <c r="D119" i="11"/>
  <c r="C119" i="11"/>
  <c r="F78" i="11"/>
  <c r="F79" i="11"/>
  <c r="F80" i="11"/>
  <c r="F81" i="11"/>
  <c r="F118" i="11"/>
  <c r="D78" i="11"/>
  <c r="D79" i="11"/>
  <c r="D80" i="11"/>
  <c r="D81" i="11"/>
  <c r="D118" i="11"/>
  <c r="C118" i="11"/>
  <c r="F43" i="11"/>
  <c r="F42" i="11"/>
  <c r="F44" i="11"/>
  <c r="F32" i="11"/>
  <c r="F35" i="11"/>
  <c r="F36" i="11"/>
  <c r="F38" i="11"/>
  <c r="F39" i="11"/>
  <c r="F40" i="11"/>
  <c r="F46" i="11"/>
  <c r="F48" i="11"/>
  <c r="F58" i="11"/>
  <c r="F59" i="11"/>
  <c r="F61" i="11"/>
  <c r="F63" i="11"/>
  <c r="F117" i="11"/>
  <c r="D43" i="11"/>
  <c r="D42" i="11"/>
  <c r="D44" i="11"/>
  <c r="D32" i="11"/>
  <c r="D35" i="11"/>
  <c r="D36" i="11"/>
  <c r="D38" i="11"/>
  <c r="D39" i="11"/>
  <c r="D40" i="11"/>
  <c r="D46" i="11"/>
  <c r="D48" i="11"/>
  <c r="D58" i="11"/>
  <c r="D59" i="11"/>
  <c r="D61" i="11"/>
  <c r="D63" i="11"/>
  <c r="D117" i="11"/>
  <c r="C117" i="11"/>
  <c r="F54" i="11"/>
  <c r="F55" i="11"/>
  <c r="F116" i="11"/>
  <c r="D54" i="11"/>
  <c r="D55" i="11"/>
  <c r="D116" i="11"/>
  <c r="C116" i="11"/>
  <c r="F113" i="11"/>
  <c r="E113" i="11"/>
  <c r="D113" i="11"/>
  <c r="F102" i="11"/>
  <c r="E102" i="11"/>
  <c r="D102" i="11"/>
  <c r="F92" i="11"/>
  <c r="E92" i="11"/>
  <c r="D92" i="11"/>
  <c r="F82" i="11"/>
  <c r="E82" i="11"/>
  <c r="D82" i="11"/>
  <c r="E72" i="11"/>
  <c r="H72" i="11"/>
  <c r="F72" i="11"/>
  <c r="D72" i="11"/>
  <c r="G67" i="11"/>
  <c r="C67" i="11"/>
  <c r="F50" i="11"/>
  <c r="F64" i="11"/>
  <c r="E50" i="11"/>
  <c r="E64" i="11"/>
  <c r="D50" i="11"/>
  <c r="D64" i="11"/>
  <c r="F56" i="11"/>
  <c r="E56" i="11"/>
  <c r="D56" i="11"/>
  <c r="H42" i="11"/>
  <c r="G42" i="11"/>
  <c r="F18" i="11"/>
  <c r="E18" i="11"/>
  <c r="D18" i="11"/>
  <c r="E4" i="11"/>
  <c r="E3" i="11"/>
  <c r="E2" i="11"/>
  <c r="F27" i="7"/>
  <c r="E27" i="7"/>
  <c r="D24" i="7"/>
  <c r="D27" i="7"/>
  <c r="G118" i="7"/>
  <c r="G119" i="7"/>
  <c r="E15" i="7"/>
  <c r="E16" i="7"/>
  <c r="E28" i="7"/>
  <c r="E17" i="7"/>
  <c r="E19" i="7"/>
  <c r="E29" i="7"/>
  <c r="E20" i="7"/>
  <c r="E105" i="7"/>
  <c r="E109" i="7"/>
  <c r="E106" i="7"/>
  <c r="E110" i="7"/>
  <c r="E111" i="7"/>
  <c r="E112" i="7"/>
  <c r="E113" i="7"/>
  <c r="F15" i="7"/>
  <c r="F16" i="7"/>
  <c r="F109" i="7"/>
  <c r="F17" i="7"/>
  <c r="F106" i="7"/>
  <c r="F110" i="7"/>
  <c r="F111" i="7"/>
  <c r="F112" i="7"/>
  <c r="D105" i="7"/>
  <c r="D16" i="7"/>
  <c r="D109" i="7"/>
  <c r="D17" i="7"/>
  <c r="D106" i="7"/>
  <c r="D110" i="7"/>
  <c r="D111" i="7"/>
  <c r="D112" i="7"/>
  <c r="D28" i="7"/>
  <c r="D14" i="7"/>
  <c r="D19" i="7"/>
  <c r="D29" i="7"/>
  <c r="D20" i="7"/>
  <c r="D113" i="7"/>
  <c r="F28" i="7"/>
  <c r="F14" i="7"/>
  <c r="F19" i="7"/>
  <c r="F29" i="7"/>
  <c r="F20" i="7"/>
  <c r="F113" i="7"/>
  <c r="E18" i="7"/>
  <c r="F18" i="7"/>
  <c r="D18" i="7"/>
  <c r="D84" i="7"/>
  <c r="E84" i="7"/>
  <c r="F84" i="7"/>
  <c r="E59" i="7"/>
  <c r="F59" i="7"/>
  <c r="D59" i="7"/>
  <c r="G121" i="7"/>
  <c r="E121" i="7"/>
  <c r="E32" i="7"/>
  <c r="E35" i="7"/>
  <c r="E36" i="7"/>
  <c r="E38" i="7"/>
  <c r="E39" i="7"/>
  <c r="E40" i="7"/>
  <c r="E43" i="7"/>
  <c r="E42" i="7"/>
  <c r="E44" i="7"/>
  <c r="E46" i="7"/>
  <c r="E48" i="7"/>
  <c r="E54" i="7"/>
  <c r="E55" i="7"/>
  <c r="E116" i="7"/>
  <c r="E58" i="7"/>
  <c r="E61" i="7"/>
  <c r="E63" i="7"/>
  <c r="E117" i="7"/>
  <c r="E78" i="7"/>
  <c r="E79" i="7"/>
  <c r="E67" i="7"/>
  <c r="E69" i="7"/>
  <c r="E80" i="7"/>
  <c r="E81" i="7"/>
  <c r="E118" i="7"/>
  <c r="E72" i="7"/>
  <c r="H72" i="7"/>
  <c r="C116" i="7"/>
  <c r="D67" i="7"/>
  <c r="D69" i="7"/>
  <c r="D94" i="7"/>
  <c r="D98" i="7"/>
  <c r="D99" i="7"/>
  <c r="D100" i="7"/>
  <c r="F67" i="7"/>
  <c r="F69" i="7"/>
  <c r="F94" i="7"/>
  <c r="F98" i="7"/>
  <c r="F99" i="7"/>
  <c r="F100" i="7"/>
  <c r="E94" i="7"/>
  <c r="E98" i="7"/>
  <c r="E99" i="7"/>
  <c r="E100" i="7"/>
  <c r="E101" i="7"/>
  <c r="D88" i="7"/>
  <c r="D89" i="7"/>
  <c r="D90" i="7"/>
  <c r="F88" i="7"/>
  <c r="F89" i="7"/>
  <c r="F90" i="7"/>
  <c r="D78" i="7"/>
  <c r="D79" i="7"/>
  <c r="D80" i="7"/>
  <c r="F78" i="7"/>
  <c r="F79" i="7"/>
  <c r="F80" i="7"/>
  <c r="E88" i="7"/>
  <c r="E89" i="7"/>
  <c r="E90" i="7"/>
  <c r="D81" i="7"/>
  <c r="F81" i="7"/>
  <c r="C67" i="7"/>
  <c r="D43" i="7"/>
  <c r="D42" i="7"/>
  <c r="D44" i="7"/>
  <c r="D32" i="7"/>
  <c r="D35" i="7"/>
  <c r="D36" i="7"/>
  <c r="D38" i="7"/>
  <c r="D39" i="7"/>
  <c r="D40" i="7"/>
  <c r="D46" i="7"/>
  <c r="D48" i="7"/>
  <c r="D54" i="7"/>
  <c r="D55" i="7"/>
  <c r="D56" i="7"/>
  <c r="F43" i="7"/>
  <c r="F42" i="7"/>
  <c r="F44" i="7"/>
  <c r="F32" i="7"/>
  <c r="F35" i="7"/>
  <c r="F36" i="7"/>
  <c r="F38" i="7"/>
  <c r="F39" i="7"/>
  <c r="F40" i="7"/>
  <c r="F46" i="7"/>
  <c r="F48" i="7"/>
  <c r="F54" i="7"/>
  <c r="F55" i="7"/>
  <c r="F56" i="7"/>
  <c r="E56" i="7"/>
  <c r="D58" i="7"/>
  <c r="D61" i="7"/>
  <c r="D63" i="7"/>
  <c r="F58" i="7"/>
  <c r="F61" i="7"/>
  <c r="F63" i="7"/>
  <c r="D91" i="7"/>
  <c r="F91" i="7"/>
  <c r="D92" i="7"/>
  <c r="F92" i="7"/>
  <c r="E91" i="7"/>
  <c r="E119" i="7"/>
  <c r="E120" i="7"/>
  <c r="F118" i="7"/>
  <c r="F116" i="7"/>
  <c r="F117" i="7"/>
  <c r="F119" i="7"/>
  <c r="F101" i="7"/>
  <c r="F120" i="7"/>
  <c r="F121" i="7"/>
  <c r="F123" i="7"/>
  <c r="F124" i="7"/>
  <c r="F125" i="7"/>
  <c r="F128" i="7"/>
  <c r="F4" i="7"/>
  <c r="D118" i="7"/>
  <c r="D101" i="7"/>
  <c r="D120" i="7"/>
  <c r="D119" i="7"/>
  <c r="D116" i="7"/>
  <c r="D117" i="7"/>
  <c r="D121" i="7"/>
  <c r="C121" i="7"/>
  <c r="C120" i="7"/>
  <c r="C119" i="7"/>
  <c r="C118" i="7"/>
  <c r="C117" i="7"/>
  <c r="E92" i="7"/>
  <c r="D102" i="7"/>
  <c r="F102" i="7"/>
  <c r="E102" i="7"/>
  <c r="D82" i="7"/>
  <c r="F82" i="7"/>
  <c r="E82" i="7"/>
  <c r="D50" i="7"/>
  <c r="D64" i="7"/>
  <c r="F50" i="7"/>
  <c r="F64" i="7"/>
  <c r="E50" i="7"/>
  <c r="E64" i="7"/>
  <c r="H42" i="7"/>
  <c r="G42" i="7"/>
  <c r="F72" i="7"/>
  <c r="D72" i="7"/>
  <c r="G67" i="7"/>
  <c r="F2" i="7"/>
  <c r="F130" i="7"/>
  <c r="F3" i="7"/>
  <c r="E123" i="7"/>
  <c r="E124" i="7"/>
  <c r="E125" i="7"/>
  <c r="E130" i="7"/>
  <c r="E3" i="7"/>
  <c r="D123" i="7"/>
  <c r="D124" i="7"/>
  <c r="D125" i="7"/>
  <c r="D130" i="7"/>
  <c r="D3" i="7"/>
  <c r="E2" i="7"/>
  <c r="D2" i="7"/>
  <c r="D128" i="7"/>
  <c r="D4" i="7"/>
  <c r="E128" i="7"/>
  <c r="E4" i="7"/>
  <c r="I125" i="7"/>
  <c r="I129" i="7"/>
  <c r="I128" i="7"/>
  <c r="I127" i="7"/>
  <c r="I130" i="7"/>
  <c r="I126" i="7"/>
  <c r="D123" i="11"/>
  <c r="D124" i="11"/>
  <c r="D125" i="11"/>
  <c r="D2" i="11"/>
  <c r="F123" i="11"/>
  <c r="F124" i="11"/>
  <c r="F125" i="11"/>
  <c r="F2" i="11"/>
  <c r="D130" i="11"/>
  <c r="D3" i="11"/>
  <c r="F130" i="11"/>
  <c r="F3" i="11"/>
  <c r="D128" i="11"/>
  <c r="D4" i="11"/>
  <c r="F128" i="11"/>
  <c r="F4" i="11"/>
  <c r="D123" i="12"/>
  <c r="D124" i="12"/>
  <c r="D125" i="12"/>
  <c r="D2" i="12"/>
  <c r="F123" i="12"/>
  <c r="F124" i="12"/>
  <c r="F125" i="12"/>
  <c r="F2" i="12"/>
  <c r="D130" i="12"/>
  <c r="D3" i="12"/>
  <c r="F130" i="12"/>
  <c r="F3" i="12"/>
  <c r="D128" i="12"/>
  <c r="D4" i="12"/>
  <c r="F128" i="12"/>
  <c r="F4" i="12"/>
  <c r="D123" i="13"/>
  <c r="D124" i="13"/>
  <c r="D125" i="13"/>
  <c r="D2" i="13"/>
  <c r="F123" i="13"/>
  <c r="F124" i="13"/>
  <c r="F125" i="13"/>
  <c r="F2" i="13"/>
  <c r="D130" i="13"/>
  <c r="D3" i="13"/>
  <c r="F130" i="13"/>
  <c r="F3" i="13"/>
  <c r="D128" i="13"/>
  <c r="D4" i="13"/>
  <c r="F128" i="13"/>
  <c r="F4" i="13"/>
  <c r="D123" i="14"/>
  <c r="D124" i="14"/>
  <c r="D125" i="14"/>
  <c r="D2" i="14"/>
  <c r="F123" i="14"/>
  <c r="F124" i="14"/>
  <c r="F125" i="14"/>
  <c r="F2" i="14"/>
  <c r="D130" i="14"/>
  <c r="D3" i="14"/>
  <c r="F130" i="14"/>
  <c r="F3" i="14"/>
  <c r="D128" i="14"/>
  <c r="D4" i="14"/>
  <c r="F128" i="14"/>
  <c r="F4" i="14"/>
  <c r="D123" i="16"/>
  <c r="D124" i="16"/>
  <c r="D125" i="16"/>
  <c r="D2" i="16"/>
  <c r="F123" i="16"/>
  <c r="F124" i="16"/>
  <c r="F125" i="16"/>
  <c r="F2" i="16"/>
  <c r="D130" i="16"/>
  <c r="D3" i="16"/>
  <c r="F130" i="16"/>
  <c r="F3" i="16"/>
  <c r="D128" i="16"/>
  <c r="D4" i="16"/>
  <c r="F128" i="16"/>
  <c r="F4" i="16"/>
  <c r="D123" i="17"/>
  <c r="D124" i="17"/>
  <c r="D125" i="17"/>
  <c r="D2" i="17"/>
  <c r="F123" i="17"/>
  <c r="F124" i="17"/>
  <c r="F125" i="17"/>
  <c r="F2" i="17"/>
  <c r="D130" i="17"/>
  <c r="D3" i="17"/>
  <c r="F130" i="17"/>
  <c r="F3" i="17"/>
  <c r="D128" i="17"/>
  <c r="D4" i="17"/>
  <c r="F128" i="17"/>
  <c r="F4" i="17"/>
  <c r="D123" i="18"/>
  <c r="D124" i="18"/>
  <c r="D125" i="18"/>
  <c r="D2" i="18"/>
  <c r="F123" i="18"/>
  <c r="F124" i="18"/>
  <c r="F125" i="18"/>
  <c r="F2" i="18"/>
  <c r="D130" i="18"/>
  <c r="D3" i="18"/>
  <c r="F130" i="18"/>
  <c r="F3" i="18"/>
  <c r="D128" i="18"/>
  <c r="D4" i="18"/>
  <c r="F128" i="18"/>
  <c r="F4" i="18"/>
</calcChain>
</file>

<file path=xl/sharedStrings.xml><?xml version="1.0" encoding="utf-8"?>
<sst xmlns="http://schemas.openxmlformats.org/spreadsheetml/2006/main" count="2330" uniqueCount="304">
  <si>
    <t>Notes</t>
  </si>
  <si>
    <t>Source</t>
  </si>
  <si>
    <t>Women retained by program</t>
  </si>
  <si>
    <t>Women dropped out of program</t>
  </si>
  <si>
    <t>Baseline MTCT rate</t>
  </si>
  <si>
    <t>Population enrolled in New Incentives</t>
  </si>
  <si>
    <t>Baseline annual consumption per capita</t>
  </si>
  <si>
    <t>Description</t>
  </si>
  <si>
    <t>Control population</t>
  </si>
  <si>
    <t>Inputs and calculations</t>
  </si>
  <si>
    <t>Population of HIV+ pregnant women</t>
  </si>
  <si>
    <t>-</t>
  </si>
  <si>
    <t>Calculation</t>
  </si>
  <si>
    <t>Program's HIV+ transmission reduction effect</t>
  </si>
  <si>
    <t>Consumption benefit</t>
  </si>
  <si>
    <t>Adjusted efficacy</t>
  </si>
  <si>
    <t>Proportion of NI beneficiaries that are HIV+</t>
  </si>
  <si>
    <t>Cost per equivalent life saved</t>
  </si>
  <si>
    <t>Expense ratio</t>
  </si>
  <si>
    <t>External validity adjustment</t>
  </si>
  <si>
    <t>Replicability adjustment</t>
  </si>
  <si>
    <t>See row 13</t>
  </si>
  <si>
    <t>http://www.ncbi.nlm.nih.gov/pubmed/15247338</t>
  </si>
  <si>
    <t>PHPT-2 trial</t>
  </si>
  <si>
    <t>Private source</t>
  </si>
  <si>
    <t>Alternate Title</t>
  </si>
  <si>
    <t>Reference Title</t>
  </si>
  <si>
    <t>Cochrane PMTCT review</t>
  </si>
  <si>
    <t>http://www.ncbi.nlm.nih.gov/pubmed/21735394</t>
  </si>
  <si>
    <t>http://www.givewell.org/international/technical/criteria/cost-effectiveness/cost-effectiveness-models</t>
  </si>
  <si>
    <t>Lallemant et al. 2004</t>
  </si>
  <si>
    <t>Siegfried et al. 2011</t>
  </si>
  <si>
    <t>Lopez et al. 2006</t>
  </si>
  <si>
    <t>http://files.givewell.org/files/DWDA%202009/Interventions/Global%20Burden%20of%20Disease%20and%20Risk%20Factors.pdf</t>
  </si>
  <si>
    <t>Global Burden of Disease and Risk Factors</t>
  </si>
  <si>
    <t>https://docs.google.com/spreadsheets/u/1/d/1PybxH399kK6OjJI4T2M33UsLqgutwj3SuYbk7Yt6sxE/pub?gid=0</t>
  </si>
  <si>
    <t>Gapminder GDP per capita</t>
  </si>
  <si>
    <t>World Bank household consumption data</t>
  </si>
  <si>
    <t>http://data.worldbank.org/indicator/NE.CON.PETC.ZS</t>
  </si>
  <si>
    <t>Program's neonatal mortality reduction effect</t>
  </si>
  <si>
    <t>Program's maternal mortality reduction effect</t>
  </si>
  <si>
    <t>https://dhsprogram.com/pubs/pdf/FR293/FR293.pdf</t>
  </si>
  <si>
    <t>Nigeria DHS 2013</t>
  </si>
  <si>
    <t>"NI Cost Effectiveness LiST Calculations_September 2015"</t>
  </si>
  <si>
    <t>https://givewell.box.com/s/q5ouox1ujsarxopudphnz5yuyg4c959z</t>
  </si>
  <si>
    <t>Nigeria DHS 2013, p. 120</t>
  </si>
  <si>
    <t>Percent lower chance of maternal mortality given facility delivery</t>
  </si>
  <si>
    <t>Fink et al. 2015</t>
  </si>
  <si>
    <t>Etuk et al. 1999</t>
  </si>
  <si>
    <t>Tura et al. 2013</t>
  </si>
  <si>
    <t>meta-analysis of DHS data, including Nigeria</t>
  </si>
  <si>
    <t>meta-analysis</t>
  </si>
  <si>
    <t>single experimental case-controlled study</t>
  </si>
  <si>
    <t>Oti and Odimegwu 2011</t>
  </si>
  <si>
    <t>review of 2003 DHS data in Nigeria</t>
  </si>
  <si>
    <t>Chinkhumba et al. 2014</t>
  </si>
  <si>
    <t>meta-analysis in SSA</t>
  </si>
  <si>
    <t>http://ije.oxfordjournals.org/content/44/6/1879.abstract</t>
  </si>
  <si>
    <t>http://bmcpublichealth.biomedcentral.com/articles/10.1186/1471-2458-14-1014</t>
  </si>
  <si>
    <t>http://www.sciencedirect.com/science/article/pii/S0001706X99000881</t>
  </si>
  <si>
    <t>http://bmcpregnancychildbirth.biomedcentral.com/articles/10.1186/1471-2393-13-18</t>
  </si>
  <si>
    <t>https://www.researchgate.net/profile/Samuel_Oti/publication/234126926_Perinatal_Mortality_in_Nigeria_Do_Place_of_Delivery_and_DeliveryAssistants_Matter/links/0c960526aa3534ec1c000000.pdf</t>
  </si>
  <si>
    <t>Rate of neonatal mortality with program</t>
  </si>
  <si>
    <t>Guess; we have restricted ourselves to considering evidence from Sub-Saharan Africa. A small number of studies were in Nigeria, with mixed results.</t>
  </si>
  <si>
    <t>New Incentives baseline delivery rates at clinic (ARP sites)</t>
  </si>
  <si>
    <t>New Incentives baseline delivery rates at clinic (PMTCT sites)</t>
  </si>
  <si>
    <t>https://givewell.box.com/s/zasgfwl5bleddishiptkm60hdojxdx7v</t>
  </si>
  <si>
    <t>https://givewell.box.com/s/62jnt61fcu5071ad41r5gk2husjh2j3o</t>
  </si>
  <si>
    <t>Guess.</t>
  </si>
  <si>
    <t>Guess; we've seen very little data.</t>
  </si>
  <si>
    <t>Rate of maternal mortality with program</t>
  </si>
  <si>
    <t>Rate of maternal mortality without program</t>
  </si>
  <si>
    <t>Rate of facility delivery (without program)</t>
  </si>
  <si>
    <t>Rate of facility delivery (with program)</t>
  </si>
  <si>
    <t>FYI only, not used in calculations. Explanation: Women who are retained until facility delivery may already have been more likely than average to deliver in facility. This line uses the overal control rate of facility delivery and the estimated rate of facility delivery for women who drop out of the program to calculate the counterfactual rate of facility delivery for women retained in the program. In other words, we assume that the program does not induce women who drop out to have lower rates of facility delivery, but rather that women who drop out were less likely to deliver in facility even in absence of the program. Hence, to achieve observed control rates of facility delivery in the counterfactual case (without the program), women who were retained by the program must be more likely than average to deliver in facility.</t>
  </si>
  <si>
    <t>Ngoma et al. 2015</t>
  </si>
  <si>
    <t>Dabis et al. 1999</t>
  </si>
  <si>
    <t>http://www.thelancet.com/journals/lancet/article/PIIS0140-6736(98)11046-2/abstract</t>
  </si>
  <si>
    <t>http://www.ncbi.nlm.nih.gov/pmc/articles/PMC4490793/</t>
  </si>
  <si>
    <t>New Incentives Midline Report June 2016 Draft</t>
  </si>
  <si>
    <t>Pessimistic</t>
  </si>
  <si>
    <t>Sources about baseline MTCT</t>
  </si>
  <si>
    <t>Ekama et al. 2011</t>
  </si>
  <si>
    <t>Sources about ARV adherence in pregnant women in Nigeria</t>
  </si>
  <si>
    <t>Igwegbe et al. 2010</t>
  </si>
  <si>
    <t>http://www.hindawi.com/journals/jp/2012/851810/</t>
  </si>
  <si>
    <t>http://www.academicjournals.org/article/article1379179173_Igwegbe%20et%20al.pdf</t>
  </si>
  <si>
    <t>Probabilty that the trial would find the same result if it were run again.</t>
  </si>
  <si>
    <t>PHPT-2: Efficacy of NVP-NVP compared to placebo-placebo; calculated from the overall transmission rates given in PHPT-2, Table 2.</t>
  </si>
  <si>
    <t>GiveWell judgement</t>
  </si>
  <si>
    <t>Probability that the trial result would generalize to the areas NI operates in. Considerations: Study applies NVP to mothers and infants, NI program applies NVP only to infants; PHPT-2 took place in a non-breastfeeding population, NI is a breastfeeding population; PHPT-2 population was on zidovudine ARV rather than triple ARV; New Incentives program provides additional ARV intervention beyond NVP at delivery (provides 2 months maternal ARV and 6 weeks infant nevirapine but does not further incentivize or monitor compliance); there may be increased drug resistance to nevirapine since the 2001-2003 study; we are uncertain about adherence to sdNVP in the NI porgram (we lack valiadation that all neonates born to HIV+ women in facility receive sdNVP); there may be drug quality issues in a non-RCT setting (poor storage, expiration, mistakes in administration of drug).</t>
  </si>
  <si>
    <t>Efficacy of PMTCT intervention</t>
  </si>
  <si>
    <t xml:space="preserve"> </t>
  </si>
  <si>
    <t>Clinic delivery MTCT rate</t>
  </si>
  <si>
    <t>Following Siegfried et al. 2011, p. 15, we calculate drug efficacy above as the "preventative fraction in the [treatment] exposed group compared to the reference group, which is the relative reduction in the proportion infected: 1-(Re/Rf)" or, equivalently, (Rf-Re)/Rf. In this case: 1-(4/318)/(20/310). Here, we apply the reverse to the estimated baseline MTCT rate in order to estimate MTCT rate with the intervention (i.e. with clinic delivery).
For comparison, note that WHO suggests that with intervention, MTCT of HIV "can be reduced to below 5% with effective interventions during the periods of pregnancy, labour, delivery and breastfeeding." (http://www.who.int/hiv/topics/mtct/about/en/) We expect, but have not seen verification that women enrolled in New Incentives generally continue to take ARV in the breastfeeding period, although New Incentives does not target ARV usage beyond improving access to drugs for the first two months.</t>
  </si>
  <si>
    <t>In-clinic HIV+ infants</t>
  </si>
  <si>
    <t>Drop-out HIV+ infants</t>
  </si>
  <si>
    <t>Total HIV+ infants</t>
  </si>
  <si>
    <t>Best guess</t>
  </si>
  <si>
    <t>Optimistic</t>
  </si>
  <si>
    <t>Denote inputs (but not calculated values) that differ between scenarios.</t>
  </si>
  <si>
    <t>CONCLUSIONS</t>
  </si>
  <si>
    <t>KEY</t>
  </si>
  <si>
    <t>NI cost per case averted, for all enrollees</t>
  </si>
  <si>
    <t>[Lengthy note.] We are highly uncertain about this parameter.
Under our current model, this parameter represents an estimate of the overall reduction in HIV transmission due to the New Incentives program. Our understanding is that in the New Incentives program, infants receive sdNVP within 48 hours of delivery. Mothers do not receive sdNVP at delivery. Mothers receive take-home ARV drugs lasting 2 months, and NVP for the infant lasting 6 weeks. Hence, with this parameter we estimate both the effect of neonatal sdNVP and the effect of improved access to postpartum ARV for mother and infant. We have not seen monitoring validating how often women/neonates in clinic receive the intervention described above.
We have not identified any studies comparing infant sdNVP at delivery to placebo in the absence of maternal sdNVP.
Best guess is based on PHPT-2 per-protocol (as-treated) efficacy of NVP-NVP (4/318 transmissions) compared to placebo-placebo (20/310 transmission) at 6mo, from Table 2, p. 223, a reduction of 80.5%. PHPT-2 found transmission of 6/300 (2.0%) in NVP-PL (maternal NVP, infant placebo). While it is consistent with these results that maternal NVP may have a large protective effect and infant NVP may have a relatively small effect (as small as 37.1% reduction), we find it plausible that infant NVP in the absence of maternal NVP may have a larger effect We are significantly uncertain about the effect of neonatal NVP in the New Incentives context. We use the entire effect of NVP-NVP and adjust below for external validity differences between PHPT-2 study context and New Incentives such as: uncertainty about the relative effects of maternal sdNVP and neonatal sdNVP, PHPT-2 took place in a non-breastfeeding population, PHPT-2 population was on zidovudine ARV rather than triple ARV, New Incentives program provides additional ARV intervention beyond NVP at delivery.
We have not separately investigated the effect of maternal ARV for the first two months of breastfeeding or of infant nevirapine for 6 weeks. We have seen but not examined one review of 3 RCTs of 6-week infant nevirapine finding no significant effect on HIV infection at 6 months. (SWEN Study 2008)</t>
  </si>
  <si>
    <t>Sources about efficacy of 6-week infant nevirapine</t>
  </si>
  <si>
    <t>SWEN Study 2008</t>
  </si>
  <si>
    <t>http://www.thelancet.com/journals/lancet/article/PIIS0140-6736(08)61114-9/abstract</t>
  </si>
  <si>
    <t>Chance of under-5 death if HIV+</t>
  </si>
  <si>
    <t>Chance of under-5 death if uninfected</t>
  </si>
  <si>
    <t>Newell et al. 2004, p. 1238</t>
  </si>
  <si>
    <t>Increase in chance of under-5 death if HIV+</t>
  </si>
  <si>
    <t>NI cost per under-5 HIV death averted</t>
  </si>
  <si>
    <t>Chance of survival to 5y/o if HIV+</t>
  </si>
  <si>
    <t>see above</t>
  </si>
  <si>
    <t>NI cost per DALY of HIV averted</t>
  </si>
  <si>
    <t>Disability weight of HIV</t>
  </si>
  <si>
    <t>Salomon et al. 2012</t>
  </si>
  <si>
    <t>Costs (per 1,000 enrollees)</t>
  </si>
  <si>
    <t>Cost per 1,000 enrollees</t>
  </si>
  <si>
    <t>Cases prevented per 1,000 enrollees</t>
  </si>
  <si>
    <t>WHO life table for Nigeria, 2015</t>
  </si>
  <si>
    <t>http://apps.who.int/gho/data/view.main.61200?lang=en</t>
  </si>
  <si>
    <t>This method of calculating under-5 deaths averted ('equivalent lives saved') is comparable to the method in our CEA of AMF (bednets), rather than using a YLL calculation. We do not here time-discount for the fact that these deaths may occur 0-5 years in the future; we find it plausible that most of these deaths occur in the first year of life, and note that (as far as I can tell) our CEA of AMF does not appear to time-discount for the fact that under-five deaths due to malaria occur in the (near) future.</t>
  </si>
  <si>
    <t>We are not confident in our estimate of HIV mortality, and we have not done a thorough search of the literature on this topic.
We estimate infant mortality due to HIV based on Newell et al. 2004, analysis of mortality data from seven randomized mother-to-child transmission (MTCT) intervention trials (total 3468 singleton children included in analysis) in sub-Saharan Africa taking place before January 2000. We have not examined these trials. Newell et al. 2004 found that mortality was not associated with ever/never breastfeeding in infected or uninfected children; also found higher mortality in children infected before 4 weeks compared to later infection (odds ratio 0.52, Table 4 p.1239). We find it plausible that New Incentives for the most part prevents early infection. We also find it plausible that mortality is higher outside of a research setting and has decreased since 2000; we have not adjusted for these factors which we expect to affect both HIV mortality and all-cause mortality. 
Our best guess is based on the middle method below:
Method 1 (optimistic): Adjusted Odds Ratio. Table 2 finds an overall adjusted odds ratio of 8.16 for death given HIV infection compared to uninfected.
Method 2: Unadjusted Extrapolation. We estimate chance of under-5 death in infected and uninfected children based on Figure 1, p. 1238, graph of estimated unadjusted cumulative probability of death (CPoD) by age. Although this analysis extends only to 900 days (2.46 years), we extrapolate from the curves that cumulative probability of death at 5 years is only slightly higher. Our rough estimate based on this figure is CPoD of 0.6 for infected infants by age 5, and 0.09 for uninfected infants by age 5. 0.6/0.09 = 6.67.
Method 3 (pessimistic): East Africa Risk. Mortality risk based on infection status varied by region: "Mortality risk for uninfected children in east and west Africa was about twice that in South Africa. But the absence of such an effect for infected children suggests that HIV infection dominates over that of the background risk. Mortality risk in infected children in South Africa was 12 times that of uninfected children; in east Africa the ratio was about 5-fold and in west Africa about 9-fold (data not shown). This result would concur with the finding that the effect of HIV infection on estimated overall mortality in children and adults is greater in areas with low background mortality than those with high mortality." p. 1241. Three of seven included studies took place in West Africa (Côte d'Ivoire and Burkina Faso). We have not examined these studies.
See also Becquet et al. 2012, a meta-analysis of mortality by transmission mode (perinatal or breastfeeding) finding "Overall, 12 months post-acquisition of infection, an estimated 52% of children with peripartum infection (95% confidence interval [CI]: 49–55%) and 26% (95% CI: 22– 31%) of those with postnatal infection died... compared with an estimated 4% of uninfected children who died by age 1 year." p. 2. We have not reviewed this study.</t>
  </si>
  <si>
    <t>N/A</t>
  </si>
  <si>
    <t>Placeholder in case future modeling includes adult years of life lost due to HIV.</t>
  </si>
  <si>
    <t>Best guess is the GDB 2010 value for HIIV/AIDS with antiretroviral treatment. Our best guess is that children who acquire HIV but survive will have access to ARV. We find it plausible that access to and efficicacy of HIV/AIDS management will improve with time. Optimistic scenario uses the value of 0.221 for symptomatic HIV (pre-AIDS); we find it implausible that an individual would experience this level of burden lifelong, but we note that the burden for AIDS without treatment is notably higher, at 0.547. This optimistic scenario is undermotivated.</t>
  </si>
  <si>
    <t>Discount rate for future benefits</t>
  </si>
  <si>
    <t>GiveWell's CEA model, median of staff inputs</t>
  </si>
  <si>
    <t>Years of life lost (YLL) averted due to averting a case of PMTCT, adjusted for age-discount (end of life years) and time-discount.</t>
  </si>
  <si>
    <t>Note that for under-5s who get HIV and die, we do not count any burden of disease due to living a short time with HIV.</t>
  </si>
  <si>
    <t>Years of life remaining (time&amp;age-discounted) for a 5-year-old surviving with HIV</t>
  </si>
  <si>
    <t>If incorporating YLL due to HIV, adjust this calculation.</t>
  </si>
  <si>
    <t>Probabilty that the trial would find the same result, if it were run again.</t>
  </si>
  <si>
    <t>Probability that the trial result would generalize to the areas NI operates in.</t>
  </si>
  <si>
    <t>Est. rate of facility delivery w/o program for those who would deliver in facility with program</t>
  </si>
  <si>
    <t>Same as above.</t>
  </si>
  <si>
    <t>New Incentives</t>
  </si>
  <si>
    <t>Best guess: "below 10%". Pessimistic: women who drop out don't deliver in facility. Optimistic: between 10% and baseline 20%. In email on 06/02/2016, NI wrote: "We believe that it is considerably lower than the baseline of all women. The 22% baseline applies to women who are not offered the cash transfer and includes a certain percentage of women who are open to delivering at a facility. The facility delivery rate for women not retained in the program must therefore be lower: despite the strong incentive to deliver at our public facility, not at another facility, the women not retained have each forfeited $100. It is therefore unlikely that 1 in 5 of them would nevertheless deliver at a public facility. We see only two reasons why a woman might decide to deliver in a facility but not pick a participating clinic: 1. She moved to a far-away place, which sometimes occurs when the woman moves to a relative’s house during pregnancy.  2. She had serious complications and was referred to another hospital (and did not inform us per the guidelines of our Referral Policy)."</t>
  </si>
  <si>
    <t>Est. chance of neonatal mortality outside facility</t>
  </si>
  <si>
    <t>Est. chance of neonatal mortality in facility</t>
  </si>
  <si>
    <t>Cost per neonatal death averted</t>
  </si>
  <si>
    <t>Neonatal deaths averted per 1,000 enrollees</t>
  </si>
  <si>
    <t>Uncertainty adjustments are incorporated at this step.</t>
  </si>
  <si>
    <t>Maternal deaths averted per 1,000 enrollees</t>
  </si>
  <si>
    <t>Cost per maternal death averted</t>
  </si>
  <si>
    <t>Program's stillbirth reduction effect</t>
  </si>
  <si>
    <t>Rate of stillbirth without program</t>
  </si>
  <si>
    <t>Rate of neonatal mortality without program</t>
  </si>
  <si>
    <t>Facility delivery: Cost per neonatal, stillbirth, and maternal death averted</t>
  </si>
  <si>
    <t>PMTCT: Cost per infant death averted and surviving HIV case averted</t>
  </si>
  <si>
    <t>Guess; our effect estimate above is based only on one large, multi-country before-and-after study.</t>
  </si>
  <si>
    <t>Guess; Carlo et al. 2010 was a study of the WHO Essential Newborn Care Course in six countries (Argentina, Democratic Republic of Congo, Guatemala, India, Pakistan, and Zambia) in 2005-2007. We have not seen results broken down by country context.</t>
  </si>
  <si>
    <t>Sources about effect of facility delivery on stillbirths</t>
  </si>
  <si>
    <t>Yakoob et al. 2011, Carlo et al. 2010</t>
  </si>
  <si>
    <t>We have not thoroughly investigated the literature on the effect of facility delivery or skilled birth attendance on prevention of stillbirth.
In a before-and-after design (n=57,643), Carlo et al. 2010 found a 31% reduction in stillbirths following Essential Newborn Care training. We are somewhat concerned by the fact that this study did not find an effect on perinatal mortality, although its finding of a relative risk of 0.85 [0.70,1.02] suggests that there may be a (smaller) effect that the study was underpowered to detect at 95% confidence. An associated RCT (n=62,366) of additional Neonatal Resuscitation Training found no reduction in seven-day neonatal mortality, stillbirth, or perinatal mortality.
Yakoob et al. 2011, a meta-analysis, identified 4 reviews and 21 studies with data on effect of interventions on stillbirths. We have not yet reviewed this analysis. Optimistic scenario is based on Yakoob at al. 2011 Delphi process estimation that Basic Emergency/Essential Obstetric Care could avert 45% of stillbirths.</t>
  </si>
  <si>
    <t>Est. chance of stillbirth outside facility</t>
  </si>
  <si>
    <t>Est. chance of stillbirth in facility</t>
  </si>
  <si>
    <t>Rate of stillbirth with program</t>
  </si>
  <si>
    <t>Stillbirths averted per 1,000 enrollees</t>
  </si>
  <si>
    <t>Cost per stillbirth averted</t>
  </si>
  <si>
    <t>Nigeria DHS 2013, p. 278.</t>
  </si>
  <si>
    <t>Consumption benefit calculated (ln(income))</t>
  </si>
  <si>
    <t>Est. cost of delivering in facility above baseline</t>
  </si>
  <si>
    <t>Combining benefits</t>
  </si>
  <si>
    <t>DALYs averted per 1,000 enrollees</t>
  </si>
  <si>
    <t>Consumption benefit per 1,000 enrollees</t>
  </si>
  <si>
    <t>By definition.</t>
  </si>
  <si>
    <t>Increasing ln(income) for one person-year (roughly, doubling income) is equivalent to how many DALYs? GiveWell's comparative CEA, staff medians, sets this value at 1/3. Individual intuitions may vary widely.</t>
  </si>
  <si>
    <t>Summary of benefits per 1,000 enrollees (from above)</t>
  </si>
  <si>
    <t>Summed benefit per 1,000 enrollees, in DALYs</t>
  </si>
  <si>
    <t>Conversion back into 'equivalent lives saved'</t>
  </si>
  <si>
    <t>Enrollees retained to facility delivery may incur costs, such as transportation and clinic fees. Counterfactually, women would also incur delivery costs when attended by a traditional birth attendant. Here we subtract an estimate of the additional costs to the enrollee of participating in the program. NI's Clinic Audits show that cost of delivering in a clinic can vary from 0 to 13000 Naira. We have not examined how these numbers were obtained or whether they are comprehensive of costs. The median clinic cost in the Clinic Audits (accessed 08/23/2016) is 1500 Naira. We believe that this does not include transportation costs. Anecdotal evidence from NI's "TBA Assessment" suggests that patient-reported TBA fees vary from 200 to 2,000 Naira; here we use a guess of 1,000 for the median. Our understanding is that we have throughout been using conversion of about 6,000 Naira (size of first transfer) = 30.16 USD, and that now we adjust by a factor of /(250/199).</t>
  </si>
  <si>
    <t>NI is X as cost effective as GiveDirectly</t>
  </si>
  <si>
    <t>NI is X as cost effective as AMF</t>
  </si>
  <si>
    <t>AMF cost per equivalent life saved</t>
  </si>
  <si>
    <t>AMF is X as cost-effective as GiveDirectly</t>
  </si>
  <si>
    <t>Bottom line</t>
  </si>
  <si>
    <t>Comparative cost-effectiveness</t>
  </si>
  <si>
    <t>NI is X as cost-effective as GiveDirectly</t>
  </si>
  <si>
    <t>Not actually used. (All benefits are in the present year except years of life lived or HIV-free years of life; for those, time discounted is applied in the calculation of DALYs. Note that we assume that the cash incentive is spent as consumption in the present year, and not invested.)</t>
  </si>
  <si>
    <t>NI is X as cost-effective as AMF</t>
  </si>
  <si>
    <t>We are highly uncertain about the effect of facility deliver on neonatal mortality.
Because we believe there are many confounders involved in using retrospective evidence about neonatal outcomes at facilities (see discussion in this note below), we tentatively use evidence from RCTs of skilled birth attendance training as a proxy for the effect of delivering in a facility compared to traditional birth attendance. We find it plausible that the quality of care received by NI enrollees who deliver in a facility is comparable to or better than care given by trained skilled birth attendants (further discussion forthcoming on published charity review or intervention report). We have not done a thorough literature review on the effect of skilled birth attendance on neonatal mortality. We are aware of three RCTs: Gill et al. 2011 is most comparable to the NI context (takes place in Zambia, involves just training and supplies for attendants), and finds a 45% reduction in neonatal mortality. Jokhio et al. 2005 took place in rural Pakistan and found a 30% reduction. Kumar et al. 2008, in India, involved a notably more extensive intervention and found 52-54% reduction, but we have more serious concerns about its applicability as a proxy for NI.
Best guess of 40% is based on a best-guess range of 30%-45% and weighted towards Gill et al. 2011. Optimistic is the top of this range. Pessimistic scenario is based on concerns from review of facility delivery specific literature (see below).
Interim review of literature specifically about facility delivery finds mixed results: Some studies find that facility delivery is associated with increased neonatal mortality (e.g. Fink et al. 2015, 1.28 [1.11-1.47] based on Nigeria DHS data). Plausibly this is due to self-selection of cases for facility delivery and other potential confounders. Optimistic estimate is based on studies finding ~30% lower neonatal mortality in facility delivery: 33% in Etuk et al. 1999 among infants booked for ANC in Cross River, Nigeria. (But plausibly, neonatal mortality risk has improved since 1999); Tura et al. 2013 is a meta-analysis of 19 studies in LMICs, with mixed results (in 9 studies the association was not significant). Pooled risk reduction 29% in LMICs (excluded 2 studies in HICs). Of included studies, 2 were in Nigeria, 6 more in other SSA countries. Of these 8 studies, 4 found effect near the pooled mean; no effect found in Tanzania 2012, Nigeria 2011; non-significant indication of decrease found in Burkina Faso 2011 and Uganda 2011. The most recent Nigeria study (Oti and Odimegwu 2011) uses 2003 DHS data and found no association between place of delivery or skilled birth attendance and perinatal mortality. Concerns with data quality include self-report of skill of attendance and self-selection for facility delivery. Additionally, Chinkhumba et al. 2014 is a meta-analysis of 6 studies of perinatal mortality in SSA, finding a barely-significant OR 1.21, 95% CI: 1.02-1.46.</t>
  </si>
  <si>
    <t>See note.</t>
  </si>
  <si>
    <t>Unit conversion factor into DALYs; very subjective, follows GiveWell median judgements</t>
  </si>
  <si>
    <t>PMTCT: Cost per case of HIV (survival past 5 y/o) averted (in DALYs)</t>
  </si>
  <si>
    <t>Preventing under-5 deaths due to HIV</t>
  </si>
  <si>
    <t>Preventing HIV in survivors</t>
  </si>
  <si>
    <t>Preventing neonatal deaths with facility delivery</t>
  </si>
  <si>
    <t>Preventing stillbirths with facility delivery</t>
  </si>
  <si>
    <t>Preventing maternal deaths with facility delivery</t>
  </si>
  <si>
    <t>Increasing consumption</t>
  </si>
  <si>
    <t>FYI: Proportion of benefit</t>
  </si>
  <si>
    <t>Model-wide parameters</t>
  </si>
  <si>
    <t>Cancels out later in the logic. Do not change.</t>
  </si>
  <si>
    <t>"Summary of Key Program Statistics" New Incentives workbook, accessed 2016-23-08.</t>
  </si>
  <si>
    <t>New Incentives "Summary of Key Program Statistics" workbook</t>
  </si>
  <si>
    <t>New Incentives Sources</t>
  </si>
  <si>
    <t>GiveWell's comparative cost-effectiveness analysis, 2016 midyear update</t>
  </si>
  <si>
    <t>GiveWell Sources</t>
  </si>
  <si>
    <t>Sources about annual consumption</t>
  </si>
  <si>
    <t>[Lengthy note.] As evidenced by the spread between pessimistic and optimistic scenarios, we remain highly uncertain about the baseline (i.e. counterfactual) rate of mother-to-child transmission of HIV in the population served by New Incentives. We encourage interested readers to vary this best-guess parameter downwards to the pessimistic 0.041 and upwards as high as 0.12 (arbitrary); however, we expect our optimistic ceiling of 0.18 to be quite optimistic.
Best-guess is based on Ngoma et al. 2015 finding transmission rate of 0.041. Ngoma et al. 2015 is a prospective observational cohort study (n=279) in a breastfeeding urban population in Zambia with high CD4 count and unknown (but plausibly &lt;85%) adherence to ARV (zidovudine/3TC and lopinavir/ ritonavir tablets). While our understanding is that sdNVP is usually the standard of care, in this population "nevirapine was contraindicated for the majority of women due to high baseline CD4" (p. 2).We adjust this transmission rate arbitrarily upwards to 0.08 to account for potentially higher breastfeeding transmission in the New Incentives program (Ngoma et al. 2015 continued intervention contact with women throughout breastfeeding period while our understanding is that the New Incentives program continues intervention contact at most for a few months), and for potentially lower ARV adherence in the New Incentives population (adherence unknown in Ngoma et al. 2015, see p. 4 for discussion of unreliability of data; we find it plausible that adherence in the New Incentives population is middling; e.g. studies of adherence in pregnant women in Nigeria find 80.6% (Ekama et al. 2011, urban southwest) and 78.3% (Igwegbe et al. 2010, urban south) adherence to 95% of doses). We note that Ngoma et al. 2015 is a study of women with high CD4 count, and that the New Incentives population may have lower CD4 count; we have not closely examined literature about the association between CD4 count and transmission risk. We believe that Ngoma et al. 2015 is a more appropriate comparison to the New Incentives population than PHPT-2 (discussed below) which is the source of our previous best-guess of 0.08, and the source of our estimate of nevirapine efficacy (discussed elsewhere in this CEA). Our arbitrary increase to 0.08 is also anchored by our previous best-guess.
Our previous best-guess of 0.08 was based on the PHPT-2 study (aka Lallemant et al. 2004), which is the source of our best guess of the efficacy of nevirapine. This estimate was based on transmission rate of 0.063 in the PHPT-2 placebo group (see below), adjusted arbitrarily upwards to account for breastfeeding transmission. PHPT-2 is a RCT (n=348 in placebo-placebo analysis) of single-dose nevirapine (sdNVP) in Thailand in 2001-2003 in a non-breastfeeding population of women enrolled at 37 sites and already on zidovudine ARV (from 28 weeks; adherence: 96% adherent to 90% or more doses) and taken during labor. Transmission in the placebo-placebo group (no nevirapine) was 0.063 among infants delivered by interim analysis.
Optimistic scenario is based on Dabis et al. 1999, a RCT (n=192 infants treatment, n=197 placebo) of zidovudine ARV starting at 36-38 weeks (adherence: 75% of women took more than 80% of planned doses pre-delivery) and during labor in breastfeeding populations in urban Côte d'Ivoire and Burkina Faso in 1995-1998. This study found a transmission rate of 0.18 in the zidovudine group at 6 months. Because we believe that triple prophylaxis in the New Incentives population is more effective than zidovudine (our understanding is that women are standardly on tenofovir/lamivudine/efavirenz), we consider this transmission rate to be an upper bound on the plausible baseline transmission rate in the population targeted by New Incentives.
Pessimistic scenario is based on Ngoma et al. 2015, which found transmission of 0.041 (see above for study details). As a pessimistic scenario, we believe this study suggests that low MTCT (4.1%) can be achieved via ARV alone without sdNVP.</t>
  </si>
  <si>
    <t xml:space="preserve">Ngoma et al. 2015, PHPT-2, and other sources (see note) </t>
  </si>
  <si>
    <t>Sources about efficacy of the intervention</t>
  </si>
  <si>
    <t>total HIV+ infants</t>
  </si>
  <si>
    <t>Cases prevented per 1,000 HIV+ pregnancies</t>
  </si>
  <si>
    <t>New Incentives "Master Sheet_unmerged" workbook</t>
  </si>
  <si>
    <t>New Incentives "ARP_unmerged" workbook</t>
  </si>
  <si>
    <t>New Incentives "Master Sheet_unmerged" and "ARP_unmerged" workbooks, accessed 2016-08-11</t>
  </si>
  <si>
    <t>Costs</t>
  </si>
  <si>
    <t>Cost of women retained plus cost of women dropped out, per 1,000 enrollees.</t>
  </si>
  <si>
    <t>Includes the consideration that only a portion of enrollees are HIV+.</t>
  </si>
  <si>
    <t># of MTCT cases prevented attributable to NI, per 1,000 HIV+ pregnancies.</t>
  </si>
  <si>
    <t>Newell et al. 2004</t>
  </si>
  <si>
    <t>Becquet et al. 2012</t>
  </si>
  <si>
    <t>http://journals.lww.com/aidsonline/Fulltext/2004/06002/Child_mortality_and_HIV_infection_in_Africa___a.4.aspx?trendmd-shared=0</t>
  </si>
  <si>
    <t>http://journals.plos.org/plosone/article?id=10.1371/journal.pone.0028510</t>
  </si>
  <si>
    <t>Under-5 HIV deaths averted /1,000 enrollees</t>
  </si>
  <si>
    <t>PMTCT: Cost per under-5 death averted</t>
  </si>
  <si>
    <t>YLD*burden averted per case of HIV</t>
  </si>
  <si>
    <t>GiveWell's comparative CEA. Staff median of "DALYs per death of a young child" is 30.00. This is roughly the same as a calculation of years of life lost at age 5 with standard age weighting (see Lopez et al. 2006, p. 403) and time-discounting of 4% (Lopez et al. 2006 use 3%). See GiveWell's comparative CEA, tab "YLL per death" for the calculation yielding 29.35 years lost for a death under these circumstances. Note that this calculation is not specific to conditions (such as life expectancy) in Nigeria.</t>
  </si>
  <si>
    <t>Note that we assume that life expectancy for an infant born today with HIV who survives to age 5 is not significantly different than average. We have not found a source of average life expectancy with HIV. We guess that life expectancy for those with good access to ARV is similar to average, that management of HIV will improve during the next 50 years, and that overall average life expectancy will increase.</t>
  </si>
  <si>
    <t>GBD 2010</t>
  </si>
  <si>
    <t>http://www.thelancet.com/journals/lancet/article/PIIS0140-6736(12)61680-8/abstract</t>
  </si>
  <si>
    <t>Sources about HIV under-5 mortality and HIV disability weight</t>
  </si>
  <si>
    <t>Includes consideration that only a portion of transmission cases survive to 5y/o.</t>
  </si>
  <si>
    <t>Rate of facility delivery (dropped out)</t>
  </si>
  <si>
    <t>Sources about baseline rate of facility delivery</t>
  </si>
  <si>
    <t>Nigeria DHS 2013, p. 136, "NI Cost Effectiveness LiST Calculations_September 2015", and others (see note)</t>
  </si>
  <si>
    <t>% lower chance of neonatal mortality given FD</t>
  </si>
  <si>
    <t>Sources about effect of facility delivery on neonatal mortality: evidence from studies of skilled birth attendance</t>
  </si>
  <si>
    <t>Gill et al. 2011</t>
  </si>
  <si>
    <t>Jokhio et al. 2005</t>
  </si>
  <si>
    <t>Kumar et al. 2008</t>
  </si>
  <si>
    <t>Sources about effect of facility delivery on neonatal mortality: evidence from studies of facility delivery</t>
  </si>
  <si>
    <t>Guess; we've seen wide variation in estimates of the effect of facility delivery (or skilled birth attendance) on neonatal mortaltiy, potentially due to systematic confounders.</t>
  </si>
  <si>
    <t>Chance of neonatal mortality outside of facility is calculated as follows: Without the program, neonatal mortality rate (input above) is the sum of (facility delivery rate x neonatal mortality in facility) plus (1-FDrate x NNM outside facility), all without the program. In other words, NNMwithoutprogram = FDwithoutprogram*NNMinfacility+(1-FDwithoutprogram)*NNMoutsidefacility. Furthermore, NNMinfacility = NNMoutsidefacility*(1-%lowerchance). (i.e. if there's a 40% lower chance of NNM in facility, then NNMinfacility is 60% of NNMoutsidefacility.) So (replacing NNMinfacility): NNMwithoutprogram = FDwithoutprogram*(NNMoutsidefacility*(1-%lowerchance))+(1-FDwithoutprogram)*NNMoutsidefacility. Solving for NNMoutsidefacility yields NNMoutsidefacility = NNMwithoutprogram/ (1 - FDwithoutprogram*%lowerchance).</t>
  </si>
  <si>
    <t>Percent lower chance of stillbirth given FD</t>
  </si>
  <si>
    <t>http://www.bmj.com/content/342/bmj.d346.full.pdf+html</t>
  </si>
  <si>
    <t>http://www.nejm.org/doi/full/10.1056/NEJMsa042830</t>
  </si>
  <si>
    <t>http://www.sciencedirect.com/science/article/pii/S014067360861483X</t>
  </si>
  <si>
    <t>Sources about baseline rate of stillbirth</t>
  </si>
  <si>
    <t>Nigeria DHS 2013, p. 123.</t>
  </si>
  <si>
    <t>Yakoob et al. 2011</t>
  </si>
  <si>
    <t>Carlo et al. 2010</t>
  </si>
  <si>
    <t>http://bmcpublichealth.biomedcentral.com/articles/10.1186/1471-2458-11-S3-S7</t>
  </si>
  <si>
    <t>http://www.nejm.org/doi/full/10.1056/NEJMsa0806033#t=article</t>
  </si>
  <si>
    <t>For explanation of calculation, see equivalent calculation for neonatal mortality.</t>
  </si>
  <si>
    <t>Sources about baseline maternal mortality</t>
  </si>
  <si>
    <t>Sources about effect of facility delivery on maternal mortality</t>
  </si>
  <si>
    <t>We have not found evidence about the effect of facility delivery or skilled birth attendance on maternal mortality. Jokhio et al. 2005 was not powered to find an effect on maternal mortality. "Assuming maternal mortality in the control group of 400 per 100,000 pregnancies, such a sample size would permit us to detect a relative reduction in maternal mortality only as large as 90 percent." (p. 2094) "There were 27 maternal deaths in the intervention group and 34 in the control group, corresponding to respective maternal mortality rates of 268 and 360 per 100,000 pregnancies. The cluster-adjusted odds ratio for maternal deaths in the intervention group, as compared with the control group, was 0.74 (95 percent confidence interval, 0.45 to 1.23)." (p. 2096) We find it plausible that facility delivery has some effect on maternal mortality. We are uncertain about the level of emergency care or effective referral available at NI's partner facilities.</t>
  </si>
  <si>
    <t>Est. chance of maternal mortality outside facility</t>
  </si>
  <si>
    <t>Est. chance of maternal mortality in facility</t>
  </si>
  <si>
    <t>Consumption benefit: inputs</t>
  </si>
  <si>
    <t>New Incentives "Income Statistics and Use/Spending of Cash Transfers" workbook</t>
  </si>
  <si>
    <t>http://www.cgdev.org/blog/world-bank-poverty-statistics-lack-median-income-data-so-we-filled-gap-ourselves-download-available</t>
  </si>
  <si>
    <t>We are highly uncertain about per capita annual consumption in the population enrolled in the New Incentives program. New Incentives collects some income data from enrollees (see "Income Statistics and Use/Spending of Cash Transfers" accessed 08/23/2016), however NI notes that data quality is low (low number of responses) because many women do not work during pregnancy and many do not know the income of their husbands. Of those who responded, the average mother's salary was $1.24 USD/day and the average partner's salary was $4.46/day. We take these values as some evidence that NI recipients have per capita consumption similar to the median in Nigeria (see below): with a guess of dependent household size of 3 (for young families, whose parents may still be working), (1.24+4.46)/3 = $1.90/day.
Best guess using median income: Diofasi and Birdsall 2016 use World Bank statistics to estimate median income, finding median per capita income of $1.80/day in Nigeria, or $1.80*365.25 = $657.45 per year. For the purposes of this calculation, we assume that 100% of income goes to consumption (and that 100% of marginal income gained via cash transfer will go to consumption). For comparison, our estimate of per capita annual consumption in the population targeted by GiveDirectly (which specifically targets for the poorest households in villages in Kenya) is $285.95.
Explanation of our previous estimate, using GDP: Using GapMinder figures for Nigeria, GDP per capita in 2015 was 5727 with ~2% of wealth owned by the country's 10% poorest people, giving 5727*(0.02/0.1) = 1145.4 for the average person in the bottom 10%. 70.9% of Nigeria's GDP is consumption (http://data.worldbank.org/indicator/NE.CON.PETC.ZS) which I changed to 80% for the bottom 10% of people. So 1145.4*0.8 = 916.00. For comparison, Kenya (a country where GiveDirectly works) had a GDP per capita of $2898 in 2015 with 1.75% to the bottom 10%, so about 2898*(0.00175/0.1) = $507.15 for the bottom 10%.  Counting consumption, that's $507.15*0.8 = $405.72, and given that GiveDirectly specifically targets the poorest households in a village, a consumption of $285 per year is pretty in line with this estimate. In comparison, NI doesn't target the poorest people to nearly the same degree (as far as I'm aware), and so a mean person in the bottom 10% of the country might be a good approximation. Additionally, our website says "We do not have a very strong sense of how poor participants are. The vast majority said they had permanent floors and metal roofs," indicating that this population is probably at least somewhat richer.</t>
  </si>
  <si>
    <t>Diofasi and Birdsall 2016</t>
  </si>
  <si>
    <t>In addition to costs of facility delivery, women who are HIV+ may incur additional costs, such as the cost of PMTCT drugs administered during delivery. Our understanding is that Nevirapine is supposed to be free, but that women may nonetheless be asked to pay. "Program records show that PMTCT-related costs, including delivering at a facility, can vary substantially. Median self-reported out-of-pocket medical expenditures for all PMTCT services (~13,000 Naira) are less than the total cash transfer amount. Reported spending also indicates that, in addition to clinical services, nearly all women were also able to or plan to purchase supplies for newborn care and nutrition." Midline Report June 2016, p. 4. We are uncertain about which PMTCT costs to count as additional costs incurred due to program participation (rather than costs, e.g. for ARVs, that women would incur counterfactually as well). As a rough guess, we double the cost-above-baseline of facility delivery for HIV+ women.</t>
  </si>
  <si>
    <t>Sources about costs incurred by individual in program</t>
  </si>
  <si>
    <t>New Incentives "Clinic Audits" workbook</t>
  </si>
  <si>
    <t>New Incentives "TBA Assessment" report</t>
  </si>
  <si>
    <t>Increase in current consumption from spending the transfer (ln(income)). We assume that the consumption benefit due to this transfer is experienced entirely by the enrollee, within 1 year, and not spread across additional household members. We believe this is roughly appropriate because the transfer size is small and enrollees are likely to have increased need for personal consumption (or consumption related to the neonate). C.f.: "In addition to encouraging retention in care and treatment, survey responses from program beneficiaries indicate that the cash transfersare enabling families to afford important baby care supplies, buy infant food and nutritional products, and invest in independent businesses." Midline Report June 2016, p. 1. We have not closely reviewed information on how women spend cash transfers, but our impression is that a large majority is consumed rather than invested. Additional data is forthcoming: "Study women and newborns will be tracked through 10 weeks post- birth to assess retention in care, self-reported care and treatment behaviors, and use of cash incentives. Final study results will be available in April 2017." Midline Report June 2016, p. 1.</t>
  </si>
  <si>
    <t>Sources about how the transfer is spent</t>
  </si>
  <si>
    <t>Cost per proportional incr. in consumption</t>
  </si>
  <si>
    <t>Est. addtl cost of delivery ARV above baseline</t>
  </si>
  <si>
    <t>Sources about DALYs and value judgements</t>
  </si>
  <si>
    <t>For the purposes of a simple guess at the average age of women participating in NI's program, I averaged the column "New Incentives "Master Sheet_unmerged" workbook" (see Sources accessed July/August 2016), arriving at 26.28. Using GiveWell's comparative CEA, tab "YLL per death" with standard age-weights and 4% discounting, averting a female death at age 30 averts 25.69 YLL.</t>
  </si>
  <si>
    <t>Deprecated sources</t>
  </si>
  <si>
    <t>"Clinic Audits" workbook, New Incentives</t>
  </si>
  <si>
    <t>Denotes changes since version sent to NI on 08/24/2016.</t>
  </si>
  <si>
    <t>Years of life remaining (time- and age-discounted) for a child under 5 surviving with HIV. (Used above.) On some value judgements, this is similar or ideantical to the value of an under-5 death averted. On some value judgements, it may be quite different.</t>
  </si>
  <si>
    <t>Exchange rate, Naira/USD</t>
  </si>
  <si>
    <t>The cash transfer is given to women who deliver in facility. Transfer size is 10,000 Naira.</t>
  </si>
  <si>
    <t>Conversion from Naira to USD is based on NI's emailed feedback on 08/30/2016: "Our current weighted average exchange rate is 250 NGN/USD. Our rate by the end of the year will be approximately 300 NGN/USD. The rate on Google Finance currently ranges from 315 – 340 NGN/USD." In conversation, NI has told us that it is sometimes able to get a better exchange rate than publicly listed.</t>
  </si>
  <si>
    <t>New Incentives, "NGN/USD Exchange Rate"</t>
  </si>
  <si>
    <t>New Incentives "NGN/USD Exchange Rate"</t>
  </si>
  <si>
    <t>"Summary of Key Program Statistics" New Incentives workbook, accessed 2016-08-23. Tab "Program Statistics: Quick View" shows "Number of women who delivered" as 58.3% for the At Risk Pregnancy (ARP) program. In the PMTCT program in Akwa Ibom, this value is lower at 52.7%. We choose to use "Number of women who delivered" rather than "Number of women who delivered whose EDD has passed", because we believe this captures early deliveries. We choose to use the figure for the ARP program because we believe it may be more representative of the program at scale. Note also that the New Incentives Midline Report June 2016 Draft finds a facility delivery rate of 54% among women randomized to be offered the CCT program and  who accepted. (See Figure 2, p. 3.) More detail: "Among women who had given birth or have passed their estimated due date, women offered the CCT program were significantly more likely to give birth at the facility (48%) compared to women in standard care (27%)—a statistically significant increase of 21 percentage points (OR=2.57, p=0.000)  (Figure 1). When excluding women who declined to enroll in the CCT program when offered, the difference was even larger." (p. 1.) This RCT includes only HIV+ women.
Note also that via email on 06/02/2016, NI told us: "Our best guess for the retention rate would be 0.6 and the most optimistic guess 0.7 for 2016..." This is the basis of our optimistic guess of 0.7.
We are concerned by the fact that our evidence about retention rate to delivery comes from previous implementation of the program with a different incentive structure and larger cash transfers. We are uncertain whether New Incentives will be able to achieve similar levels of retention with a single, smaller cash transfer.</t>
  </si>
  <si>
    <t>The ratio of the transfer amount to the total operating cost (including overhead expenses). ExpenseRatio = TransferAmount/TotalCost; equivalently; equivalently, TotalCost = TransferAmount/ExpenseRatio.
Best guess is based on New Incentives feedback, August 30, 2016, current expense ratio. Note that we consider the 2016 actual expense ratio to reflect the program's costs while scaling, and expect that expense ratio may be higher (i.e. overhead costs lower) at scale. For pessimistic and optimistic scenarios, we arbitrarily adjust by +/-15%.</t>
  </si>
  <si>
    <t>Nigeria DHS 2013, p. 120, neonatal mortality. Best guess of 3.9% is average of national rural and urban. This is also the same value as for the national middle wealth quintile.</t>
  </si>
  <si>
    <t>DHS 2013 shows a wide spread in proportion of women delivering in a facility, based on zone (11.5%-78.1%) and residence (21.9% rural, 61.7% urban). Nationally, rate of facility delivery for middle quintile is 37.1%. Nationally, facility delivery rate correlates with number of ANC visits: 28.2% for those who go to 1-3 ANCs, 60.6% for those with 4+ ANCs. NI's data on baseline facility delivery rates in the clinics where the program is implemented (see Sources: New Incentives baseline delivery rates at clinic (PMTCT sites and New Incentives baseline delivery rates at clinic ARP sites)) suggest a high variance in baseline delivery rates (2.6% to 65.7% at ARP sites) and an average of 22.5% baseline facility delivery at ARP sites (my calculation) and 32.1% at PMTCT sites. Accessed summer 2016. We have not vetted these numbers. Best-guess of 27% is based on NI's midline RCT results. However, note also that NI's Midline Report June 2016 finds (p. 3, sample characteristics box) that of women who were offered, agreed to enroll in PMTCT RCT program, "About three-fourths of women had at least one child and only 46% had delivered their last child at a facility." We find it plausible that women are more likely to deliver first pregnancies in clinic than subsequent pregnancies.
NI's CEA uses scenarios of 20% and 35% baseline facility delivery ("NI Cost Effectiveness LiST Calculations_September 2015").</t>
  </si>
  <si>
    <t>In order to avoid double-counting, we calculate rate of stillbirth based on the table in Nigeria DHS 2013, p. 123, number of stillbirths divided by total pregnancies of 7+ months duration. We use rate of stillbirth only, not including early neonatal deaths, as we count neonatal deaths separately above. We use stillbirths from the national middle wealth quintile. (Similarly: above we use neonatal mortality rate for the national middle wealth quintile.)</t>
  </si>
  <si>
    <t>This maternal mortality rate is nationwide, denominator is live births. We have not identified a source of maternal mortality estimates more specific to the NI context.</t>
  </si>
  <si>
    <t>Size of enrollment transfer</t>
  </si>
  <si>
    <t>Size of delivery transfer</t>
  </si>
  <si>
    <t>New Incentives, via email in August 2016, said that under the current program, women receive a 1,000 Naira enrollement transfer. Transfer sizes may change in the future.</t>
  </si>
  <si>
    <t>NI cost of enrollment transfer</t>
  </si>
  <si>
    <t>NI cost of delivery transfer</t>
  </si>
  <si>
    <t>Consumption benefit for a PMTCT retained</t>
  </si>
  <si>
    <t>Consumption benefit for an ARP retained</t>
  </si>
  <si>
    <t>Consumption benefit for a woman not retained</t>
  </si>
  <si>
    <t>Conversation notes, August 26: 5-10%. New Incentives comment, August 30, 2016: "Lower percentage of HIV+ beneficiaries given expansion to North. Suggest rate of 5-8%. Rate is clearly higher than national average; this is because NI operates in rural clinics and HIV priority states."
Conversation with New Incentives, August 26 2016: future expansion of the program is expected to target less specifically for HIV, and to expand to areas with lower HIV prevalence. NI estimates that 10% of women enrolled will be HIV+. Optimistic scenario is arbitrary between best-guess and 20% actuals as of August 2016 (see method below). Pessimistic is based on estimate of HIV prevalence in adults in Nigeria (http://www.avert.org/professionals/hiv-around-world/sub-saharan-africa/nigeria).
Previous value explanation:
Actual or estimated ratio of enrolled women who have HIV. Pessimistic scenario is based on actual enrollment to date recorded in "Master Sheet_unmerged" (raw data on enrollees in PMTCT program), and "ARP_unmerged" (raw data on enrollees in At Risk Pregnancy program), accessed 08/11/2016. Due to our understanding that New Incentives may expand its ARP program to target women more broadly (preliminary discussion via email 07/29/2016), we do not expect the ratio of PMTCT enrollees to increase as the program scales, and our best-guess is the same as our pessimistic scenario. Although we find it possible that the ratio of PMTCT enrollees falls in future implementation, that scaling scenario would likely involve different incentive sizes for the PMTCT program and ARP program, and require more general updates to this CEA model. Our optimistic scenario is arbitrarily adjusted upwards.</t>
  </si>
  <si>
    <t>Probabilty that the trial would find the same result, if it were run again. Median of staff inputs collected on 9/13/2016.</t>
  </si>
  <si>
    <t>Probability that the trial result would generalize to the areas NI operates in. Median of staff inputs collected on 9/13/2016.</t>
  </si>
  <si>
    <t>Median of staff inputs collected on 9/13/2016, value of averting a stillbirth compared to value of averting an under-5 death. GiveWell has not previously considered the value of averting stillbirths. For the purposes of this CEA, we may assume that the value of averting a stillbirth is the same as the value of averting a neonatal death. Individual value judgements or intuitions may vary.</t>
  </si>
  <si>
    <t>Median of staff inputs collected on 9/13/2016, value of averting a neonatal death compared to value of averting an under-5 death. GiveWell's comparative CEA, tab "YLL per death", with standard age weighting and 4% discount rate, yields 25.61 YLL for a death at age 0.</t>
  </si>
  <si>
    <t>Median of staff inputs collected on 9/13/2016.</t>
  </si>
  <si>
    <t xml:space="preserve">Median of current research staff who submitted a sheet to the CEA in fall 2015. GiveWell's comparative CEA, staff medians, uses 30.0 DALYs per equivalent life saved. Because this value is used in converting back from DALYs to equivalent lives saved, changing this input makes this CEA no longer directly comparable to the CEA of AMF. </t>
  </si>
  <si>
    <t>If you adjust the value of an under-5 death averted, you must also adjust them in the GiveWell comparative CEA and source new numbers for comparison with AMF and GiveDirectly. Values in red can be adjusted without adjusting the values sourced from GiveWell's comparative CEA.</t>
  </si>
  <si>
    <t>Retention rate to delivery (unadjusted)</t>
  </si>
  <si>
    <t>Retention rate to delivery (adjusted)</t>
  </si>
  <si>
    <t>Guess</t>
  </si>
  <si>
    <t>Above, we use a value for retention rate to delivery which does not account for recent and ongoing changes to the program model, such as lower incentive amounts and changes in targetting. We are highly uncertain about the effect of these changes on the program's retention rate to delivery. It is possible that smaller cash incentives will decrease retention rate. Broader targetting (away from HIV+ women and at-risk pregnancies) may increase retention rate (by targetting women with fewer barriers to access) or may decrease retention rate (by targetting women with less pressing reason to avoid complications).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</si>
</sst>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_(&quot;$&quot;* \(#,##0.00\);_(&quot;$&quot;* &quot;-&quot;??_);_(@_)"/>
    <numFmt numFmtId="43" formatCode="_(* #,##0.00_);_(* \(#,##0.00\);_(* &quot;-&quot;??_);_(@_)"/>
    <numFmt numFmtId="164" formatCode="_-&quot;$&quot;* #,##0.00_-;\-&quot;$&quot;* #,##0.00_-;_-&quot;$&quot;* &quot;-&quot;??_-;_-@_-"/>
    <numFmt numFmtId="165" formatCode="&quot;$&quot;#,##0.00"/>
    <numFmt numFmtId="166" formatCode="0.00000"/>
    <numFmt numFmtId="167" formatCode="0.000"/>
    <numFmt numFmtId="168" formatCode="0.0%"/>
    <numFmt numFmtId="169" formatCode="0.000000"/>
    <numFmt numFmtId="170" formatCode="0.0"/>
  </numFmts>
  <fonts count="12" x14ac:knownFonts="1">
    <font>
      <sz val="10"/>
      <color rgb="FF000000"/>
      <name val="Arial"/>
    </font>
    <font>
      <i/>
      <sz val="10"/>
      <color rgb="FF000000"/>
      <name val="Arial"/>
    </font>
    <font>
      <sz val="10"/>
      <color rgb="FF000000"/>
      <name val="Arial"/>
    </font>
    <font>
      <b/>
      <sz val="10"/>
      <color rgb="FF000000"/>
      <name val="Arial"/>
    </font>
    <font>
      <sz val="8"/>
      <color theme="1"/>
      <name val="Calibri"/>
      <family val="2"/>
      <scheme val="minor"/>
    </font>
    <font>
      <u/>
      <sz val="10"/>
      <color theme="11"/>
      <name val="Arial"/>
    </font>
    <font>
      <u/>
      <sz val="10"/>
      <color theme="10"/>
      <name val="Arial"/>
    </font>
    <font>
      <sz val="8"/>
      <name val="Arial"/>
    </font>
    <font>
      <sz val="10"/>
      <name val="Arial"/>
    </font>
    <font>
      <sz val="10"/>
      <color rgb="FFFF0000"/>
      <name val="Arial"/>
    </font>
    <font>
      <b/>
      <sz val="10"/>
      <name val="Arial"/>
    </font>
    <font>
      <sz val="13"/>
      <color rgb="FF000000"/>
      <name val="Arial"/>
    </font>
  </fonts>
  <fills count="9">
    <fill>
      <patternFill patternType="none"/>
    </fill>
    <fill>
      <patternFill patternType="gray125"/>
    </fill>
    <fill>
      <patternFill patternType="solid">
        <fgColor theme="0"/>
        <bgColor indexed="64"/>
      </patternFill>
    </fill>
    <fill>
      <patternFill patternType="solid">
        <fgColor theme="7"/>
        <bgColor indexed="64"/>
      </patternFill>
    </fill>
    <fill>
      <patternFill patternType="solid">
        <fgColor theme="7" tint="0.79998168889431442"/>
        <bgColor indexed="64"/>
      </patternFill>
    </fill>
    <fill>
      <patternFill patternType="solid">
        <fgColor theme="7" tint="-0.249977111117893"/>
        <bgColor indexed="64"/>
      </patternFill>
    </fill>
    <fill>
      <patternFill patternType="solid">
        <fgColor theme="4"/>
        <bgColor indexed="64"/>
      </patternFill>
    </fill>
    <fill>
      <patternFill patternType="solid">
        <fgColor theme="5" tint="0.59999389629810485"/>
        <bgColor indexed="64"/>
      </patternFill>
    </fill>
    <fill>
      <patternFill patternType="solid">
        <fgColor rgb="FFFFFF00"/>
        <bgColor indexed="64"/>
      </patternFill>
    </fill>
  </fills>
  <borders count="11">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230">
    <xf numFmtId="0" fontId="0" fillId="0" borderId="0"/>
    <xf numFmtId="164" fontId="2" fillId="0" borderId="0" applyFont="0" applyFill="0" applyBorder="0" applyAlignment="0" applyProtection="0"/>
    <xf numFmtId="9" fontId="2" fillId="0" borderId="0" applyFon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43" fontId="2" fillId="0" borderId="0" applyFon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cellStyleXfs>
  <cellXfs count="229">
    <xf numFmtId="0" fontId="0" fillId="0" borderId="0" xfId="0" applyFont="1" applyAlignment="1"/>
    <xf numFmtId="0" fontId="0" fillId="0" borderId="0" xfId="0" applyFont="1" applyAlignment="1">
      <alignment vertical="top" wrapText="1"/>
    </xf>
    <xf numFmtId="0" fontId="0" fillId="5" borderId="2" xfId="0" applyFont="1" applyFill="1" applyBorder="1" applyAlignment="1">
      <alignment vertical="top" wrapText="1"/>
    </xf>
    <xf numFmtId="0" fontId="3" fillId="0" borderId="0" xfId="0" applyFont="1" applyAlignment="1">
      <alignment vertical="top" wrapText="1"/>
    </xf>
    <xf numFmtId="0" fontId="1" fillId="0" borderId="0" xfId="0" applyFont="1" applyAlignment="1">
      <alignment vertical="top" wrapText="1"/>
    </xf>
    <xf numFmtId="0" fontId="0" fillId="0" borderId="0" xfId="0" applyAlignment="1">
      <alignment vertical="top" wrapText="1"/>
    </xf>
    <xf numFmtId="164" fontId="0" fillId="0" borderId="0" xfId="1" applyFont="1" applyAlignment="1">
      <alignment vertical="top" wrapText="1"/>
    </xf>
    <xf numFmtId="165" fontId="0" fillId="0" borderId="0" xfId="0" applyNumberFormat="1" applyAlignment="1">
      <alignment vertical="top" wrapText="1"/>
    </xf>
    <xf numFmtId="0" fontId="0" fillId="0" borderId="0" xfId="1" applyNumberFormat="1" applyFont="1" applyAlignment="1">
      <alignment vertical="top" wrapText="1"/>
    </xf>
    <xf numFmtId="1" fontId="0" fillId="0" borderId="0" xfId="0" applyNumberFormat="1" applyFont="1" applyAlignment="1">
      <alignment vertical="top" wrapText="1"/>
    </xf>
    <xf numFmtId="164" fontId="0" fillId="0" borderId="0" xfId="0" applyNumberFormat="1" applyFont="1" applyAlignment="1">
      <alignment vertical="top" wrapText="1"/>
    </xf>
    <xf numFmtId="0" fontId="0" fillId="0" borderId="0" xfId="0" applyFont="1" applyBorder="1" applyAlignment="1">
      <alignment vertical="top" wrapText="1"/>
    </xf>
    <xf numFmtId="0" fontId="1" fillId="0" borderId="0" xfId="0" applyFont="1" applyBorder="1" applyAlignment="1">
      <alignment vertical="top" wrapText="1"/>
    </xf>
    <xf numFmtId="0" fontId="0" fillId="0" borderId="6" xfId="0" applyFont="1" applyBorder="1" applyAlignment="1">
      <alignment vertical="top" wrapText="1"/>
    </xf>
    <xf numFmtId="0" fontId="0" fillId="0" borderId="7" xfId="0" applyFont="1" applyBorder="1" applyAlignment="1">
      <alignment vertical="top" wrapText="1"/>
    </xf>
    <xf numFmtId="1" fontId="0" fillId="0" borderId="0" xfId="1" applyNumberFormat="1" applyFont="1" applyAlignment="1">
      <alignment vertical="top" wrapText="1"/>
    </xf>
    <xf numFmtId="0" fontId="0" fillId="0" borderId="0" xfId="0" applyNumberFormat="1" applyFont="1" applyAlignment="1">
      <alignment vertical="top" wrapText="1"/>
    </xf>
    <xf numFmtId="0" fontId="4" fillId="2" borderId="0" xfId="0" applyFont="1" applyFill="1" applyAlignment="1">
      <alignment vertical="top" wrapText="1"/>
    </xf>
    <xf numFmtId="0" fontId="4" fillId="0" borderId="0" xfId="0" applyFont="1" applyAlignment="1">
      <alignment vertical="top" wrapText="1"/>
    </xf>
    <xf numFmtId="0" fontId="0" fillId="0" borderId="0" xfId="0" applyFont="1" applyAlignment="1">
      <alignment horizontal="left" vertical="top" wrapText="1"/>
    </xf>
    <xf numFmtId="0" fontId="9" fillId="0" borderId="0" xfId="0" applyFont="1" applyAlignment="1">
      <alignment horizontal="left" vertical="top" wrapText="1"/>
    </xf>
    <xf numFmtId="0" fontId="0" fillId="6" borderId="7" xfId="0" applyFont="1" applyFill="1" applyBorder="1" applyAlignment="1">
      <alignment vertical="top" wrapText="1"/>
    </xf>
    <xf numFmtId="0" fontId="0" fillId="0" borderId="3" xfId="0" applyFont="1" applyBorder="1" applyAlignment="1">
      <alignment horizontal="left" vertical="center" wrapText="1"/>
    </xf>
    <xf numFmtId="0" fontId="0" fillId="0" borderId="8" xfId="0" applyFont="1" applyBorder="1" applyAlignment="1">
      <alignment horizontal="left" vertical="center" wrapText="1"/>
    </xf>
    <xf numFmtId="0" fontId="3" fillId="0" borderId="0" xfId="0" applyFont="1" applyFill="1" applyBorder="1" applyAlignment="1">
      <alignment vertical="top" wrapText="1"/>
    </xf>
    <xf numFmtId="0" fontId="0" fillId="0" borderId="0" xfId="0" applyFont="1" applyBorder="1" applyAlignment="1">
      <alignment horizontal="left" vertical="center" wrapText="1"/>
    </xf>
    <xf numFmtId="0" fontId="1" fillId="0" borderId="0" xfId="0" applyFont="1" applyAlignment="1">
      <alignment horizontal="center" vertical="center" wrapText="1"/>
    </xf>
    <xf numFmtId="0" fontId="0" fillId="0" borderId="0" xfId="0" applyAlignment="1">
      <alignment horizontal="left" vertical="top" wrapText="1"/>
    </xf>
    <xf numFmtId="0" fontId="0" fillId="0" borderId="0" xfId="0" applyAlignment="1">
      <alignment horizontal="right" vertical="top" wrapText="1"/>
    </xf>
    <xf numFmtId="0" fontId="9" fillId="0" borderId="0" xfId="0" applyFont="1" applyAlignment="1">
      <alignment vertical="top" wrapText="1"/>
    </xf>
    <xf numFmtId="0" fontId="3" fillId="0" borderId="0" xfId="0" applyFont="1" applyBorder="1" applyAlignment="1">
      <alignment vertical="top" wrapText="1"/>
    </xf>
    <xf numFmtId="0" fontId="3" fillId="0" borderId="0" xfId="0" applyFont="1" applyFill="1" applyBorder="1" applyAlignment="1">
      <alignment horizontal="left" vertical="center" wrapText="1"/>
    </xf>
    <xf numFmtId="2" fontId="0" fillId="6" borderId="0" xfId="0" applyNumberFormat="1" applyFont="1" applyFill="1" applyAlignment="1">
      <alignment horizontal="right" vertical="center" wrapText="1"/>
    </xf>
    <xf numFmtId="0" fontId="0" fillId="0" borderId="0" xfId="0" applyFont="1" applyAlignment="1">
      <alignment horizontal="left" vertical="center" wrapText="1"/>
    </xf>
    <xf numFmtId="44" fontId="0" fillId="0" borderId="0" xfId="0" applyNumberFormat="1" applyFont="1" applyAlignment="1">
      <alignment vertical="top" wrapText="1"/>
    </xf>
    <xf numFmtId="0" fontId="0" fillId="6" borderId="0" xfId="0" applyFont="1" applyFill="1" applyBorder="1" applyAlignment="1">
      <alignment horizontal="left" vertical="top" wrapText="1"/>
    </xf>
    <xf numFmtId="0" fontId="0" fillId="0" borderId="0" xfId="0" applyFont="1" applyFill="1" applyAlignment="1">
      <alignment horizontal="left" vertical="top" wrapText="1"/>
    </xf>
    <xf numFmtId="0" fontId="0" fillId="0" borderId="0" xfId="0" applyFont="1" applyBorder="1" applyAlignment="1">
      <alignment horizontal="left" vertical="top" wrapText="1"/>
    </xf>
    <xf numFmtId="0" fontId="0" fillId="0" borderId="0" xfId="0" applyFont="1" applyFill="1" applyBorder="1" applyAlignment="1">
      <alignment horizontal="left" vertical="top" wrapText="1"/>
    </xf>
    <xf numFmtId="164" fontId="0" fillId="0" borderId="0" xfId="1" applyFont="1" applyAlignment="1">
      <alignment horizontal="left" vertical="top" wrapText="1"/>
    </xf>
    <xf numFmtId="0" fontId="4" fillId="2" borderId="0" xfId="0" applyFont="1" applyFill="1" applyAlignment="1">
      <alignment horizontal="left" vertical="top" wrapText="1"/>
    </xf>
    <xf numFmtId="0" fontId="4" fillId="0" borderId="0" xfId="0" applyFont="1" applyAlignment="1">
      <alignment horizontal="left" vertical="top" wrapText="1"/>
    </xf>
    <xf numFmtId="167" fontId="0" fillId="0" borderId="0" xfId="0" applyNumberFormat="1" applyFont="1" applyAlignment="1">
      <alignment vertical="top" wrapText="1"/>
    </xf>
    <xf numFmtId="0" fontId="3" fillId="0" borderId="0" xfId="0" applyFont="1" applyBorder="1" applyAlignment="1">
      <alignment horizontal="center" vertical="center" wrapText="1"/>
    </xf>
    <xf numFmtId="0" fontId="1" fillId="0" borderId="0" xfId="0" applyFont="1" applyBorder="1" applyAlignment="1">
      <alignment horizontal="center" vertical="top" wrapText="1"/>
    </xf>
    <xf numFmtId="0" fontId="3" fillId="0" borderId="0" xfId="0" applyFont="1" applyBorder="1" applyAlignment="1">
      <alignment horizontal="left" vertical="center" wrapText="1"/>
    </xf>
    <xf numFmtId="0" fontId="3" fillId="0" borderId="0" xfId="0" applyFont="1" applyAlignment="1">
      <alignment vertical="center" wrapText="1"/>
    </xf>
    <xf numFmtId="0" fontId="3" fillId="0" borderId="0" xfId="0" applyFont="1" applyAlignment="1">
      <alignment horizontal="left" vertical="center" wrapText="1"/>
    </xf>
    <xf numFmtId="0" fontId="0" fillId="0" borderId="0" xfId="0" applyFont="1" applyAlignment="1">
      <alignment horizontal="left" vertical="top" wrapText="1"/>
    </xf>
    <xf numFmtId="2" fontId="8" fillId="6" borderId="0" xfId="0" applyNumberFormat="1" applyFont="1" applyFill="1" applyAlignment="1">
      <alignment horizontal="right" vertical="center" wrapText="1"/>
    </xf>
    <xf numFmtId="0" fontId="11" fillId="0" borderId="0" xfId="0" applyFont="1" applyAlignment="1"/>
    <xf numFmtId="0" fontId="0" fillId="0" borderId="0" xfId="0" applyFont="1" applyBorder="1" applyAlignment="1">
      <alignment horizontal="center" vertical="center" wrapText="1"/>
    </xf>
    <xf numFmtId="0" fontId="0" fillId="4" borderId="4" xfId="0" applyFont="1" applyFill="1" applyBorder="1" applyAlignment="1">
      <alignment vertical="top" wrapText="1"/>
    </xf>
    <xf numFmtId="0" fontId="0" fillId="3" borderId="0" xfId="0" applyFont="1" applyFill="1" applyBorder="1" applyAlignment="1">
      <alignment vertical="top" wrapText="1"/>
    </xf>
    <xf numFmtId="0" fontId="1" fillId="0" borderId="0" xfId="0" applyFont="1" applyAlignment="1">
      <alignment horizontal="center" vertical="center" wrapText="1"/>
    </xf>
    <xf numFmtId="0" fontId="3" fillId="0" borderId="0" xfId="0" applyFont="1" applyAlignment="1">
      <alignment horizontal="left" vertical="center" wrapText="1"/>
    </xf>
    <xf numFmtId="0" fontId="3" fillId="0" borderId="0" xfId="0" applyFont="1" applyFill="1" applyBorder="1" applyAlignment="1">
      <alignment horizontal="left" vertical="center" wrapText="1"/>
    </xf>
    <xf numFmtId="0" fontId="1" fillId="0" borderId="0" xfId="0" applyFont="1" applyBorder="1" applyAlignment="1">
      <alignment horizontal="center" vertical="center" wrapText="1"/>
    </xf>
    <xf numFmtId="0" fontId="0" fillId="6" borderId="0" xfId="0" applyFont="1" applyFill="1" applyAlignment="1">
      <alignment horizontal="left" vertical="top" wrapText="1"/>
    </xf>
    <xf numFmtId="0" fontId="0" fillId="6" borderId="0" xfId="0" applyFont="1" applyFill="1" applyAlignment="1">
      <alignment horizontal="left" vertical="center" wrapText="1"/>
    </xf>
    <xf numFmtId="0" fontId="0" fillId="0" borderId="0" xfId="0" applyFont="1" applyAlignment="1">
      <alignment horizontal="right" vertical="center" wrapText="1"/>
    </xf>
    <xf numFmtId="0" fontId="0" fillId="0" borderId="0" xfId="0" applyFont="1" applyAlignment="1">
      <alignment vertical="center" wrapText="1"/>
    </xf>
    <xf numFmtId="0" fontId="0" fillId="0" borderId="0" xfId="0" applyFont="1" applyFill="1" applyBorder="1" applyAlignment="1">
      <alignment horizontal="left" vertical="center" wrapText="1"/>
    </xf>
    <xf numFmtId="0" fontId="3" fillId="0" borderId="1" xfId="0" applyFont="1" applyBorder="1" applyAlignment="1">
      <alignment horizontal="left" vertical="center" wrapText="1"/>
    </xf>
    <xf numFmtId="0" fontId="3" fillId="0" borderId="4" xfId="0" applyFont="1" applyFill="1" applyBorder="1" applyAlignment="1">
      <alignment horizontal="left" vertical="center" wrapText="1"/>
    </xf>
    <xf numFmtId="0" fontId="3" fillId="0" borderId="6" xfId="0" applyFont="1" applyFill="1" applyBorder="1" applyAlignment="1">
      <alignment horizontal="left" vertical="center" wrapText="1"/>
    </xf>
    <xf numFmtId="2" fontId="0" fillId="0" borderId="0" xfId="0" applyNumberFormat="1" applyFont="1" applyFill="1" applyBorder="1" applyAlignment="1">
      <alignment vertical="center" wrapText="1"/>
    </xf>
    <xf numFmtId="2" fontId="0" fillId="0" borderId="0" xfId="0" applyNumberFormat="1" applyFont="1" applyFill="1" applyBorder="1" applyAlignment="1">
      <alignment horizontal="right" vertical="center" wrapText="1"/>
    </xf>
    <xf numFmtId="2" fontId="0" fillId="7" borderId="0" xfId="0" applyNumberFormat="1" applyFont="1" applyFill="1" applyBorder="1" applyAlignment="1">
      <alignment horizontal="right" vertical="center" wrapText="1"/>
    </xf>
    <xf numFmtId="2" fontId="0" fillId="0" borderId="5" xfId="0" applyNumberFormat="1" applyFont="1" applyFill="1" applyBorder="1" applyAlignment="1">
      <alignment horizontal="right" vertical="center" wrapText="1"/>
    </xf>
    <xf numFmtId="2" fontId="0" fillId="0" borderId="7" xfId="0" applyNumberFormat="1" applyFont="1" applyFill="1" applyBorder="1" applyAlignment="1">
      <alignment horizontal="right" vertical="center" wrapText="1"/>
    </xf>
    <xf numFmtId="2" fontId="0" fillId="0" borderId="8" xfId="0" applyNumberFormat="1" applyFont="1" applyFill="1" applyBorder="1" applyAlignment="1">
      <alignment horizontal="right" vertical="center" wrapText="1"/>
    </xf>
    <xf numFmtId="164" fontId="0" fillId="0" borderId="2" xfId="0" applyNumberFormat="1" applyFont="1" applyBorder="1" applyAlignment="1">
      <alignment horizontal="right" vertical="center" wrapText="1"/>
    </xf>
    <xf numFmtId="164" fontId="0" fillId="0" borderId="3" xfId="0" applyNumberFormat="1" applyFont="1" applyBorder="1" applyAlignment="1">
      <alignment horizontal="right"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9" fontId="0" fillId="0" borderId="0" xfId="0" applyNumberFormat="1" applyFont="1" applyBorder="1" applyAlignment="1">
      <alignment horizontal="center" vertical="center" wrapText="1"/>
    </xf>
    <xf numFmtId="0" fontId="0" fillId="0" borderId="0" xfId="0" applyFont="1" applyFill="1" applyAlignment="1">
      <alignment horizontal="right" vertical="center" wrapText="1"/>
    </xf>
    <xf numFmtId="0" fontId="0" fillId="6" borderId="0" xfId="0" applyFont="1" applyFill="1" applyAlignment="1">
      <alignment horizontal="right" vertical="center" wrapText="1"/>
    </xf>
    <xf numFmtId="167" fontId="0" fillId="6" borderId="0" xfId="0" applyNumberFormat="1" applyFont="1" applyFill="1" applyAlignment="1">
      <alignment horizontal="right" vertical="center" wrapText="1"/>
    </xf>
    <xf numFmtId="0" fontId="0" fillId="4" borderId="0" xfId="0" applyFont="1" applyFill="1" applyAlignment="1">
      <alignment horizontal="right" vertical="center" wrapText="1"/>
    </xf>
    <xf numFmtId="0" fontId="0" fillId="3" borderId="0" xfId="0" applyFont="1" applyFill="1" applyAlignment="1">
      <alignment horizontal="right" vertical="center" wrapText="1"/>
    </xf>
    <xf numFmtId="0" fontId="0" fillId="5" borderId="0" xfId="0" applyFont="1" applyFill="1" applyAlignment="1">
      <alignment horizontal="right" vertical="center" wrapText="1"/>
    </xf>
    <xf numFmtId="167" fontId="0" fillId="0" borderId="0" xfId="0" applyNumberFormat="1" applyFont="1" applyAlignment="1">
      <alignment horizontal="right" vertical="center" wrapText="1"/>
    </xf>
    <xf numFmtId="1" fontId="0" fillId="0" borderId="0" xfId="0" applyNumberFormat="1" applyFont="1" applyAlignment="1">
      <alignment horizontal="right" vertical="center" wrapText="1"/>
    </xf>
    <xf numFmtId="2" fontId="0" fillId="6" borderId="0" xfId="1" applyNumberFormat="1" applyFont="1" applyFill="1" applyAlignment="1">
      <alignment horizontal="right" vertical="center" wrapText="1"/>
    </xf>
    <xf numFmtId="166" fontId="0" fillId="0" borderId="0" xfId="0" applyNumberFormat="1" applyFont="1" applyAlignment="1">
      <alignment vertical="center" wrapText="1"/>
    </xf>
    <xf numFmtId="44" fontId="0" fillId="0" borderId="0" xfId="0" applyNumberFormat="1" applyFont="1" applyAlignment="1">
      <alignment vertical="center" wrapText="1"/>
    </xf>
    <xf numFmtId="0" fontId="0" fillId="0" borderId="0" xfId="0" applyFont="1" applyBorder="1" applyAlignment="1">
      <alignment vertical="center" wrapText="1"/>
    </xf>
    <xf numFmtId="9" fontId="0" fillId="0" borderId="0" xfId="2" applyFont="1" applyBorder="1" applyAlignment="1">
      <alignment vertical="center" wrapText="1"/>
    </xf>
    <xf numFmtId="168" fontId="0" fillId="0" borderId="0" xfId="2" applyNumberFormat="1" applyFont="1" applyFill="1" applyBorder="1" applyAlignment="1">
      <alignment vertical="center" wrapText="1"/>
    </xf>
    <xf numFmtId="9" fontId="0" fillId="0" borderId="0" xfId="2" applyFont="1" applyFill="1" applyBorder="1" applyAlignment="1">
      <alignment vertical="center" wrapText="1"/>
    </xf>
    <xf numFmtId="168" fontId="2" fillId="0" borderId="0" xfId="2" applyNumberFormat="1" applyFont="1" applyBorder="1" applyAlignment="1">
      <alignment vertical="center" wrapText="1"/>
    </xf>
    <xf numFmtId="168" fontId="3" fillId="0" borderId="0" xfId="2" applyNumberFormat="1" applyFont="1" applyBorder="1" applyAlignment="1">
      <alignment vertical="center" wrapText="1"/>
    </xf>
    <xf numFmtId="10" fontId="3" fillId="0" borderId="0" xfId="2" applyNumberFormat="1" applyFont="1" applyBorder="1" applyAlignment="1">
      <alignment vertical="center" wrapText="1"/>
    </xf>
    <xf numFmtId="9" fontId="0" fillId="4" borderId="0" xfId="2" applyFont="1" applyFill="1" applyAlignment="1">
      <alignment horizontal="right" vertical="center" wrapText="1"/>
    </xf>
    <xf numFmtId="9" fontId="0" fillId="3" borderId="0" xfId="2" applyFont="1" applyFill="1" applyAlignment="1">
      <alignment horizontal="right" vertical="center" wrapText="1"/>
    </xf>
    <xf numFmtId="9" fontId="0" fillId="5" borderId="0" xfId="2" applyFont="1" applyFill="1" applyAlignment="1">
      <alignment horizontal="right" vertical="center" wrapText="1"/>
    </xf>
    <xf numFmtId="2" fontId="0" fillId="4" borderId="0" xfId="2" applyNumberFormat="1" applyFont="1" applyFill="1" applyAlignment="1">
      <alignment horizontal="right" vertical="center" wrapText="1"/>
    </xf>
    <xf numFmtId="2" fontId="0" fillId="3" borderId="0" xfId="2" applyNumberFormat="1" applyFont="1" applyFill="1" applyAlignment="1">
      <alignment horizontal="right" vertical="center" wrapText="1"/>
    </xf>
    <xf numFmtId="2" fontId="0" fillId="5" borderId="0" xfId="2" applyNumberFormat="1" applyFont="1" applyFill="1" applyAlignment="1">
      <alignment horizontal="right" vertical="center" wrapText="1"/>
    </xf>
    <xf numFmtId="2" fontId="0" fillId="0" borderId="0" xfId="2" applyNumberFormat="1" applyFont="1" applyBorder="1" applyAlignment="1">
      <alignment vertical="center" wrapText="1"/>
    </xf>
    <xf numFmtId="0" fontId="3" fillId="0" borderId="0" xfId="0" applyFont="1" applyBorder="1" applyAlignment="1">
      <alignment horizontal="left" vertical="top" wrapText="1"/>
    </xf>
    <xf numFmtId="9" fontId="2" fillId="0" borderId="0" xfId="2" applyFont="1" applyFill="1" applyBorder="1" applyAlignment="1">
      <alignment horizontal="left" vertical="top" wrapText="1"/>
    </xf>
    <xf numFmtId="0" fontId="0" fillId="0" borderId="0" xfId="0" applyFont="1" applyAlignment="1">
      <alignment horizontal="center" vertical="top" wrapText="1"/>
    </xf>
    <xf numFmtId="0" fontId="0" fillId="0" borderId="0" xfId="0" applyFont="1" applyFill="1" applyBorder="1" applyAlignment="1">
      <alignment horizontal="left" vertical="center"/>
    </xf>
    <xf numFmtId="164" fontId="0" fillId="6" borderId="0" xfId="1" applyFont="1" applyFill="1" applyAlignment="1">
      <alignment horizontal="left" vertical="center" wrapText="1"/>
    </xf>
    <xf numFmtId="164" fontId="3" fillId="6" borderId="0" xfId="1" applyFont="1" applyFill="1" applyAlignment="1">
      <alignment horizontal="left" vertical="center" wrapText="1"/>
    </xf>
    <xf numFmtId="164" fontId="3" fillId="0" borderId="0" xfId="0" applyNumberFormat="1" applyFont="1" applyBorder="1" applyAlignment="1">
      <alignment horizontal="right" vertical="center" wrapText="1"/>
    </xf>
    <xf numFmtId="167" fontId="0" fillId="0" borderId="0" xfId="0" applyNumberFormat="1" applyFont="1" applyBorder="1" applyAlignment="1">
      <alignment horizontal="left" vertical="top" wrapText="1"/>
    </xf>
    <xf numFmtId="164" fontId="3" fillId="0" borderId="0" xfId="1" applyFont="1" applyBorder="1" applyAlignment="1">
      <alignment horizontal="right" vertical="center" wrapText="1"/>
    </xf>
    <xf numFmtId="0" fontId="0" fillId="6" borderId="0" xfId="0" applyFont="1" applyFill="1" applyAlignment="1">
      <alignment horizontal="left" vertical="top" wrapText="1"/>
    </xf>
    <xf numFmtId="0" fontId="3" fillId="0" borderId="0" xfId="0" applyFont="1" applyAlignment="1">
      <alignment horizontal="left" vertical="top" wrapText="1"/>
    </xf>
    <xf numFmtId="0" fontId="0" fillId="0" borderId="0" xfId="0" applyFont="1" applyFill="1" applyAlignment="1">
      <alignment horizontal="left" vertical="center" wrapText="1"/>
    </xf>
    <xf numFmtId="0" fontId="3" fillId="0" borderId="0" xfId="0" applyFont="1" applyFill="1" applyAlignment="1">
      <alignment horizontal="left" vertical="center" wrapText="1"/>
    </xf>
    <xf numFmtId="0" fontId="3" fillId="0" borderId="0" xfId="0" applyFont="1" applyFill="1" applyAlignment="1">
      <alignment horizontal="left" vertical="top" wrapText="1"/>
    </xf>
    <xf numFmtId="0" fontId="3" fillId="0" borderId="0" xfId="0" applyFont="1" applyFill="1" applyBorder="1" applyAlignment="1">
      <alignment horizontal="left" vertical="center"/>
    </xf>
    <xf numFmtId="0" fontId="1" fillId="0" borderId="0" xfId="0" applyFont="1" applyFill="1" applyBorder="1" applyAlignment="1">
      <alignment horizontal="left" vertical="center"/>
    </xf>
    <xf numFmtId="0" fontId="0" fillId="0" borderId="0" xfId="0" applyFont="1" applyFill="1" applyAlignment="1">
      <alignment horizontal="left" vertical="center"/>
    </xf>
    <xf numFmtId="0" fontId="6" fillId="0" borderId="0" xfId="26" applyFill="1" applyBorder="1" applyAlignment="1">
      <alignment horizontal="left" vertical="center"/>
    </xf>
    <xf numFmtId="10" fontId="0" fillId="0" borderId="0" xfId="0" applyNumberFormat="1" applyFont="1" applyFill="1" applyBorder="1" applyAlignment="1">
      <alignment horizontal="left" vertical="center"/>
    </xf>
    <xf numFmtId="0" fontId="1" fillId="0" borderId="0" xfId="0" applyFont="1" applyFill="1" applyAlignment="1">
      <alignment horizontal="left" vertical="center"/>
    </xf>
    <xf numFmtId="2" fontId="0" fillId="0" borderId="0" xfId="0" applyNumberFormat="1" applyFont="1" applyFill="1" applyBorder="1" applyAlignment="1">
      <alignment horizontal="left" vertical="center"/>
    </xf>
    <xf numFmtId="0" fontId="3" fillId="0" borderId="0" xfId="0" applyFont="1" applyFill="1" applyAlignment="1">
      <alignment vertical="center" wrapText="1"/>
    </xf>
    <xf numFmtId="1" fontId="3" fillId="0" borderId="0" xfId="0" applyNumberFormat="1" applyFont="1" applyFill="1" applyAlignment="1">
      <alignment vertical="center" wrapText="1"/>
    </xf>
    <xf numFmtId="0" fontId="0" fillId="0" borderId="1" xfId="0" applyFont="1" applyFill="1" applyBorder="1" applyAlignment="1">
      <alignment horizontal="left" vertical="center" wrapText="1"/>
    </xf>
    <xf numFmtId="0" fontId="0" fillId="0" borderId="4" xfId="0" applyFont="1" applyFill="1" applyBorder="1" applyAlignment="1">
      <alignment horizontal="left" vertical="center" wrapText="1"/>
    </xf>
    <xf numFmtId="0" fontId="0" fillId="0" borderId="0" xfId="0" applyFont="1" applyFill="1" applyAlignment="1">
      <alignment vertical="center" wrapText="1"/>
    </xf>
    <xf numFmtId="2" fontId="0" fillId="0" borderId="0" xfId="0" applyNumberFormat="1" applyFont="1" applyFill="1" applyAlignment="1">
      <alignment horizontal="right" vertical="center" wrapText="1"/>
    </xf>
    <xf numFmtId="0" fontId="8" fillId="0" borderId="0" xfId="0" applyFont="1" applyFill="1" applyAlignment="1">
      <alignment horizontal="left" vertical="top" wrapText="1"/>
    </xf>
    <xf numFmtId="0" fontId="8" fillId="0" borderId="0" xfId="0" applyFont="1" applyFill="1" applyBorder="1" applyAlignment="1">
      <alignment horizontal="left" vertical="top" wrapText="1"/>
    </xf>
    <xf numFmtId="2" fontId="8" fillId="0" borderId="0" xfId="0" applyNumberFormat="1" applyFont="1" applyFill="1" applyAlignment="1">
      <alignment horizontal="right" vertical="center" wrapText="1"/>
    </xf>
    <xf numFmtId="0" fontId="8" fillId="0" borderId="0" xfId="0" applyFont="1" applyFill="1" applyBorder="1" applyAlignment="1">
      <alignment horizontal="left" vertical="center" wrapText="1"/>
    </xf>
    <xf numFmtId="0" fontId="8" fillId="0" borderId="0" xfId="0" applyFont="1" applyFill="1" applyAlignment="1">
      <alignment horizontal="right" vertical="center" wrapText="1"/>
    </xf>
    <xf numFmtId="0" fontId="10" fillId="0" borderId="0" xfId="0" applyFont="1" applyFill="1" applyAlignment="1">
      <alignment horizontal="left" vertical="center" wrapText="1"/>
    </xf>
    <xf numFmtId="44" fontId="10" fillId="0" borderId="0" xfId="0" applyNumberFormat="1" applyFont="1" applyFill="1" applyAlignment="1">
      <alignment horizontal="right" vertical="center" wrapText="1"/>
    </xf>
    <xf numFmtId="0" fontId="9" fillId="0" borderId="0" xfId="0" applyFont="1" applyFill="1" applyBorder="1" applyAlignment="1">
      <alignment horizontal="left" vertical="top" wrapText="1"/>
    </xf>
    <xf numFmtId="0" fontId="10" fillId="0" borderId="0" xfId="0" applyFont="1" applyFill="1" applyBorder="1" applyAlignment="1">
      <alignment horizontal="left" vertical="center" wrapText="1"/>
    </xf>
    <xf numFmtId="44" fontId="10" fillId="0" borderId="0" xfId="0" applyNumberFormat="1" applyFont="1" applyFill="1" applyBorder="1" applyAlignment="1">
      <alignment horizontal="left" vertical="center" wrapText="1"/>
    </xf>
    <xf numFmtId="0" fontId="0" fillId="0" borderId="0" xfId="1" applyNumberFormat="1" applyFont="1" applyFill="1" applyAlignment="1">
      <alignment vertical="center" wrapText="1"/>
    </xf>
    <xf numFmtId="0" fontId="0" fillId="0" borderId="0" xfId="0" applyFont="1" applyFill="1" applyAlignment="1">
      <alignment vertical="top" wrapText="1"/>
    </xf>
    <xf numFmtId="0" fontId="0" fillId="0" borderId="0" xfId="0" applyFont="1" applyFill="1" applyAlignment="1">
      <alignment horizontal="left" vertical="top" wrapText="1"/>
    </xf>
    <xf numFmtId="0" fontId="1" fillId="0" borderId="0" xfId="0" applyFont="1" applyFill="1" applyAlignment="1">
      <alignment horizontal="center" vertical="center" wrapText="1"/>
    </xf>
    <xf numFmtId="1" fontId="2" fillId="0" borderId="2" xfId="1" applyNumberFormat="1" applyFont="1" applyFill="1" applyBorder="1" applyAlignment="1">
      <alignment vertical="center" wrapText="1"/>
    </xf>
    <xf numFmtId="1" fontId="2" fillId="0" borderId="3" xfId="1" applyNumberFormat="1" applyFont="1" applyFill="1" applyBorder="1" applyAlignment="1">
      <alignment vertical="center" wrapText="1"/>
    </xf>
    <xf numFmtId="0" fontId="0" fillId="0" borderId="0" xfId="1" applyNumberFormat="1" applyFont="1" applyFill="1" applyAlignment="1">
      <alignment vertical="top" wrapText="1"/>
    </xf>
    <xf numFmtId="170" fontId="0" fillId="0" borderId="0" xfId="1" applyNumberFormat="1" applyFont="1" applyFill="1" applyBorder="1" applyAlignment="1">
      <alignment vertical="center" wrapText="1"/>
    </xf>
    <xf numFmtId="170" fontId="0" fillId="0" borderId="5" xfId="1" applyNumberFormat="1" applyFont="1" applyFill="1" applyBorder="1" applyAlignment="1">
      <alignment vertical="center" wrapText="1"/>
    </xf>
    <xf numFmtId="0" fontId="3" fillId="0" borderId="0" xfId="0" applyFont="1" applyFill="1" applyAlignment="1">
      <alignment horizontal="right" vertical="top" wrapText="1"/>
    </xf>
    <xf numFmtId="0" fontId="3" fillId="0" borderId="0" xfId="0" applyFont="1" applyFill="1" applyAlignment="1">
      <alignment horizontal="center" vertical="top" wrapText="1"/>
    </xf>
    <xf numFmtId="44" fontId="3" fillId="0" borderId="7" xfId="1" applyNumberFormat="1" applyFont="1" applyFill="1" applyBorder="1" applyAlignment="1">
      <alignment vertical="center" wrapText="1"/>
    </xf>
    <xf numFmtId="44" fontId="3" fillId="0" borderId="8" xfId="1" applyNumberFormat="1" applyFont="1" applyFill="1" applyBorder="1" applyAlignment="1">
      <alignment vertical="center" wrapText="1"/>
    </xf>
    <xf numFmtId="0" fontId="0" fillId="0" borderId="0" xfId="0" applyFont="1" applyFill="1" applyAlignment="1">
      <alignment horizontal="right" vertical="top" wrapText="1"/>
    </xf>
    <xf numFmtId="9" fontId="0" fillId="0" borderId="0" xfId="2" applyFont="1" applyFill="1" applyBorder="1" applyAlignment="1">
      <alignment horizontal="left" vertical="top" wrapText="1"/>
    </xf>
    <xf numFmtId="0" fontId="1" fillId="0" borderId="0" xfId="0" applyFont="1" applyFill="1" applyAlignment="1">
      <alignment vertical="top" wrapText="1"/>
    </xf>
    <xf numFmtId="44" fontId="0" fillId="0" borderId="0" xfId="1" applyNumberFormat="1" applyFont="1" applyFill="1" applyBorder="1" applyAlignment="1">
      <alignment vertical="center" wrapText="1"/>
    </xf>
    <xf numFmtId="2" fontId="0" fillId="0" borderId="0" xfId="1" applyNumberFormat="1" applyFont="1" applyFill="1" applyBorder="1" applyAlignment="1">
      <alignment vertical="center" wrapText="1"/>
    </xf>
    <xf numFmtId="2" fontId="0" fillId="0" borderId="5" xfId="1" applyNumberFormat="1" applyFont="1" applyFill="1" applyBorder="1" applyAlignment="1">
      <alignment vertical="center" wrapText="1"/>
    </xf>
    <xf numFmtId="2" fontId="3" fillId="0" borderId="7" xfId="1" applyNumberFormat="1" applyFont="1" applyFill="1" applyBorder="1" applyAlignment="1">
      <alignment vertical="center" wrapText="1"/>
    </xf>
    <xf numFmtId="2" fontId="3" fillId="0" borderId="8" xfId="1" applyNumberFormat="1" applyFont="1" applyFill="1" applyBorder="1" applyAlignment="1">
      <alignment vertical="center" wrapText="1"/>
    </xf>
    <xf numFmtId="164" fontId="3" fillId="0" borderId="0" xfId="1" applyFont="1" applyFill="1" applyBorder="1" applyAlignment="1">
      <alignment horizontal="right" vertical="center" wrapText="1"/>
    </xf>
    <xf numFmtId="0" fontId="3" fillId="0" borderId="0" xfId="0" applyFont="1" applyFill="1" applyBorder="1" applyAlignment="1">
      <alignment horizontal="left" vertical="top" wrapText="1"/>
    </xf>
    <xf numFmtId="168" fontId="2" fillId="0" borderId="0" xfId="2" applyNumberFormat="1" applyFont="1" applyFill="1" applyBorder="1" applyAlignment="1">
      <alignment vertical="center" wrapText="1"/>
    </xf>
    <xf numFmtId="169" fontId="0" fillId="0" borderId="0" xfId="0" applyNumberFormat="1" applyFont="1" applyFill="1" applyBorder="1" applyAlignment="1">
      <alignment vertical="center" wrapText="1"/>
    </xf>
    <xf numFmtId="164" fontId="3" fillId="0" borderId="0" xfId="1" applyNumberFormat="1" applyFont="1" applyFill="1" applyBorder="1" applyAlignment="1">
      <alignment vertical="center" wrapText="1"/>
    </xf>
    <xf numFmtId="168" fontId="0" fillId="4" borderId="0" xfId="2" applyNumberFormat="1" applyFont="1" applyFill="1" applyAlignment="1">
      <alignment horizontal="right" vertical="center" wrapText="1"/>
    </xf>
    <xf numFmtId="168" fontId="0" fillId="6" borderId="0" xfId="2" applyNumberFormat="1" applyFont="1" applyFill="1" applyAlignment="1">
      <alignment horizontal="right" vertical="center" wrapText="1"/>
    </xf>
    <xf numFmtId="164" fontId="0" fillId="0" borderId="0" xfId="1" applyFont="1" applyFill="1" applyAlignment="1">
      <alignment vertical="center" wrapText="1"/>
    </xf>
    <xf numFmtId="164" fontId="0" fillId="4" borderId="0" xfId="1" applyFont="1" applyFill="1" applyAlignment="1">
      <alignment vertical="center" wrapText="1"/>
    </xf>
    <xf numFmtId="164" fontId="0" fillId="3" borderId="0" xfId="1" applyFont="1" applyFill="1" applyAlignment="1">
      <alignment vertical="center" wrapText="1"/>
    </xf>
    <xf numFmtId="164" fontId="0" fillId="5" borderId="0" xfId="1" applyFont="1" applyFill="1" applyAlignment="1">
      <alignment vertical="center" wrapText="1"/>
    </xf>
    <xf numFmtId="2" fontId="0" fillId="0" borderId="0" xfId="129" applyNumberFormat="1" applyFont="1" applyFill="1" applyAlignment="1">
      <alignment horizontal="right" vertical="center" wrapText="1"/>
    </xf>
    <xf numFmtId="164" fontId="3" fillId="0" borderId="0" xfId="1" applyFont="1" applyFill="1" applyAlignment="1">
      <alignment horizontal="right" vertical="center" wrapText="1"/>
    </xf>
    <xf numFmtId="2" fontId="8" fillId="0" borderId="4" xfId="1" applyNumberFormat="1" applyFont="1" applyFill="1" applyBorder="1" applyAlignment="1">
      <alignment horizontal="right" vertical="center" wrapText="1"/>
    </xf>
    <xf numFmtId="0" fontId="0" fillId="0" borderId="5" xfId="1" applyNumberFormat="1" applyFont="1" applyFill="1" applyBorder="1" applyAlignment="1">
      <alignment horizontal="left" vertical="top" wrapText="1"/>
    </xf>
    <xf numFmtId="164" fontId="0" fillId="0" borderId="5" xfId="1" applyFont="1" applyFill="1" applyBorder="1" applyAlignment="1">
      <alignment horizontal="left" vertical="top" wrapText="1"/>
    </xf>
    <xf numFmtId="2" fontId="9" fillId="6" borderId="6" xfId="1" applyNumberFormat="1" applyFont="1" applyFill="1" applyBorder="1" applyAlignment="1">
      <alignment vertical="top" wrapText="1"/>
    </xf>
    <xf numFmtId="0" fontId="0" fillId="6" borderId="8" xfId="1" applyNumberFormat="1" applyFont="1" applyFill="1" applyBorder="1" applyAlignment="1">
      <alignment horizontal="left" vertical="top" wrapText="1"/>
    </xf>
    <xf numFmtId="0" fontId="0" fillId="8" borderId="0" xfId="0" applyFont="1" applyFill="1" applyAlignment="1">
      <alignment horizontal="right" vertical="center" wrapText="1"/>
    </xf>
    <xf numFmtId="9" fontId="0" fillId="8" borderId="0" xfId="2" applyFont="1" applyFill="1" applyBorder="1" applyAlignment="1">
      <alignment vertical="center" wrapText="1"/>
    </xf>
    <xf numFmtId="2" fontId="0" fillId="0" borderId="0" xfId="0" applyNumberFormat="1" applyFont="1" applyAlignment="1">
      <alignment vertical="top" wrapText="1"/>
    </xf>
    <xf numFmtId="0" fontId="0" fillId="0" borderId="0" xfId="0" applyFont="1" applyAlignment="1">
      <alignment horizontal="center" vertical="top" wrapText="1"/>
    </xf>
    <xf numFmtId="0" fontId="1" fillId="0" borderId="0" xfId="0" applyFont="1" applyAlignment="1">
      <alignment horizontal="center" vertical="center" wrapText="1"/>
    </xf>
    <xf numFmtId="44" fontId="0" fillId="6" borderId="0" xfId="0" applyNumberFormat="1" applyFont="1" applyFill="1" applyAlignment="1">
      <alignment horizontal="left" vertical="center" wrapText="1"/>
    </xf>
    <xf numFmtId="164" fontId="0" fillId="6" borderId="0" xfId="0" applyNumberFormat="1" applyFont="1" applyFill="1" applyAlignment="1">
      <alignment horizontal="left" vertical="center" wrapText="1"/>
    </xf>
    <xf numFmtId="2" fontId="0" fillId="0" borderId="0" xfId="0" applyNumberFormat="1" applyFont="1" applyAlignment="1">
      <alignment horizontal="right" vertical="center" wrapText="1"/>
    </xf>
    <xf numFmtId="0" fontId="1" fillId="0" borderId="0" xfId="0" applyFont="1" applyAlignment="1">
      <alignment horizontal="center" vertical="center" wrapText="1"/>
    </xf>
    <xf numFmtId="0" fontId="0" fillId="0" borderId="0" xfId="0" applyFont="1" applyFill="1" applyAlignment="1">
      <alignment horizontal="left" vertical="top" wrapText="1"/>
    </xf>
    <xf numFmtId="0" fontId="3" fillId="0" borderId="0" xfId="0" applyFont="1" applyAlignment="1">
      <alignment horizontal="left" vertical="top" wrapText="1"/>
    </xf>
    <xf numFmtId="0" fontId="0" fillId="0" borderId="0" xfId="0" applyFont="1" applyBorder="1" applyAlignment="1">
      <alignment horizontal="center" vertical="center" wrapText="1"/>
    </xf>
    <xf numFmtId="0" fontId="3" fillId="0" borderId="0" xfId="0" applyFont="1" applyAlignment="1">
      <alignment horizontal="left" vertical="center" wrapText="1"/>
    </xf>
    <xf numFmtId="0" fontId="0" fillId="0" borderId="0" xfId="0" applyFont="1" applyAlignment="1">
      <alignment horizontal="center" vertical="top" wrapText="1"/>
    </xf>
    <xf numFmtId="0" fontId="1" fillId="0" borderId="0" xfId="0" applyFont="1" applyFill="1" applyAlignment="1">
      <alignment horizontal="center" vertical="center" wrapText="1"/>
    </xf>
    <xf numFmtId="0" fontId="3" fillId="0" borderId="0" xfId="0" applyFont="1" applyFill="1" applyBorder="1" applyAlignment="1">
      <alignment horizontal="left" vertical="center" wrapText="1"/>
    </xf>
    <xf numFmtId="0" fontId="1" fillId="0" borderId="0" xfId="0" applyFont="1" applyBorder="1" applyAlignment="1">
      <alignment horizontal="center" vertical="center" wrapText="1"/>
    </xf>
    <xf numFmtId="0" fontId="3" fillId="0" borderId="0" xfId="0" applyFont="1" applyFill="1" applyAlignment="1">
      <alignment horizontal="left" vertical="center" wrapText="1"/>
    </xf>
    <xf numFmtId="2" fontId="9" fillId="6" borderId="4" xfId="1" applyNumberFormat="1" applyFont="1" applyFill="1" applyBorder="1" applyAlignment="1">
      <alignment horizontal="right" vertical="center" wrapText="1"/>
    </xf>
    <xf numFmtId="0" fontId="0" fillId="6" borderId="5" xfId="1" applyNumberFormat="1" applyFont="1" applyFill="1" applyBorder="1" applyAlignment="1">
      <alignment horizontal="left" vertical="top" wrapText="1"/>
    </xf>
    <xf numFmtId="44" fontId="9" fillId="6" borderId="2" xfId="1" applyNumberFormat="1" applyFont="1" applyFill="1" applyBorder="1" applyAlignment="1">
      <alignment horizontal="right" vertical="center" wrapText="1"/>
    </xf>
    <xf numFmtId="0" fontId="0" fillId="6" borderId="0" xfId="0" applyFont="1" applyFill="1" applyAlignment="1">
      <alignment vertical="top" wrapText="1"/>
    </xf>
    <xf numFmtId="44" fontId="9" fillId="6" borderId="3" xfId="1" applyNumberFormat="1" applyFont="1" applyFill="1" applyBorder="1" applyAlignment="1">
      <alignment horizontal="right" vertical="center" wrapText="1"/>
    </xf>
    <xf numFmtId="2" fontId="9" fillId="6" borderId="0" xfId="1" applyNumberFormat="1" applyFont="1" applyFill="1" applyBorder="1" applyAlignment="1">
      <alignment vertical="center" wrapText="1"/>
    </xf>
    <xf numFmtId="2" fontId="9" fillId="6" borderId="5" xfId="1" applyNumberFormat="1" applyFont="1" applyFill="1" applyBorder="1" applyAlignment="1">
      <alignment vertical="center" wrapText="1"/>
    </xf>
    <xf numFmtId="9" fontId="0" fillId="6" borderId="0" xfId="0" applyNumberFormat="1" applyFont="1" applyFill="1" applyAlignment="1">
      <alignment horizontal="right" vertical="center" wrapText="1"/>
    </xf>
    <xf numFmtId="9" fontId="9" fillId="6" borderId="0" xfId="2" applyFont="1" applyFill="1" applyAlignment="1">
      <alignment horizontal="right" vertical="center" wrapText="1"/>
    </xf>
    <xf numFmtId="0" fontId="1" fillId="0" borderId="0" xfId="0" applyFont="1" applyAlignment="1">
      <alignment horizontal="center" vertical="center" wrapText="1"/>
    </xf>
    <xf numFmtId="0" fontId="0" fillId="0" borderId="0" xfId="0" applyFont="1" applyFill="1" applyAlignment="1">
      <alignment horizontal="left" vertical="top" wrapText="1"/>
    </xf>
    <xf numFmtId="0" fontId="3" fillId="0" borderId="0" xfId="0" applyFont="1" applyAlignment="1">
      <alignment horizontal="left" vertical="top" wrapText="1"/>
    </xf>
    <xf numFmtId="0" fontId="0" fillId="0" borderId="0" xfId="0" applyFont="1" applyBorder="1" applyAlignment="1">
      <alignment horizontal="center" vertical="center" wrapText="1"/>
    </xf>
    <xf numFmtId="164" fontId="0" fillId="0" borderId="5" xfId="0" applyNumberFormat="1" applyFont="1" applyFill="1" applyBorder="1" applyAlignment="1">
      <alignment horizontal="center" vertical="center" wrapText="1"/>
    </xf>
    <xf numFmtId="0" fontId="3" fillId="0" borderId="9" xfId="0" applyFont="1" applyBorder="1" applyAlignment="1">
      <alignment horizontal="left" vertical="center" wrapText="1"/>
    </xf>
    <xf numFmtId="0" fontId="3" fillId="0" borderId="10" xfId="0" applyFont="1" applyBorder="1" applyAlignment="1">
      <alignment horizontal="left"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0" xfId="0" applyFont="1" applyAlignment="1">
      <alignment horizontal="left" vertical="center" wrapText="1"/>
    </xf>
    <xf numFmtId="0" fontId="0" fillId="0" borderId="0" xfId="0" applyFont="1" applyAlignment="1">
      <alignment horizontal="center" vertical="top" wrapText="1"/>
    </xf>
    <xf numFmtId="0" fontId="1" fillId="0" borderId="5"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3" fillId="0" borderId="1" xfId="1" applyNumberFormat="1" applyFont="1" applyFill="1" applyBorder="1" applyAlignment="1">
      <alignment horizontal="left" vertical="center" wrapText="1"/>
    </xf>
    <xf numFmtId="0" fontId="3" fillId="0" borderId="3" xfId="1" applyNumberFormat="1" applyFont="1" applyFill="1" applyBorder="1" applyAlignment="1">
      <alignment horizontal="left" vertical="center" wrapText="1"/>
    </xf>
    <xf numFmtId="0" fontId="1" fillId="0" borderId="0" xfId="0" applyFont="1" applyFill="1" applyAlignment="1">
      <alignment horizontal="center" vertical="center" wrapText="1"/>
    </xf>
    <xf numFmtId="0" fontId="3" fillId="0" borderId="0" xfId="0" applyFont="1" applyFill="1" applyBorder="1" applyAlignment="1">
      <alignment horizontal="left" vertical="center" wrapText="1"/>
    </xf>
    <xf numFmtId="0" fontId="1" fillId="0" borderId="0" xfId="0" applyFont="1" applyBorder="1" applyAlignment="1">
      <alignment horizontal="center" vertical="center" wrapText="1"/>
    </xf>
    <xf numFmtId="0" fontId="3" fillId="0" borderId="0" xfId="0" applyFont="1" applyFill="1" applyAlignment="1">
      <alignment horizontal="left" vertical="center" wrapText="1"/>
    </xf>
    <xf numFmtId="0" fontId="0" fillId="0" borderId="4" xfId="0" applyFont="1" applyFill="1" applyBorder="1" applyAlignment="1">
      <alignment horizontal="left" vertical="top" wrapText="1"/>
    </xf>
  </cellXfs>
  <cellStyles count="230">
    <cellStyle name="Comma" xfId="129" builtinId="3"/>
    <cellStyle name="Currency" xfId="1" builtinId="4"/>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18" builtinId="9" hidden="1"/>
    <cellStyle name="Followed Hyperlink" xfId="119" builtinId="9" hidden="1"/>
    <cellStyle name="Followed Hyperlink" xfId="120"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28"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4" builtinId="9" hidden="1"/>
    <cellStyle name="Followed Hyperlink" xfId="135" builtinId="9" hidden="1"/>
    <cellStyle name="Followed Hyperlink" xfId="136"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cellStyle name="Normal" xfId="0" builtinId="0"/>
    <cellStyle name="Percent" xfId="2" builtinId="5"/>
  </cellStyles>
  <dxfs count="0"/>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8" Type="http://schemas.openxmlformats.org/officeDocument/2006/relationships/hyperlink" Target="https://dhsprogram.com/pubs/pdf/FR293/FR293.pdf" TargetMode="External"/><Relationship Id="rId3" Type="http://schemas.openxmlformats.org/officeDocument/2006/relationships/hyperlink" Target="http://ije.oxfordjournals.org/content/44/6/1879.abstract" TargetMode="External"/><Relationship Id="rId7" Type="http://schemas.openxmlformats.org/officeDocument/2006/relationships/hyperlink" Target="https://www.researchgate.net/profile/Samuel_Oti/publication/234126926_Perinatal_Mortality_in_Nigeria_Do_Place_of_Delivery_and_DeliveryAssistants_Matter/links/0c960526aa3534ec1c000000.pdf" TargetMode="External"/><Relationship Id="rId2" Type="http://schemas.openxmlformats.org/officeDocument/2006/relationships/hyperlink" Target="https://givewell.box.com/s/q5ouox1ujsarxopudphnz5yuyg4c959z" TargetMode="External"/><Relationship Id="rId1" Type="http://schemas.openxmlformats.org/officeDocument/2006/relationships/hyperlink" Target="https://dhsprogram.com/pubs/pdf/FR293/FR293.pdf" TargetMode="External"/><Relationship Id="rId6" Type="http://schemas.openxmlformats.org/officeDocument/2006/relationships/hyperlink" Target="http://bmcpregnancychildbirth.biomedcentral.com/articles/10.1186/1471-2393-13-18" TargetMode="External"/><Relationship Id="rId5" Type="http://schemas.openxmlformats.org/officeDocument/2006/relationships/hyperlink" Target="http://www.sciencedirect.com/science/article/pii/S0001706X99000881" TargetMode="External"/><Relationship Id="rId4" Type="http://schemas.openxmlformats.org/officeDocument/2006/relationships/hyperlink" Target="http://bmcpublichealth.biomedcentral.com/articles/10.1186/1471-2458-14-1014" TargetMode="External"/><Relationship Id="rId9" Type="http://schemas.openxmlformats.org/officeDocument/2006/relationships/hyperlink" Target="https://dhsprogram.com/pubs/pdf/FR293/FR29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8"/>
  <sheetViews>
    <sheetView tabSelected="1" workbookViewId="0"/>
  </sheetViews>
  <sheetFormatPr defaultColWidth="10.85546875" defaultRowHeight="14.1" customHeight="1" x14ac:dyDescent="0.2"/>
  <cols>
    <col min="1" max="1" width="12.28515625" style="1" customWidth="1"/>
    <col min="2" max="2" width="18.85546875" style="1" customWidth="1"/>
    <col min="3" max="3" width="36.28515625" style="1" customWidth="1"/>
    <col min="4" max="4" width="16.28515625" style="1" customWidth="1"/>
    <col min="5" max="5" width="15.7109375" style="1" customWidth="1"/>
    <col min="6" max="6" width="14.28515625" style="1" customWidth="1"/>
    <col min="7" max="7" width="16" style="1" customWidth="1"/>
    <col min="8" max="8" width="60" style="19" customWidth="1"/>
    <col min="9" max="9" width="11.42578125" style="1" customWidth="1"/>
    <col min="10" max="12" width="10.85546875" style="1"/>
    <col min="13" max="14" width="10.85546875" style="1" customWidth="1"/>
    <col min="15" max="16384" width="10.85546875" style="1"/>
  </cols>
  <sheetData>
    <row r="1" spans="1:14" ht="14.1" customHeight="1" x14ac:dyDescent="0.2">
      <c r="K1" s="3"/>
    </row>
    <row r="2" spans="1:14" ht="14.1" customHeight="1" x14ac:dyDescent="0.2">
      <c r="B2" s="209" t="s">
        <v>101</v>
      </c>
      <c r="C2" s="63" t="s">
        <v>17</v>
      </c>
      <c r="D2" s="72">
        <f>D125</f>
        <v>62512.420782903886</v>
      </c>
      <c r="E2" s="72">
        <f>E125</f>
        <v>16544.765309960487</v>
      </c>
      <c r="F2" s="73">
        <f>F125</f>
        <v>4292.8631911824014</v>
      </c>
      <c r="K2" s="3"/>
    </row>
    <row r="3" spans="1:14" ht="14.1" customHeight="1" x14ac:dyDescent="0.2">
      <c r="B3" s="209"/>
      <c r="C3" s="64" t="s">
        <v>180</v>
      </c>
      <c r="D3" s="67">
        <f>D130</f>
        <v>0.35504944012774442</v>
      </c>
      <c r="E3" s="68">
        <f>E130</f>
        <v>1.3415119274395442</v>
      </c>
      <c r="F3" s="69">
        <f>F130</f>
        <v>5.1702090217057997</v>
      </c>
      <c r="K3" s="27"/>
      <c r="L3" s="27"/>
      <c r="M3" s="27"/>
      <c r="N3" s="27"/>
    </row>
    <row r="4" spans="1:14" ht="14.1" customHeight="1" x14ac:dyDescent="0.2">
      <c r="B4" s="51"/>
      <c r="C4" s="65" t="s">
        <v>182</v>
      </c>
      <c r="D4" s="70">
        <f>D128</f>
        <v>3.6792688096139323E-2</v>
      </c>
      <c r="E4" s="70">
        <f>E128</f>
        <v>0.13901678004554863</v>
      </c>
      <c r="F4" s="71">
        <f>F128</f>
        <v>0.5357729556171813</v>
      </c>
      <c r="H4" s="48"/>
      <c r="K4" s="27"/>
      <c r="L4" s="27"/>
      <c r="M4" s="27"/>
      <c r="N4" s="27"/>
    </row>
    <row r="5" spans="1:14" ht="14.1" customHeight="1" x14ac:dyDescent="0.2">
      <c r="C5" s="24"/>
      <c r="D5" s="210" t="s">
        <v>102</v>
      </c>
      <c r="E5" s="52"/>
      <c r="F5" s="53"/>
      <c r="G5" s="2"/>
      <c r="H5" s="22" t="s">
        <v>100</v>
      </c>
      <c r="I5" s="25"/>
      <c r="J5" s="25"/>
      <c r="K5" s="5"/>
      <c r="L5" s="7"/>
      <c r="M5" s="7"/>
      <c r="N5" s="7"/>
    </row>
    <row r="6" spans="1:14" ht="14.1" customHeight="1" x14ac:dyDescent="0.2">
      <c r="C6" s="24"/>
      <c r="D6" s="210"/>
      <c r="E6" s="13"/>
      <c r="F6" s="14"/>
      <c r="G6" s="21"/>
      <c r="H6" s="23" t="s">
        <v>271</v>
      </c>
      <c r="I6" s="25"/>
      <c r="J6" s="25"/>
      <c r="K6" s="28"/>
      <c r="L6" s="7"/>
      <c r="M6" s="7"/>
      <c r="N6" s="7"/>
    </row>
    <row r="7" spans="1:14" ht="14.1" customHeight="1" x14ac:dyDescent="0.2">
      <c r="I7" s="25"/>
      <c r="K7" s="28"/>
      <c r="L7" s="7"/>
      <c r="M7" s="7"/>
      <c r="N7" s="7"/>
    </row>
    <row r="8" spans="1:14" ht="14.1" customHeight="1" x14ac:dyDescent="0.2">
      <c r="B8" s="3"/>
      <c r="C8" s="213" t="s">
        <v>7</v>
      </c>
      <c r="D8" s="213" t="s">
        <v>9</v>
      </c>
      <c r="E8" s="214"/>
      <c r="F8" s="215"/>
      <c r="G8" s="215" t="s">
        <v>1</v>
      </c>
      <c r="H8" s="211" t="s">
        <v>0</v>
      </c>
      <c r="K8" s="28"/>
      <c r="L8" s="7"/>
      <c r="M8" s="7"/>
      <c r="N8" s="7"/>
    </row>
    <row r="9" spans="1:14" ht="14.1" customHeight="1" x14ac:dyDescent="0.2">
      <c r="A9" s="46"/>
      <c r="B9" s="46"/>
      <c r="C9" s="216"/>
      <c r="D9" s="74" t="s">
        <v>80</v>
      </c>
      <c r="E9" s="75" t="s">
        <v>98</v>
      </c>
      <c r="F9" s="76" t="s">
        <v>99</v>
      </c>
      <c r="G9" s="217"/>
      <c r="H9" s="212"/>
      <c r="K9" s="28"/>
      <c r="L9" s="7"/>
      <c r="M9" s="7"/>
      <c r="N9" s="7"/>
    </row>
    <row r="10" spans="1:14" ht="14.1" customHeight="1" x14ac:dyDescent="0.2">
      <c r="A10" s="218" t="s">
        <v>194</v>
      </c>
      <c r="B10" s="218"/>
      <c r="C10" s="43"/>
      <c r="D10" s="44"/>
      <c r="E10" s="44"/>
      <c r="F10" s="44"/>
      <c r="G10" s="43"/>
      <c r="H10" s="45"/>
      <c r="K10" s="28"/>
      <c r="L10" s="7"/>
      <c r="M10" s="7"/>
      <c r="N10" s="7"/>
    </row>
    <row r="11" spans="1:14" ht="14.1" customHeight="1" x14ac:dyDescent="0.2">
      <c r="A11" s="47"/>
      <c r="B11" s="47"/>
      <c r="C11" s="25" t="s">
        <v>128</v>
      </c>
      <c r="D11" s="77">
        <v>4.2500000000000003E-2</v>
      </c>
      <c r="E11" s="77">
        <v>4.2500000000000003E-2</v>
      </c>
      <c r="F11" s="77">
        <v>4.2500000000000003E-2</v>
      </c>
      <c r="G11" s="37" t="s">
        <v>129</v>
      </c>
      <c r="H11" s="37" t="s">
        <v>181</v>
      </c>
      <c r="K11" s="28"/>
      <c r="L11" s="7"/>
      <c r="M11" s="7"/>
      <c r="N11" s="7"/>
    </row>
    <row r="12" spans="1:14" ht="14.1" customHeight="1" x14ac:dyDescent="0.2">
      <c r="A12" s="47"/>
      <c r="B12" s="47"/>
      <c r="C12" s="43"/>
      <c r="D12" s="57"/>
      <c r="E12" s="57"/>
      <c r="F12" s="57"/>
      <c r="G12" s="103"/>
      <c r="H12" s="103"/>
      <c r="I12" s="1" t="s">
        <v>92</v>
      </c>
      <c r="K12" s="28"/>
      <c r="L12" s="7"/>
      <c r="M12" s="7"/>
      <c r="N12" s="7"/>
    </row>
    <row r="13" spans="1:14" ht="14.1" customHeight="1" x14ac:dyDescent="0.2">
      <c r="A13" s="55" t="s">
        <v>210</v>
      </c>
      <c r="B13" s="55"/>
      <c r="C13" s="43"/>
      <c r="D13" s="57"/>
      <c r="E13" s="57"/>
      <c r="F13" s="57"/>
      <c r="G13" s="103"/>
      <c r="H13" s="103"/>
      <c r="K13" s="28"/>
      <c r="L13" s="7"/>
      <c r="M13" s="7"/>
      <c r="N13" s="7"/>
    </row>
    <row r="14" spans="1:14" ht="14.1" customHeight="1" x14ac:dyDescent="0.2">
      <c r="B14" s="206" t="s">
        <v>118</v>
      </c>
      <c r="C14" s="33" t="s">
        <v>18</v>
      </c>
      <c r="D14" s="81">
        <f>0.85*E14</f>
        <v>0.54400000000000004</v>
      </c>
      <c r="E14" s="82">
        <v>0.64</v>
      </c>
      <c r="F14" s="83">
        <f>1.15*E14</f>
        <v>0.73599999999999999</v>
      </c>
      <c r="G14" s="48" t="s">
        <v>138</v>
      </c>
      <c r="H14" s="36" t="s">
        <v>279</v>
      </c>
      <c r="K14" s="28"/>
      <c r="L14" s="7"/>
      <c r="M14" s="7"/>
      <c r="N14" s="7"/>
    </row>
    <row r="15" spans="1:14" ht="14.1" customHeight="1" x14ac:dyDescent="0.2">
      <c r="B15" s="206"/>
      <c r="C15" s="59" t="s">
        <v>273</v>
      </c>
      <c r="D15" s="32">
        <v>300</v>
      </c>
      <c r="E15" s="32">
        <f>D15</f>
        <v>300</v>
      </c>
      <c r="F15" s="32">
        <f>D15</f>
        <v>300</v>
      </c>
      <c r="G15" s="112" t="s">
        <v>276</v>
      </c>
      <c r="H15" s="112" t="s">
        <v>275</v>
      </c>
      <c r="K15" s="28"/>
      <c r="L15" s="7"/>
      <c r="M15" s="7"/>
      <c r="N15" s="7"/>
    </row>
    <row r="16" spans="1:14" ht="14.1" customHeight="1" x14ac:dyDescent="0.2">
      <c r="B16" s="206"/>
      <c r="C16" s="59" t="s">
        <v>284</v>
      </c>
      <c r="D16" s="184">
        <f>1000/D15</f>
        <v>3.3333333333333335</v>
      </c>
      <c r="E16" s="184">
        <f t="shared" ref="E16:F16" si="0">1000/E15</f>
        <v>3.3333333333333335</v>
      </c>
      <c r="F16" s="184">
        <f t="shared" si="0"/>
        <v>3.3333333333333335</v>
      </c>
      <c r="G16" s="112" t="s">
        <v>138</v>
      </c>
      <c r="H16" s="112" t="s">
        <v>286</v>
      </c>
      <c r="K16" s="28"/>
      <c r="L16" s="7"/>
      <c r="M16" s="7"/>
      <c r="N16" s="7"/>
    </row>
    <row r="17" spans="1:14" ht="14.1" customHeight="1" x14ac:dyDescent="0.2">
      <c r="B17" s="206"/>
      <c r="C17" s="59" t="s">
        <v>285</v>
      </c>
      <c r="D17" s="107">
        <f>10000/D15</f>
        <v>33.333333333333336</v>
      </c>
      <c r="E17" s="107">
        <f t="shared" ref="E17:F17" si="1">10000/E15</f>
        <v>33.333333333333336</v>
      </c>
      <c r="F17" s="107">
        <f t="shared" si="1"/>
        <v>33.333333333333336</v>
      </c>
      <c r="G17" s="112" t="s">
        <v>138</v>
      </c>
      <c r="H17" s="112" t="s">
        <v>274</v>
      </c>
      <c r="K17" s="28"/>
      <c r="L17" s="7"/>
      <c r="M17" s="7"/>
      <c r="N17" s="7"/>
    </row>
    <row r="18" spans="1:14" ht="14.1" customHeight="1" x14ac:dyDescent="0.2">
      <c r="B18" s="206"/>
      <c r="C18" s="59" t="s">
        <v>287</v>
      </c>
      <c r="D18" s="107">
        <f>D16/D14</f>
        <v>6.1274509803921564</v>
      </c>
      <c r="E18" s="107">
        <f t="shared" ref="E18:F18" si="2">E16/E14</f>
        <v>5.208333333333333</v>
      </c>
      <c r="F18" s="107">
        <f t="shared" si="2"/>
        <v>4.5289855072463769</v>
      </c>
      <c r="G18" s="48" t="s">
        <v>12</v>
      </c>
      <c r="H18" s="48"/>
      <c r="K18" s="28"/>
      <c r="L18" s="7"/>
      <c r="M18" s="7"/>
      <c r="N18" s="7"/>
    </row>
    <row r="19" spans="1:14" ht="14.1" customHeight="1" x14ac:dyDescent="0.2">
      <c r="B19" s="206"/>
      <c r="C19" s="59" t="s">
        <v>288</v>
      </c>
      <c r="D19" s="185">
        <f>D17/D14</f>
        <v>61.274509803921568</v>
      </c>
      <c r="E19" s="185">
        <f t="shared" ref="E19:F19" si="3">E17/E14</f>
        <v>52.083333333333336</v>
      </c>
      <c r="F19" s="185">
        <f t="shared" si="3"/>
        <v>45.289855072463773</v>
      </c>
      <c r="G19" s="48" t="s">
        <v>12</v>
      </c>
      <c r="H19" s="48"/>
      <c r="K19" s="28"/>
      <c r="L19" s="7"/>
      <c r="M19" s="7"/>
      <c r="N19" s="7"/>
    </row>
    <row r="20" spans="1:14" ht="14.1" customHeight="1" x14ac:dyDescent="0.2">
      <c r="B20" s="206"/>
      <c r="C20" s="115" t="s">
        <v>119</v>
      </c>
      <c r="D20" s="108">
        <f>D28*D19+D29*D16</f>
        <v>37113.039215686273</v>
      </c>
      <c r="E20" s="108">
        <f>E28*E19+E29*E16</f>
        <v>31754.583333333336</v>
      </c>
      <c r="F20" s="108">
        <f>F28*F19+F29*F16</f>
        <v>32702.89855072464</v>
      </c>
      <c r="G20" s="116" t="s">
        <v>12</v>
      </c>
      <c r="H20" s="48" t="s">
        <v>211</v>
      </c>
      <c r="K20" s="28"/>
      <c r="L20" s="7"/>
      <c r="M20" s="7"/>
      <c r="N20" s="7"/>
    </row>
    <row r="21" spans="1:14" ht="14.1" customHeight="1" x14ac:dyDescent="0.2">
      <c r="B21" s="54"/>
      <c r="C21" s="54"/>
      <c r="D21" s="54"/>
      <c r="E21" s="54"/>
      <c r="F21" s="54"/>
      <c r="G21" s="54"/>
      <c r="H21" s="48"/>
      <c r="K21" s="28"/>
      <c r="L21" s="7"/>
      <c r="M21" s="7"/>
      <c r="N21" s="7"/>
    </row>
    <row r="22" spans="1:14" ht="14.1" customHeight="1" x14ac:dyDescent="0.2">
      <c r="A22" s="218" t="s">
        <v>151</v>
      </c>
      <c r="B22" s="218"/>
      <c r="C22" s="218"/>
      <c r="D22" s="61"/>
      <c r="E22" s="61"/>
      <c r="F22" s="61"/>
      <c r="G22" s="48"/>
      <c r="H22" s="48"/>
      <c r="K22" s="28"/>
      <c r="L22" s="7"/>
      <c r="M22" s="7"/>
      <c r="N22" s="7"/>
    </row>
    <row r="23" spans="1:14" ht="14.1" customHeight="1" x14ac:dyDescent="0.2">
      <c r="B23" s="183" t="s">
        <v>5</v>
      </c>
      <c r="C23" s="33" t="s">
        <v>10</v>
      </c>
      <c r="D23" s="60">
        <v>1000</v>
      </c>
      <c r="E23" s="60">
        <v>1000</v>
      </c>
      <c r="F23" s="60">
        <v>1000</v>
      </c>
      <c r="G23" s="105" t="s">
        <v>11</v>
      </c>
      <c r="H23" s="48" t="s">
        <v>195</v>
      </c>
      <c r="K23" s="28"/>
      <c r="L23" s="7"/>
      <c r="M23" s="7"/>
      <c r="N23" s="7"/>
    </row>
    <row r="24" spans="1:14" ht="14.1" customHeight="1" x14ac:dyDescent="0.2">
      <c r="B24" s="183"/>
      <c r="C24" s="33" t="s">
        <v>300</v>
      </c>
      <c r="D24" s="81">
        <f>E24</f>
        <v>0.58299999999999996</v>
      </c>
      <c r="E24" s="179">
        <v>0.58299999999999996</v>
      </c>
      <c r="F24" s="83">
        <v>0.7</v>
      </c>
      <c r="G24" s="182"/>
      <c r="H24" s="48"/>
      <c r="K24" s="28"/>
      <c r="L24" s="7"/>
      <c r="M24" s="7"/>
      <c r="N24" s="7"/>
    </row>
    <row r="25" spans="1:14" ht="14.1" customHeight="1" x14ac:dyDescent="0.2">
      <c r="B25" s="183"/>
      <c r="C25" s="59" t="s">
        <v>20</v>
      </c>
      <c r="D25" s="204">
        <v>1</v>
      </c>
      <c r="E25" s="204">
        <v>1</v>
      </c>
      <c r="F25" s="204">
        <v>1</v>
      </c>
      <c r="G25" s="48" t="s">
        <v>302</v>
      </c>
      <c r="H25" s="112" t="s">
        <v>134</v>
      </c>
      <c r="K25" s="28"/>
      <c r="L25" s="7"/>
      <c r="M25" s="7"/>
      <c r="N25" s="7"/>
    </row>
    <row r="26" spans="1:14" ht="14.1" customHeight="1" x14ac:dyDescent="0.2">
      <c r="B26" s="183"/>
      <c r="C26" s="59" t="s">
        <v>19</v>
      </c>
      <c r="D26" s="204">
        <v>1</v>
      </c>
      <c r="E26" s="204">
        <v>1</v>
      </c>
      <c r="F26" s="204">
        <v>1</v>
      </c>
      <c r="G26" s="48" t="s">
        <v>302</v>
      </c>
      <c r="H26" s="112" t="s">
        <v>303</v>
      </c>
      <c r="K26" s="28"/>
      <c r="L26" s="7"/>
      <c r="M26" s="7"/>
      <c r="N26" s="7"/>
    </row>
    <row r="27" spans="1:14" ht="14.1" customHeight="1" x14ac:dyDescent="0.2">
      <c r="B27" s="183"/>
      <c r="C27" s="33" t="s">
        <v>301</v>
      </c>
      <c r="D27" s="81">
        <f>D24*D25*D26</f>
        <v>0.58299999999999996</v>
      </c>
      <c r="E27" s="179">
        <f>E24*E25*E26</f>
        <v>0.58299999999999996</v>
      </c>
      <c r="F27" s="83">
        <f>F24*F25*F26</f>
        <v>0.7</v>
      </c>
      <c r="G27" s="36" t="s">
        <v>196</v>
      </c>
      <c r="H27" s="112" t="s">
        <v>278</v>
      </c>
      <c r="K27" s="28"/>
      <c r="L27" s="7"/>
      <c r="M27" s="7"/>
      <c r="N27" s="7"/>
    </row>
    <row r="28" spans="1:14" ht="14.1" customHeight="1" x14ac:dyDescent="0.2">
      <c r="B28" s="183"/>
      <c r="C28" s="33" t="s">
        <v>2</v>
      </c>
      <c r="D28" s="78">
        <f>D23*D27</f>
        <v>583</v>
      </c>
      <c r="E28" s="78">
        <f>E23*E27</f>
        <v>583</v>
      </c>
      <c r="F28" s="78">
        <f>F23*F27</f>
        <v>700</v>
      </c>
      <c r="G28" s="48" t="s">
        <v>12</v>
      </c>
      <c r="H28" s="48"/>
      <c r="K28" s="28"/>
      <c r="L28" s="7"/>
      <c r="M28" s="7"/>
      <c r="N28" s="7"/>
    </row>
    <row r="29" spans="1:14" ht="14.1" customHeight="1" x14ac:dyDescent="0.2">
      <c r="B29" s="183"/>
      <c r="C29" s="33" t="s">
        <v>3</v>
      </c>
      <c r="D29" s="60">
        <f>D23-(D23*D27)</f>
        <v>417</v>
      </c>
      <c r="E29" s="60">
        <f>E23-(E23*E27)</f>
        <v>417</v>
      </c>
      <c r="F29" s="60">
        <f>F23-(F23*F27)</f>
        <v>300</v>
      </c>
      <c r="G29" s="48" t="s">
        <v>12</v>
      </c>
      <c r="H29" s="48"/>
      <c r="K29" s="28"/>
      <c r="L29" s="7"/>
      <c r="M29" s="7"/>
      <c r="N29" s="7"/>
    </row>
    <row r="30" spans="1:14" ht="14.1" customHeight="1" x14ac:dyDescent="0.2">
      <c r="B30" s="183"/>
      <c r="C30" s="33"/>
      <c r="D30" s="60"/>
      <c r="E30" s="60"/>
      <c r="F30" s="60"/>
      <c r="G30" s="48"/>
      <c r="H30" s="48"/>
      <c r="K30" s="28"/>
      <c r="L30" s="7"/>
      <c r="M30" s="7"/>
      <c r="N30" s="7"/>
    </row>
    <row r="31" spans="1:14" ht="14.1" customHeight="1" x14ac:dyDescent="0.2">
      <c r="B31" s="183"/>
      <c r="C31" s="33" t="s">
        <v>4</v>
      </c>
      <c r="D31" s="81">
        <v>4.1000000000000002E-2</v>
      </c>
      <c r="E31" s="82">
        <v>0.08</v>
      </c>
      <c r="F31" s="83">
        <v>0.18</v>
      </c>
      <c r="G31" s="48" t="s">
        <v>203</v>
      </c>
      <c r="H31" s="38" t="s">
        <v>202</v>
      </c>
      <c r="I31" s="1" t="s">
        <v>92</v>
      </c>
      <c r="K31" s="28"/>
      <c r="L31" s="7"/>
      <c r="M31" s="7"/>
      <c r="N31" s="7"/>
    </row>
    <row r="32" spans="1:14" ht="14.1" customHeight="1" x14ac:dyDescent="0.2">
      <c r="B32" s="183"/>
      <c r="C32" s="33" t="s">
        <v>91</v>
      </c>
      <c r="D32" s="80">
        <f>E32</f>
        <v>0.80503144654088055</v>
      </c>
      <c r="E32" s="80">
        <f>1-(4/318)/(20/310)</f>
        <v>0.80503144654088055</v>
      </c>
      <c r="F32" s="80">
        <f>E32</f>
        <v>0.80503144654088055</v>
      </c>
      <c r="G32" s="48" t="s">
        <v>88</v>
      </c>
      <c r="H32" s="38" t="s">
        <v>104</v>
      </c>
      <c r="K32" s="28"/>
      <c r="L32" s="7"/>
      <c r="M32" s="7"/>
      <c r="N32" s="7"/>
    </row>
    <row r="33" spans="2:14" ht="14.1" customHeight="1" x14ac:dyDescent="0.2">
      <c r="B33" s="183"/>
      <c r="C33" s="60" t="s">
        <v>20</v>
      </c>
      <c r="D33" s="81">
        <v>0.9</v>
      </c>
      <c r="E33" s="82">
        <v>0.9</v>
      </c>
      <c r="F33" s="83">
        <v>1</v>
      </c>
      <c r="G33" s="48" t="s">
        <v>89</v>
      </c>
      <c r="H33" s="36" t="s">
        <v>87</v>
      </c>
      <c r="I33" s="1" t="s">
        <v>92</v>
      </c>
      <c r="K33" s="28"/>
      <c r="L33" s="7"/>
      <c r="M33" s="7"/>
      <c r="N33" s="7"/>
    </row>
    <row r="34" spans="2:14" ht="14.1" customHeight="1" x14ac:dyDescent="0.2">
      <c r="B34" s="183"/>
      <c r="C34" s="60" t="s">
        <v>19</v>
      </c>
      <c r="D34" s="81">
        <v>0.5</v>
      </c>
      <c r="E34" s="82">
        <v>0.6</v>
      </c>
      <c r="F34" s="83">
        <v>0.8</v>
      </c>
      <c r="G34" s="48" t="s">
        <v>89</v>
      </c>
      <c r="H34" s="36" t="s">
        <v>90</v>
      </c>
      <c r="K34" s="28"/>
      <c r="L34" s="7"/>
      <c r="M34" s="7"/>
      <c r="N34" s="7"/>
    </row>
    <row r="35" spans="2:14" ht="14.1" customHeight="1" x14ac:dyDescent="0.2">
      <c r="B35" s="183"/>
      <c r="C35" s="33" t="s">
        <v>15</v>
      </c>
      <c r="D35" s="84">
        <f>D32*D34*D33</f>
        <v>0.36226415094339626</v>
      </c>
      <c r="E35" s="84">
        <f>E32*E34*E33</f>
        <v>0.43471698113207546</v>
      </c>
      <c r="F35" s="84">
        <f>F32*F34*F33</f>
        <v>0.64402515723270448</v>
      </c>
      <c r="G35" s="48" t="s">
        <v>12</v>
      </c>
      <c r="H35" s="36"/>
      <c r="K35" s="28"/>
      <c r="L35" s="7"/>
      <c r="M35" s="7"/>
      <c r="N35" s="7"/>
    </row>
    <row r="36" spans="2:14" ht="14.1" customHeight="1" x14ac:dyDescent="0.2">
      <c r="B36" s="183"/>
      <c r="C36" s="33" t="s">
        <v>93</v>
      </c>
      <c r="D36" s="84">
        <f>(1-D35)*D31</f>
        <v>2.6147169811320755E-2</v>
      </c>
      <c r="E36" s="84">
        <f>(1-E35)*E31</f>
        <v>4.5222641509433961E-2</v>
      </c>
      <c r="F36" s="84">
        <f>(1-F35)*F31</f>
        <v>6.4075471698113187E-2</v>
      </c>
      <c r="G36" s="48" t="s">
        <v>12</v>
      </c>
      <c r="H36" s="36" t="s">
        <v>94</v>
      </c>
      <c r="K36" s="28"/>
      <c r="L36" s="7"/>
      <c r="M36" s="7"/>
      <c r="N36" s="7"/>
    </row>
    <row r="37" spans="2:14" ht="14.1" customHeight="1" x14ac:dyDescent="0.2">
      <c r="B37" s="183"/>
      <c r="C37" s="33"/>
      <c r="D37" s="60"/>
      <c r="E37" s="60"/>
      <c r="F37" s="60"/>
      <c r="G37" s="48"/>
      <c r="H37" s="48"/>
      <c r="K37" s="28"/>
      <c r="L37" s="7"/>
      <c r="M37" s="7"/>
      <c r="N37" s="7"/>
    </row>
    <row r="38" spans="2:14" ht="14.1" customHeight="1" x14ac:dyDescent="0.2">
      <c r="B38" s="183"/>
      <c r="C38" s="33" t="s">
        <v>95</v>
      </c>
      <c r="D38" s="85">
        <f>D28*D36</f>
        <v>15.2438</v>
      </c>
      <c r="E38" s="85">
        <f>E28*E36</f>
        <v>26.364799999999999</v>
      </c>
      <c r="F38" s="85">
        <f>F28*F36</f>
        <v>44.852830188679228</v>
      </c>
      <c r="G38" s="48" t="s">
        <v>12</v>
      </c>
      <c r="H38" s="48"/>
      <c r="K38" s="28"/>
      <c r="L38" s="7"/>
      <c r="M38" s="7"/>
      <c r="N38" s="7"/>
    </row>
    <row r="39" spans="2:14" ht="14.1" customHeight="1" x14ac:dyDescent="0.2">
      <c r="B39" s="183"/>
      <c r="C39" s="33" t="s">
        <v>96</v>
      </c>
      <c r="D39" s="85">
        <f>D29*D31</f>
        <v>17.097000000000001</v>
      </c>
      <c r="E39" s="85">
        <f>E29*E31</f>
        <v>33.36</v>
      </c>
      <c r="F39" s="85">
        <f>F29*F31</f>
        <v>54</v>
      </c>
      <c r="G39" s="48" t="s">
        <v>12</v>
      </c>
      <c r="H39" s="48"/>
      <c r="K39" s="28"/>
      <c r="L39" s="7"/>
      <c r="M39" s="7"/>
      <c r="N39" s="7"/>
    </row>
    <row r="40" spans="2:14" ht="14.1" customHeight="1" x14ac:dyDescent="0.2">
      <c r="B40" s="183"/>
      <c r="C40" s="33" t="s">
        <v>97</v>
      </c>
      <c r="D40" s="85">
        <f>D38+D39</f>
        <v>32.340800000000002</v>
      </c>
      <c r="E40" s="85">
        <f>E38+E39</f>
        <v>59.724800000000002</v>
      </c>
      <c r="F40" s="85">
        <f>F38+F39</f>
        <v>98.852830188679235</v>
      </c>
      <c r="G40" s="48" t="s">
        <v>12</v>
      </c>
      <c r="H40" s="48"/>
      <c r="K40" s="28"/>
      <c r="L40" s="7"/>
      <c r="M40" s="7"/>
      <c r="N40" s="7"/>
    </row>
    <row r="41" spans="2:14" ht="14.1" customHeight="1" x14ac:dyDescent="0.2">
      <c r="C41" s="33"/>
      <c r="D41" s="60"/>
      <c r="E41" s="60"/>
      <c r="F41" s="60"/>
      <c r="G41" s="48"/>
      <c r="H41" s="48"/>
      <c r="K41" s="28"/>
      <c r="L41" s="7"/>
      <c r="M41" s="7"/>
      <c r="N41" s="7"/>
    </row>
    <row r="42" spans="2:14" ht="14.1" customHeight="1" x14ac:dyDescent="0.2">
      <c r="B42" s="206" t="s">
        <v>8</v>
      </c>
      <c r="C42" s="33" t="s">
        <v>10</v>
      </c>
      <c r="D42" s="60">
        <f>D23</f>
        <v>1000</v>
      </c>
      <c r="E42" s="60">
        <f>E23</f>
        <v>1000</v>
      </c>
      <c r="F42" s="60">
        <f>F23</f>
        <v>1000</v>
      </c>
      <c r="G42" s="105" t="str">
        <f>G23</f>
        <v>-</v>
      </c>
      <c r="H42" s="48" t="str">
        <f>H23</f>
        <v>Cancels out later in the logic. Do not change.</v>
      </c>
      <c r="K42" s="28"/>
      <c r="L42" s="7"/>
      <c r="M42" s="7"/>
      <c r="N42" s="7"/>
    </row>
    <row r="43" spans="2:14" ht="14.1" customHeight="1" x14ac:dyDescent="0.2">
      <c r="B43" s="206"/>
      <c r="C43" s="33" t="s">
        <v>4</v>
      </c>
      <c r="D43" s="60">
        <f>D31</f>
        <v>4.1000000000000002E-2</v>
      </c>
      <c r="E43" s="60">
        <f>E31</f>
        <v>0.08</v>
      </c>
      <c r="F43" s="60">
        <f>F31</f>
        <v>0.18</v>
      </c>
      <c r="G43" s="48" t="s">
        <v>21</v>
      </c>
      <c r="H43" s="36"/>
      <c r="K43" s="28"/>
      <c r="L43" s="7"/>
      <c r="M43" s="7"/>
      <c r="N43" s="7"/>
    </row>
    <row r="44" spans="2:14" ht="14.1" customHeight="1" x14ac:dyDescent="0.2">
      <c r="B44" s="206"/>
      <c r="C44" s="33" t="s">
        <v>205</v>
      </c>
      <c r="D44" s="60">
        <f>D43*D42</f>
        <v>41</v>
      </c>
      <c r="E44" s="60">
        <f>E43*E42</f>
        <v>80</v>
      </c>
      <c r="F44" s="60">
        <f>F43*F42</f>
        <v>180</v>
      </c>
      <c r="G44" s="48" t="s">
        <v>12</v>
      </c>
      <c r="H44" s="48"/>
      <c r="K44" s="28"/>
      <c r="L44" s="7"/>
      <c r="M44" s="7"/>
      <c r="N44" s="7"/>
    </row>
    <row r="45" spans="2:14" ht="14.1" customHeight="1" x14ac:dyDescent="0.2">
      <c r="C45" s="61"/>
      <c r="D45" s="60"/>
      <c r="E45" s="60"/>
      <c r="F45" s="60"/>
      <c r="G45" s="48"/>
      <c r="H45" s="48"/>
      <c r="K45" s="28"/>
      <c r="L45" s="7"/>
      <c r="M45" s="7"/>
      <c r="N45" s="7"/>
    </row>
    <row r="46" spans="2:14" ht="14.1" customHeight="1" x14ac:dyDescent="0.2">
      <c r="B46" s="206" t="s">
        <v>13</v>
      </c>
      <c r="C46" s="61" t="s">
        <v>206</v>
      </c>
      <c r="D46" s="85">
        <f>D44-D40</f>
        <v>8.6591999999999985</v>
      </c>
      <c r="E46" s="85">
        <f>E44-E40</f>
        <v>20.275199999999998</v>
      </c>
      <c r="F46" s="85">
        <f>F44-F40</f>
        <v>81.147169811320765</v>
      </c>
      <c r="G46" s="48" t="s">
        <v>12</v>
      </c>
      <c r="H46" s="48" t="s">
        <v>213</v>
      </c>
      <c r="K46" s="28"/>
      <c r="L46" s="7"/>
      <c r="M46" s="7"/>
      <c r="N46" s="7"/>
    </row>
    <row r="47" spans="2:14" ht="14.1" customHeight="1" x14ac:dyDescent="0.2">
      <c r="B47" s="206"/>
      <c r="C47" s="33" t="s">
        <v>16</v>
      </c>
      <c r="D47" s="86">
        <v>0.05</v>
      </c>
      <c r="E47" s="86">
        <v>0.05</v>
      </c>
      <c r="F47" s="79">
        <v>0.1</v>
      </c>
      <c r="G47" s="48" t="s">
        <v>209</v>
      </c>
      <c r="H47" s="58" t="s">
        <v>292</v>
      </c>
      <c r="K47" s="28"/>
      <c r="L47" s="7"/>
      <c r="M47" s="7"/>
      <c r="N47" s="7"/>
    </row>
    <row r="48" spans="2:14" ht="14.1" customHeight="1" x14ac:dyDescent="0.2">
      <c r="B48" s="206"/>
      <c r="C48" s="124" t="s">
        <v>120</v>
      </c>
      <c r="D48" s="125">
        <f>D46*D47</f>
        <v>0.43295999999999996</v>
      </c>
      <c r="E48" s="125">
        <f t="shared" ref="E48:F48" si="4">E46*E47</f>
        <v>1.01376</v>
      </c>
      <c r="F48" s="125">
        <f t="shared" si="4"/>
        <v>8.1147169811320765</v>
      </c>
      <c r="G48" s="36" t="s">
        <v>12</v>
      </c>
      <c r="H48" s="48"/>
      <c r="K48" s="28"/>
      <c r="L48" s="7"/>
      <c r="M48" s="7"/>
      <c r="N48" s="7"/>
    </row>
    <row r="49" spans="2:14" ht="14.1" customHeight="1" x14ac:dyDescent="0.2">
      <c r="C49" s="61"/>
      <c r="D49" s="87"/>
      <c r="E49" s="87"/>
      <c r="F49" s="61"/>
      <c r="G49" s="48"/>
      <c r="H49" s="48"/>
      <c r="K49" s="28"/>
      <c r="L49" s="7"/>
      <c r="M49" s="7"/>
      <c r="N49" s="7"/>
    </row>
    <row r="50" spans="2:14" ht="14.1" customHeight="1" x14ac:dyDescent="0.2">
      <c r="B50" s="206" t="s">
        <v>219</v>
      </c>
      <c r="C50" s="45" t="s">
        <v>103</v>
      </c>
      <c r="D50" s="109">
        <f>D20/D48</f>
        <v>85719.325609031497</v>
      </c>
      <c r="E50" s="109">
        <f>E20/E48</f>
        <v>31323.570996422561</v>
      </c>
      <c r="F50" s="109">
        <f>F20/F48</f>
        <v>4030.0725985593508</v>
      </c>
      <c r="G50" s="37" t="s">
        <v>12</v>
      </c>
      <c r="H50" s="37" t="s">
        <v>212</v>
      </c>
      <c r="K50" s="28"/>
      <c r="L50" s="7"/>
      <c r="M50" s="7"/>
      <c r="N50" s="7"/>
    </row>
    <row r="51" spans="2:14" ht="14.1" customHeight="1" x14ac:dyDescent="0.2">
      <c r="B51" s="206"/>
      <c r="C51" s="61"/>
      <c r="D51" s="88"/>
      <c r="E51" s="61"/>
      <c r="F51" s="61"/>
      <c r="G51" s="48"/>
      <c r="H51" s="48"/>
    </row>
    <row r="52" spans="2:14" ht="14.1" customHeight="1" x14ac:dyDescent="0.2">
      <c r="B52" s="206"/>
      <c r="C52" s="62" t="s">
        <v>108</v>
      </c>
      <c r="D52" s="67">
        <v>0.6</v>
      </c>
      <c r="E52" s="67">
        <v>0.6</v>
      </c>
      <c r="F52" s="67">
        <v>0.6</v>
      </c>
      <c r="G52" s="38" t="s">
        <v>110</v>
      </c>
      <c r="H52" s="131" t="s">
        <v>124</v>
      </c>
    </row>
    <row r="53" spans="2:14" ht="14.1" customHeight="1" x14ac:dyDescent="0.2">
      <c r="B53" s="206"/>
      <c r="C53" s="62" t="s">
        <v>109</v>
      </c>
      <c r="D53" s="67">
        <v>0.09</v>
      </c>
      <c r="E53" s="67">
        <v>0.09</v>
      </c>
      <c r="F53" s="67">
        <v>0.09</v>
      </c>
      <c r="G53" s="38" t="s">
        <v>110</v>
      </c>
      <c r="H53" s="137"/>
    </row>
    <row r="54" spans="2:14" ht="14.1" customHeight="1" x14ac:dyDescent="0.2">
      <c r="B54" s="206"/>
      <c r="C54" s="62" t="s">
        <v>111</v>
      </c>
      <c r="D54" s="67">
        <f>D52-D53</f>
        <v>0.51</v>
      </c>
      <c r="E54" s="67">
        <f>E52-E53</f>
        <v>0.51</v>
      </c>
      <c r="F54" s="67">
        <f>F52-F53</f>
        <v>0.51</v>
      </c>
      <c r="G54" s="38" t="s">
        <v>12</v>
      </c>
      <c r="H54" s="137"/>
    </row>
    <row r="55" spans="2:14" ht="14.1" customHeight="1" x14ac:dyDescent="0.2">
      <c r="B55" s="206"/>
      <c r="C55" s="38" t="s">
        <v>218</v>
      </c>
      <c r="D55" s="67">
        <f>D48*D54</f>
        <v>0.22080959999999999</v>
      </c>
      <c r="E55" s="67">
        <f>E48*E54</f>
        <v>0.51701759999999997</v>
      </c>
      <c r="F55" s="67">
        <f>F48*F54</f>
        <v>4.1385056603773593</v>
      </c>
      <c r="G55" s="38" t="s">
        <v>12</v>
      </c>
      <c r="H55" s="137"/>
    </row>
    <row r="56" spans="2:14" ht="14.1" customHeight="1" x14ac:dyDescent="0.2">
      <c r="B56" s="206"/>
      <c r="C56" s="138" t="s">
        <v>112</v>
      </c>
      <c r="D56" s="139">
        <f>D20/D55</f>
        <v>168077.10903731664</v>
      </c>
      <c r="E56" s="139">
        <f>E20/E55</f>
        <v>61418.766659652087</v>
      </c>
      <c r="F56" s="139">
        <f>F20/F55</f>
        <v>7902.1031344300991</v>
      </c>
      <c r="G56" s="38" t="s">
        <v>12</v>
      </c>
      <c r="H56" s="131" t="s">
        <v>123</v>
      </c>
      <c r="I56" s="34"/>
    </row>
    <row r="57" spans="2:14" ht="14.1" customHeight="1" x14ac:dyDescent="0.2">
      <c r="B57" s="26"/>
      <c r="C57" s="61"/>
      <c r="D57" s="61"/>
      <c r="E57" s="61"/>
      <c r="F57" s="61"/>
      <c r="G57" s="48"/>
      <c r="H57" s="20"/>
      <c r="I57" s="42"/>
    </row>
    <row r="58" spans="2:14" ht="14.1" customHeight="1" x14ac:dyDescent="0.2">
      <c r="B58" s="224" t="s">
        <v>186</v>
      </c>
      <c r="C58" s="128" t="s">
        <v>113</v>
      </c>
      <c r="D58" s="129">
        <f>1-D52</f>
        <v>0.4</v>
      </c>
      <c r="E58" s="129">
        <f>1-E52</f>
        <v>0.4</v>
      </c>
      <c r="F58" s="129">
        <f>1-F52</f>
        <v>0.4</v>
      </c>
      <c r="G58" s="36" t="s">
        <v>114</v>
      </c>
      <c r="H58" s="130" t="s">
        <v>131</v>
      </c>
    </row>
    <row r="59" spans="2:14" ht="14.1" customHeight="1" x14ac:dyDescent="0.2">
      <c r="B59" s="224"/>
      <c r="C59" s="131" t="s">
        <v>132</v>
      </c>
      <c r="D59" s="49">
        <f>$G$122</f>
        <v>24.16</v>
      </c>
      <c r="E59" s="49">
        <f>$G$122</f>
        <v>24.16</v>
      </c>
      <c r="F59" s="49">
        <f>$G$122</f>
        <v>24.16</v>
      </c>
      <c r="G59" s="130" t="s">
        <v>221</v>
      </c>
      <c r="H59" s="130" t="s">
        <v>222</v>
      </c>
    </row>
    <row r="60" spans="2:14" ht="14.1" customHeight="1" x14ac:dyDescent="0.2">
      <c r="B60" s="224"/>
      <c r="C60" s="133" t="s">
        <v>116</v>
      </c>
      <c r="D60" s="81">
        <v>5.2999999999999999E-2</v>
      </c>
      <c r="E60" s="82">
        <v>5.2999999999999999E-2</v>
      </c>
      <c r="F60" s="83">
        <v>0.221</v>
      </c>
      <c r="G60" s="130" t="s">
        <v>117</v>
      </c>
      <c r="H60" s="130" t="s">
        <v>127</v>
      </c>
    </row>
    <row r="61" spans="2:14" ht="14.1" customHeight="1" x14ac:dyDescent="0.2">
      <c r="B61" s="224"/>
      <c r="C61" s="131" t="s">
        <v>220</v>
      </c>
      <c r="D61" s="134">
        <f>D58*D59*D60</f>
        <v>0.51219200000000009</v>
      </c>
      <c r="E61" s="134">
        <f>E58*E59*E60</f>
        <v>0.51219200000000009</v>
      </c>
      <c r="F61" s="134">
        <f>F58*F59*F60</f>
        <v>2.1357440000000003</v>
      </c>
      <c r="G61" s="36" t="s">
        <v>12</v>
      </c>
      <c r="H61" s="36" t="s">
        <v>226</v>
      </c>
    </row>
    <row r="62" spans="2:14" ht="14.1" customHeight="1" x14ac:dyDescent="0.2">
      <c r="B62" s="224"/>
      <c r="C62" s="131" t="s">
        <v>130</v>
      </c>
      <c r="D62" s="134" t="s">
        <v>125</v>
      </c>
      <c r="E62" s="134" t="s">
        <v>125</v>
      </c>
      <c r="F62" s="134" t="s">
        <v>125</v>
      </c>
      <c r="G62" s="36" t="s">
        <v>12</v>
      </c>
      <c r="H62" s="36" t="s">
        <v>126</v>
      </c>
    </row>
    <row r="63" spans="2:14" ht="14.1" customHeight="1" x14ac:dyDescent="0.2">
      <c r="B63" s="224"/>
      <c r="C63" s="133" t="s">
        <v>166</v>
      </c>
      <c r="D63" s="132">
        <f>D48*D61</f>
        <v>0.22175864832000003</v>
      </c>
      <c r="E63" s="132">
        <f>E48*E61</f>
        <v>0.5192397619200001</v>
      </c>
      <c r="F63" s="132">
        <f>F48*F61</f>
        <v>17.330958104150948</v>
      </c>
      <c r="G63" s="36" t="s">
        <v>12</v>
      </c>
      <c r="H63" s="36"/>
    </row>
    <row r="64" spans="2:14" ht="14.1" customHeight="1" x14ac:dyDescent="0.2">
      <c r="B64" s="224"/>
      <c r="C64" s="135" t="s">
        <v>115</v>
      </c>
      <c r="D64" s="136">
        <f>D50/D61</f>
        <v>167357.79865564374</v>
      </c>
      <c r="E64" s="136">
        <f>E50/E61</f>
        <v>61155.916133837614</v>
      </c>
      <c r="F64" s="136">
        <f>F50/F61</f>
        <v>1886.9642609598109</v>
      </c>
      <c r="G64" s="36" t="s">
        <v>12</v>
      </c>
      <c r="H64" s="36" t="s">
        <v>133</v>
      </c>
    </row>
    <row r="65" spans="1:9" ht="14.1" customHeight="1" x14ac:dyDescent="0.2">
      <c r="D65" s="61"/>
      <c r="E65" s="61"/>
      <c r="F65" s="61"/>
      <c r="G65" s="48"/>
      <c r="H65" s="48"/>
    </row>
    <row r="66" spans="1:9" ht="14.1" customHeight="1" x14ac:dyDescent="0.2">
      <c r="A66" s="225" t="s">
        <v>150</v>
      </c>
      <c r="B66" s="225"/>
      <c r="C66" s="225"/>
      <c r="D66" s="61"/>
      <c r="E66" s="61"/>
      <c r="F66" s="61"/>
      <c r="G66" s="48"/>
      <c r="H66" s="48"/>
    </row>
    <row r="67" spans="1:9" ht="14.1" customHeight="1" x14ac:dyDescent="0.2">
      <c r="A67" s="30"/>
      <c r="B67" s="226" t="s">
        <v>5</v>
      </c>
      <c r="C67" s="25" t="str">
        <f>C27</f>
        <v>Retention rate to delivery (adjusted)</v>
      </c>
      <c r="D67" s="89">
        <f>D27</f>
        <v>0.58299999999999996</v>
      </c>
      <c r="E67" s="89">
        <f>E27</f>
        <v>0.58299999999999996</v>
      </c>
      <c r="F67" s="89">
        <f>F27</f>
        <v>0.7</v>
      </c>
      <c r="G67" s="37" t="str">
        <f>G27</f>
        <v>"Summary of Key Program Statistics" New Incentives workbook, accessed 2016-23-08.</v>
      </c>
      <c r="H67" s="37" t="s">
        <v>137</v>
      </c>
    </row>
    <row r="68" spans="1:9" ht="14.1" customHeight="1" x14ac:dyDescent="0.2">
      <c r="A68" s="30"/>
      <c r="B68" s="226"/>
      <c r="C68" s="38" t="s">
        <v>227</v>
      </c>
      <c r="D68" s="96">
        <v>0</v>
      </c>
      <c r="E68" s="97">
        <v>0.08</v>
      </c>
      <c r="F68" s="98">
        <v>0.15</v>
      </c>
      <c r="G68" s="36" t="s">
        <v>138</v>
      </c>
      <c r="H68" s="38" t="s">
        <v>139</v>
      </c>
    </row>
    <row r="69" spans="1:9" ht="14.1" customHeight="1" x14ac:dyDescent="0.2">
      <c r="A69" s="30"/>
      <c r="B69" s="226"/>
      <c r="C69" s="62" t="s">
        <v>73</v>
      </c>
      <c r="D69" s="92">
        <f>(D67*1)+(1-D67)*D68</f>
        <v>0.58299999999999996</v>
      </c>
      <c r="E69" s="92">
        <f>(E67*1)+(1-E67)*E68</f>
        <v>0.61636000000000002</v>
      </c>
      <c r="F69" s="92">
        <f>(F67*1)+(1-F67)*F68</f>
        <v>0.745</v>
      </c>
      <c r="G69" s="38" t="s">
        <v>12</v>
      </c>
      <c r="H69" s="141"/>
    </row>
    <row r="70" spans="1:9" ht="14.1" customHeight="1" x14ac:dyDescent="0.2">
      <c r="C70" s="33"/>
      <c r="D70" s="61"/>
      <c r="E70" s="61"/>
      <c r="F70" s="61"/>
      <c r="G70" s="48"/>
      <c r="H70" s="48"/>
    </row>
    <row r="71" spans="1:9" ht="14.1" customHeight="1" x14ac:dyDescent="0.2">
      <c r="A71" s="30"/>
      <c r="B71" s="226" t="s">
        <v>8</v>
      </c>
      <c r="C71" s="25" t="s">
        <v>72</v>
      </c>
      <c r="D71" s="90">
        <v>0.35</v>
      </c>
      <c r="E71" s="180">
        <v>0.27</v>
      </c>
      <c r="F71" s="90">
        <v>0.2</v>
      </c>
      <c r="G71" s="37" t="s">
        <v>229</v>
      </c>
      <c r="H71" s="35" t="s">
        <v>281</v>
      </c>
    </row>
    <row r="72" spans="1:9" ht="14.1" customHeight="1" x14ac:dyDescent="0.2">
      <c r="A72" s="30"/>
      <c r="B72" s="226"/>
      <c r="C72" s="38" t="s">
        <v>136</v>
      </c>
      <c r="D72" s="92">
        <f>(D71-(1-D67)*D68)/D67</f>
        <v>0.60034305317324188</v>
      </c>
      <c r="E72" s="92">
        <f>(E71-(1-E67)*E68)/E67</f>
        <v>0.4059005145797599</v>
      </c>
      <c r="F72" s="92">
        <f>(F71-(1-F67)*F68)/F67</f>
        <v>0.22142857142857145</v>
      </c>
      <c r="G72" s="38" t="s">
        <v>74</v>
      </c>
      <c r="H72" s="154" t="str">
        <f>CONCATENATE("This implies that the program increases FD by ",TEXT((E69-E72)/E72,"0%")," (",TEXT((E69-E72)*100,"0")," percentage points) for women retained.")</f>
        <v>This implies that the program increases FD by 52% (21 percentage points) for women retained.</v>
      </c>
    </row>
    <row r="73" spans="1:9" ht="14.1" customHeight="1" x14ac:dyDescent="0.2">
      <c r="C73" s="33"/>
      <c r="D73" s="61"/>
      <c r="E73" s="61"/>
      <c r="F73" s="61"/>
      <c r="G73" s="48"/>
      <c r="H73" s="48"/>
    </row>
    <row r="74" spans="1:9" ht="14.1" customHeight="1" x14ac:dyDescent="0.2">
      <c r="B74" s="206" t="s">
        <v>39</v>
      </c>
      <c r="C74" s="62" t="s">
        <v>149</v>
      </c>
      <c r="D74" s="167">
        <v>3.9E-2</v>
      </c>
      <c r="E74" s="167">
        <v>3.9E-2</v>
      </c>
      <c r="F74" s="167">
        <v>3.9E-2</v>
      </c>
      <c r="G74" s="38" t="s">
        <v>45</v>
      </c>
      <c r="H74" s="35" t="s">
        <v>280</v>
      </c>
      <c r="I74" s="29"/>
    </row>
    <row r="75" spans="1:9" ht="14.1" customHeight="1" x14ac:dyDescent="0.2">
      <c r="B75" s="206"/>
      <c r="C75" s="37" t="s">
        <v>230</v>
      </c>
      <c r="D75" s="96">
        <v>0.1</v>
      </c>
      <c r="E75" s="97">
        <v>0.4</v>
      </c>
      <c r="F75" s="98">
        <v>0.45</v>
      </c>
      <c r="G75" s="38" t="s">
        <v>184</v>
      </c>
      <c r="H75" s="38" t="s">
        <v>183</v>
      </c>
    </row>
    <row r="76" spans="1:9" ht="14.1" customHeight="1" x14ac:dyDescent="0.2">
      <c r="A76" s="31"/>
      <c r="B76" s="206"/>
      <c r="C76" s="25" t="s">
        <v>20</v>
      </c>
      <c r="D76" s="205">
        <v>0.85</v>
      </c>
      <c r="E76" s="205">
        <v>0.85</v>
      </c>
      <c r="F76" s="205">
        <v>0.85</v>
      </c>
      <c r="G76" s="37" t="s">
        <v>236</v>
      </c>
      <c r="H76" s="35" t="s">
        <v>293</v>
      </c>
    </row>
    <row r="77" spans="1:9" ht="14.1" customHeight="1" x14ac:dyDescent="0.2">
      <c r="A77" s="31"/>
      <c r="B77" s="206"/>
      <c r="C77" s="25" t="s">
        <v>19</v>
      </c>
      <c r="D77" s="205">
        <v>0.35</v>
      </c>
      <c r="E77" s="205">
        <v>0.35</v>
      </c>
      <c r="F77" s="205">
        <v>0.35</v>
      </c>
      <c r="G77" s="37" t="s">
        <v>63</v>
      </c>
      <c r="H77" s="35" t="s">
        <v>294</v>
      </c>
    </row>
    <row r="78" spans="1:9" ht="14.1" customHeight="1" x14ac:dyDescent="0.2">
      <c r="A78" s="30"/>
      <c r="B78" s="206"/>
      <c r="C78" s="62" t="s">
        <v>140</v>
      </c>
      <c r="D78" s="91">
        <f>D74/(1-D$71*D75)</f>
        <v>4.0414507772020727E-2</v>
      </c>
      <c r="E78" s="91">
        <f>E74/(1-E$71*E75)</f>
        <v>4.3721973094170405E-2</v>
      </c>
      <c r="F78" s="91">
        <f>F74/(1-F$71*F75)</f>
        <v>4.2857142857142858E-2</v>
      </c>
      <c r="G78" s="37" t="s">
        <v>12</v>
      </c>
      <c r="H78" s="110" t="s">
        <v>237</v>
      </c>
    </row>
    <row r="79" spans="1:9" ht="14.1" customHeight="1" x14ac:dyDescent="0.2">
      <c r="A79" s="30"/>
      <c r="B79" s="206"/>
      <c r="C79" s="62" t="s">
        <v>141</v>
      </c>
      <c r="D79" s="91">
        <f>D78*(1-D75)</f>
        <v>3.6373056994818659E-2</v>
      </c>
      <c r="E79" s="91">
        <f>E78*(1-E75)</f>
        <v>2.6233183856502241E-2</v>
      </c>
      <c r="F79" s="91">
        <f>F78*(1-F75)</f>
        <v>2.3571428571428573E-2</v>
      </c>
      <c r="G79" s="37" t="s">
        <v>12</v>
      </c>
      <c r="H79" s="37"/>
    </row>
    <row r="80" spans="1:9" ht="14.1" customHeight="1" x14ac:dyDescent="0.2">
      <c r="A80" s="30"/>
      <c r="B80" s="206"/>
      <c r="C80" s="62" t="s">
        <v>62</v>
      </c>
      <c r="D80" s="93">
        <f>(D$69*D79)+(1-D$69)*D78</f>
        <v>3.8058341968911918E-2</v>
      </c>
      <c r="E80" s="93">
        <f>(E$69*E79)+(1-E$69)*E78</f>
        <v>3.2942582959641253E-2</v>
      </c>
      <c r="F80" s="93">
        <f>(F$69*F79)+(1-F$69)*F78</f>
        <v>2.8489285714285717E-2</v>
      </c>
      <c r="G80" s="37" t="s">
        <v>12</v>
      </c>
      <c r="H80" s="37"/>
    </row>
    <row r="81" spans="1:8" ht="14.1" customHeight="1" x14ac:dyDescent="0.2">
      <c r="A81" s="30"/>
      <c r="B81" s="206"/>
      <c r="C81" s="62" t="s">
        <v>143</v>
      </c>
      <c r="D81" s="66">
        <f>((D74*1000)-(D80*1000))*D76*D77</f>
        <v>0.28014326424870428</v>
      </c>
      <c r="E81" s="66">
        <f>((E74*1000)-(E80*1000))*E76*E77</f>
        <v>1.8020815695067258</v>
      </c>
      <c r="F81" s="66">
        <f>((F74*1000)-(F80*1000))*F76*F77</f>
        <v>3.126937499999999</v>
      </c>
      <c r="G81" s="38" t="s">
        <v>12</v>
      </c>
      <c r="H81" s="38" t="s">
        <v>144</v>
      </c>
    </row>
    <row r="82" spans="1:8" ht="14.1" customHeight="1" x14ac:dyDescent="0.2">
      <c r="A82" s="30"/>
      <c r="B82" s="206"/>
      <c r="C82" s="115" t="s">
        <v>142</v>
      </c>
      <c r="D82" s="161">
        <f>D20/D81</f>
        <v>132478.78479326289</v>
      </c>
      <c r="E82" s="161">
        <f>E20/E81</f>
        <v>17621.0577094051</v>
      </c>
      <c r="F82" s="161">
        <f>F20/F81</f>
        <v>10458.443301385028</v>
      </c>
      <c r="G82" s="162"/>
      <c r="H82" s="38"/>
    </row>
    <row r="83" spans="1:8" ht="14.1" customHeight="1" x14ac:dyDescent="0.2">
      <c r="A83" s="30"/>
      <c r="C83" s="56"/>
      <c r="D83" s="94"/>
      <c r="E83" s="94"/>
      <c r="F83" s="95"/>
      <c r="G83" s="103"/>
      <c r="H83" s="37"/>
    </row>
    <row r="84" spans="1:8" ht="14.1" customHeight="1" x14ac:dyDescent="0.2">
      <c r="A84" s="30"/>
      <c r="B84" s="224" t="s">
        <v>147</v>
      </c>
      <c r="C84" s="62" t="s">
        <v>148</v>
      </c>
      <c r="D84" s="167">
        <f t="shared" ref="D84:E84" si="5">58/6059</f>
        <v>9.5725367222313906E-3</v>
      </c>
      <c r="E84" s="167">
        <f t="shared" si="5"/>
        <v>9.5725367222313906E-3</v>
      </c>
      <c r="F84" s="167">
        <f>58/6059</f>
        <v>9.5725367222313906E-3</v>
      </c>
      <c r="G84" s="38" t="s">
        <v>243</v>
      </c>
      <c r="H84" s="35" t="s">
        <v>282</v>
      </c>
    </row>
    <row r="85" spans="1:8" ht="14.1" customHeight="1" x14ac:dyDescent="0.2">
      <c r="A85" s="30"/>
      <c r="B85" s="224"/>
      <c r="C85" s="38" t="s">
        <v>238</v>
      </c>
      <c r="D85" s="96">
        <v>0.1</v>
      </c>
      <c r="E85" s="97">
        <v>0.31</v>
      </c>
      <c r="F85" s="98">
        <v>0.45</v>
      </c>
      <c r="G85" s="38" t="s">
        <v>155</v>
      </c>
      <c r="H85" s="38" t="s">
        <v>156</v>
      </c>
    </row>
    <row r="86" spans="1:8" ht="14.1" customHeight="1" x14ac:dyDescent="0.2">
      <c r="A86" s="30"/>
      <c r="B86" s="224"/>
      <c r="C86" s="62" t="s">
        <v>20</v>
      </c>
      <c r="D86" s="96">
        <v>0.5</v>
      </c>
      <c r="E86" s="97">
        <v>0.6</v>
      </c>
      <c r="F86" s="98">
        <v>0.6</v>
      </c>
      <c r="G86" s="38" t="s">
        <v>152</v>
      </c>
      <c r="H86" s="38" t="s">
        <v>134</v>
      </c>
    </row>
    <row r="87" spans="1:8" ht="14.1" customHeight="1" x14ac:dyDescent="0.2">
      <c r="A87" s="30"/>
      <c r="B87" s="224"/>
      <c r="C87" s="62" t="s">
        <v>19</v>
      </c>
      <c r="D87" s="96">
        <v>0.5</v>
      </c>
      <c r="E87" s="97">
        <v>0.7</v>
      </c>
      <c r="F87" s="98">
        <v>0.7</v>
      </c>
      <c r="G87" s="38" t="s">
        <v>153</v>
      </c>
      <c r="H87" s="38" t="s">
        <v>135</v>
      </c>
    </row>
    <row r="88" spans="1:8" ht="14.1" customHeight="1" x14ac:dyDescent="0.2">
      <c r="A88" s="30"/>
      <c r="B88" s="224"/>
      <c r="C88" s="62" t="s">
        <v>157</v>
      </c>
      <c r="D88" s="91">
        <f>D84/(1-D$71*D85)</f>
        <v>9.9197271732967777E-3</v>
      </c>
      <c r="E88" s="91">
        <f>E84/(1-E$71*E85)</f>
        <v>1.044694611178805E-2</v>
      </c>
      <c r="F88" s="91">
        <f>F84/(1-F$71*F85)</f>
        <v>1.0519271123331198E-2</v>
      </c>
      <c r="G88" s="38" t="s">
        <v>12</v>
      </c>
      <c r="H88" s="38" t="s">
        <v>248</v>
      </c>
    </row>
    <row r="89" spans="1:8" ht="14.1" customHeight="1" x14ac:dyDescent="0.2">
      <c r="A89" s="30"/>
      <c r="B89" s="224"/>
      <c r="C89" s="62" t="s">
        <v>158</v>
      </c>
      <c r="D89" s="91">
        <f>D88*(1-D85)</f>
        <v>8.9277544559671004E-3</v>
      </c>
      <c r="E89" s="91">
        <f>E88*(1-E85)</f>
        <v>7.208392817133754E-3</v>
      </c>
      <c r="F89" s="91">
        <f>F88*(1-F85)</f>
        <v>5.7855991178321596E-3</v>
      </c>
      <c r="G89" s="38" t="s">
        <v>12</v>
      </c>
      <c r="H89" s="38"/>
    </row>
    <row r="90" spans="1:8" ht="14.1" customHeight="1" x14ac:dyDescent="0.2">
      <c r="A90" s="30"/>
      <c r="B90" s="224"/>
      <c r="C90" s="62" t="s">
        <v>159</v>
      </c>
      <c r="D90" s="163">
        <f>(D$69*D89)+(1-D$69)*D88</f>
        <v>9.3414070790935767E-3</v>
      </c>
      <c r="E90" s="163">
        <f>(E$69*E89)+(1-E$69)*E88</f>
        <v>8.4508314030949279E-3</v>
      </c>
      <c r="F90" s="163">
        <f>(F$69*F89)+(1-F$69)*F88</f>
        <v>6.9926854792344145E-3</v>
      </c>
      <c r="G90" s="38" t="s">
        <v>12</v>
      </c>
      <c r="H90" s="36"/>
    </row>
    <row r="91" spans="1:8" ht="14.1" customHeight="1" x14ac:dyDescent="0.2">
      <c r="A91" s="30"/>
      <c r="B91" s="224"/>
      <c r="C91" s="62" t="s">
        <v>160</v>
      </c>
      <c r="D91" s="164">
        <f>((D84*D23)-(D90*D23))*D86*D87</f>
        <v>5.7782410784453564E-2</v>
      </c>
      <c r="E91" s="164">
        <f>((E84*E23)-(E90*E23))*E86*E87</f>
        <v>0.47111623403731462</v>
      </c>
      <c r="F91" s="164">
        <f>((F84*F23)-(F90*F23))*F86*F87</f>
        <v>1.0835375220587298</v>
      </c>
      <c r="G91" s="38" t="s">
        <v>12</v>
      </c>
      <c r="H91" s="38" t="s">
        <v>144</v>
      </c>
    </row>
    <row r="92" spans="1:8" ht="14.1" customHeight="1" x14ac:dyDescent="0.2">
      <c r="A92" s="30"/>
      <c r="B92" s="224"/>
      <c r="C92" s="115" t="s">
        <v>161</v>
      </c>
      <c r="D92" s="165">
        <f>D20/D91</f>
        <v>642289.56029767427</v>
      </c>
      <c r="E92" s="165">
        <f>E20/E91</f>
        <v>67402.86375021885</v>
      </c>
      <c r="F92" s="165">
        <f>F20/F91</f>
        <v>30181.602284145061</v>
      </c>
      <c r="G92" s="162"/>
      <c r="H92" s="38"/>
    </row>
    <row r="93" spans="1:8" ht="14.1" customHeight="1" x14ac:dyDescent="0.2">
      <c r="C93" s="33"/>
      <c r="D93" s="61"/>
      <c r="E93" s="61"/>
      <c r="F93" s="61"/>
      <c r="G93" s="48"/>
      <c r="H93" s="48"/>
    </row>
    <row r="94" spans="1:8" ht="14.1" customHeight="1" x14ac:dyDescent="0.2">
      <c r="A94" s="30"/>
      <c r="B94" s="226" t="s">
        <v>40</v>
      </c>
      <c r="C94" s="62" t="s">
        <v>71</v>
      </c>
      <c r="D94" s="91">
        <f>576/100000</f>
        <v>5.7600000000000004E-3</v>
      </c>
      <c r="E94" s="91">
        <f>576/100000</f>
        <v>5.7600000000000004E-3</v>
      </c>
      <c r="F94" s="91">
        <f>576/100000</f>
        <v>5.7600000000000004E-3</v>
      </c>
      <c r="G94" s="38" t="s">
        <v>162</v>
      </c>
      <c r="H94" s="37" t="s">
        <v>283</v>
      </c>
    </row>
    <row r="95" spans="1:8" ht="14.1" customHeight="1" x14ac:dyDescent="0.2">
      <c r="A95" s="30"/>
      <c r="B95" s="226"/>
      <c r="C95" s="37" t="s">
        <v>46</v>
      </c>
      <c r="D95" s="166">
        <v>0.01</v>
      </c>
      <c r="E95" s="97">
        <v>0.1</v>
      </c>
      <c r="F95" s="98">
        <v>0.3</v>
      </c>
      <c r="G95" s="104" t="s">
        <v>68</v>
      </c>
      <c r="H95" s="38" t="s">
        <v>251</v>
      </c>
    </row>
    <row r="96" spans="1:8" ht="14.1" customHeight="1" x14ac:dyDescent="0.2">
      <c r="B96" s="226"/>
      <c r="C96" s="25" t="s">
        <v>20</v>
      </c>
      <c r="D96" s="99">
        <v>0.5</v>
      </c>
      <c r="E96" s="100">
        <v>0.6</v>
      </c>
      <c r="F96" s="101">
        <v>0.7</v>
      </c>
      <c r="G96" s="37" t="s">
        <v>69</v>
      </c>
      <c r="H96" s="38" t="s">
        <v>134</v>
      </c>
    </row>
    <row r="97" spans="1:12" ht="14.1" customHeight="1" x14ac:dyDescent="0.2">
      <c r="A97" s="30"/>
      <c r="B97" s="226"/>
      <c r="C97" s="25" t="s">
        <v>19</v>
      </c>
      <c r="D97" s="99">
        <v>0.5</v>
      </c>
      <c r="E97" s="100">
        <v>0.6</v>
      </c>
      <c r="F97" s="101">
        <v>0.7</v>
      </c>
      <c r="G97" s="37" t="s">
        <v>69</v>
      </c>
      <c r="H97" s="38" t="s">
        <v>135</v>
      </c>
    </row>
    <row r="98" spans="1:12" ht="14.1" customHeight="1" x14ac:dyDescent="0.2">
      <c r="A98" s="30"/>
      <c r="B98" s="226"/>
      <c r="C98" s="38" t="s">
        <v>252</v>
      </c>
      <c r="D98" s="91">
        <f>D94/(1-D$71*D95)</f>
        <v>5.780230807827396E-3</v>
      </c>
      <c r="E98" s="91">
        <f>E94/(1-E$71*E95)</f>
        <v>5.9198355601233306E-3</v>
      </c>
      <c r="F98" s="91">
        <f>F94/(1-F$71*F95)</f>
        <v>6.1276595744680857E-3</v>
      </c>
      <c r="G98" s="38" t="s">
        <v>12</v>
      </c>
      <c r="H98" s="38" t="s">
        <v>248</v>
      </c>
    </row>
    <row r="99" spans="1:12" ht="14.1" customHeight="1" x14ac:dyDescent="0.2">
      <c r="A99" s="30"/>
      <c r="B99" s="226"/>
      <c r="C99" s="38" t="s">
        <v>253</v>
      </c>
      <c r="D99" s="91">
        <f>D98*(1-D95)</f>
        <v>5.7224284997491222E-3</v>
      </c>
      <c r="E99" s="91">
        <f>E98*(1-E95)</f>
        <v>5.3278520041109972E-3</v>
      </c>
      <c r="F99" s="91">
        <f>F98*(1-F95)</f>
        <v>4.28936170212766E-3</v>
      </c>
      <c r="G99" s="38" t="s">
        <v>12</v>
      </c>
      <c r="H99" s="36"/>
    </row>
    <row r="100" spans="1:12" ht="14.1" customHeight="1" x14ac:dyDescent="0.2">
      <c r="A100" s="30"/>
      <c r="B100" s="226"/>
      <c r="C100" s="62" t="s">
        <v>70</v>
      </c>
      <c r="D100" s="93">
        <f>(D$69*D99)+(1-D$69)*D98</f>
        <v>5.7465320622177626E-3</v>
      </c>
      <c r="E100" s="93">
        <f>(E$69*E99)+(1-E$69)*E98</f>
        <v>5.5549605755395685E-3</v>
      </c>
      <c r="F100" s="93">
        <f>(F$69*F99)+(1-F$69)*F98</f>
        <v>4.7581276595744688E-3</v>
      </c>
      <c r="G100" s="38" t="s">
        <v>12</v>
      </c>
      <c r="H100" s="38"/>
    </row>
    <row r="101" spans="1:12" ht="14.1" customHeight="1" x14ac:dyDescent="0.2">
      <c r="A101" s="30"/>
      <c r="B101" s="226"/>
      <c r="C101" s="62" t="s">
        <v>145</v>
      </c>
      <c r="D101" s="102">
        <f>((D94*D23)-(D100*D23))*D96*D97</f>
        <v>3.3669844455594955E-3</v>
      </c>
      <c r="E101" s="102">
        <f>((E94*E23)-(E100*E23))*E96*E97</f>
        <v>7.381419280575563E-2</v>
      </c>
      <c r="F101" s="102">
        <f>((F94*F23)-(F100*F23))*F96*F97</f>
        <v>0.49091744680851052</v>
      </c>
      <c r="G101" s="37"/>
      <c r="H101" s="38" t="s">
        <v>144</v>
      </c>
    </row>
    <row r="102" spans="1:12" ht="14.1" customHeight="1" x14ac:dyDescent="0.2">
      <c r="A102" s="11"/>
      <c r="B102" s="226"/>
      <c r="C102" s="115" t="s">
        <v>146</v>
      </c>
      <c r="D102" s="111">
        <f>D20/D101</f>
        <v>11022634.590614855</v>
      </c>
      <c r="E102" s="111">
        <f>E20/E101</f>
        <v>430196.17401895218</v>
      </c>
      <c r="F102" s="111">
        <f>F20/F101</f>
        <v>66615.881678943217</v>
      </c>
      <c r="G102" s="37"/>
      <c r="H102" s="37"/>
    </row>
    <row r="103" spans="1:12" ht="14.1" customHeight="1" x14ac:dyDescent="0.2">
      <c r="A103" s="11"/>
      <c r="B103" s="12"/>
      <c r="C103" s="33"/>
      <c r="D103" s="61"/>
      <c r="E103" s="61"/>
      <c r="F103" s="61"/>
      <c r="G103" s="48"/>
      <c r="H103" s="48"/>
    </row>
    <row r="104" spans="1:12" ht="14.1" customHeight="1" x14ac:dyDescent="0.2">
      <c r="A104" s="208" t="s">
        <v>14</v>
      </c>
      <c r="B104" s="208"/>
      <c r="C104" s="25"/>
      <c r="D104" s="61"/>
      <c r="E104" s="61"/>
      <c r="F104" s="61"/>
      <c r="G104" s="37"/>
      <c r="H104" s="37"/>
    </row>
    <row r="105" spans="1:12" ht="14.1" customHeight="1" x14ac:dyDescent="0.25">
      <c r="B105" s="206" t="s">
        <v>254</v>
      </c>
      <c r="C105" s="114" t="s">
        <v>6</v>
      </c>
      <c r="D105" s="169">
        <f>2*E105</f>
        <v>1314.9</v>
      </c>
      <c r="E105" s="170">
        <f>1.8*365.25</f>
        <v>657.45</v>
      </c>
      <c r="F105" s="171">
        <v>500</v>
      </c>
      <c r="G105" s="36" t="s">
        <v>184</v>
      </c>
      <c r="H105" s="36" t="s">
        <v>257</v>
      </c>
      <c r="I105" s="29"/>
      <c r="K105" s="50"/>
      <c r="L105" s="50"/>
    </row>
    <row r="106" spans="1:12" ht="14.1" customHeight="1" x14ac:dyDescent="0.25">
      <c r="B106" s="206"/>
      <c r="C106" s="114" t="s">
        <v>164</v>
      </c>
      <c r="D106" s="168">
        <f>(1500-1000)/D15</f>
        <v>1.6666666666666667</v>
      </c>
      <c r="E106" s="168">
        <f>(1500-1000)/E15</f>
        <v>1.6666666666666667</v>
      </c>
      <c r="F106" s="168">
        <f>(1500-1000)/F15</f>
        <v>1.6666666666666667</v>
      </c>
      <c r="G106" s="38" t="s">
        <v>270</v>
      </c>
      <c r="H106" s="38" t="s">
        <v>173</v>
      </c>
      <c r="I106" s="29"/>
      <c r="K106" s="50"/>
      <c r="L106" s="50"/>
    </row>
    <row r="107" spans="1:12" ht="14.1" customHeight="1" x14ac:dyDescent="0.25">
      <c r="B107" s="206"/>
      <c r="C107" s="114" t="s">
        <v>266</v>
      </c>
      <c r="D107" s="168">
        <v>1.67</v>
      </c>
      <c r="E107" s="168">
        <v>1.67</v>
      </c>
      <c r="F107" s="168">
        <v>1.67</v>
      </c>
      <c r="G107" s="36" t="s">
        <v>68</v>
      </c>
      <c r="H107" s="36" t="s">
        <v>259</v>
      </c>
      <c r="I107" s="29"/>
      <c r="K107" s="50"/>
      <c r="L107" s="50"/>
    </row>
    <row r="108" spans="1:12" ht="14.1" customHeight="1" x14ac:dyDescent="0.25">
      <c r="C108" s="33"/>
      <c r="D108" s="61"/>
      <c r="E108" s="61"/>
      <c r="F108" s="61"/>
      <c r="G108" s="48"/>
      <c r="H108" s="48"/>
      <c r="K108" s="50"/>
      <c r="L108" s="50"/>
    </row>
    <row r="109" spans="1:12" ht="14.1" customHeight="1" x14ac:dyDescent="0.25">
      <c r="B109" s="224" t="s">
        <v>163</v>
      </c>
      <c r="C109" s="33" t="s">
        <v>291</v>
      </c>
      <c r="D109" s="186">
        <f>LN(D105+D16)-LN(D105)</f>
        <v>2.5318392135709189E-3</v>
      </c>
      <c r="E109" s="186">
        <f>LN(E105+E16)-LN(E105)</f>
        <v>5.0572844025733588E-3</v>
      </c>
      <c r="F109" s="186">
        <f>LN(F105+F16)-LN(F105)</f>
        <v>6.6445427186687667E-3</v>
      </c>
      <c r="G109" s="142" t="s">
        <v>12</v>
      </c>
      <c r="H109" s="48"/>
      <c r="K109" s="50"/>
      <c r="L109" s="50"/>
    </row>
    <row r="110" spans="1:12" ht="14.1" customHeight="1" x14ac:dyDescent="0.25">
      <c r="B110" s="224"/>
      <c r="C110" s="36" t="s">
        <v>289</v>
      </c>
      <c r="D110" s="172">
        <f>LN(D105+D16+D17-D106-D107)-LN(D105)</f>
        <v>2.5032003970306249E-2</v>
      </c>
      <c r="E110" s="172">
        <f>LN(E105+E16+E17-E106-E107)-LN(E105)</f>
        <v>4.9452678380699666E-2</v>
      </c>
      <c r="F110" s="172">
        <f>LN(F105+F16+F17-F106-F107)-LN(F105)</f>
        <v>6.453227111803983E-2</v>
      </c>
      <c r="G110" s="36" t="s">
        <v>12</v>
      </c>
      <c r="H110" s="207" t="s">
        <v>263</v>
      </c>
      <c r="K110" s="50"/>
      <c r="L110" s="50"/>
    </row>
    <row r="111" spans="1:12" ht="14.1" customHeight="1" x14ac:dyDescent="0.25">
      <c r="B111" s="224"/>
      <c r="C111" s="114" t="s">
        <v>290</v>
      </c>
      <c r="D111" s="129">
        <f>LN(D105+D16+D17-D106)-LN(D105)</f>
        <v>2.626989852190853E-2</v>
      </c>
      <c r="E111" s="129">
        <f>LN(E105+E16+E17-E106)-LN(E105)</f>
        <v>5.1867317755798226E-2</v>
      </c>
      <c r="F111" s="129">
        <f>LN(F105+F16+F17-F106)-LN(F105)</f>
        <v>6.7658648473814864E-2</v>
      </c>
      <c r="G111" s="36" t="s">
        <v>12</v>
      </c>
      <c r="H111" s="207"/>
      <c r="K111" s="50"/>
      <c r="L111" s="50"/>
    </row>
    <row r="112" spans="1:12" ht="14.1" customHeight="1" x14ac:dyDescent="0.25">
      <c r="B112" s="224"/>
      <c r="C112" s="114" t="s">
        <v>167</v>
      </c>
      <c r="D112" s="32">
        <f>1000*(D109*(1-D27)+D110*D27*D47+D111*D27*(1-D47))</f>
        <v>16.335043164152538</v>
      </c>
      <c r="E112" s="32">
        <f>1000*(E109*(1-E27)+E110*E27*E47+E111*E27*(1-E47))</f>
        <v>32.27714710971933</v>
      </c>
      <c r="F112" s="32">
        <f>1000*(F109*(1-F27)+F110*F27*F47+F111*F27*(1-F47))</f>
        <v>49.135570332366783</v>
      </c>
      <c r="G112" s="36" t="s">
        <v>12</v>
      </c>
      <c r="H112" s="207"/>
      <c r="K112" s="50"/>
      <c r="L112" s="50"/>
    </row>
    <row r="113" spans="1:12" ht="14.1" customHeight="1" x14ac:dyDescent="0.25">
      <c r="B113" s="224"/>
      <c r="C113" s="116" t="s">
        <v>265</v>
      </c>
      <c r="D113" s="173">
        <f>D20/D112</f>
        <v>2271.9890509460861</v>
      </c>
      <c r="E113" s="173">
        <f>E20/E112</f>
        <v>983.81010023563579</v>
      </c>
      <c r="F113" s="173">
        <f>F20/F112</f>
        <v>665.56464755599779</v>
      </c>
      <c r="G113" s="36"/>
      <c r="H113" s="207"/>
      <c r="K113" s="50"/>
      <c r="L113" s="50"/>
    </row>
    <row r="114" spans="1:12" ht="14.1" customHeight="1" x14ac:dyDescent="0.25">
      <c r="C114" s="33"/>
      <c r="D114" s="61"/>
      <c r="E114" s="61"/>
      <c r="F114" s="61"/>
      <c r="K114" s="50"/>
      <c r="L114" s="50"/>
    </row>
    <row r="115" spans="1:12" ht="14.1" customHeight="1" x14ac:dyDescent="0.25">
      <c r="A115" s="227" t="s">
        <v>165</v>
      </c>
      <c r="B115" s="227"/>
      <c r="C115" s="115"/>
      <c r="D115" s="140"/>
      <c r="E115" s="140"/>
      <c r="F115" s="140"/>
      <c r="G115" s="222" t="s">
        <v>185</v>
      </c>
      <c r="H115" s="223"/>
      <c r="I115" s="141"/>
      <c r="J115" s="219"/>
      <c r="K115" s="219"/>
      <c r="L115" s="50"/>
    </row>
    <row r="116" spans="1:12" ht="14.1" customHeight="1" x14ac:dyDescent="0.25">
      <c r="A116" s="115"/>
      <c r="B116" s="221" t="s">
        <v>170</v>
      </c>
      <c r="C116" s="62" t="str">
        <f>C55</f>
        <v>Under-5 HIV deaths averted /1,000 enrollees</v>
      </c>
      <c r="D116" s="67">
        <f>D55</f>
        <v>0.22080959999999999</v>
      </c>
      <c r="E116" s="67">
        <f>E55</f>
        <v>0.51701759999999997</v>
      </c>
      <c r="F116" s="67">
        <f>F55</f>
        <v>4.1385056603773593</v>
      </c>
      <c r="G116" s="197">
        <v>23.5</v>
      </c>
      <c r="H116" s="198" t="s">
        <v>298</v>
      </c>
      <c r="I116" s="228" t="s">
        <v>299</v>
      </c>
      <c r="J116" s="181"/>
      <c r="K116" s="50"/>
      <c r="L116" s="50"/>
    </row>
    <row r="117" spans="1:12" ht="14.1" customHeight="1" x14ac:dyDescent="0.25">
      <c r="A117" s="115"/>
      <c r="B117" s="221"/>
      <c r="C117" s="62" t="str">
        <f>C63</f>
        <v>DALYs averted per 1,000 enrollees</v>
      </c>
      <c r="D117" s="67">
        <f>D63</f>
        <v>0.22175864832000003</v>
      </c>
      <c r="E117" s="67">
        <f>E63</f>
        <v>0.5192397619200001</v>
      </c>
      <c r="F117" s="67">
        <f>F63</f>
        <v>17.330958104150948</v>
      </c>
      <c r="G117" s="174">
        <v>1</v>
      </c>
      <c r="H117" s="175" t="s">
        <v>168</v>
      </c>
      <c r="I117" s="228"/>
      <c r="J117" s="181"/>
      <c r="K117" s="50"/>
      <c r="L117" s="50"/>
    </row>
    <row r="118" spans="1:12" ht="14.1" customHeight="1" x14ac:dyDescent="0.25">
      <c r="A118" s="115"/>
      <c r="B118" s="221"/>
      <c r="C118" s="62" t="str">
        <f>C81</f>
        <v>Neonatal deaths averted per 1,000 enrollees</v>
      </c>
      <c r="D118" s="67">
        <f>D81</f>
        <v>0.28014326424870428</v>
      </c>
      <c r="E118" s="67">
        <f>E81</f>
        <v>1.8020815695067258</v>
      </c>
      <c r="F118" s="67">
        <f>F81</f>
        <v>3.126937499999999</v>
      </c>
      <c r="G118" s="197">
        <f>G116*0.42</f>
        <v>9.8699999999999992</v>
      </c>
      <c r="H118" s="175" t="s">
        <v>296</v>
      </c>
      <c r="I118" s="228"/>
      <c r="J118" s="181"/>
      <c r="K118" s="50"/>
      <c r="L118" s="50"/>
    </row>
    <row r="119" spans="1:12" ht="14.1" customHeight="1" x14ac:dyDescent="0.25">
      <c r="A119" s="115"/>
      <c r="B119" s="221"/>
      <c r="C119" s="62" t="str">
        <f>C91</f>
        <v>Stillbirths averted per 1,000 enrollees</v>
      </c>
      <c r="D119" s="67">
        <f>D91</f>
        <v>5.7782410784453564E-2</v>
      </c>
      <c r="E119" s="67">
        <f>E91</f>
        <v>0.47111623403731462</v>
      </c>
      <c r="F119" s="67">
        <f>F91</f>
        <v>1.0835375220587298</v>
      </c>
      <c r="G119" s="197">
        <f>G116*0.18</f>
        <v>4.2299999999999995</v>
      </c>
      <c r="H119" s="198" t="s">
        <v>295</v>
      </c>
      <c r="I119" s="228"/>
      <c r="J119" s="181"/>
      <c r="K119" s="50"/>
      <c r="L119" s="50"/>
    </row>
    <row r="120" spans="1:12" ht="14.1" customHeight="1" x14ac:dyDescent="0.2">
      <c r="A120" s="115"/>
      <c r="B120" s="221"/>
      <c r="C120" s="62" t="str">
        <f>C101</f>
        <v>Maternal deaths averted per 1,000 enrollees</v>
      </c>
      <c r="D120" s="67">
        <f>D101</f>
        <v>3.3669844455594955E-3</v>
      </c>
      <c r="E120" s="67">
        <f>E101</f>
        <v>7.381419280575563E-2</v>
      </c>
      <c r="F120" s="67">
        <f>F101</f>
        <v>0.49091744680851052</v>
      </c>
      <c r="G120" s="197">
        <v>25.69</v>
      </c>
      <c r="H120" s="175" t="s">
        <v>268</v>
      </c>
      <c r="I120" s="228"/>
      <c r="J120" s="181"/>
    </row>
    <row r="121" spans="1:12" ht="14.1" customHeight="1" x14ac:dyDescent="0.2">
      <c r="A121" s="115"/>
      <c r="B121" s="221"/>
      <c r="C121" s="62" t="str">
        <f>C112</f>
        <v>Consumption benefit per 1,000 enrollees</v>
      </c>
      <c r="D121" s="67">
        <f t="shared" ref="D121:F121" si="6">D112</f>
        <v>16.335043164152538</v>
      </c>
      <c r="E121" s="67">
        <f t="shared" si="6"/>
        <v>32.27714710971933</v>
      </c>
      <c r="F121" s="67">
        <f t="shared" si="6"/>
        <v>49.135570332366783</v>
      </c>
      <c r="G121" s="197">
        <f>1/3</f>
        <v>0.33333333333333331</v>
      </c>
      <c r="H121" s="176" t="s">
        <v>169</v>
      </c>
      <c r="I121" s="228"/>
      <c r="J121" s="181"/>
    </row>
    <row r="122" spans="1:12" ht="14.1" customHeight="1" x14ac:dyDescent="0.2">
      <c r="A122" s="115"/>
      <c r="B122" s="143"/>
      <c r="C122" s="114"/>
      <c r="D122" s="114"/>
      <c r="E122" s="114"/>
      <c r="F122" s="114"/>
      <c r="G122" s="177">
        <v>24.16</v>
      </c>
      <c r="H122" s="178" t="s">
        <v>272</v>
      </c>
      <c r="I122" s="228"/>
      <c r="J122" s="181"/>
    </row>
    <row r="123" spans="1:12" ht="14.1" customHeight="1" x14ac:dyDescent="0.2">
      <c r="A123" s="141"/>
      <c r="B123" s="220" t="s">
        <v>178</v>
      </c>
      <c r="C123" s="126" t="s">
        <v>171</v>
      </c>
      <c r="D123" s="144">
        <f>SUMPRODUCT(D116:D121,$G116:$G121)</f>
        <v>13.951730082530219</v>
      </c>
      <c r="E123" s="144">
        <f>SUMPRODUCT(E116:E121,$G116:$G121)</f>
        <v>45.103855772682195</v>
      </c>
      <c r="F123" s="145">
        <f>SUMPRODUCT(F116:F121,$G116:$G121)</f>
        <v>179.02227061896022</v>
      </c>
      <c r="G123" s="146"/>
      <c r="H123" s="141"/>
      <c r="I123" s="141"/>
    </row>
    <row r="124" spans="1:12" ht="14.1" customHeight="1" x14ac:dyDescent="0.2">
      <c r="A124" s="141"/>
      <c r="B124" s="220"/>
      <c r="C124" s="127" t="s">
        <v>172</v>
      </c>
      <c r="D124" s="147">
        <f>D123/$G$116</f>
        <v>0.59369064180979658</v>
      </c>
      <c r="E124" s="147">
        <f t="shared" ref="E124:F124" si="7">E123/$G$116</f>
        <v>1.9193130116034978</v>
      </c>
      <c r="F124" s="148">
        <f t="shared" si="7"/>
        <v>7.6179689625089457</v>
      </c>
      <c r="G124" s="141"/>
      <c r="H124" s="149" t="s">
        <v>193</v>
      </c>
      <c r="I124" s="150"/>
    </row>
    <row r="125" spans="1:12" ht="14.1" customHeight="1" x14ac:dyDescent="0.2">
      <c r="A125" s="141"/>
      <c r="B125" s="220"/>
      <c r="C125" s="65" t="s">
        <v>17</v>
      </c>
      <c r="D125" s="151">
        <f>D20/D124</f>
        <v>62512.420782903886</v>
      </c>
      <c r="E125" s="151">
        <f>E20/E124</f>
        <v>16544.765309960487</v>
      </c>
      <c r="F125" s="152">
        <f>F20/F124</f>
        <v>4292.8631911824014</v>
      </c>
      <c r="G125" s="141"/>
      <c r="H125" s="153" t="s">
        <v>187</v>
      </c>
      <c r="I125" s="154">
        <f t="shared" ref="I125:I130" si="8">(E116*G116)/$E$123</f>
        <v>0.26937638460964508</v>
      </c>
    </row>
    <row r="126" spans="1:12" ht="14.1" customHeight="1" x14ac:dyDescent="0.2">
      <c r="A126" s="141"/>
      <c r="B126" s="155"/>
      <c r="C126" s="62"/>
      <c r="D126" s="156"/>
      <c r="E126" s="156"/>
      <c r="F126" s="156"/>
      <c r="G126" s="141"/>
      <c r="H126" s="153" t="s">
        <v>188</v>
      </c>
      <c r="I126" s="154">
        <f t="shared" si="8"/>
        <v>1.1512092547850093E-2</v>
      </c>
    </row>
    <row r="127" spans="1:12" ht="14.1" customHeight="1" x14ac:dyDescent="0.2">
      <c r="A127" s="141"/>
      <c r="B127" s="220" t="s">
        <v>179</v>
      </c>
      <c r="C127" s="126" t="s">
        <v>176</v>
      </c>
      <c r="D127" s="199">
        <v>2300</v>
      </c>
      <c r="E127" s="199">
        <v>2300</v>
      </c>
      <c r="F127" s="201">
        <v>2300</v>
      </c>
      <c r="G127" s="200" t="s">
        <v>297</v>
      </c>
      <c r="H127" s="153" t="s">
        <v>189</v>
      </c>
      <c r="I127" s="154">
        <f t="shared" si="8"/>
        <v>0.39434644303301586</v>
      </c>
    </row>
    <row r="128" spans="1:12" ht="14.1" customHeight="1" x14ac:dyDescent="0.2">
      <c r="A128" s="141"/>
      <c r="B128" s="220"/>
      <c r="C128" s="64" t="s">
        <v>175</v>
      </c>
      <c r="D128" s="157">
        <f>D127/D125</f>
        <v>3.6792688096139323E-2</v>
      </c>
      <c r="E128" s="157">
        <f>E127/E125</f>
        <v>0.13901678004554863</v>
      </c>
      <c r="F128" s="158">
        <f>F127/F125</f>
        <v>0.5357729556171813</v>
      </c>
      <c r="G128" s="141"/>
      <c r="H128" s="153" t="s">
        <v>190</v>
      </c>
      <c r="I128" s="154">
        <f t="shared" si="8"/>
        <v>4.4182955887882694E-2</v>
      </c>
    </row>
    <row r="129" spans="1:9" ht="14.1" customHeight="1" x14ac:dyDescent="0.2">
      <c r="A129" s="141"/>
      <c r="B129" s="220"/>
      <c r="C129" s="127" t="s">
        <v>177</v>
      </c>
      <c r="D129" s="202">
        <v>9.65</v>
      </c>
      <c r="E129" s="202">
        <v>9.65</v>
      </c>
      <c r="F129" s="203">
        <v>9.65</v>
      </c>
      <c r="G129" s="200" t="s">
        <v>297</v>
      </c>
      <c r="H129" s="153" t="s">
        <v>191</v>
      </c>
      <c r="I129" s="154">
        <f t="shared" si="8"/>
        <v>4.2042671977688781E-2</v>
      </c>
    </row>
    <row r="130" spans="1:9" ht="14.1" customHeight="1" x14ac:dyDescent="0.2">
      <c r="A130" s="141"/>
      <c r="B130" s="220"/>
      <c r="C130" s="65" t="s">
        <v>174</v>
      </c>
      <c r="D130" s="159">
        <f>(D127*D129)/D125</f>
        <v>0.35504944012774442</v>
      </c>
      <c r="E130" s="159">
        <f t="shared" ref="E130:F130" si="9">(E127*E129)/E125</f>
        <v>1.3415119274395442</v>
      </c>
      <c r="F130" s="160">
        <f t="shared" si="9"/>
        <v>5.1702090217057997</v>
      </c>
      <c r="G130" s="141"/>
      <c r="H130" s="153" t="s">
        <v>192</v>
      </c>
      <c r="I130" s="154">
        <f t="shared" si="8"/>
        <v>0.23853945194391749</v>
      </c>
    </row>
    <row r="131" spans="1:9" ht="14.1" customHeight="1" x14ac:dyDescent="0.2">
      <c r="H131" s="39"/>
    </row>
    <row r="132" spans="1:9" ht="14.1" customHeight="1" x14ac:dyDescent="0.2">
      <c r="D132" s="48"/>
      <c r="E132" s="48"/>
      <c r="F132" s="48"/>
    </row>
    <row r="133" spans="1:9" ht="14.1" customHeight="1" x14ac:dyDescent="0.2">
      <c r="C133" s="113"/>
      <c r="D133" s="48"/>
      <c r="E133" s="48"/>
      <c r="F133" s="48"/>
      <c r="H133" s="48"/>
    </row>
    <row r="134" spans="1:9" ht="14.1" customHeight="1" x14ac:dyDescent="0.2">
      <c r="C134" s="48"/>
      <c r="D134" s="48"/>
      <c r="E134" s="48"/>
      <c r="F134" s="48"/>
    </row>
    <row r="135" spans="1:9" ht="14.1" customHeight="1" x14ac:dyDescent="0.2">
      <c r="C135" s="48"/>
      <c r="D135" s="48"/>
      <c r="E135" s="48"/>
      <c r="F135" s="48"/>
    </row>
    <row r="136" spans="1:9" ht="14.1" customHeight="1" x14ac:dyDescent="0.2">
      <c r="C136" s="48"/>
      <c r="D136" s="48"/>
      <c r="E136" s="48"/>
      <c r="F136" s="48"/>
    </row>
    <row r="137" spans="1:9" ht="14.1" customHeight="1" x14ac:dyDescent="0.2">
      <c r="C137" s="48"/>
      <c r="D137" s="48"/>
      <c r="E137" s="48"/>
      <c r="F137" s="48"/>
    </row>
    <row r="138" spans="1:9" ht="14.1" customHeight="1" x14ac:dyDescent="0.2">
      <c r="C138" s="48"/>
      <c r="D138" s="48"/>
      <c r="E138" s="48"/>
      <c r="F138" s="48"/>
    </row>
    <row r="139" spans="1:9" ht="14.1" customHeight="1" x14ac:dyDescent="0.2">
      <c r="A139" s="48"/>
      <c r="C139" s="48"/>
      <c r="D139" s="48"/>
      <c r="E139" s="48"/>
      <c r="F139" s="48"/>
    </row>
    <row r="140" spans="1:9" ht="14.1" customHeight="1" x14ac:dyDescent="0.2">
      <c r="A140" s="48"/>
      <c r="B140" s="48"/>
      <c r="C140" s="48"/>
      <c r="D140" s="48"/>
      <c r="E140" s="48"/>
      <c r="F140" s="48"/>
      <c r="G140" s="48"/>
    </row>
    <row r="141" spans="1:9" ht="14.1" customHeight="1" x14ac:dyDescent="0.2">
      <c r="A141" s="48"/>
      <c r="B141" s="48"/>
      <c r="C141" s="48"/>
      <c r="D141" s="48"/>
      <c r="E141" s="48"/>
      <c r="F141" s="48"/>
      <c r="G141" s="48"/>
    </row>
    <row r="142" spans="1:9" ht="14.1" customHeight="1" x14ac:dyDescent="0.2">
      <c r="A142" s="48"/>
      <c r="B142" s="48"/>
      <c r="C142" s="48"/>
      <c r="D142" s="48"/>
      <c r="E142" s="48"/>
      <c r="F142" s="48"/>
      <c r="G142" s="48"/>
    </row>
    <row r="143" spans="1:9" ht="14.1" customHeight="1" x14ac:dyDescent="0.2">
      <c r="A143" s="48"/>
      <c r="B143" s="48"/>
      <c r="C143" s="48"/>
      <c r="D143" s="48"/>
      <c r="E143" s="48"/>
      <c r="F143" s="48"/>
      <c r="G143" s="48"/>
    </row>
    <row r="144" spans="1:9" ht="14.1" customHeight="1" x14ac:dyDescent="0.2">
      <c r="A144" s="48"/>
      <c r="B144" s="48"/>
      <c r="C144" s="48"/>
      <c r="D144" s="48"/>
      <c r="E144" s="48"/>
      <c r="F144" s="48"/>
      <c r="G144" s="48"/>
    </row>
    <row r="145" spans="1:8" ht="14.1" customHeight="1" x14ac:dyDescent="0.2">
      <c r="A145" s="48"/>
      <c r="B145" s="48"/>
      <c r="C145" s="48"/>
      <c r="D145" s="48"/>
      <c r="E145" s="48"/>
      <c r="F145" s="48"/>
      <c r="G145" s="48"/>
    </row>
    <row r="146" spans="1:8" ht="14.1" customHeight="1" x14ac:dyDescent="0.2">
      <c r="A146" s="48"/>
      <c r="B146" s="48"/>
      <c r="C146" s="48"/>
      <c r="D146" s="48"/>
      <c r="E146" s="48"/>
      <c r="F146" s="48"/>
      <c r="G146" s="48"/>
    </row>
    <row r="147" spans="1:8" ht="14.1" customHeight="1" x14ac:dyDescent="0.2">
      <c r="A147" s="48"/>
      <c r="B147" s="48"/>
      <c r="C147" s="48"/>
      <c r="D147" s="48"/>
      <c r="E147" s="48"/>
      <c r="F147" s="48"/>
      <c r="G147" s="48"/>
    </row>
    <row r="148" spans="1:8" ht="14.1" customHeight="1" x14ac:dyDescent="0.2">
      <c r="A148" s="48"/>
      <c r="B148" s="48"/>
      <c r="C148" s="48"/>
      <c r="D148" s="48"/>
      <c r="E148" s="48"/>
      <c r="F148" s="48"/>
      <c r="G148" s="48"/>
    </row>
    <row r="149" spans="1:8" ht="14.1" customHeight="1" x14ac:dyDescent="0.2">
      <c r="A149" s="48"/>
      <c r="B149" s="48"/>
      <c r="C149" s="48"/>
      <c r="D149" s="48"/>
      <c r="E149" s="48"/>
      <c r="F149" s="48"/>
      <c r="G149" s="48"/>
    </row>
    <row r="150" spans="1:8" ht="14.1" customHeight="1" x14ac:dyDescent="0.2">
      <c r="A150" s="48"/>
      <c r="B150" s="48"/>
      <c r="C150" s="48"/>
      <c r="D150" s="48"/>
      <c r="E150" s="48"/>
      <c r="F150" s="48"/>
      <c r="G150" s="48"/>
    </row>
    <row r="151" spans="1:8" ht="14.1" customHeight="1" x14ac:dyDescent="0.2">
      <c r="A151" s="48"/>
      <c r="B151" s="48"/>
      <c r="C151" s="48"/>
      <c r="D151" s="48"/>
      <c r="E151" s="48"/>
      <c r="F151" s="48"/>
      <c r="G151" s="48"/>
    </row>
    <row r="152" spans="1:8" ht="14.1" customHeight="1" x14ac:dyDescent="0.2">
      <c r="A152" s="48"/>
      <c r="B152" s="48"/>
      <c r="C152" s="48"/>
      <c r="D152" s="48"/>
      <c r="E152" s="48"/>
      <c r="F152" s="48"/>
      <c r="G152" s="48"/>
    </row>
    <row r="153" spans="1:8" ht="14.1" customHeight="1" x14ac:dyDescent="0.2">
      <c r="A153" s="48"/>
      <c r="B153" s="48"/>
      <c r="C153" s="48"/>
      <c r="D153" s="48"/>
      <c r="E153" s="48"/>
      <c r="F153" s="48"/>
      <c r="G153" s="48"/>
    </row>
    <row r="154" spans="1:8" ht="14.1" customHeight="1" x14ac:dyDescent="0.2">
      <c r="A154" s="48"/>
      <c r="B154" s="48"/>
      <c r="C154" s="48"/>
      <c r="D154" s="48"/>
      <c r="E154" s="48"/>
      <c r="F154" s="48"/>
      <c r="G154" s="48"/>
    </row>
    <row r="155" spans="1:8" ht="14.1" customHeight="1" x14ac:dyDescent="0.2">
      <c r="A155" s="48"/>
      <c r="B155" s="48"/>
      <c r="C155" s="48"/>
      <c r="D155" s="48"/>
      <c r="E155" s="48"/>
      <c r="F155" s="48"/>
      <c r="G155" s="48"/>
    </row>
    <row r="156" spans="1:8" ht="14.1" customHeight="1" x14ac:dyDescent="0.2">
      <c r="A156" s="48"/>
      <c r="B156" s="48"/>
      <c r="C156" s="48"/>
      <c r="D156" s="48"/>
      <c r="E156" s="48"/>
      <c r="F156" s="48"/>
      <c r="G156" s="48"/>
      <c r="H156" s="48"/>
    </row>
    <row r="157" spans="1:8" ht="14.1" customHeight="1" x14ac:dyDescent="0.2">
      <c r="A157" s="48"/>
      <c r="B157" s="48"/>
      <c r="C157" s="48"/>
      <c r="D157" s="48"/>
      <c r="E157" s="48"/>
      <c r="F157" s="48"/>
      <c r="G157" s="48"/>
      <c r="H157" s="48"/>
    </row>
    <row r="158" spans="1:8" ht="14.1" customHeight="1" x14ac:dyDescent="0.2">
      <c r="A158" s="48"/>
      <c r="B158" s="48"/>
      <c r="C158" s="48"/>
      <c r="D158" s="48"/>
      <c r="E158" s="48"/>
      <c r="F158" s="48"/>
      <c r="G158" s="48"/>
      <c r="H158" s="48"/>
    </row>
    <row r="159" spans="1:8" ht="14.1" customHeight="1" x14ac:dyDescent="0.2">
      <c r="A159" s="48"/>
      <c r="B159" s="48"/>
      <c r="C159" s="48"/>
      <c r="D159" s="48"/>
      <c r="E159" s="48"/>
      <c r="F159" s="48"/>
      <c r="G159" s="48"/>
      <c r="H159" s="48"/>
    </row>
    <row r="160" spans="1:8" ht="14.1" customHeight="1" x14ac:dyDescent="0.2">
      <c r="A160" s="48"/>
      <c r="B160" s="48"/>
      <c r="C160" s="48"/>
      <c r="D160" s="48"/>
      <c r="E160" s="48"/>
      <c r="F160" s="48"/>
      <c r="G160" s="48"/>
      <c r="H160" s="48"/>
    </row>
    <row r="161" spans="1:11" ht="14.1" customHeight="1" x14ac:dyDescent="0.2">
      <c r="A161" s="48"/>
      <c r="B161" s="48"/>
      <c r="C161" s="48"/>
      <c r="D161" s="48"/>
      <c r="E161" s="48"/>
      <c r="F161" s="48"/>
      <c r="G161" s="48"/>
      <c r="H161" s="48"/>
    </row>
    <row r="162" spans="1:11" ht="14.1" customHeight="1" x14ac:dyDescent="0.2">
      <c r="A162" s="48"/>
      <c r="B162" s="48"/>
      <c r="C162" s="48"/>
      <c r="D162" s="48"/>
      <c r="E162" s="48"/>
      <c r="F162" s="48"/>
      <c r="G162" s="48"/>
      <c r="H162" s="48"/>
    </row>
    <row r="163" spans="1:11" ht="14.1" customHeight="1" x14ac:dyDescent="0.2">
      <c r="A163" s="48"/>
      <c r="B163" s="48"/>
      <c r="C163" s="48"/>
      <c r="D163" s="48"/>
      <c r="E163" s="48"/>
      <c r="F163" s="48"/>
      <c r="G163" s="48"/>
      <c r="H163" s="48"/>
      <c r="J163" s="6"/>
      <c r="K163" s="6"/>
    </row>
    <row r="164" spans="1:11" ht="14.1" customHeight="1" x14ac:dyDescent="0.2">
      <c r="A164" s="48"/>
      <c r="B164" s="48"/>
      <c r="C164" s="48"/>
      <c r="D164" s="48"/>
      <c r="E164" s="48"/>
      <c r="F164" s="48"/>
      <c r="G164" s="48"/>
      <c r="H164" s="48"/>
      <c r="J164" s="6"/>
      <c r="K164" s="6"/>
    </row>
    <row r="165" spans="1:11" ht="14.1" customHeight="1" x14ac:dyDescent="0.2">
      <c r="A165" s="48"/>
      <c r="B165" s="48"/>
      <c r="C165" s="48"/>
      <c r="D165" s="48"/>
      <c r="E165" s="48"/>
      <c r="F165" s="48"/>
      <c r="G165" s="48"/>
      <c r="H165" s="48"/>
      <c r="J165" s="6"/>
      <c r="K165" s="6"/>
    </row>
    <row r="166" spans="1:11" ht="14.1" customHeight="1" x14ac:dyDescent="0.2">
      <c r="A166" s="48"/>
      <c r="B166" s="48"/>
      <c r="C166" s="48"/>
      <c r="D166" s="48"/>
      <c r="E166" s="48"/>
      <c r="F166" s="48"/>
      <c r="G166" s="48"/>
      <c r="H166" s="48"/>
      <c r="J166" s="6"/>
      <c r="K166" s="6"/>
    </row>
    <row r="167" spans="1:11" ht="14.1" customHeight="1" x14ac:dyDescent="0.2">
      <c r="J167" s="6"/>
      <c r="K167" s="6"/>
    </row>
    <row r="168" spans="1:11" ht="14.1" customHeight="1" x14ac:dyDescent="0.2">
      <c r="J168" s="6"/>
      <c r="K168" s="6"/>
    </row>
    <row r="169" spans="1:11" ht="14.1" customHeight="1" x14ac:dyDescent="0.2">
      <c r="B169" s="4"/>
      <c r="J169" s="6"/>
      <c r="K169" s="6"/>
    </row>
    <row r="170" spans="1:11" ht="14.1" customHeight="1" x14ac:dyDescent="0.2">
      <c r="D170" s="15"/>
      <c r="E170" s="15"/>
      <c r="F170" s="15"/>
      <c r="G170" s="8"/>
      <c r="J170" s="6"/>
      <c r="K170" s="6"/>
    </row>
    <row r="171" spans="1:11" ht="14.1" customHeight="1" x14ac:dyDescent="0.2">
      <c r="D171" s="9"/>
      <c r="E171" s="9"/>
      <c r="F171" s="9"/>
      <c r="G171" s="8"/>
      <c r="K171" s="6"/>
    </row>
    <row r="172" spans="1:11" ht="14.1" customHeight="1" x14ac:dyDescent="0.2">
      <c r="D172" s="15"/>
      <c r="E172" s="15"/>
      <c r="F172" s="15"/>
      <c r="G172" s="8"/>
      <c r="K172" s="6"/>
    </row>
    <row r="173" spans="1:11" ht="14.1" customHeight="1" x14ac:dyDescent="0.2">
      <c r="D173" s="15"/>
      <c r="E173" s="15"/>
      <c r="F173" s="15"/>
      <c r="G173" s="8"/>
      <c r="K173" s="6"/>
    </row>
    <row r="175" spans="1:11" ht="14.1" customHeight="1" x14ac:dyDescent="0.2">
      <c r="B175" s="4"/>
    </row>
    <row r="179" spans="4:6" ht="14.1" customHeight="1" x14ac:dyDescent="0.2">
      <c r="D179" s="9"/>
      <c r="E179" s="9"/>
      <c r="F179" s="9"/>
    </row>
    <row r="180" spans="4:6" ht="14.1" customHeight="1" x14ac:dyDescent="0.2">
      <c r="D180" s="9"/>
      <c r="E180" s="9"/>
      <c r="F180" s="9"/>
    </row>
    <row r="182" spans="4:6" ht="14.1" customHeight="1" x14ac:dyDescent="0.2">
      <c r="D182" s="10"/>
      <c r="E182" s="10"/>
      <c r="F182" s="10"/>
    </row>
    <row r="185" spans="4:6" ht="14.1" customHeight="1" x14ac:dyDescent="0.2">
      <c r="D185" s="10"/>
      <c r="E185" s="10"/>
      <c r="F185" s="10"/>
    </row>
    <row r="193" spans="4:6" ht="14.1" customHeight="1" x14ac:dyDescent="0.2">
      <c r="D193" s="16"/>
      <c r="E193" s="16"/>
      <c r="F193" s="16"/>
    </row>
    <row r="194" spans="4:6" ht="14.1" customHeight="1" x14ac:dyDescent="0.2">
      <c r="D194" s="10"/>
      <c r="E194" s="10"/>
      <c r="F194" s="10"/>
    </row>
    <row r="195" spans="4:6" ht="14.1" customHeight="1" x14ac:dyDescent="0.2">
      <c r="D195" s="6"/>
      <c r="E195" s="6"/>
      <c r="F195" s="6"/>
    </row>
    <row r="210" spans="4:5" ht="14.1" customHeight="1" x14ac:dyDescent="0.2">
      <c r="D210" s="6"/>
      <c r="E210" s="6"/>
    </row>
    <row r="211" spans="4:5" ht="14.1" customHeight="1" x14ac:dyDescent="0.2">
      <c r="D211" s="6"/>
      <c r="E211" s="6"/>
    </row>
    <row r="229" spans="4:8" ht="14.1" customHeight="1" x14ac:dyDescent="0.2">
      <c r="H229" s="39"/>
    </row>
    <row r="230" spans="4:8" ht="14.1" customHeight="1" x14ac:dyDescent="0.2">
      <c r="H230" s="39"/>
    </row>
    <row r="231" spans="4:8" ht="14.1" customHeight="1" x14ac:dyDescent="0.2">
      <c r="H231" s="39"/>
    </row>
    <row r="232" spans="4:8" ht="14.1" customHeight="1" x14ac:dyDescent="0.2">
      <c r="H232" s="39"/>
    </row>
    <row r="237" spans="4:8" ht="14.1" customHeight="1" x14ac:dyDescent="0.2">
      <c r="G237" s="8"/>
    </row>
    <row r="238" spans="4:8" ht="14.1" customHeight="1" x14ac:dyDescent="0.2">
      <c r="D238" s="8"/>
      <c r="E238" s="8"/>
      <c r="G238" s="6"/>
    </row>
    <row r="239" spans="4:8" ht="14.1" customHeight="1" x14ac:dyDescent="0.2">
      <c r="D239" s="8"/>
      <c r="E239" s="8"/>
      <c r="G239" s="6"/>
    </row>
    <row r="240" spans="4:8" ht="14.1" customHeight="1" x14ac:dyDescent="0.2">
      <c r="D240" s="6"/>
      <c r="E240" s="6"/>
      <c r="G240" s="5"/>
    </row>
    <row r="241" spans="4:5" ht="14.1" customHeight="1" x14ac:dyDescent="0.2">
      <c r="D241" s="6"/>
      <c r="E241" s="6"/>
    </row>
    <row r="289" spans="10:14" ht="14.1" customHeight="1" x14ac:dyDescent="0.2">
      <c r="J289" s="17"/>
    </row>
    <row r="290" spans="10:14" ht="14.1" customHeight="1" x14ac:dyDescent="0.2">
      <c r="J290" s="18"/>
    </row>
    <row r="291" spans="10:14" ht="14.1" customHeight="1" x14ac:dyDescent="0.2">
      <c r="J291" s="18"/>
    </row>
    <row r="292" spans="10:14" ht="14.1" customHeight="1" x14ac:dyDescent="0.2">
      <c r="J292" s="18"/>
      <c r="K292" s="17"/>
      <c r="L292" s="8"/>
      <c r="M292" s="5"/>
    </row>
    <row r="293" spans="10:14" ht="14.1" customHeight="1" x14ac:dyDescent="0.2">
      <c r="J293" s="18"/>
      <c r="K293" s="18"/>
      <c r="L293" s="8"/>
      <c r="M293" s="5"/>
    </row>
    <row r="294" spans="10:14" ht="14.1" customHeight="1" x14ac:dyDescent="0.2">
      <c r="J294" s="18"/>
      <c r="K294" s="18"/>
      <c r="L294" s="18"/>
      <c r="M294" s="18"/>
    </row>
    <row r="295" spans="10:14" ht="14.1" customHeight="1" x14ac:dyDescent="0.2">
      <c r="J295" s="18"/>
      <c r="K295" s="18"/>
      <c r="L295" s="18"/>
      <c r="M295" s="18"/>
    </row>
    <row r="296" spans="10:14" ht="14.1" customHeight="1" x14ac:dyDescent="0.2">
      <c r="J296" s="18"/>
      <c r="K296" s="18"/>
      <c r="L296" s="18"/>
      <c r="M296" s="18"/>
    </row>
    <row r="297" spans="10:14" ht="14.1" customHeight="1" x14ac:dyDescent="0.2">
      <c r="J297" s="18"/>
      <c r="K297" s="18"/>
      <c r="L297" s="18"/>
      <c r="M297" s="18"/>
      <c r="N297" s="5"/>
    </row>
    <row r="298" spans="10:14" ht="14.1" customHeight="1" x14ac:dyDescent="0.2">
      <c r="J298" s="18"/>
      <c r="K298" s="18"/>
      <c r="L298" s="18"/>
      <c r="M298" s="18"/>
      <c r="N298" s="5"/>
    </row>
    <row r="299" spans="10:14" ht="14.1" customHeight="1" x14ac:dyDescent="0.2">
      <c r="J299" s="18"/>
      <c r="K299" s="18"/>
      <c r="L299" s="18"/>
      <c r="M299" s="18"/>
      <c r="N299" s="18"/>
    </row>
    <row r="300" spans="10:14" ht="14.1" customHeight="1" x14ac:dyDescent="0.2">
      <c r="J300" s="18"/>
      <c r="K300" s="18"/>
      <c r="L300" s="18"/>
      <c r="M300" s="18"/>
      <c r="N300" s="18"/>
    </row>
    <row r="301" spans="10:14" ht="14.1" customHeight="1" x14ac:dyDescent="0.2">
      <c r="J301" s="18"/>
      <c r="K301" s="18"/>
      <c r="L301" s="18"/>
      <c r="M301" s="18"/>
      <c r="N301" s="18"/>
    </row>
    <row r="302" spans="10:14" ht="14.1" customHeight="1" x14ac:dyDescent="0.2">
      <c r="J302" s="18"/>
      <c r="K302" s="18"/>
      <c r="L302" s="18"/>
      <c r="M302" s="18"/>
      <c r="N302" s="18"/>
    </row>
    <row r="303" spans="10:14" ht="14.1" customHeight="1" x14ac:dyDescent="0.2">
      <c r="J303" s="18"/>
      <c r="K303" s="18"/>
      <c r="L303" s="18"/>
      <c r="M303" s="18"/>
      <c r="N303" s="18"/>
    </row>
    <row r="304" spans="10:14" ht="14.1" customHeight="1" x14ac:dyDescent="0.2">
      <c r="J304" s="18"/>
      <c r="K304" s="18"/>
      <c r="L304" s="18"/>
      <c r="M304" s="18"/>
      <c r="N304" s="18"/>
    </row>
    <row r="305" spans="8:14" ht="14.1" customHeight="1" x14ac:dyDescent="0.2">
      <c r="J305" s="18"/>
      <c r="K305" s="18"/>
      <c r="L305" s="18"/>
      <c r="M305" s="18"/>
      <c r="N305" s="18"/>
    </row>
    <row r="306" spans="8:14" ht="14.1" customHeight="1" x14ac:dyDescent="0.2">
      <c r="J306" s="18"/>
      <c r="K306" s="18"/>
      <c r="L306" s="18"/>
      <c r="M306" s="18"/>
      <c r="N306" s="18"/>
    </row>
    <row r="307" spans="8:14" ht="14.1" customHeight="1" x14ac:dyDescent="0.2">
      <c r="J307" s="18"/>
      <c r="K307" s="18"/>
      <c r="L307" s="18"/>
      <c r="M307" s="18"/>
      <c r="N307" s="18"/>
    </row>
    <row r="308" spans="8:14" ht="14.1" customHeight="1" x14ac:dyDescent="0.2">
      <c r="J308" s="18"/>
      <c r="K308" s="18"/>
      <c r="L308" s="18"/>
      <c r="M308" s="18"/>
      <c r="N308" s="18"/>
    </row>
    <row r="309" spans="8:14" ht="14.1" customHeight="1" x14ac:dyDescent="0.2">
      <c r="J309" s="18"/>
      <c r="K309" s="18"/>
      <c r="L309" s="18"/>
      <c r="M309" s="18"/>
      <c r="N309" s="18"/>
    </row>
    <row r="310" spans="8:14" ht="14.1" customHeight="1" x14ac:dyDescent="0.2">
      <c r="J310" s="18"/>
      <c r="K310" s="18"/>
      <c r="L310" s="18"/>
      <c r="M310" s="18"/>
      <c r="N310" s="18"/>
    </row>
    <row r="311" spans="8:14" ht="14.1" customHeight="1" x14ac:dyDescent="0.2">
      <c r="J311" s="18"/>
      <c r="K311" s="18"/>
      <c r="L311" s="18"/>
      <c r="M311" s="18"/>
      <c r="N311" s="18"/>
    </row>
    <row r="312" spans="8:14" ht="14.1" customHeight="1" x14ac:dyDescent="0.2">
      <c r="J312" s="18"/>
      <c r="K312" s="18"/>
      <c r="L312" s="18"/>
      <c r="M312" s="18"/>
      <c r="N312" s="18"/>
    </row>
    <row r="313" spans="8:14" ht="14.1" customHeight="1" x14ac:dyDescent="0.2">
      <c r="J313" s="18"/>
      <c r="K313" s="18"/>
      <c r="L313" s="18"/>
      <c r="M313" s="18"/>
      <c r="N313" s="18"/>
    </row>
    <row r="314" spans="8:14" ht="14.1" customHeight="1" x14ac:dyDescent="0.2">
      <c r="J314" s="18"/>
      <c r="K314" s="18"/>
      <c r="L314" s="18"/>
      <c r="M314" s="18"/>
      <c r="N314" s="18"/>
    </row>
    <row r="315" spans="8:14" ht="14.1" customHeight="1" x14ac:dyDescent="0.2">
      <c r="J315" s="18"/>
      <c r="K315" s="18"/>
      <c r="L315" s="18"/>
      <c r="M315" s="18"/>
      <c r="N315" s="18"/>
    </row>
    <row r="316" spans="8:14" ht="14.1" customHeight="1" x14ac:dyDescent="0.2">
      <c r="H316" s="40"/>
      <c r="J316" s="18"/>
      <c r="K316" s="18"/>
      <c r="L316" s="18"/>
      <c r="M316" s="18"/>
      <c r="N316" s="18"/>
    </row>
    <row r="317" spans="8:14" ht="14.1" customHeight="1" x14ac:dyDescent="0.2">
      <c r="H317" s="41"/>
      <c r="J317" s="18"/>
      <c r="K317" s="18"/>
      <c r="L317" s="18"/>
      <c r="M317" s="18"/>
      <c r="N317" s="18"/>
    </row>
    <row r="318" spans="8:14" ht="14.1" customHeight="1" x14ac:dyDescent="0.2">
      <c r="H318" s="41"/>
      <c r="J318" s="18"/>
      <c r="K318" s="18"/>
      <c r="L318" s="18"/>
      <c r="M318" s="18"/>
      <c r="N318" s="18"/>
    </row>
    <row r="319" spans="8:14" ht="14.1" customHeight="1" x14ac:dyDescent="0.2">
      <c r="H319" s="41"/>
      <c r="J319" s="18"/>
      <c r="K319" s="18"/>
      <c r="L319" s="18"/>
      <c r="M319" s="18"/>
      <c r="N319" s="18"/>
    </row>
    <row r="320" spans="8:14" ht="14.1" customHeight="1" x14ac:dyDescent="0.2">
      <c r="H320" s="41"/>
      <c r="J320" s="18"/>
      <c r="K320" s="18"/>
      <c r="L320" s="18"/>
      <c r="M320" s="18"/>
      <c r="N320" s="18"/>
    </row>
    <row r="321" spans="4:14" ht="14.1" customHeight="1" x14ac:dyDescent="0.2">
      <c r="H321" s="41"/>
      <c r="J321" s="18"/>
      <c r="K321" s="18"/>
      <c r="L321" s="18"/>
      <c r="M321" s="18"/>
      <c r="N321" s="18"/>
    </row>
    <row r="322" spans="4:14" ht="14.1" customHeight="1" x14ac:dyDescent="0.2">
      <c r="H322" s="41"/>
      <c r="J322" s="18"/>
      <c r="K322" s="18"/>
      <c r="L322" s="18"/>
      <c r="M322" s="18"/>
      <c r="N322" s="18"/>
    </row>
    <row r="323" spans="4:14" ht="14.1" customHeight="1" x14ac:dyDescent="0.2">
      <c r="H323" s="41"/>
      <c r="J323" s="18"/>
      <c r="K323" s="18"/>
      <c r="L323" s="18"/>
      <c r="M323" s="18"/>
      <c r="N323" s="18"/>
    </row>
    <row r="324" spans="4:14" ht="14.1" customHeight="1" x14ac:dyDescent="0.2">
      <c r="G324" s="18"/>
      <c r="H324" s="41"/>
      <c r="J324" s="18"/>
      <c r="K324" s="18"/>
      <c r="L324" s="18"/>
      <c r="M324" s="18"/>
      <c r="N324" s="18"/>
    </row>
    <row r="325" spans="4:14" ht="14.1" customHeight="1" x14ac:dyDescent="0.2">
      <c r="D325" s="18"/>
      <c r="E325" s="18"/>
      <c r="G325" s="18"/>
      <c r="H325" s="41"/>
      <c r="J325" s="18"/>
      <c r="K325" s="18"/>
      <c r="L325" s="18"/>
      <c r="M325" s="18"/>
      <c r="N325" s="18"/>
    </row>
    <row r="326" spans="4:14" ht="14.1" customHeight="1" x14ac:dyDescent="0.2">
      <c r="D326" s="18"/>
      <c r="E326" s="18"/>
      <c r="G326" s="18"/>
      <c r="H326" s="41"/>
      <c r="J326" s="18"/>
      <c r="K326" s="18"/>
      <c r="L326" s="18"/>
      <c r="M326" s="18"/>
      <c r="N326" s="18"/>
    </row>
    <row r="327" spans="4:14" ht="14.1" customHeight="1" x14ac:dyDescent="0.2">
      <c r="D327" s="18"/>
      <c r="E327" s="18"/>
      <c r="G327" s="18"/>
      <c r="H327" s="41"/>
      <c r="J327" s="18"/>
      <c r="K327" s="18"/>
      <c r="L327" s="18"/>
      <c r="M327" s="18"/>
      <c r="N327" s="18"/>
    </row>
    <row r="328" spans="4:14" ht="14.1" customHeight="1" x14ac:dyDescent="0.2">
      <c r="D328" s="18"/>
      <c r="E328" s="18"/>
      <c r="G328" s="18"/>
      <c r="H328" s="41"/>
      <c r="J328" s="18"/>
      <c r="K328" s="18"/>
      <c r="L328" s="18"/>
      <c r="M328" s="18"/>
      <c r="N328" s="18"/>
    </row>
    <row r="329" spans="4:14" ht="14.1" customHeight="1" x14ac:dyDescent="0.2">
      <c r="D329" s="18"/>
      <c r="E329" s="18"/>
      <c r="G329" s="18"/>
      <c r="H329" s="41"/>
      <c r="J329" s="18"/>
      <c r="K329" s="18"/>
      <c r="L329" s="18"/>
      <c r="M329" s="18"/>
      <c r="N329" s="18"/>
    </row>
    <row r="330" spans="4:14" ht="14.1" customHeight="1" x14ac:dyDescent="0.2">
      <c r="D330" s="18"/>
      <c r="E330" s="18"/>
      <c r="G330" s="18"/>
      <c r="H330" s="41"/>
      <c r="J330" s="18"/>
      <c r="K330" s="18"/>
      <c r="L330" s="18"/>
      <c r="M330" s="18"/>
      <c r="N330" s="18"/>
    </row>
    <row r="331" spans="4:14" ht="14.1" customHeight="1" x14ac:dyDescent="0.2">
      <c r="D331" s="18"/>
      <c r="E331" s="18"/>
      <c r="G331" s="18"/>
      <c r="H331" s="41"/>
      <c r="J331" s="18"/>
      <c r="K331" s="18"/>
      <c r="L331" s="18"/>
      <c r="M331" s="18"/>
      <c r="N331" s="18"/>
    </row>
    <row r="332" spans="4:14" ht="14.1" customHeight="1" x14ac:dyDescent="0.2">
      <c r="D332" s="18"/>
      <c r="E332" s="18"/>
      <c r="G332" s="18"/>
      <c r="H332" s="41"/>
      <c r="J332" s="18"/>
      <c r="K332" s="18"/>
      <c r="L332" s="18"/>
      <c r="M332" s="18"/>
      <c r="N332" s="18"/>
    </row>
    <row r="333" spans="4:14" ht="14.1" customHeight="1" x14ac:dyDescent="0.2">
      <c r="D333" s="18"/>
      <c r="E333" s="18"/>
      <c r="G333" s="18"/>
      <c r="H333" s="41"/>
      <c r="J333" s="18"/>
      <c r="K333" s="18"/>
      <c r="L333" s="18"/>
      <c r="M333" s="18"/>
      <c r="N333" s="18"/>
    </row>
    <row r="334" spans="4:14" ht="14.1" customHeight="1" x14ac:dyDescent="0.2">
      <c r="D334" s="18"/>
      <c r="E334" s="18"/>
      <c r="G334" s="18"/>
      <c r="H334" s="41"/>
      <c r="J334" s="18"/>
      <c r="K334" s="18"/>
      <c r="L334" s="18"/>
      <c r="M334" s="18"/>
      <c r="N334" s="18"/>
    </row>
    <row r="335" spans="4:14" ht="14.1" customHeight="1" x14ac:dyDescent="0.2">
      <c r="D335" s="18"/>
      <c r="E335" s="18"/>
      <c r="G335" s="18"/>
      <c r="H335" s="41"/>
      <c r="J335" s="18"/>
      <c r="K335" s="18"/>
      <c r="L335" s="18"/>
      <c r="M335" s="18"/>
      <c r="N335" s="18"/>
    </row>
    <row r="336" spans="4:14" ht="14.1" customHeight="1" x14ac:dyDescent="0.2">
      <c r="D336" s="18"/>
      <c r="E336" s="18"/>
      <c r="G336" s="18"/>
      <c r="H336" s="41"/>
      <c r="J336" s="18"/>
      <c r="K336" s="18"/>
      <c r="L336" s="18"/>
      <c r="M336" s="18"/>
      <c r="N336" s="18"/>
    </row>
    <row r="337" spans="4:14" ht="14.1" customHeight="1" x14ac:dyDescent="0.2">
      <c r="D337" s="18"/>
      <c r="E337" s="18"/>
      <c r="G337" s="18"/>
      <c r="H337" s="41"/>
      <c r="J337" s="18"/>
      <c r="K337" s="18"/>
      <c r="L337" s="18"/>
      <c r="M337" s="18"/>
      <c r="N337" s="18"/>
    </row>
    <row r="338" spans="4:14" ht="14.1" customHeight="1" x14ac:dyDescent="0.2">
      <c r="D338" s="18"/>
      <c r="E338" s="18"/>
      <c r="G338" s="18"/>
      <c r="H338" s="41"/>
      <c r="J338" s="18"/>
      <c r="K338" s="18"/>
      <c r="L338" s="18"/>
      <c r="M338" s="18"/>
      <c r="N338" s="18"/>
    </row>
    <row r="339" spans="4:14" ht="14.1" customHeight="1" x14ac:dyDescent="0.2">
      <c r="D339" s="18"/>
      <c r="E339" s="18"/>
      <c r="G339" s="18"/>
      <c r="H339" s="41"/>
      <c r="J339" s="18"/>
      <c r="K339" s="18"/>
      <c r="L339" s="18"/>
      <c r="M339" s="18"/>
      <c r="N339" s="18"/>
    </row>
    <row r="340" spans="4:14" ht="14.1" customHeight="1" x14ac:dyDescent="0.2">
      <c r="D340" s="18"/>
      <c r="E340" s="18"/>
      <c r="G340" s="18"/>
      <c r="H340" s="41"/>
      <c r="J340" s="18"/>
      <c r="K340" s="18"/>
      <c r="L340" s="18"/>
      <c r="M340" s="18"/>
      <c r="N340" s="18"/>
    </row>
    <row r="341" spans="4:14" ht="14.1" customHeight="1" x14ac:dyDescent="0.2">
      <c r="D341" s="18"/>
      <c r="E341" s="18"/>
      <c r="G341" s="18"/>
      <c r="H341" s="41"/>
      <c r="J341" s="18"/>
      <c r="K341" s="18"/>
      <c r="L341" s="18"/>
      <c r="M341" s="18"/>
      <c r="N341" s="18"/>
    </row>
    <row r="342" spans="4:14" ht="14.1" customHeight="1" x14ac:dyDescent="0.2">
      <c r="D342" s="18"/>
      <c r="E342" s="18"/>
      <c r="G342" s="18"/>
      <c r="H342" s="41"/>
      <c r="J342" s="18"/>
      <c r="K342" s="18"/>
      <c r="L342" s="18"/>
      <c r="M342" s="18"/>
      <c r="N342" s="18"/>
    </row>
    <row r="343" spans="4:14" ht="14.1" customHeight="1" x14ac:dyDescent="0.2">
      <c r="D343" s="18"/>
      <c r="E343" s="18"/>
      <c r="G343" s="18"/>
      <c r="H343" s="41"/>
      <c r="J343" s="18"/>
      <c r="K343" s="18"/>
      <c r="L343" s="18"/>
      <c r="M343" s="18"/>
      <c r="N343" s="18"/>
    </row>
    <row r="344" spans="4:14" ht="14.1" customHeight="1" x14ac:dyDescent="0.2">
      <c r="D344" s="18"/>
      <c r="E344" s="18"/>
      <c r="G344" s="18"/>
      <c r="H344" s="41"/>
      <c r="J344" s="18"/>
      <c r="K344" s="18"/>
      <c r="L344" s="18"/>
      <c r="M344" s="18"/>
      <c r="N344" s="18"/>
    </row>
    <row r="345" spans="4:14" ht="14.1" customHeight="1" x14ac:dyDescent="0.2">
      <c r="D345" s="18"/>
      <c r="E345" s="18"/>
      <c r="G345" s="18"/>
      <c r="H345" s="41"/>
      <c r="K345" s="18"/>
      <c r="L345" s="18"/>
      <c r="M345" s="18"/>
      <c r="N345" s="18"/>
    </row>
    <row r="346" spans="4:14" ht="14.1" customHeight="1" x14ac:dyDescent="0.2">
      <c r="D346" s="18"/>
      <c r="E346" s="18"/>
      <c r="G346" s="18"/>
      <c r="H346" s="41"/>
      <c r="K346" s="18"/>
      <c r="L346" s="18"/>
      <c r="M346" s="18"/>
      <c r="N346" s="18"/>
    </row>
    <row r="347" spans="4:14" ht="14.1" customHeight="1" x14ac:dyDescent="0.2">
      <c r="D347" s="18"/>
      <c r="E347" s="18"/>
      <c r="G347" s="18"/>
      <c r="H347" s="41"/>
      <c r="K347" s="18"/>
      <c r="L347" s="18"/>
      <c r="M347" s="18"/>
      <c r="N347" s="18"/>
    </row>
    <row r="348" spans="4:14" ht="14.1" customHeight="1" x14ac:dyDescent="0.2">
      <c r="D348" s="18"/>
      <c r="E348" s="18"/>
      <c r="G348" s="18"/>
      <c r="H348" s="41"/>
      <c r="N348" s="18"/>
    </row>
    <row r="349" spans="4:14" ht="14.1" customHeight="1" x14ac:dyDescent="0.2">
      <c r="D349" s="18"/>
      <c r="E349" s="18"/>
      <c r="G349" s="18"/>
      <c r="H349" s="41"/>
      <c r="N349" s="18"/>
    </row>
    <row r="350" spans="4:14" ht="14.1" customHeight="1" x14ac:dyDescent="0.2">
      <c r="D350" s="18"/>
      <c r="E350" s="18"/>
      <c r="G350" s="18"/>
      <c r="H350" s="41"/>
      <c r="N350" s="18"/>
    </row>
    <row r="351" spans="4:14" ht="14.1" customHeight="1" x14ac:dyDescent="0.2">
      <c r="D351" s="18"/>
      <c r="E351" s="18"/>
      <c r="G351" s="18"/>
      <c r="H351" s="41"/>
      <c r="N351" s="18"/>
    </row>
    <row r="352" spans="4:14" ht="14.1" customHeight="1" x14ac:dyDescent="0.2">
      <c r="D352" s="18"/>
      <c r="E352" s="18"/>
      <c r="G352" s="18"/>
      <c r="H352" s="41"/>
      <c r="N352" s="18"/>
    </row>
    <row r="353" spans="4:8" ht="14.1" customHeight="1" x14ac:dyDescent="0.2">
      <c r="D353" s="18"/>
      <c r="E353" s="18"/>
      <c r="G353" s="18"/>
      <c r="H353" s="41"/>
    </row>
    <row r="354" spans="4:8" ht="14.1" customHeight="1" x14ac:dyDescent="0.2">
      <c r="D354" s="18"/>
      <c r="E354" s="18"/>
      <c r="G354" s="18"/>
      <c r="H354" s="41"/>
    </row>
    <row r="355" spans="4:8" ht="14.1" customHeight="1" x14ac:dyDescent="0.2">
      <c r="D355" s="18"/>
      <c r="E355" s="18"/>
      <c r="G355" s="18"/>
      <c r="H355" s="41"/>
    </row>
    <row r="356" spans="4:8" ht="14.1" customHeight="1" x14ac:dyDescent="0.2">
      <c r="D356" s="18"/>
      <c r="E356" s="18"/>
      <c r="G356" s="18"/>
      <c r="H356" s="41"/>
    </row>
    <row r="357" spans="4:8" ht="14.1" customHeight="1" x14ac:dyDescent="0.2">
      <c r="D357" s="18"/>
      <c r="E357" s="18"/>
      <c r="G357" s="18"/>
      <c r="H357" s="41"/>
    </row>
    <row r="358" spans="4:8" ht="14.1" customHeight="1" x14ac:dyDescent="0.2">
      <c r="D358" s="18"/>
      <c r="E358" s="18"/>
      <c r="G358" s="18"/>
      <c r="H358" s="41"/>
    </row>
    <row r="359" spans="4:8" ht="14.1" customHeight="1" x14ac:dyDescent="0.2">
      <c r="D359" s="18"/>
      <c r="E359" s="18"/>
      <c r="G359" s="18"/>
      <c r="H359" s="41"/>
    </row>
    <row r="360" spans="4:8" ht="14.1" customHeight="1" x14ac:dyDescent="0.2">
      <c r="D360" s="18"/>
      <c r="E360" s="18"/>
      <c r="G360" s="18"/>
      <c r="H360" s="41"/>
    </row>
    <row r="361" spans="4:8" ht="14.1" customHeight="1" x14ac:dyDescent="0.2">
      <c r="D361" s="18"/>
      <c r="E361" s="18"/>
      <c r="G361" s="18"/>
      <c r="H361" s="41"/>
    </row>
    <row r="362" spans="4:8" ht="14.1" customHeight="1" x14ac:dyDescent="0.2">
      <c r="D362" s="18"/>
      <c r="E362" s="18"/>
      <c r="G362" s="18"/>
      <c r="H362" s="41"/>
    </row>
    <row r="363" spans="4:8" ht="14.1" customHeight="1" x14ac:dyDescent="0.2">
      <c r="D363" s="18"/>
      <c r="E363" s="18"/>
      <c r="G363" s="18"/>
      <c r="H363" s="41"/>
    </row>
    <row r="364" spans="4:8" ht="14.1" customHeight="1" x14ac:dyDescent="0.2">
      <c r="D364" s="18"/>
      <c r="E364" s="18"/>
      <c r="G364" s="18"/>
      <c r="H364" s="41"/>
    </row>
    <row r="365" spans="4:8" ht="14.1" customHeight="1" x14ac:dyDescent="0.2">
      <c r="D365" s="18"/>
      <c r="E365" s="18"/>
      <c r="G365" s="18"/>
      <c r="H365" s="41"/>
    </row>
    <row r="366" spans="4:8" ht="14.1" customHeight="1" x14ac:dyDescent="0.2">
      <c r="D366" s="18"/>
      <c r="E366" s="18"/>
      <c r="G366" s="18"/>
      <c r="H366" s="41"/>
    </row>
    <row r="367" spans="4:8" ht="14.1" customHeight="1" x14ac:dyDescent="0.2">
      <c r="D367" s="18"/>
      <c r="E367" s="18"/>
      <c r="G367" s="18"/>
      <c r="H367" s="41"/>
    </row>
    <row r="368" spans="4:8" ht="14.1" customHeight="1" x14ac:dyDescent="0.2">
      <c r="D368" s="18"/>
      <c r="E368" s="18"/>
      <c r="G368" s="18"/>
      <c r="H368" s="41"/>
    </row>
    <row r="369" spans="4:8" ht="14.1" customHeight="1" x14ac:dyDescent="0.2">
      <c r="D369" s="18"/>
      <c r="E369" s="18"/>
      <c r="G369" s="18"/>
      <c r="H369" s="41"/>
    </row>
    <row r="370" spans="4:8" ht="14.1" customHeight="1" x14ac:dyDescent="0.2">
      <c r="D370" s="18"/>
      <c r="E370" s="18"/>
      <c r="G370" s="18"/>
      <c r="H370" s="41"/>
    </row>
    <row r="371" spans="4:8" ht="14.1" customHeight="1" x14ac:dyDescent="0.2">
      <c r="D371" s="18"/>
      <c r="E371" s="18"/>
      <c r="G371" s="18"/>
      <c r="H371" s="41"/>
    </row>
    <row r="372" spans="4:8" ht="14.1" customHeight="1" x14ac:dyDescent="0.2">
      <c r="D372" s="18"/>
      <c r="E372" s="18"/>
      <c r="G372" s="18"/>
    </row>
    <row r="373" spans="4:8" ht="14.1" customHeight="1" x14ac:dyDescent="0.2">
      <c r="D373" s="18"/>
      <c r="E373" s="18"/>
      <c r="G373" s="18"/>
    </row>
    <row r="374" spans="4:8" ht="14.1" customHeight="1" x14ac:dyDescent="0.2">
      <c r="D374" s="18"/>
      <c r="E374" s="18"/>
      <c r="G374" s="18"/>
    </row>
    <row r="375" spans="4:8" ht="14.1" customHeight="1" x14ac:dyDescent="0.2">
      <c r="D375" s="18"/>
      <c r="E375" s="18"/>
      <c r="G375" s="18"/>
    </row>
    <row r="376" spans="4:8" ht="14.1" customHeight="1" x14ac:dyDescent="0.2">
      <c r="D376" s="18"/>
      <c r="E376" s="18"/>
      <c r="G376" s="18"/>
    </row>
    <row r="377" spans="4:8" ht="14.1" customHeight="1" x14ac:dyDescent="0.2">
      <c r="D377" s="18"/>
      <c r="E377" s="18"/>
    </row>
    <row r="378" spans="4:8" ht="14.1" customHeight="1" x14ac:dyDescent="0.2">
      <c r="D378" s="18"/>
      <c r="E378" s="18"/>
    </row>
  </sheetData>
  <mergeCells count="30">
    <mergeCell ref="J115:K115"/>
    <mergeCell ref="B127:B130"/>
    <mergeCell ref="B116:B121"/>
    <mergeCell ref="G115:H115"/>
    <mergeCell ref="B58:B64"/>
    <mergeCell ref="B105:B107"/>
    <mergeCell ref="B123:B125"/>
    <mergeCell ref="A66:C66"/>
    <mergeCell ref="B67:B69"/>
    <mergeCell ref="B71:B72"/>
    <mergeCell ref="B74:B82"/>
    <mergeCell ref="B94:B102"/>
    <mergeCell ref="B84:B92"/>
    <mergeCell ref="A115:B115"/>
    <mergeCell ref="I116:I122"/>
    <mergeCell ref="B109:B113"/>
    <mergeCell ref="B14:B20"/>
    <mergeCell ref="B50:B56"/>
    <mergeCell ref="H110:H113"/>
    <mergeCell ref="A104:B104"/>
    <mergeCell ref="B2:B3"/>
    <mergeCell ref="D5:D6"/>
    <mergeCell ref="H8:H9"/>
    <mergeCell ref="B42:B44"/>
    <mergeCell ref="B46:B48"/>
    <mergeCell ref="D8:F8"/>
    <mergeCell ref="C8:C9"/>
    <mergeCell ref="G8:G9"/>
    <mergeCell ref="A10:B10"/>
    <mergeCell ref="A22:C22"/>
  </mergeCells>
  <phoneticPr fontId="7" type="noConversion"/>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workbookViewId="0"/>
  </sheetViews>
  <sheetFormatPr defaultColWidth="10.85546875" defaultRowHeight="14.1" customHeight="1" x14ac:dyDescent="0.2"/>
  <cols>
    <col min="1" max="1" width="36.7109375" style="106" customWidth="1"/>
    <col min="2" max="2" width="16.85546875" style="106" customWidth="1"/>
    <col min="3" max="3" width="16.28515625" style="106" customWidth="1"/>
    <col min="4" max="16384" width="10.85546875" style="106"/>
  </cols>
  <sheetData>
    <row r="1" spans="1:4" s="117" customFormat="1" ht="14.1" customHeight="1" x14ac:dyDescent="0.2">
      <c r="A1" s="117" t="s">
        <v>26</v>
      </c>
      <c r="B1" s="117" t="s">
        <v>25</v>
      </c>
      <c r="C1" s="117" t="s">
        <v>1</v>
      </c>
    </row>
    <row r="2" spans="1:4" s="117" customFormat="1" ht="14.1" customHeight="1" x14ac:dyDescent="0.2"/>
    <row r="3" spans="1:4" ht="14.1" customHeight="1" x14ac:dyDescent="0.2">
      <c r="A3" s="118" t="s">
        <v>200</v>
      </c>
    </row>
    <row r="4" spans="1:4" ht="14.1" customHeight="1" x14ac:dyDescent="0.2">
      <c r="A4" s="106" t="s">
        <v>199</v>
      </c>
      <c r="C4" s="106" t="s">
        <v>29</v>
      </c>
    </row>
    <row r="5" spans="1:4" s="117" customFormat="1" ht="14.1" customHeight="1" x14ac:dyDescent="0.2"/>
    <row r="6" spans="1:4" s="117" customFormat="1" ht="14.1" customHeight="1" x14ac:dyDescent="0.2">
      <c r="A6" s="118" t="s">
        <v>198</v>
      </c>
    </row>
    <row r="7" spans="1:4" ht="14.1" customHeight="1" x14ac:dyDescent="0.2">
      <c r="A7" s="106" t="s">
        <v>197</v>
      </c>
      <c r="C7" s="106" t="s">
        <v>24</v>
      </c>
    </row>
    <row r="8" spans="1:4" ht="14.1" customHeight="1" x14ac:dyDescent="0.2">
      <c r="A8" s="106" t="s">
        <v>79</v>
      </c>
      <c r="C8" s="106" t="s">
        <v>24</v>
      </c>
    </row>
    <row r="9" spans="1:4" ht="14.1" customHeight="1" x14ac:dyDescent="0.2">
      <c r="A9" s="106" t="s">
        <v>207</v>
      </c>
      <c r="C9" s="106" t="s">
        <v>24</v>
      </c>
    </row>
    <row r="10" spans="1:4" ht="14.1" customHeight="1" x14ac:dyDescent="0.2">
      <c r="A10" s="106" t="s">
        <v>208</v>
      </c>
      <c r="C10" s="106" t="s">
        <v>24</v>
      </c>
    </row>
    <row r="11" spans="1:4" ht="14.1" customHeight="1" x14ac:dyDescent="0.2">
      <c r="A11" s="106" t="s">
        <v>255</v>
      </c>
      <c r="C11" s="106" t="s">
        <v>24</v>
      </c>
    </row>
    <row r="12" spans="1:4" ht="14.1" customHeight="1" x14ac:dyDescent="0.2">
      <c r="A12" s="106" t="s">
        <v>261</v>
      </c>
      <c r="C12" s="106" t="s">
        <v>24</v>
      </c>
    </row>
    <row r="13" spans="1:4" ht="14.1" customHeight="1" x14ac:dyDescent="0.2">
      <c r="A13" s="119" t="s">
        <v>262</v>
      </c>
      <c r="B13" s="119"/>
      <c r="C13" s="119" t="s">
        <v>24</v>
      </c>
    </row>
    <row r="14" spans="1:4" ht="14.1" customHeight="1" x14ac:dyDescent="0.2">
      <c r="A14" s="119" t="s">
        <v>277</v>
      </c>
      <c r="B14" s="119"/>
      <c r="C14" s="119" t="s">
        <v>24</v>
      </c>
    </row>
    <row r="15" spans="1:4" ht="14.1" customHeight="1" x14ac:dyDescent="0.2">
      <c r="A15" s="118"/>
    </row>
    <row r="16" spans="1:4" ht="14.1" customHeight="1" x14ac:dyDescent="0.2">
      <c r="A16" s="118" t="s">
        <v>81</v>
      </c>
      <c r="C16" s="120"/>
      <c r="D16" s="121"/>
    </row>
    <row r="17" spans="1:4" ht="14.1" customHeight="1" x14ac:dyDescent="0.2">
      <c r="A17" s="106" t="s">
        <v>75</v>
      </c>
      <c r="C17" s="106" t="s">
        <v>78</v>
      </c>
    </row>
    <row r="18" spans="1:4" ht="14.1" customHeight="1" x14ac:dyDescent="0.2">
      <c r="A18" s="106" t="s">
        <v>23</v>
      </c>
      <c r="B18" s="106" t="s">
        <v>30</v>
      </c>
      <c r="C18" s="106" t="s">
        <v>22</v>
      </c>
    </row>
    <row r="19" spans="1:4" ht="14.1" customHeight="1" x14ac:dyDescent="0.2">
      <c r="A19" s="106" t="s">
        <v>31</v>
      </c>
      <c r="B19" s="106" t="s">
        <v>27</v>
      </c>
      <c r="C19" s="106" t="s">
        <v>28</v>
      </c>
    </row>
    <row r="20" spans="1:4" ht="14.1" customHeight="1" x14ac:dyDescent="0.2">
      <c r="A20" s="106" t="s">
        <v>76</v>
      </c>
      <c r="C20" s="106" t="s">
        <v>77</v>
      </c>
    </row>
    <row r="22" spans="1:4" ht="14.1" customHeight="1" x14ac:dyDescent="0.2">
      <c r="A22" s="118" t="s">
        <v>83</v>
      </c>
    </row>
    <row r="23" spans="1:4" ht="14.1" customHeight="1" x14ac:dyDescent="0.2">
      <c r="A23" s="106" t="s">
        <v>82</v>
      </c>
      <c r="C23" s="106" t="s">
        <v>85</v>
      </c>
    </row>
    <row r="24" spans="1:4" ht="14.1" customHeight="1" x14ac:dyDescent="0.2">
      <c r="A24" s="106" t="s">
        <v>84</v>
      </c>
      <c r="C24" s="106" t="s">
        <v>86</v>
      </c>
    </row>
    <row r="26" spans="1:4" ht="14.1" customHeight="1" x14ac:dyDescent="0.2">
      <c r="A26" s="118" t="s">
        <v>204</v>
      </c>
    </row>
    <row r="27" spans="1:4" ht="14.1" customHeight="1" x14ac:dyDescent="0.2">
      <c r="A27" s="106" t="s">
        <v>23</v>
      </c>
      <c r="B27" s="106" t="s">
        <v>30</v>
      </c>
      <c r="C27" s="106" t="s">
        <v>22</v>
      </c>
    </row>
    <row r="28" spans="1:4" ht="14.1" customHeight="1" x14ac:dyDescent="0.2">
      <c r="A28" s="119" t="s">
        <v>31</v>
      </c>
      <c r="B28" s="119" t="s">
        <v>27</v>
      </c>
      <c r="C28" s="119" t="s">
        <v>28</v>
      </c>
      <c r="D28" s="119"/>
    </row>
    <row r="30" spans="1:4" ht="14.1" customHeight="1" x14ac:dyDescent="0.2">
      <c r="A30" s="118" t="s">
        <v>105</v>
      </c>
    </row>
    <row r="31" spans="1:4" ht="14.1" customHeight="1" x14ac:dyDescent="0.2">
      <c r="A31" s="106" t="s">
        <v>106</v>
      </c>
      <c r="C31" s="106" t="s">
        <v>107</v>
      </c>
    </row>
    <row r="33" spans="1:4" ht="14.1" customHeight="1" x14ac:dyDescent="0.2">
      <c r="A33" s="118" t="s">
        <v>225</v>
      </c>
      <c r="C33" s="120"/>
      <c r="D33" s="121"/>
    </row>
    <row r="34" spans="1:4" ht="14.1" customHeight="1" x14ac:dyDescent="0.2">
      <c r="A34" s="106" t="s">
        <v>214</v>
      </c>
      <c r="C34" s="106" t="s">
        <v>216</v>
      </c>
    </row>
    <row r="35" spans="1:4" ht="14.1" customHeight="1" x14ac:dyDescent="0.2">
      <c r="A35" s="106" t="s">
        <v>215</v>
      </c>
      <c r="C35" s="106" t="s">
        <v>217</v>
      </c>
    </row>
    <row r="36" spans="1:4" ht="14.1" customHeight="1" x14ac:dyDescent="0.2">
      <c r="A36" s="106" t="s">
        <v>117</v>
      </c>
      <c r="B36" s="106" t="s">
        <v>223</v>
      </c>
      <c r="C36" s="106" t="s">
        <v>224</v>
      </c>
    </row>
    <row r="38" spans="1:4" ht="14.1" customHeight="1" x14ac:dyDescent="0.2">
      <c r="A38" s="118" t="s">
        <v>228</v>
      </c>
    </row>
    <row r="39" spans="1:4" ht="14.1" customHeight="1" x14ac:dyDescent="0.2">
      <c r="A39" s="106" t="s">
        <v>42</v>
      </c>
      <c r="C39" s="120" t="s">
        <v>41</v>
      </c>
    </row>
    <row r="40" spans="1:4" ht="14.1" customHeight="1" x14ac:dyDescent="0.2">
      <c r="A40" s="106" t="s">
        <v>43</v>
      </c>
      <c r="C40" s="120" t="s">
        <v>44</v>
      </c>
    </row>
    <row r="41" spans="1:4" ht="14.1" customHeight="1" x14ac:dyDescent="0.2">
      <c r="A41" s="106" t="s">
        <v>64</v>
      </c>
      <c r="C41" s="120" t="s">
        <v>67</v>
      </c>
    </row>
    <row r="42" spans="1:4" ht="14.1" customHeight="1" x14ac:dyDescent="0.2">
      <c r="A42" s="106" t="s">
        <v>65</v>
      </c>
      <c r="C42" s="120" t="s">
        <v>66</v>
      </c>
      <c r="D42" s="121"/>
    </row>
    <row r="44" spans="1:4" ht="14.1" customHeight="1" x14ac:dyDescent="0.2">
      <c r="A44" s="122" t="s">
        <v>231</v>
      </c>
    </row>
    <row r="45" spans="1:4" ht="14.1" customHeight="1" x14ac:dyDescent="0.2">
      <c r="A45" s="106" t="s">
        <v>232</v>
      </c>
      <c r="C45" s="106" t="s">
        <v>239</v>
      </c>
    </row>
    <row r="46" spans="1:4" ht="14.1" customHeight="1" x14ac:dyDescent="0.2">
      <c r="A46" s="106" t="s">
        <v>233</v>
      </c>
      <c r="C46" s="106" t="s">
        <v>240</v>
      </c>
    </row>
    <row r="47" spans="1:4" ht="14.1" customHeight="1" x14ac:dyDescent="0.2">
      <c r="A47" s="106" t="s">
        <v>234</v>
      </c>
      <c r="C47" s="106" t="s">
        <v>241</v>
      </c>
    </row>
    <row r="49" spans="1:4" ht="14.1" customHeight="1" x14ac:dyDescent="0.2">
      <c r="A49" s="118" t="s">
        <v>235</v>
      </c>
    </row>
    <row r="50" spans="1:4" ht="14.1" customHeight="1" x14ac:dyDescent="0.2">
      <c r="A50" s="106" t="s">
        <v>47</v>
      </c>
      <c r="C50" s="120" t="s">
        <v>57</v>
      </c>
      <c r="D50" s="106" t="s">
        <v>50</v>
      </c>
    </row>
    <row r="51" spans="1:4" ht="14.1" customHeight="1" x14ac:dyDescent="0.2">
      <c r="A51" s="106" t="s">
        <v>55</v>
      </c>
      <c r="C51" s="120" t="s">
        <v>58</v>
      </c>
      <c r="D51" s="106" t="s">
        <v>56</v>
      </c>
    </row>
    <row r="52" spans="1:4" ht="14.1" customHeight="1" x14ac:dyDescent="0.2">
      <c r="A52" s="106" t="s">
        <v>49</v>
      </c>
      <c r="C52" s="120" t="s">
        <v>60</v>
      </c>
      <c r="D52" s="106" t="s">
        <v>51</v>
      </c>
    </row>
    <row r="53" spans="1:4" ht="14.1" customHeight="1" x14ac:dyDescent="0.2">
      <c r="A53" s="106" t="s">
        <v>53</v>
      </c>
      <c r="C53" s="120" t="s">
        <v>61</v>
      </c>
      <c r="D53" s="106" t="s">
        <v>54</v>
      </c>
    </row>
    <row r="54" spans="1:4" ht="14.1" customHeight="1" x14ac:dyDescent="0.2">
      <c r="A54" s="106" t="s">
        <v>48</v>
      </c>
      <c r="C54" s="120" t="s">
        <v>59</v>
      </c>
      <c r="D54" s="106" t="s">
        <v>52</v>
      </c>
    </row>
    <row r="55" spans="1:4" ht="14.1" customHeight="1" x14ac:dyDescent="0.2">
      <c r="C55" s="120"/>
    </row>
    <row r="56" spans="1:4" ht="14.1" customHeight="1" x14ac:dyDescent="0.2">
      <c r="A56" s="118" t="s">
        <v>242</v>
      </c>
      <c r="C56" s="120"/>
    </row>
    <row r="57" spans="1:4" ht="14.1" customHeight="1" x14ac:dyDescent="0.2">
      <c r="A57" s="106" t="s">
        <v>42</v>
      </c>
      <c r="C57" s="120" t="s">
        <v>41</v>
      </c>
    </row>
    <row r="59" spans="1:4" ht="14.1" customHeight="1" x14ac:dyDescent="0.2">
      <c r="A59" s="118" t="s">
        <v>154</v>
      </c>
    </row>
    <row r="60" spans="1:4" ht="14.1" customHeight="1" x14ac:dyDescent="0.2">
      <c r="A60" s="106" t="s">
        <v>244</v>
      </c>
      <c r="C60" s="106" t="s">
        <v>246</v>
      </c>
    </row>
    <row r="61" spans="1:4" ht="14.1" customHeight="1" x14ac:dyDescent="0.2">
      <c r="A61" s="106" t="s">
        <v>245</v>
      </c>
      <c r="C61" s="106" t="s">
        <v>247</v>
      </c>
    </row>
    <row r="63" spans="1:4" ht="14.1" customHeight="1" x14ac:dyDescent="0.2">
      <c r="A63" s="118" t="s">
        <v>249</v>
      </c>
    </row>
    <row r="64" spans="1:4" ht="14.1" customHeight="1" x14ac:dyDescent="0.2">
      <c r="A64" s="106" t="s">
        <v>42</v>
      </c>
      <c r="C64" s="120" t="s">
        <v>41</v>
      </c>
    </row>
    <row r="65" spans="1:4" ht="14.1" customHeight="1" x14ac:dyDescent="0.2">
      <c r="C65" s="120"/>
    </row>
    <row r="66" spans="1:4" ht="14.1" customHeight="1" x14ac:dyDescent="0.2">
      <c r="A66" s="118" t="s">
        <v>250</v>
      </c>
    </row>
    <row r="67" spans="1:4" ht="14.1" customHeight="1" x14ac:dyDescent="0.2">
      <c r="A67" s="106" t="s">
        <v>125</v>
      </c>
    </row>
    <row r="69" spans="1:4" ht="14.1" customHeight="1" x14ac:dyDescent="0.2">
      <c r="A69" s="118" t="s">
        <v>201</v>
      </c>
    </row>
    <row r="70" spans="1:4" ht="14.1" customHeight="1" x14ac:dyDescent="0.2">
      <c r="A70" s="119" t="s">
        <v>255</v>
      </c>
      <c r="B70" s="119"/>
      <c r="C70" s="119" t="s">
        <v>24</v>
      </c>
    </row>
    <row r="71" spans="1:4" ht="14.1" customHeight="1" x14ac:dyDescent="0.2">
      <c r="A71" s="106" t="s">
        <v>258</v>
      </c>
      <c r="C71" s="106" t="s">
        <v>256</v>
      </c>
    </row>
    <row r="72" spans="1:4" ht="14.1" customHeight="1" x14ac:dyDescent="0.2">
      <c r="A72" s="106" t="s">
        <v>36</v>
      </c>
      <c r="C72" s="106" t="s">
        <v>35</v>
      </c>
    </row>
    <row r="73" spans="1:4" ht="14.1" customHeight="1" x14ac:dyDescent="0.2">
      <c r="A73" s="106" t="s">
        <v>37</v>
      </c>
      <c r="C73" s="106" t="s">
        <v>38</v>
      </c>
    </row>
    <row r="75" spans="1:4" ht="14.1" customHeight="1" x14ac:dyDescent="0.2">
      <c r="A75" s="118" t="s">
        <v>260</v>
      </c>
    </row>
    <row r="76" spans="1:4" ht="14.1" customHeight="1" x14ac:dyDescent="0.2">
      <c r="A76" s="106" t="s">
        <v>261</v>
      </c>
      <c r="C76" s="106" t="s">
        <v>24</v>
      </c>
    </row>
    <row r="77" spans="1:4" ht="14.1" customHeight="1" x14ac:dyDescent="0.2">
      <c r="A77" s="106" t="s">
        <v>262</v>
      </c>
      <c r="C77" s="106" t="s">
        <v>24</v>
      </c>
    </row>
    <row r="78" spans="1:4" ht="14.1" customHeight="1" x14ac:dyDescent="0.2">
      <c r="A78" s="119" t="s">
        <v>79</v>
      </c>
      <c r="B78" s="119"/>
      <c r="C78" s="119" t="s">
        <v>24</v>
      </c>
      <c r="D78" s="119"/>
    </row>
    <row r="79" spans="1:4" ht="14.1" customHeight="1" x14ac:dyDescent="0.2">
      <c r="A79" s="119"/>
      <c r="B79" s="119"/>
      <c r="C79" s="119"/>
      <c r="D79" s="119"/>
    </row>
    <row r="80" spans="1:4" ht="14.1" customHeight="1" x14ac:dyDescent="0.2">
      <c r="A80" s="122" t="s">
        <v>264</v>
      </c>
      <c r="B80" s="119"/>
      <c r="C80" s="119"/>
      <c r="D80" s="119"/>
    </row>
    <row r="81" spans="1:4" ht="14.1" customHeight="1" x14ac:dyDescent="0.2">
      <c r="A81" s="119" t="s">
        <v>79</v>
      </c>
      <c r="B81" s="119"/>
      <c r="C81" s="119" t="s">
        <v>24</v>
      </c>
      <c r="D81" s="119"/>
    </row>
    <row r="83" spans="1:4" ht="14.1" customHeight="1" x14ac:dyDescent="0.2">
      <c r="A83" s="118" t="s">
        <v>267</v>
      </c>
    </row>
    <row r="84" spans="1:4" ht="14.1" customHeight="1" x14ac:dyDescent="0.2">
      <c r="A84" s="106" t="s">
        <v>199</v>
      </c>
      <c r="C84" s="106" t="s">
        <v>29</v>
      </c>
    </row>
    <row r="85" spans="1:4" ht="14.1" customHeight="1" x14ac:dyDescent="0.2">
      <c r="A85" s="123" t="s">
        <v>32</v>
      </c>
      <c r="B85" s="106" t="s">
        <v>34</v>
      </c>
      <c r="C85" s="106" t="s">
        <v>33</v>
      </c>
    </row>
    <row r="87" spans="1:4" ht="14.1" customHeight="1" x14ac:dyDescent="0.2">
      <c r="A87" s="118" t="s">
        <v>269</v>
      </c>
    </row>
    <row r="88" spans="1:4" ht="14.1" customHeight="1" x14ac:dyDescent="0.2">
      <c r="A88" s="106" t="s">
        <v>121</v>
      </c>
      <c r="C88" s="120" t="s">
        <v>122</v>
      </c>
      <c r="D88" s="121"/>
    </row>
  </sheetData>
  <hyperlinks>
    <hyperlink ref="C39" r:id="rId1"/>
    <hyperlink ref="C40" r:id="rId2"/>
    <hyperlink ref="C50" r:id="rId3"/>
    <hyperlink ref="C51" r:id="rId4"/>
    <hyperlink ref="C54" r:id="rId5"/>
    <hyperlink ref="C52" r:id="rId6"/>
    <hyperlink ref="C53" r:id="rId7"/>
    <hyperlink ref="C57" r:id="rId8"/>
    <hyperlink ref="C64" r:id="rId9"/>
  </hyperlink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8"/>
  <sheetViews>
    <sheetView workbookViewId="0"/>
  </sheetViews>
  <sheetFormatPr defaultColWidth="10.85546875" defaultRowHeight="14.1" customHeight="1" x14ac:dyDescent="0.2"/>
  <cols>
    <col min="1" max="1" width="12.28515625" style="1" customWidth="1"/>
    <col min="2" max="2" width="18.85546875" style="1" customWidth="1"/>
    <col min="3" max="3" width="36.28515625" style="1" customWidth="1"/>
    <col min="4" max="4" width="16.28515625" style="1" customWidth="1"/>
    <col min="5" max="5" width="15.7109375" style="1" customWidth="1"/>
    <col min="6" max="6" width="14.28515625" style="1" customWidth="1"/>
    <col min="7" max="7" width="16" style="1" customWidth="1"/>
    <col min="8" max="8" width="60" style="48" customWidth="1"/>
    <col min="9" max="9" width="11.42578125" style="1" customWidth="1"/>
    <col min="10" max="12" width="10.85546875" style="1"/>
    <col min="13" max="14" width="10.85546875" style="1" customWidth="1"/>
    <col min="15" max="16384" width="10.85546875" style="1"/>
  </cols>
  <sheetData>
    <row r="1" spans="1:14" ht="14.1" customHeight="1" x14ac:dyDescent="0.2">
      <c r="K1" s="3"/>
    </row>
    <row r="2" spans="1:14" ht="14.1" customHeight="1" x14ac:dyDescent="0.2">
      <c r="B2" s="209" t="s">
        <v>101</v>
      </c>
      <c r="C2" s="63" t="s">
        <v>17</v>
      </c>
      <c r="D2" s="72">
        <f>D125</f>
        <v>59410.225605490632</v>
      </c>
      <c r="E2" s="72">
        <f>E125</f>
        <v>18183.902500177497</v>
      </c>
      <c r="F2" s="73">
        <f>F125</f>
        <v>3638.1792842826026</v>
      </c>
      <c r="K2" s="3"/>
    </row>
    <row r="3" spans="1:14" ht="14.1" customHeight="1" x14ac:dyDescent="0.2">
      <c r="B3" s="209"/>
      <c r="C3" s="64" t="s">
        <v>180</v>
      </c>
      <c r="D3" s="67">
        <f>D130</f>
        <v>0.26325434452742708</v>
      </c>
      <c r="E3" s="68">
        <f>E130</f>
        <v>0.86010140011734748</v>
      </c>
      <c r="F3" s="69">
        <f>F130</f>
        <v>4.2988535687525875</v>
      </c>
      <c r="K3" s="27"/>
      <c r="L3" s="27"/>
      <c r="M3" s="27"/>
      <c r="N3" s="27"/>
    </row>
    <row r="4" spans="1:14" ht="14.1" customHeight="1" x14ac:dyDescent="0.2">
      <c r="B4" s="190"/>
      <c r="C4" s="65" t="s">
        <v>182</v>
      </c>
      <c r="D4" s="70">
        <f>D128</f>
        <v>3.8713874195209864E-2</v>
      </c>
      <c r="E4" s="70">
        <f>E128</f>
        <v>0.12648550001725697</v>
      </c>
      <c r="F4" s="71">
        <f>F128</f>
        <v>0.63218434834596871</v>
      </c>
      <c r="K4" s="27"/>
      <c r="L4" s="27"/>
      <c r="M4" s="27"/>
      <c r="N4" s="27"/>
    </row>
    <row r="5" spans="1:14" ht="14.1" customHeight="1" x14ac:dyDescent="0.2">
      <c r="C5" s="24"/>
      <c r="D5" s="210" t="s">
        <v>102</v>
      </c>
      <c r="E5" s="52"/>
      <c r="F5" s="53"/>
      <c r="G5" s="2"/>
      <c r="H5" s="22" t="s">
        <v>100</v>
      </c>
      <c r="I5" s="25"/>
      <c r="J5" s="25"/>
      <c r="K5" s="5"/>
      <c r="L5" s="7"/>
      <c r="M5" s="7"/>
      <c r="N5" s="7"/>
    </row>
    <row r="6" spans="1:14" ht="14.1" customHeight="1" x14ac:dyDescent="0.2">
      <c r="C6" s="24"/>
      <c r="D6" s="210"/>
      <c r="E6" s="13"/>
      <c r="F6" s="14"/>
      <c r="G6" s="21"/>
      <c r="H6" s="23" t="s">
        <v>271</v>
      </c>
      <c r="I6" s="25"/>
      <c r="J6" s="25"/>
      <c r="K6" s="28"/>
      <c r="L6" s="7"/>
      <c r="M6" s="7"/>
      <c r="N6" s="7"/>
    </row>
    <row r="7" spans="1:14" ht="14.1" customHeight="1" x14ac:dyDescent="0.2">
      <c r="I7" s="25"/>
      <c r="K7" s="28"/>
      <c r="L7" s="7"/>
      <c r="M7" s="7"/>
      <c r="N7" s="7"/>
    </row>
    <row r="8" spans="1:14" ht="14.1" customHeight="1" x14ac:dyDescent="0.2">
      <c r="B8" s="3"/>
      <c r="C8" s="213" t="s">
        <v>7</v>
      </c>
      <c r="D8" s="213" t="s">
        <v>9</v>
      </c>
      <c r="E8" s="214"/>
      <c r="F8" s="215"/>
      <c r="G8" s="215" t="s">
        <v>1</v>
      </c>
      <c r="H8" s="211" t="s">
        <v>0</v>
      </c>
      <c r="K8" s="28"/>
      <c r="L8" s="7"/>
      <c r="M8" s="7"/>
      <c r="N8" s="7"/>
    </row>
    <row r="9" spans="1:14" ht="14.1" customHeight="1" x14ac:dyDescent="0.2">
      <c r="A9" s="46"/>
      <c r="B9" s="46"/>
      <c r="C9" s="216"/>
      <c r="D9" s="74" t="s">
        <v>80</v>
      </c>
      <c r="E9" s="75" t="s">
        <v>98</v>
      </c>
      <c r="F9" s="76" t="s">
        <v>99</v>
      </c>
      <c r="G9" s="217"/>
      <c r="H9" s="212"/>
      <c r="K9" s="28"/>
      <c r="L9" s="7"/>
      <c r="M9" s="7"/>
      <c r="N9" s="7"/>
    </row>
    <row r="10" spans="1:14" ht="14.1" customHeight="1" x14ac:dyDescent="0.2">
      <c r="A10" s="218" t="s">
        <v>194</v>
      </c>
      <c r="B10" s="218"/>
      <c r="C10" s="43"/>
      <c r="D10" s="44"/>
      <c r="E10" s="44"/>
      <c r="F10" s="44"/>
      <c r="G10" s="43"/>
      <c r="H10" s="45"/>
      <c r="K10" s="28"/>
      <c r="L10" s="7"/>
      <c r="M10" s="7"/>
      <c r="N10" s="7"/>
    </row>
    <row r="11" spans="1:14" ht="14.1" customHeight="1" x14ac:dyDescent="0.2">
      <c r="A11" s="191"/>
      <c r="B11" s="191"/>
      <c r="C11" s="25" t="s">
        <v>128</v>
      </c>
      <c r="D11" s="77">
        <v>4.2500000000000003E-2</v>
      </c>
      <c r="E11" s="77">
        <v>4.2500000000000003E-2</v>
      </c>
      <c r="F11" s="77">
        <v>4.2500000000000003E-2</v>
      </c>
      <c r="G11" s="37" t="s">
        <v>129</v>
      </c>
      <c r="H11" s="37" t="s">
        <v>181</v>
      </c>
      <c r="K11" s="28"/>
      <c r="L11" s="7"/>
      <c r="M11" s="7"/>
      <c r="N11" s="7"/>
    </row>
    <row r="12" spans="1:14" ht="14.1" customHeight="1" x14ac:dyDescent="0.2">
      <c r="A12" s="191"/>
      <c r="B12" s="191"/>
      <c r="C12" s="43"/>
      <c r="D12" s="195"/>
      <c r="E12" s="195"/>
      <c r="F12" s="195"/>
      <c r="G12" s="103"/>
      <c r="H12" s="103"/>
      <c r="I12" s="1" t="s">
        <v>92</v>
      </c>
      <c r="K12" s="28"/>
      <c r="L12" s="7"/>
      <c r="M12" s="7"/>
      <c r="N12" s="7"/>
    </row>
    <row r="13" spans="1:14" ht="14.1" customHeight="1" x14ac:dyDescent="0.2">
      <c r="A13" s="191" t="s">
        <v>210</v>
      </c>
      <c r="B13" s="191"/>
      <c r="C13" s="43"/>
      <c r="D13" s="195"/>
      <c r="E13" s="195"/>
      <c r="F13" s="195"/>
      <c r="G13" s="103"/>
      <c r="H13" s="103"/>
      <c r="K13" s="28"/>
      <c r="L13" s="7"/>
      <c r="M13" s="7"/>
      <c r="N13" s="7"/>
    </row>
    <row r="14" spans="1:14" ht="14.1" customHeight="1" x14ac:dyDescent="0.2">
      <c r="B14" s="206" t="s">
        <v>118</v>
      </c>
      <c r="C14" s="33" t="s">
        <v>18</v>
      </c>
      <c r="D14" s="81">
        <f>0.85*E14</f>
        <v>0.54400000000000004</v>
      </c>
      <c r="E14" s="82">
        <v>0.64</v>
      </c>
      <c r="F14" s="83">
        <f>1.15*E14</f>
        <v>0.73599999999999999</v>
      </c>
      <c r="G14" s="48" t="s">
        <v>138</v>
      </c>
      <c r="H14" s="188" t="s">
        <v>279</v>
      </c>
      <c r="K14" s="28"/>
      <c r="L14" s="7"/>
      <c r="M14" s="7"/>
      <c r="N14" s="7"/>
    </row>
    <row r="15" spans="1:14" ht="14.1" customHeight="1" x14ac:dyDescent="0.2">
      <c r="B15" s="206"/>
      <c r="C15" s="59" t="s">
        <v>273</v>
      </c>
      <c r="D15" s="32">
        <v>300</v>
      </c>
      <c r="E15" s="32">
        <f>D15</f>
        <v>300</v>
      </c>
      <c r="F15" s="32">
        <f>D15</f>
        <v>300</v>
      </c>
      <c r="G15" s="112" t="s">
        <v>276</v>
      </c>
      <c r="H15" s="112" t="s">
        <v>275</v>
      </c>
      <c r="K15" s="28"/>
      <c r="L15" s="7"/>
      <c r="M15" s="7"/>
      <c r="N15" s="7"/>
    </row>
    <row r="16" spans="1:14" ht="14.1" customHeight="1" x14ac:dyDescent="0.2">
      <c r="B16" s="206"/>
      <c r="C16" s="59" t="s">
        <v>284</v>
      </c>
      <c r="D16" s="184">
        <f>1000/D15</f>
        <v>3.3333333333333335</v>
      </c>
      <c r="E16" s="184">
        <f t="shared" ref="E16:F16" si="0">1000/E15</f>
        <v>3.3333333333333335</v>
      </c>
      <c r="F16" s="184">
        <f t="shared" si="0"/>
        <v>3.3333333333333335</v>
      </c>
      <c r="G16" s="112" t="s">
        <v>138</v>
      </c>
      <c r="H16" s="112" t="s">
        <v>286</v>
      </c>
      <c r="K16" s="28"/>
      <c r="L16" s="7"/>
      <c r="M16" s="7"/>
      <c r="N16" s="7"/>
    </row>
    <row r="17" spans="1:14" ht="14.1" customHeight="1" x14ac:dyDescent="0.2">
      <c r="B17" s="206"/>
      <c r="C17" s="59" t="s">
        <v>285</v>
      </c>
      <c r="D17" s="107">
        <f>10000/D15</f>
        <v>33.333333333333336</v>
      </c>
      <c r="E17" s="107">
        <f t="shared" ref="E17:F17" si="1">10000/E15</f>
        <v>33.333333333333336</v>
      </c>
      <c r="F17" s="107">
        <f t="shared" si="1"/>
        <v>33.333333333333336</v>
      </c>
      <c r="G17" s="112" t="s">
        <v>138</v>
      </c>
      <c r="H17" s="112" t="s">
        <v>274</v>
      </c>
      <c r="K17" s="28"/>
      <c r="L17" s="7"/>
      <c r="M17" s="7"/>
      <c r="N17" s="7"/>
    </row>
    <row r="18" spans="1:14" ht="14.1" customHeight="1" x14ac:dyDescent="0.2">
      <c r="B18" s="206"/>
      <c r="C18" s="59" t="s">
        <v>287</v>
      </c>
      <c r="D18" s="107">
        <f>D16/D14</f>
        <v>6.1274509803921564</v>
      </c>
      <c r="E18" s="107">
        <f t="shared" ref="E18:F18" si="2">E16/E14</f>
        <v>5.208333333333333</v>
      </c>
      <c r="F18" s="107">
        <f t="shared" si="2"/>
        <v>4.5289855072463769</v>
      </c>
      <c r="G18" s="48" t="s">
        <v>12</v>
      </c>
      <c r="K18" s="28"/>
      <c r="L18" s="7"/>
      <c r="M18" s="7"/>
      <c r="N18" s="7"/>
    </row>
    <row r="19" spans="1:14" ht="14.1" customHeight="1" x14ac:dyDescent="0.2">
      <c r="B19" s="206"/>
      <c r="C19" s="59" t="s">
        <v>288</v>
      </c>
      <c r="D19" s="185">
        <f>D17/D14</f>
        <v>61.274509803921568</v>
      </c>
      <c r="E19" s="185">
        <f t="shared" ref="E19:F19" si="3">E17/E14</f>
        <v>52.083333333333336</v>
      </c>
      <c r="F19" s="185">
        <f t="shared" si="3"/>
        <v>45.289855072463773</v>
      </c>
      <c r="G19" s="48" t="s">
        <v>12</v>
      </c>
      <c r="K19" s="28"/>
      <c r="L19" s="7"/>
      <c r="M19" s="7"/>
      <c r="N19" s="7"/>
    </row>
    <row r="20" spans="1:14" ht="14.1" customHeight="1" x14ac:dyDescent="0.2">
      <c r="B20" s="206"/>
      <c r="C20" s="196" t="s">
        <v>119</v>
      </c>
      <c r="D20" s="108">
        <f>D28*D19+D29*D16</f>
        <v>37113.039215686273</v>
      </c>
      <c r="E20" s="108">
        <f>E28*E19+E29*E16</f>
        <v>31754.583333333336</v>
      </c>
      <c r="F20" s="108">
        <f>F28*F19+F29*F16</f>
        <v>32702.89855072464</v>
      </c>
      <c r="G20" s="116" t="s">
        <v>12</v>
      </c>
      <c r="H20" s="48" t="s">
        <v>211</v>
      </c>
      <c r="K20" s="28"/>
      <c r="L20" s="7"/>
      <c r="M20" s="7"/>
      <c r="N20" s="7"/>
    </row>
    <row r="21" spans="1:14" ht="14.1" customHeight="1" x14ac:dyDescent="0.2">
      <c r="B21" s="187"/>
      <c r="C21" s="187"/>
      <c r="D21" s="187"/>
      <c r="E21" s="187"/>
      <c r="F21" s="187"/>
      <c r="G21" s="187"/>
      <c r="K21" s="28"/>
      <c r="L21" s="7"/>
      <c r="M21" s="7"/>
      <c r="N21" s="7"/>
    </row>
    <row r="22" spans="1:14" ht="14.1" customHeight="1" x14ac:dyDescent="0.2">
      <c r="A22" s="218" t="s">
        <v>151</v>
      </c>
      <c r="B22" s="218"/>
      <c r="C22" s="218"/>
      <c r="D22" s="61"/>
      <c r="E22" s="61"/>
      <c r="F22" s="61"/>
      <c r="G22" s="48"/>
      <c r="K22" s="28"/>
      <c r="L22" s="7"/>
      <c r="M22" s="7"/>
      <c r="N22" s="7"/>
    </row>
    <row r="23" spans="1:14" ht="14.1" customHeight="1" x14ac:dyDescent="0.2">
      <c r="B23" s="187" t="s">
        <v>5</v>
      </c>
      <c r="C23" s="33" t="s">
        <v>10</v>
      </c>
      <c r="D23" s="60">
        <v>1000</v>
      </c>
      <c r="E23" s="60">
        <v>1000</v>
      </c>
      <c r="F23" s="60">
        <v>1000</v>
      </c>
      <c r="G23" s="192" t="s">
        <v>11</v>
      </c>
      <c r="H23" s="48" t="s">
        <v>195</v>
      </c>
      <c r="K23" s="28"/>
      <c r="L23" s="7"/>
      <c r="M23" s="7"/>
      <c r="N23" s="7"/>
    </row>
    <row r="24" spans="1:14" ht="14.1" customHeight="1" x14ac:dyDescent="0.2">
      <c r="B24" s="187"/>
      <c r="C24" s="33" t="s">
        <v>300</v>
      </c>
      <c r="D24" s="81">
        <f>E24</f>
        <v>0.58299999999999996</v>
      </c>
      <c r="E24" s="179">
        <v>0.58299999999999996</v>
      </c>
      <c r="F24" s="83">
        <v>0.7</v>
      </c>
      <c r="G24" s="192"/>
      <c r="K24" s="28"/>
      <c r="L24" s="7"/>
      <c r="M24" s="7"/>
      <c r="N24" s="7"/>
    </row>
    <row r="25" spans="1:14" ht="14.1" customHeight="1" x14ac:dyDescent="0.2">
      <c r="B25" s="187"/>
      <c r="C25" s="59" t="s">
        <v>20</v>
      </c>
      <c r="D25" s="204">
        <v>1</v>
      </c>
      <c r="E25" s="204">
        <v>1</v>
      </c>
      <c r="F25" s="204">
        <v>1</v>
      </c>
      <c r="G25" s="48" t="s">
        <v>302</v>
      </c>
      <c r="H25" s="112" t="s">
        <v>134</v>
      </c>
      <c r="K25" s="28"/>
      <c r="L25" s="7"/>
      <c r="M25" s="7"/>
      <c r="N25" s="7"/>
    </row>
    <row r="26" spans="1:14" ht="14.1" customHeight="1" x14ac:dyDescent="0.2">
      <c r="B26" s="187"/>
      <c r="C26" s="59" t="s">
        <v>19</v>
      </c>
      <c r="D26" s="204">
        <v>1</v>
      </c>
      <c r="E26" s="204">
        <v>1</v>
      </c>
      <c r="F26" s="204">
        <v>1</v>
      </c>
      <c r="G26" s="48" t="s">
        <v>302</v>
      </c>
      <c r="H26" s="112" t="s">
        <v>303</v>
      </c>
      <c r="K26" s="28"/>
      <c r="L26" s="7"/>
      <c r="M26" s="7"/>
      <c r="N26" s="7"/>
    </row>
    <row r="27" spans="1:14" ht="14.1" customHeight="1" x14ac:dyDescent="0.2">
      <c r="B27" s="187"/>
      <c r="C27" s="33" t="s">
        <v>301</v>
      </c>
      <c r="D27" s="81">
        <f>D24*D25*D26</f>
        <v>0.58299999999999996</v>
      </c>
      <c r="E27" s="179">
        <f>E24*E25*E26</f>
        <v>0.58299999999999996</v>
      </c>
      <c r="F27" s="83">
        <f>F24*F25*F26</f>
        <v>0.7</v>
      </c>
      <c r="G27" s="188" t="s">
        <v>196</v>
      </c>
      <c r="H27" s="112" t="s">
        <v>278</v>
      </c>
      <c r="K27" s="28"/>
      <c r="L27" s="7"/>
      <c r="M27" s="7"/>
      <c r="N27" s="7"/>
    </row>
    <row r="28" spans="1:14" ht="14.1" customHeight="1" x14ac:dyDescent="0.2">
      <c r="B28" s="187"/>
      <c r="C28" s="33" t="s">
        <v>2</v>
      </c>
      <c r="D28" s="78">
        <f>D23*D27</f>
        <v>583</v>
      </c>
      <c r="E28" s="78">
        <f>E23*E27</f>
        <v>583</v>
      </c>
      <c r="F28" s="78">
        <f>F23*F27</f>
        <v>700</v>
      </c>
      <c r="G28" s="48" t="s">
        <v>12</v>
      </c>
      <c r="K28" s="28"/>
      <c r="L28" s="7"/>
      <c r="M28" s="7"/>
      <c r="N28" s="7"/>
    </row>
    <row r="29" spans="1:14" ht="14.1" customHeight="1" x14ac:dyDescent="0.2">
      <c r="B29" s="187"/>
      <c r="C29" s="33" t="s">
        <v>3</v>
      </c>
      <c r="D29" s="60">
        <f>D23-(D23*D27)</f>
        <v>417</v>
      </c>
      <c r="E29" s="60">
        <f>E23-(E23*E27)</f>
        <v>417</v>
      </c>
      <c r="F29" s="60">
        <f>F23-(F23*F27)</f>
        <v>300</v>
      </c>
      <c r="G29" s="48" t="s">
        <v>12</v>
      </c>
      <c r="K29" s="28"/>
      <c r="L29" s="7"/>
      <c r="M29" s="7"/>
      <c r="N29" s="7"/>
    </row>
    <row r="30" spans="1:14" ht="14.1" customHeight="1" x14ac:dyDescent="0.2">
      <c r="B30" s="187"/>
      <c r="C30" s="33"/>
      <c r="D30" s="60"/>
      <c r="E30" s="60"/>
      <c r="F30" s="60"/>
      <c r="G30" s="48"/>
      <c r="K30" s="28"/>
      <c r="L30" s="7"/>
      <c r="M30" s="7"/>
      <c r="N30" s="7"/>
    </row>
    <row r="31" spans="1:14" ht="14.1" customHeight="1" x14ac:dyDescent="0.2">
      <c r="B31" s="187"/>
      <c r="C31" s="33" t="s">
        <v>4</v>
      </c>
      <c r="D31" s="81">
        <v>4.1000000000000002E-2</v>
      </c>
      <c r="E31" s="82">
        <v>0.08</v>
      </c>
      <c r="F31" s="83">
        <v>0.18</v>
      </c>
      <c r="G31" s="48" t="s">
        <v>203</v>
      </c>
      <c r="H31" s="38" t="s">
        <v>202</v>
      </c>
      <c r="I31" s="1" t="s">
        <v>92</v>
      </c>
      <c r="K31" s="28"/>
      <c r="L31" s="7"/>
      <c r="M31" s="7"/>
      <c r="N31" s="7"/>
    </row>
    <row r="32" spans="1:14" ht="14.1" customHeight="1" x14ac:dyDescent="0.2">
      <c r="B32" s="187"/>
      <c r="C32" s="33" t="s">
        <v>91</v>
      </c>
      <c r="D32" s="80">
        <f>E32</f>
        <v>0.80503144654088055</v>
      </c>
      <c r="E32" s="80">
        <f>1-(4/318)/(20/310)</f>
        <v>0.80503144654088055</v>
      </c>
      <c r="F32" s="80">
        <f>E32</f>
        <v>0.80503144654088055</v>
      </c>
      <c r="G32" s="48" t="s">
        <v>88</v>
      </c>
      <c r="H32" s="38" t="s">
        <v>104</v>
      </c>
      <c r="K32" s="28"/>
      <c r="L32" s="7"/>
      <c r="M32" s="7"/>
      <c r="N32" s="7"/>
    </row>
    <row r="33" spans="2:14" ht="14.1" customHeight="1" x14ac:dyDescent="0.2">
      <c r="B33" s="187"/>
      <c r="C33" s="60" t="s">
        <v>20</v>
      </c>
      <c r="D33" s="81">
        <v>0.9</v>
      </c>
      <c r="E33" s="82">
        <v>0.9</v>
      </c>
      <c r="F33" s="83">
        <v>1</v>
      </c>
      <c r="G33" s="48" t="s">
        <v>89</v>
      </c>
      <c r="H33" s="188" t="s">
        <v>87</v>
      </c>
      <c r="I33" s="1" t="s">
        <v>92</v>
      </c>
      <c r="K33" s="28"/>
      <c r="L33" s="7"/>
      <c r="M33" s="7"/>
      <c r="N33" s="7"/>
    </row>
    <row r="34" spans="2:14" ht="14.1" customHeight="1" x14ac:dyDescent="0.2">
      <c r="B34" s="187"/>
      <c r="C34" s="60" t="s">
        <v>19</v>
      </c>
      <c r="D34" s="81">
        <v>0.5</v>
      </c>
      <c r="E34" s="82">
        <v>0.6</v>
      </c>
      <c r="F34" s="83">
        <v>0.8</v>
      </c>
      <c r="G34" s="48" t="s">
        <v>89</v>
      </c>
      <c r="H34" s="188" t="s">
        <v>90</v>
      </c>
      <c r="K34" s="28"/>
      <c r="L34" s="7"/>
      <c r="M34" s="7"/>
      <c r="N34" s="7"/>
    </row>
    <row r="35" spans="2:14" ht="14.1" customHeight="1" x14ac:dyDescent="0.2">
      <c r="B35" s="187"/>
      <c r="C35" s="33" t="s">
        <v>15</v>
      </c>
      <c r="D35" s="84">
        <f>D32*D34*D33</f>
        <v>0.36226415094339626</v>
      </c>
      <c r="E35" s="84">
        <f>E32*E34*E33</f>
        <v>0.43471698113207546</v>
      </c>
      <c r="F35" s="84">
        <f>F32*F34*F33</f>
        <v>0.64402515723270448</v>
      </c>
      <c r="G35" s="48" t="s">
        <v>12</v>
      </c>
      <c r="H35" s="188"/>
      <c r="K35" s="28"/>
      <c r="L35" s="7"/>
      <c r="M35" s="7"/>
      <c r="N35" s="7"/>
    </row>
    <row r="36" spans="2:14" ht="14.1" customHeight="1" x14ac:dyDescent="0.2">
      <c r="B36" s="187"/>
      <c r="C36" s="33" t="s">
        <v>93</v>
      </c>
      <c r="D36" s="84">
        <f>(1-D35)*D31</f>
        <v>2.6147169811320755E-2</v>
      </c>
      <c r="E36" s="84">
        <f>(1-E35)*E31</f>
        <v>4.5222641509433961E-2</v>
      </c>
      <c r="F36" s="84">
        <f>(1-F35)*F31</f>
        <v>6.4075471698113187E-2</v>
      </c>
      <c r="G36" s="48" t="s">
        <v>12</v>
      </c>
      <c r="H36" s="188" t="s">
        <v>94</v>
      </c>
      <c r="K36" s="28"/>
      <c r="L36" s="7"/>
      <c r="M36" s="7"/>
      <c r="N36" s="7"/>
    </row>
    <row r="37" spans="2:14" ht="14.1" customHeight="1" x14ac:dyDescent="0.2">
      <c r="B37" s="187"/>
      <c r="C37" s="33"/>
      <c r="D37" s="60"/>
      <c r="E37" s="60"/>
      <c r="F37" s="60"/>
      <c r="G37" s="48"/>
      <c r="K37" s="28"/>
      <c r="L37" s="7"/>
      <c r="M37" s="7"/>
      <c r="N37" s="7"/>
    </row>
    <row r="38" spans="2:14" ht="14.1" customHeight="1" x14ac:dyDescent="0.2">
      <c r="B38" s="187"/>
      <c r="C38" s="33" t="s">
        <v>95</v>
      </c>
      <c r="D38" s="85">
        <f>D28*D36</f>
        <v>15.2438</v>
      </c>
      <c r="E38" s="85">
        <f>E28*E36</f>
        <v>26.364799999999999</v>
      </c>
      <c r="F38" s="85">
        <f>F28*F36</f>
        <v>44.852830188679228</v>
      </c>
      <c r="G38" s="48" t="s">
        <v>12</v>
      </c>
      <c r="K38" s="28"/>
      <c r="L38" s="7"/>
      <c r="M38" s="7"/>
      <c r="N38" s="7"/>
    </row>
    <row r="39" spans="2:14" ht="14.1" customHeight="1" x14ac:dyDescent="0.2">
      <c r="B39" s="187"/>
      <c r="C39" s="33" t="s">
        <v>96</v>
      </c>
      <c r="D39" s="85">
        <f>D29*D31</f>
        <v>17.097000000000001</v>
      </c>
      <c r="E39" s="85">
        <f>E29*E31</f>
        <v>33.36</v>
      </c>
      <c r="F39" s="85">
        <f>F29*F31</f>
        <v>54</v>
      </c>
      <c r="G39" s="48" t="s">
        <v>12</v>
      </c>
      <c r="K39" s="28"/>
      <c r="L39" s="7"/>
      <c r="M39" s="7"/>
      <c r="N39" s="7"/>
    </row>
    <row r="40" spans="2:14" ht="14.1" customHeight="1" x14ac:dyDescent="0.2">
      <c r="B40" s="187"/>
      <c r="C40" s="33" t="s">
        <v>97</v>
      </c>
      <c r="D40" s="85">
        <f>D38+D39</f>
        <v>32.340800000000002</v>
      </c>
      <c r="E40" s="85">
        <f>E38+E39</f>
        <v>59.724800000000002</v>
      </c>
      <c r="F40" s="85">
        <f>F38+F39</f>
        <v>98.852830188679235</v>
      </c>
      <c r="G40" s="48" t="s">
        <v>12</v>
      </c>
      <c r="K40" s="28"/>
      <c r="L40" s="7"/>
      <c r="M40" s="7"/>
      <c r="N40" s="7"/>
    </row>
    <row r="41" spans="2:14" ht="14.1" customHeight="1" x14ac:dyDescent="0.2">
      <c r="C41" s="33"/>
      <c r="D41" s="60"/>
      <c r="E41" s="60"/>
      <c r="F41" s="60"/>
      <c r="G41" s="48"/>
      <c r="K41" s="28"/>
      <c r="L41" s="7"/>
      <c r="M41" s="7"/>
      <c r="N41" s="7"/>
    </row>
    <row r="42" spans="2:14" ht="14.1" customHeight="1" x14ac:dyDescent="0.2">
      <c r="B42" s="206" t="s">
        <v>8</v>
      </c>
      <c r="C42" s="33" t="s">
        <v>10</v>
      </c>
      <c r="D42" s="60">
        <f>D23</f>
        <v>1000</v>
      </c>
      <c r="E42" s="60">
        <f>E23</f>
        <v>1000</v>
      </c>
      <c r="F42" s="60">
        <f>F23</f>
        <v>1000</v>
      </c>
      <c r="G42" s="192" t="str">
        <f>G23</f>
        <v>-</v>
      </c>
      <c r="H42" s="48" t="str">
        <f>H23</f>
        <v>Cancels out later in the logic. Do not change.</v>
      </c>
      <c r="K42" s="28"/>
      <c r="L42" s="7"/>
      <c r="M42" s="7"/>
      <c r="N42" s="7"/>
    </row>
    <row r="43" spans="2:14" ht="14.1" customHeight="1" x14ac:dyDescent="0.2">
      <c r="B43" s="206"/>
      <c r="C43" s="33" t="s">
        <v>4</v>
      </c>
      <c r="D43" s="60">
        <f>D31</f>
        <v>4.1000000000000002E-2</v>
      </c>
      <c r="E43" s="60">
        <f>E31</f>
        <v>0.08</v>
      </c>
      <c r="F43" s="60">
        <f>F31</f>
        <v>0.18</v>
      </c>
      <c r="G43" s="48" t="s">
        <v>21</v>
      </c>
      <c r="H43" s="188"/>
      <c r="K43" s="28"/>
      <c r="L43" s="7"/>
      <c r="M43" s="7"/>
      <c r="N43" s="7"/>
    </row>
    <row r="44" spans="2:14" ht="14.1" customHeight="1" x14ac:dyDescent="0.2">
      <c r="B44" s="206"/>
      <c r="C44" s="33" t="s">
        <v>205</v>
      </c>
      <c r="D44" s="60">
        <f>D43*D42</f>
        <v>41</v>
      </c>
      <c r="E44" s="60">
        <f>E43*E42</f>
        <v>80</v>
      </c>
      <c r="F44" s="60">
        <f>F43*F42</f>
        <v>180</v>
      </c>
      <c r="G44" s="48" t="s">
        <v>12</v>
      </c>
      <c r="K44" s="28"/>
      <c r="L44" s="7"/>
      <c r="M44" s="7"/>
      <c r="N44" s="7"/>
    </row>
    <row r="45" spans="2:14" ht="14.1" customHeight="1" x14ac:dyDescent="0.2">
      <c r="C45" s="61"/>
      <c r="D45" s="60"/>
      <c r="E45" s="60"/>
      <c r="F45" s="60"/>
      <c r="G45" s="48"/>
      <c r="K45" s="28"/>
      <c r="L45" s="7"/>
      <c r="M45" s="7"/>
      <c r="N45" s="7"/>
    </row>
    <row r="46" spans="2:14" ht="14.1" customHeight="1" x14ac:dyDescent="0.2">
      <c r="B46" s="206" t="s">
        <v>13</v>
      </c>
      <c r="C46" s="61" t="s">
        <v>206</v>
      </c>
      <c r="D46" s="85">
        <f>D44-D40</f>
        <v>8.6591999999999985</v>
      </c>
      <c r="E46" s="85">
        <f>E44-E40</f>
        <v>20.275199999999998</v>
      </c>
      <c r="F46" s="85">
        <f>F44-F40</f>
        <v>81.147169811320765</v>
      </c>
      <c r="G46" s="48" t="s">
        <v>12</v>
      </c>
      <c r="H46" s="48" t="s">
        <v>213</v>
      </c>
      <c r="K46" s="28"/>
      <c r="L46" s="7"/>
      <c r="M46" s="7"/>
      <c r="N46" s="7"/>
    </row>
    <row r="47" spans="2:14" ht="14.1" customHeight="1" x14ac:dyDescent="0.2">
      <c r="B47" s="206"/>
      <c r="C47" s="33" t="s">
        <v>16</v>
      </c>
      <c r="D47" s="86">
        <v>0.05</v>
      </c>
      <c r="E47" s="86">
        <v>0.05</v>
      </c>
      <c r="F47" s="79">
        <v>0.1</v>
      </c>
      <c r="G47" s="48" t="s">
        <v>209</v>
      </c>
      <c r="H47" s="112" t="s">
        <v>292</v>
      </c>
      <c r="K47" s="28"/>
      <c r="L47" s="7"/>
      <c r="M47" s="7"/>
      <c r="N47" s="7"/>
    </row>
    <row r="48" spans="2:14" ht="14.1" customHeight="1" x14ac:dyDescent="0.2">
      <c r="B48" s="206"/>
      <c r="C48" s="124" t="s">
        <v>120</v>
      </c>
      <c r="D48" s="125">
        <f>D46*D47</f>
        <v>0.43295999999999996</v>
      </c>
      <c r="E48" s="125">
        <f t="shared" ref="E48:F48" si="4">E46*E47</f>
        <v>1.01376</v>
      </c>
      <c r="F48" s="125">
        <f t="shared" si="4"/>
        <v>8.1147169811320765</v>
      </c>
      <c r="G48" s="188" t="s">
        <v>12</v>
      </c>
      <c r="K48" s="28"/>
      <c r="L48" s="7"/>
      <c r="M48" s="7"/>
      <c r="N48" s="7"/>
    </row>
    <row r="49" spans="2:14" ht="14.1" customHeight="1" x14ac:dyDescent="0.2">
      <c r="C49" s="61"/>
      <c r="D49" s="87"/>
      <c r="E49" s="87"/>
      <c r="F49" s="61"/>
      <c r="G49" s="48"/>
      <c r="K49" s="28"/>
      <c r="L49" s="7"/>
      <c r="M49" s="7"/>
      <c r="N49" s="7"/>
    </row>
    <row r="50" spans="2:14" ht="14.1" customHeight="1" x14ac:dyDescent="0.2">
      <c r="B50" s="206" t="s">
        <v>219</v>
      </c>
      <c r="C50" s="45" t="s">
        <v>103</v>
      </c>
      <c r="D50" s="109">
        <f>D20/D48</f>
        <v>85719.325609031497</v>
      </c>
      <c r="E50" s="109">
        <f>E20/E48</f>
        <v>31323.570996422561</v>
      </c>
      <c r="F50" s="109">
        <f>F20/F48</f>
        <v>4030.0725985593508</v>
      </c>
      <c r="G50" s="37" t="s">
        <v>12</v>
      </c>
      <c r="H50" s="37" t="s">
        <v>212</v>
      </c>
      <c r="K50" s="28"/>
      <c r="L50" s="7"/>
      <c r="M50" s="7"/>
      <c r="N50" s="7"/>
    </row>
    <row r="51" spans="2:14" ht="14.1" customHeight="1" x14ac:dyDescent="0.2">
      <c r="B51" s="206"/>
      <c r="C51" s="61"/>
      <c r="D51" s="88"/>
      <c r="E51" s="61"/>
      <c r="F51" s="61"/>
      <c r="G51" s="48"/>
    </row>
    <row r="52" spans="2:14" ht="14.1" customHeight="1" x14ac:dyDescent="0.2">
      <c r="B52" s="206"/>
      <c r="C52" s="62" t="s">
        <v>108</v>
      </c>
      <c r="D52" s="67">
        <v>0.6</v>
      </c>
      <c r="E52" s="67">
        <v>0.6</v>
      </c>
      <c r="F52" s="67">
        <v>0.6</v>
      </c>
      <c r="G52" s="38" t="s">
        <v>110</v>
      </c>
      <c r="H52" s="131" t="s">
        <v>124</v>
      </c>
    </row>
    <row r="53" spans="2:14" ht="14.1" customHeight="1" x14ac:dyDescent="0.2">
      <c r="B53" s="206"/>
      <c r="C53" s="62" t="s">
        <v>109</v>
      </c>
      <c r="D53" s="67">
        <v>0.09</v>
      </c>
      <c r="E53" s="67">
        <v>0.09</v>
      </c>
      <c r="F53" s="67">
        <v>0.09</v>
      </c>
      <c r="G53" s="38" t="s">
        <v>110</v>
      </c>
      <c r="H53" s="137"/>
    </row>
    <row r="54" spans="2:14" ht="14.1" customHeight="1" x14ac:dyDescent="0.2">
      <c r="B54" s="206"/>
      <c r="C54" s="62" t="s">
        <v>111</v>
      </c>
      <c r="D54" s="67">
        <f>D52-D53</f>
        <v>0.51</v>
      </c>
      <c r="E54" s="67">
        <f>E52-E53</f>
        <v>0.51</v>
      </c>
      <c r="F54" s="67">
        <f>F52-F53</f>
        <v>0.51</v>
      </c>
      <c r="G54" s="38" t="s">
        <v>12</v>
      </c>
      <c r="H54" s="137"/>
    </row>
    <row r="55" spans="2:14" ht="14.1" customHeight="1" x14ac:dyDescent="0.2">
      <c r="B55" s="206"/>
      <c r="C55" s="38" t="s">
        <v>218</v>
      </c>
      <c r="D55" s="67">
        <f>D48*D54</f>
        <v>0.22080959999999999</v>
      </c>
      <c r="E55" s="67">
        <f>E48*E54</f>
        <v>0.51701759999999997</v>
      </c>
      <c r="F55" s="67">
        <f>F48*F54</f>
        <v>4.1385056603773593</v>
      </c>
      <c r="G55" s="38" t="s">
        <v>12</v>
      </c>
      <c r="H55" s="137"/>
    </row>
    <row r="56" spans="2:14" ht="14.1" customHeight="1" x14ac:dyDescent="0.2">
      <c r="B56" s="206"/>
      <c r="C56" s="138" t="s">
        <v>112</v>
      </c>
      <c r="D56" s="139">
        <f>D20/D55</f>
        <v>168077.10903731664</v>
      </c>
      <c r="E56" s="139">
        <f>E20/E55</f>
        <v>61418.766659652087</v>
      </c>
      <c r="F56" s="139">
        <f>F20/F55</f>
        <v>7902.1031344300991</v>
      </c>
      <c r="G56" s="38" t="s">
        <v>12</v>
      </c>
      <c r="H56" s="131" t="s">
        <v>123</v>
      </c>
      <c r="I56" s="34"/>
    </row>
    <row r="57" spans="2:14" ht="14.1" customHeight="1" x14ac:dyDescent="0.2">
      <c r="B57" s="187"/>
      <c r="C57" s="61"/>
      <c r="D57" s="61"/>
      <c r="E57" s="61"/>
      <c r="F57" s="61"/>
      <c r="G57" s="48"/>
      <c r="H57" s="20"/>
      <c r="I57" s="42"/>
    </row>
    <row r="58" spans="2:14" ht="14.1" customHeight="1" x14ac:dyDescent="0.2">
      <c r="B58" s="224" t="s">
        <v>186</v>
      </c>
      <c r="C58" s="128" t="s">
        <v>113</v>
      </c>
      <c r="D58" s="129">
        <f>1-D52</f>
        <v>0.4</v>
      </c>
      <c r="E58" s="129">
        <f>1-E52</f>
        <v>0.4</v>
      </c>
      <c r="F58" s="129">
        <f>1-F52</f>
        <v>0.4</v>
      </c>
      <c r="G58" s="188" t="s">
        <v>114</v>
      </c>
      <c r="H58" s="130" t="s">
        <v>131</v>
      </c>
    </row>
    <row r="59" spans="2:14" ht="14.1" customHeight="1" x14ac:dyDescent="0.2">
      <c r="B59" s="224"/>
      <c r="C59" s="131" t="s">
        <v>132</v>
      </c>
      <c r="D59" s="49">
        <f>$G$122</f>
        <v>24.16</v>
      </c>
      <c r="E59" s="49">
        <f>$G$122</f>
        <v>24.16</v>
      </c>
      <c r="F59" s="49">
        <f>$G$122</f>
        <v>24.16</v>
      </c>
      <c r="G59" s="130" t="s">
        <v>221</v>
      </c>
      <c r="H59" s="130" t="s">
        <v>222</v>
      </c>
    </row>
    <row r="60" spans="2:14" ht="14.1" customHeight="1" x14ac:dyDescent="0.2">
      <c r="B60" s="224"/>
      <c r="C60" s="133" t="s">
        <v>116</v>
      </c>
      <c r="D60" s="81">
        <v>5.2999999999999999E-2</v>
      </c>
      <c r="E60" s="82">
        <v>5.2999999999999999E-2</v>
      </c>
      <c r="F60" s="83">
        <v>0.221</v>
      </c>
      <c r="G60" s="130" t="s">
        <v>117</v>
      </c>
      <c r="H60" s="130" t="s">
        <v>127</v>
      </c>
    </row>
    <row r="61" spans="2:14" ht="14.1" customHeight="1" x14ac:dyDescent="0.2">
      <c r="B61" s="224"/>
      <c r="C61" s="131" t="s">
        <v>220</v>
      </c>
      <c r="D61" s="134">
        <f>D58*D59*D60</f>
        <v>0.51219200000000009</v>
      </c>
      <c r="E61" s="134">
        <f>E58*E59*E60</f>
        <v>0.51219200000000009</v>
      </c>
      <c r="F61" s="134">
        <f>F58*F59*F60</f>
        <v>2.1357440000000003</v>
      </c>
      <c r="G61" s="188" t="s">
        <v>12</v>
      </c>
      <c r="H61" s="188" t="s">
        <v>226</v>
      </c>
    </row>
    <row r="62" spans="2:14" ht="14.1" customHeight="1" x14ac:dyDescent="0.2">
      <c r="B62" s="224"/>
      <c r="C62" s="131" t="s">
        <v>130</v>
      </c>
      <c r="D62" s="134" t="s">
        <v>125</v>
      </c>
      <c r="E62" s="134" t="s">
        <v>125</v>
      </c>
      <c r="F62" s="134" t="s">
        <v>125</v>
      </c>
      <c r="G62" s="188" t="s">
        <v>12</v>
      </c>
      <c r="H62" s="188" t="s">
        <v>126</v>
      </c>
    </row>
    <row r="63" spans="2:14" ht="14.1" customHeight="1" x14ac:dyDescent="0.2">
      <c r="B63" s="224"/>
      <c r="C63" s="133" t="s">
        <v>166</v>
      </c>
      <c r="D63" s="132">
        <f>D48*D61</f>
        <v>0.22175864832000003</v>
      </c>
      <c r="E63" s="132">
        <f>E48*E61</f>
        <v>0.5192397619200001</v>
      </c>
      <c r="F63" s="132">
        <f>F48*F61</f>
        <v>17.330958104150948</v>
      </c>
      <c r="G63" s="188" t="s">
        <v>12</v>
      </c>
      <c r="H63" s="188"/>
    </row>
    <row r="64" spans="2:14" ht="14.1" customHeight="1" x14ac:dyDescent="0.2">
      <c r="B64" s="224"/>
      <c r="C64" s="135" t="s">
        <v>115</v>
      </c>
      <c r="D64" s="136">
        <f>D50/D61</f>
        <v>167357.79865564374</v>
      </c>
      <c r="E64" s="136">
        <f>E50/E61</f>
        <v>61155.916133837614</v>
      </c>
      <c r="F64" s="136">
        <f>F50/F61</f>
        <v>1886.9642609598109</v>
      </c>
      <c r="G64" s="188" t="s">
        <v>12</v>
      </c>
      <c r="H64" s="188" t="s">
        <v>133</v>
      </c>
    </row>
    <row r="65" spans="1:9" ht="14.1" customHeight="1" x14ac:dyDescent="0.2">
      <c r="D65" s="61"/>
      <c r="E65" s="61"/>
      <c r="F65" s="61"/>
      <c r="G65" s="48"/>
    </row>
    <row r="66" spans="1:9" ht="14.1" customHeight="1" x14ac:dyDescent="0.2">
      <c r="A66" s="225" t="s">
        <v>150</v>
      </c>
      <c r="B66" s="225"/>
      <c r="C66" s="225"/>
      <c r="D66" s="61"/>
      <c r="E66" s="61"/>
      <c r="F66" s="61"/>
      <c r="G66" s="48"/>
    </row>
    <row r="67" spans="1:9" ht="14.1" customHeight="1" x14ac:dyDescent="0.2">
      <c r="A67" s="30"/>
      <c r="B67" s="226" t="s">
        <v>5</v>
      </c>
      <c r="C67" s="25" t="str">
        <f>C27</f>
        <v>Retention rate to delivery (adjusted)</v>
      </c>
      <c r="D67" s="89">
        <f>D27</f>
        <v>0.58299999999999996</v>
      </c>
      <c r="E67" s="89">
        <f>E27</f>
        <v>0.58299999999999996</v>
      </c>
      <c r="F67" s="89">
        <f>F27</f>
        <v>0.7</v>
      </c>
      <c r="G67" s="37" t="str">
        <f>G27</f>
        <v>"Summary of Key Program Statistics" New Incentives workbook, accessed 2016-23-08.</v>
      </c>
      <c r="H67" s="37" t="s">
        <v>137</v>
      </c>
    </row>
    <row r="68" spans="1:9" ht="14.1" customHeight="1" x14ac:dyDescent="0.2">
      <c r="A68" s="30"/>
      <c r="B68" s="226"/>
      <c r="C68" s="38" t="s">
        <v>227</v>
      </c>
      <c r="D68" s="96">
        <v>0</v>
      </c>
      <c r="E68" s="97">
        <v>0.08</v>
      </c>
      <c r="F68" s="98">
        <v>0.15</v>
      </c>
      <c r="G68" s="188" t="s">
        <v>138</v>
      </c>
      <c r="H68" s="38" t="s">
        <v>139</v>
      </c>
    </row>
    <row r="69" spans="1:9" ht="14.1" customHeight="1" x14ac:dyDescent="0.2">
      <c r="A69" s="30"/>
      <c r="B69" s="226"/>
      <c r="C69" s="62" t="s">
        <v>73</v>
      </c>
      <c r="D69" s="92">
        <f>(D67*1)+(1-D67)*D68</f>
        <v>0.58299999999999996</v>
      </c>
      <c r="E69" s="92">
        <f>(E67*1)+(1-E67)*E68</f>
        <v>0.61636000000000002</v>
      </c>
      <c r="F69" s="92">
        <f>(F67*1)+(1-F67)*F68</f>
        <v>0.745</v>
      </c>
      <c r="G69" s="38" t="s">
        <v>12</v>
      </c>
      <c r="H69" s="141"/>
    </row>
    <row r="70" spans="1:9" ht="14.1" customHeight="1" x14ac:dyDescent="0.2">
      <c r="C70" s="33"/>
      <c r="D70" s="61"/>
      <c r="E70" s="61"/>
      <c r="F70" s="61"/>
      <c r="G70" s="48"/>
    </row>
    <row r="71" spans="1:9" ht="14.1" customHeight="1" x14ac:dyDescent="0.2">
      <c r="A71" s="30"/>
      <c r="B71" s="226" t="s">
        <v>8</v>
      </c>
      <c r="C71" s="25" t="s">
        <v>72</v>
      </c>
      <c r="D71" s="90">
        <v>0.35</v>
      </c>
      <c r="E71" s="180">
        <v>0.27</v>
      </c>
      <c r="F71" s="90">
        <v>0.2</v>
      </c>
      <c r="G71" s="37" t="s">
        <v>229</v>
      </c>
      <c r="H71" s="35" t="s">
        <v>281</v>
      </c>
    </row>
    <row r="72" spans="1:9" ht="14.1" customHeight="1" x14ac:dyDescent="0.2">
      <c r="A72" s="30"/>
      <c r="B72" s="226"/>
      <c r="C72" s="38" t="s">
        <v>136</v>
      </c>
      <c r="D72" s="92">
        <f>(D71-(1-D67)*D68)/D67</f>
        <v>0.60034305317324188</v>
      </c>
      <c r="E72" s="92">
        <f>(E71-(1-E67)*E68)/E67</f>
        <v>0.4059005145797599</v>
      </c>
      <c r="F72" s="92">
        <f>(F71-(1-F67)*F68)/F67</f>
        <v>0.22142857142857145</v>
      </c>
      <c r="G72" s="38" t="s">
        <v>74</v>
      </c>
      <c r="H72" s="154" t="str">
        <f>CONCATENATE("This implies that the program increases FD by ",TEXT((E69-E72)/E72,"0%")," (",TEXT((E69-E72)*100,"0")," percentage points) for women retained.")</f>
        <v>This implies that the program increases FD by 52% (21 percentage points) for women retained.</v>
      </c>
    </row>
    <row r="73" spans="1:9" ht="14.1" customHeight="1" x14ac:dyDescent="0.2">
      <c r="C73" s="33"/>
      <c r="D73" s="61"/>
      <c r="E73" s="61"/>
      <c r="F73" s="61"/>
      <c r="G73" s="48"/>
    </row>
    <row r="74" spans="1:9" ht="14.1" customHeight="1" x14ac:dyDescent="0.2">
      <c r="B74" s="206" t="s">
        <v>39</v>
      </c>
      <c r="C74" s="62" t="s">
        <v>149</v>
      </c>
      <c r="D74" s="167">
        <v>3.9E-2</v>
      </c>
      <c r="E74" s="167">
        <v>3.9E-2</v>
      </c>
      <c r="F74" s="167">
        <v>3.9E-2</v>
      </c>
      <c r="G74" s="38" t="s">
        <v>45</v>
      </c>
      <c r="H74" s="35" t="s">
        <v>280</v>
      </c>
      <c r="I74" s="29"/>
    </row>
    <row r="75" spans="1:9" ht="14.1" customHeight="1" x14ac:dyDescent="0.2">
      <c r="B75" s="206"/>
      <c r="C75" s="37" t="s">
        <v>230</v>
      </c>
      <c r="D75" s="96">
        <v>0.1</v>
      </c>
      <c r="E75" s="97">
        <v>0.4</v>
      </c>
      <c r="F75" s="98">
        <v>0.45</v>
      </c>
      <c r="G75" s="38" t="s">
        <v>184</v>
      </c>
      <c r="H75" s="38" t="s">
        <v>183</v>
      </c>
    </row>
    <row r="76" spans="1:9" ht="14.1" customHeight="1" x14ac:dyDescent="0.2">
      <c r="A76" s="194"/>
      <c r="B76" s="206"/>
      <c r="C76" s="25" t="s">
        <v>20</v>
      </c>
      <c r="D76" s="205">
        <v>0.65</v>
      </c>
      <c r="E76" s="205">
        <v>0.65</v>
      </c>
      <c r="F76" s="205">
        <v>0.65</v>
      </c>
      <c r="G76" s="37" t="s">
        <v>236</v>
      </c>
      <c r="H76" s="35" t="s">
        <v>293</v>
      </c>
    </row>
    <row r="77" spans="1:9" ht="14.1" customHeight="1" x14ac:dyDescent="0.2">
      <c r="A77" s="194"/>
      <c r="B77" s="206"/>
      <c r="C77" s="25" t="s">
        <v>19</v>
      </c>
      <c r="D77" s="205">
        <v>0.15</v>
      </c>
      <c r="E77" s="205">
        <v>0.15</v>
      </c>
      <c r="F77" s="205">
        <v>0.15</v>
      </c>
      <c r="G77" s="37" t="s">
        <v>63</v>
      </c>
      <c r="H77" s="35" t="s">
        <v>294</v>
      </c>
    </row>
    <row r="78" spans="1:9" ht="14.1" customHeight="1" x14ac:dyDescent="0.2">
      <c r="A78" s="30"/>
      <c r="B78" s="206"/>
      <c r="C78" s="62" t="s">
        <v>140</v>
      </c>
      <c r="D78" s="91">
        <f>D74/(1-D$71*D75)</f>
        <v>4.0414507772020727E-2</v>
      </c>
      <c r="E78" s="91">
        <f>E74/(1-E$71*E75)</f>
        <v>4.3721973094170405E-2</v>
      </c>
      <c r="F78" s="91">
        <f>F74/(1-F$71*F75)</f>
        <v>4.2857142857142858E-2</v>
      </c>
      <c r="G78" s="37" t="s">
        <v>12</v>
      </c>
      <c r="H78" s="110" t="s">
        <v>237</v>
      </c>
    </row>
    <row r="79" spans="1:9" ht="14.1" customHeight="1" x14ac:dyDescent="0.2">
      <c r="A79" s="30"/>
      <c r="B79" s="206"/>
      <c r="C79" s="62" t="s">
        <v>141</v>
      </c>
      <c r="D79" s="91">
        <f>D78*(1-D75)</f>
        <v>3.6373056994818659E-2</v>
      </c>
      <c r="E79" s="91">
        <f>E78*(1-E75)</f>
        <v>2.6233183856502241E-2</v>
      </c>
      <c r="F79" s="91">
        <f>F78*(1-F75)</f>
        <v>2.3571428571428573E-2</v>
      </c>
      <c r="G79" s="37" t="s">
        <v>12</v>
      </c>
      <c r="H79" s="37"/>
    </row>
    <row r="80" spans="1:9" ht="14.1" customHeight="1" x14ac:dyDescent="0.2">
      <c r="A80" s="30"/>
      <c r="B80" s="206"/>
      <c r="C80" s="62" t="s">
        <v>62</v>
      </c>
      <c r="D80" s="93">
        <f>(D$69*D79)+(1-D$69)*D78</f>
        <v>3.8058341968911918E-2</v>
      </c>
      <c r="E80" s="93">
        <f>(E$69*E79)+(1-E$69)*E78</f>
        <v>3.2942582959641253E-2</v>
      </c>
      <c r="F80" s="93">
        <f>(F$69*F79)+(1-F$69)*F78</f>
        <v>2.8489285714285717E-2</v>
      </c>
      <c r="G80" s="37" t="s">
        <v>12</v>
      </c>
      <c r="H80" s="37"/>
    </row>
    <row r="81" spans="1:8" ht="14.1" customHeight="1" x14ac:dyDescent="0.2">
      <c r="A81" s="30"/>
      <c r="B81" s="206"/>
      <c r="C81" s="62" t="s">
        <v>143</v>
      </c>
      <c r="D81" s="66">
        <f>((D74*1000)-(D80*1000))*D76*D77</f>
        <v>9.181165803108797E-2</v>
      </c>
      <c r="E81" s="66">
        <f>((E74*1000)-(E80*1000))*E76*E77</f>
        <v>0.59059816143497745</v>
      </c>
      <c r="F81" s="66">
        <f>((F74*1000)-(F80*1000))*F76*F77</f>
        <v>1.0247946428571424</v>
      </c>
      <c r="G81" s="38" t="s">
        <v>12</v>
      </c>
      <c r="H81" s="38" t="s">
        <v>144</v>
      </c>
    </row>
    <row r="82" spans="1:8" ht="14.1" customHeight="1" x14ac:dyDescent="0.2">
      <c r="A82" s="30"/>
      <c r="B82" s="206"/>
      <c r="C82" s="196" t="s">
        <v>142</v>
      </c>
      <c r="D82" s="161">
        <f>D20/D81</f>
        <v>404230.13821534056</v>
      </c>
      <c r="E82" s="161">
        <f>E20/E81</f>
        <v>53766.817113312994</v>
      </c>
      <c r="F82" s="161">
        <f>F20/F81</f>
        <v>31911.660329867143</v>
      </c>
      <c r="G82" s="162"/>
      <c r="H82" s="38"/>
    </row>
    <row r="83" spans="1:8" ht="14.1" customHeight="1" x14ac:dyDescent="0.2">
      <c r="A83" s="30"/>
      <c r="C83" s="194"/>
      <c r="D83" s="94"/>
      <c r="E83" s="94"/>
      <c r="F83" s="95"/>
      <c r="G83" s="103"/>
      <c r="H83" s="37"/>
    </row>
    <row r="84" spans="1:8" ht="14.1" customHeight="1" x14ac:dyDescent="0.2">
      <c r="A84" s="30"/>
      <c r="B84" s="224" t="s">
        <v>147</v>
      </c>
      <c r="C84" s="62" t="s">
        <v>148</v>
      </c>
      <c r="D84" s="167">
        <f t="shared" ref="D84:E84" si="5">58/6059</f>
        <v>9.5725367222313906E-3</v>
      </c>
      <c r="E84" s="167">
        <f t="shared" si="5"/>
        <v>9.5725367222313906E-3</v>
      </c>
      <c r="F84" s="167">
        <f>58/6059</f>
        <v>9.5725367222313906E-3</v>
      </c>
      <c r="G84" s="38" t="s">
        <v>243</v>
      </c>
      <c r="H84" s="35" t="s">
        <v>282</v>
      </c>
    </row>
    <row r="85" spans="1:8" ht="14.1" customHeight="1" x14ac:dyDescent="0.2">
      <c r="A85" s="30"/>
      <c r="B85" s="224"/>
      <c r="C85" s="38" t="s">
        <v>238</v>
      </c>
      <c r="D85" s="96">
        <v>0.1</v>
      </c>
      <c r="E85" s="97">
        <v>0.31</v>
      </c>
      <c r="F85" s="98">
        <v>0.45</v>
      </c>
      <c r="G85" s="38" t="s">
        <v>155</v>
      </c>
      <c r="H85" s="38" t="s">
        <v>156</v>
      </c>
    </row>
    <row r="86" spans="1:8" ht="14.1" customHeight="1" x14ac:dyDescent="0.2">
      <c r="A86" s="30"/>
      <c r="B86" s="224"/>
      <c r="C86" s="62" t="s">
        <v>20</v>
      </c>
      <c r="D86" s="96">
        <v>0.5</v>
      </c>
      <c r="E86" s="97">
        <v>0.6</v>
      </c>
      <c r="F86" s="98">
        <v>0.6</v>
      </c>
      <c r="G86" s="38" t="s">
        <v>152</v>
      </c>
      <c r="H86" s="38" t="s">
        <v>134</v>
      </c>
    </row>
    <row r="87" spans="1:8" ht="14.1" customHeight="1" x14ac:dyDescent="0.2">
      <c r="A87" s="30"/>
      <c r="B87" s="224"/>
      <c r="C87" s="62" t="s">
        <v>19</v>
      </c>
      <c r="D87" s="96">
        <v>0.5</v>
      </c>
      <c r="E87" s="97">
        <v>0.7</v>
      </c>
      <c r="F87" s="98">
        <v>0.7</v>
      </c>
      <c r="G87" s="38" t="s">
        <v>153</v>
      </c>
      <c r="H87" s="38" t="s">
        <v>135</v>
      </c>
    </row>
    <row r="88" spans="1:8" ht="14.1" customHeight="1" x14ac:dyDescent="0.2">
      <c r="A88" s="30"/>
      <c r="B88" s="224"/>
      <c r="C88" s="62" t="s">
        <v>157</v>
      </c>
      <c r="D88" s="91">
        <f>D84/(1-D$71*D85)</f>
        <v>9.9197271732967777E-3</v>
      </c>
      <c r="E88" s="91">
        <f>E84/(1-E$71*E85)</f>
        <v>1.044694611178805E-2</v>
      </c>
      <c r="F88" s="91">
        <f>F84/(1-F$71*F85)</f>
        <v>1.0519271123331198E-2</v>
      </c>
      <c r="G88" s="38" t="s">
        <v>12</v>
      </c>
      <c r="H88" s="38" t="s">
        <v>248</v>
      </c>
    </row>
    <row r="89" spans="1:8" ht="14.1" customHeight="1" x14ac:dyDescent="0.2">
      <c r="A89" s="30"/>
      <c r="B89" s="224"/>
      <c r="C89" s="62" t="s">
        <v>158</v>
      </c>
      <c r="D89" s="91">
        <f>D88*(1-D85)</f>
        <v>8.9277544559671004E-3</v>
      </c>
      <c r="E89" s="91">
        <f>E88*(1-E85)</f>
        <v>7.208392817133754E-3</v>
      </c>
      <c r="F89" s="91">
        <f>F88*(1-F85)</f>
        <v>5.7855991178321596E-3</v>
      </c>
      <c r="G89" s="38" t="s">
        <v>12</v>
      </c>
      <c r="H89" s="38"/>
    </row>
    <row r="90" spans="1:8" ht="14.1" customHeight="1" x14ac:dyDescent="0.2">
      <c r="A90" s="30"/>
      <c r="B90" s="224"/>
      <c r="C90" s="62" t="s">
        <v>159</v>
      </c>
      <c r="D90" s="163">
        <f>(D$69*D89)+(1-D$69)*D88</f>
        <v>9.3414070790935767E-3</v>
      </c>
      <c r="E90" s="163">
        <f>(E$69*E89)+(1-E$69)*E88</f>
        <v>8.4508314030949279E-3</v>
      </c>
      <c r="F90" s="163">
        <f>(F$69*F89)+(1-F$69)*F88</f>
        <v>6.9926854792344145E-3</v>
      </c>
      <c r="G90" s="38" t="s">
        <v>12</v>
      </c>
      <c r="H90" s="188"/>
    </row>
    <row r="91" spans="1:8" ht="14.1" customHeight="1" x14ac:dyDescent="0.2">
      <c r="A91" s="30"/>
      <c r="B91" s="224"/>
      <c r="C91" s="62" t="s">
        <v>160</v>
      </c>
      <c r="D91" s="164">
        <f>((D84*D23)-(D90*D23))*D86*D87</f>
        <v>5.7782410784453564E-2</v>
      </c>
      <c r="E91" s="164">
        <f>((E84*E23)-(E90*E23))*E86*E87</f>
        <v>0.47111623403731462</v>
      </c>
      <c r="F91" s="164">
        <f>((F84*F23)-(F90*F23))*F86*F87</f>
        <v>1.0835375220587298</v>
      </c>
      <c r="G91" s="38" t="s">
        <v>12</v>
      </c>
      <c r="H91" s="38" t="s">
        <v>144</v>
      </c>
    </row>
    <row r="92" spans="1:8" ht="14.1" customHeight="1" x14ac:dyDescent="0.2">
      <c r="A92" s="30"/>
      <c r="B92" s="224"/>
      <c r="C92" s="196" t="s">
        <v>161</v>
      </c>
      <c r="D92" s="165">
        <f>D20/D91</f>
        <v>642289.56029767427</v>
      </c>
      <c r="E92" s="165">
        <f>E20/E91</f>
        <v>67402.86375021885</v>
      </c>
      <c r="F92" s="165">
        <f>F20/F91</f>
        <v>30181.602284145061</v>
      </c>
      <c r="G92" s="162"/>
      <c r="H92" s="38"/>
    </row>
    <row r="93" spans="1:8" ht="14.1" customHeight="1" x14ac:dyDescent="0.2">
      <c r="C93" s="33"/>
      <c r="D93" s="61"/>
      <c r="E93" s="61"/>
      <c r="F93" s="61"/>
      <c r="G93" s="48"/>
    </row>
    <row r="94" spans="1:8" ht="14.1" customHeight="1" x14ac:dyDescent="0.2">
      <c r="A94" s="30"/>
      <c r="B94" s="226" t="s">
        <v>40</v>
      </c>
      <c r="C94" s="62" t="s">
        <v>71</v>
      </c>
      <c r="D94" s="91">
        <f>576/100000</f>
        <v>5.7600000000000004E-3</v>
      </c>
      <c r="E94" s="91">
        <f>576/100000</f>
        <v>5.7600000000000004E-3</v>
      </c>
      <c r="F94" s="91">
        <f>576/100000</f>
        <v>5.7600000000000004E-3</v>
      </c>
      <c r="G94" s="38" t="s">
        <v>162</v>
      </c>
      <c r="H94" s="37" t="s">
        <v>283</v>
      </c>
    </row>
    <row r="95" spans="1:8" ht="14.1" customHeight="1" x14ac:dyDescent="0.2">
      <c r="A95" s="30"/>
      <c r="B95" s="226"/>
      <c r="C95" s="37" t="s">
        <v>46</v>
      </c>
      <c r="D95" s="166">
        <v>0.01</v>
      </c>
      <c r="E95" s="97">
        <v>0.1</v>
      </c>
      <c r="F95" s="98">
        <v>0.3</v>
      </c>
      <c r="G95" s="104" t="s">
        <v>68</v>
      </c>
      <c r="H95" s="38" t="s">
        <v>251</v>
      </c>
    </row>
    <row r="96" spans="1:8" ht="14.1" customHeight="1" x14ac:dyDescent="0.2">
      <c r="B96" s="226"/>
      <c r="C96" s="25" t="s">
        <v>20</v>
      </c>
      <c r="D96" s="99">
        <v>0.5</v>
      </c>
      <c r="E96" s="100">
        <v>0.6</v>
      </c>
      <c r="F96" s="101">
        <v>0.7</v>
      </c>
      <c r="G96" s="37" t="s">
        <v>69</v>
      </c>
      <c r="H96" s="38" t="s">
        <v>134</v>
      </c>
    </row>
    <row r="97" spans="1:12" ht="14.1" customHeight="1" x14ac:dyDescent="0.2">
      <c r="A97" s="30"/>
      <c r="B97" s="226"/>
      <c r="C97" s="25" t="s">
        <v>19</v>
      </c>
      <c r="D97" s="99">
        <v>0.5</v>
      </c>
      <c r="E97" s="100">
        <v>0.6</v>
      </c>
      <c r="F97" s="101">
        <v>0.7</v>
      </c>
      <c r="G97" s="37" t="s">
        <v>69</v>
      </c>
      <c r="H97" s="38" t="s">
        <v>135</v>
      </c>
    </row>
    <row r="98" spans="1:12" ht="14.1" customHeight="1" x14ac:dyDescent="0.2">
      <c r="A98" s="30"/>
      <c r="B98" s="226"/>
      <c r="C98" s="38" t="s">
        <v>252</v>
      </c>
      <c r="D98" s="91">
        <f>D94/(1-D$71*D95)</f>
        <v>5.780230807827396E-3</v>
      </c>
      <c r="E98" s="91">
        <f>E94/(1-E$71*E95)</f>
        <v>5.9198355601233306E-3</v>
      </c>
      <c r="F98" s="91">
        <f>F94/(1-F$71*F95)</f>
        <v>6.1276595744680857E-3</v>
      </c>
      <c r="G98" s="38" t="s">
        <v>12</v>
      </c>
      <c r="H98" s="38" t="s">
        <v>248</v>
      </c>
    </row>
    <row r="99" spans="1:12" ht="14.1" customHeight="1" x14ac:dyDescent="0.2">
      <c r="A99" s="30"/>
      <c r="B99" s="226"/>
      <c r="C99" s="38" t="s">
        <v>253</v>
      </c>
      <c r="D99" s="91">
        <f>D98*(1-D95)</f>
        <v>5.7224284997491222E-3</v>
      </c>
      <c r="E99" s="91">
        <f>E98*(1-E95)</f>
        <v>5.3278520041109972E-3</v>
      </c>
      <c r="F99" s="91">
        <f>F98*(1-F95)</f>
        <v>4.28936170212766E-3</v>
      </c>
      <c r="G99" s="38" t="s">
        <v>12</v>
      </c>
      <c r="H99" s="188"/>
    </row>
    <row r="100" spans="1:12" ht="14.1" customHeight="1" x14ac:dyDescent="0.2">
      <c r="A100" s="30"/>
      <c r="B100" s="226"/>
      <c r="C100" s="62" t="s">
        <v>70</v>
      </c>
      <c r="D100" s="93">
        <f>(D$69*D99)+(1-D$69)*D98</f>
        <v>5.7465320622177626E-3</v>
      </c>
      <c r="E100" s="93">
        <f>(E$69*E99)+(1-E$69)*E98</f>
        <v>5.5549605755395685E-3</v>
      </c>
      <c r="F100" s="93">
        <f>(F$69*F99)+(1-F$69)*F98</f>
        <v>4.7581276595744688E-3</v>
      </c>
      <c r="G100" s="38" t="s">
        <v>12</v>
      </c>
      <c r="H100" s="38"/>
    </row>
    <row r="101" spans="1:12" ht="14.1" customHeight="1" x14ac:dyDescent="0.2">
      <c r="A101" s="30"/>
      <c r="B101" s="226"/>
      <c r="C101" s="62" t="s">
        <v>145</v>
      </c>
      <c r="D101" s="102">
        <f>((D94*D23)-(D100*D23))*D96*D97</f>
        <v>3.3669844455594955E-3</v>
      </c>
      <c r="E101" s="102">
        <f>((E94*E23)-(E100*E23))*E96*E97</f>
        <v>7.381419280575563E-2</v>
      </c>
      <c r="F101" s="102">
        <f>((F94*F23)-(F100*F23))*F96*F97</f>
        <v>0.49091744680851052</v>
      </c>
      <c r="G101" s="37"/>
      <c r="H101" s="38" t="s">
        <v>144</v>
      </c>
    </row>
    <row r="102" spans="1:12" ht="14.1" customHeight="1" x14ac:dyDescent="0.2">
      <c r="A102" s="11"/>
      <c r="B102" s="226"/>
      <c r="C102" s="196" t="s">
        <v>146</v>
      </c>
      <c r="D102" s="111">
        <f>D20/D101</f>
        <v>11022634.590614855</v>
      </c>
      <c r="E102" s="111">
        <f>E20/E101</f>
        <v>430196.17401895218</v>
      </c>
      <c r="F102" s="111">
        <f>F20/F101</f>
        <v>66615.881678943217</v>
      </c>
      <c r="G102" s="37"/>
      <c r="H102" s="37"/>
    </row>
    <row r="103" spans="1:12" ht="14.1" customHeight="1" x14ac:dyDescent="0.2">
      <c r="A103" s="11"/>
      <c r="B103" s="12"/>
      <c r="C103" s="33"/>
      <c r="D103" s="61"/>
      <c r="E103" s="61"/>
      <c r="F103" s="61"/>
      <c r="G103" s="48"/>
    </row>
    <row r="104" spans="1:12" ht="14.1" customHeight="1" x14ac:dyDescent="0.2">
      <c r="A104" s="208" t="s">
        <v>14</v>
      </c>
      <c r="B104" s="208"/>
      <c r="C104" s="25"/>
      <c r="D104" s="61"/>
      <c r="E104" s="61"/>
      <c r="F104" s="61"/>
      <c r="G104" s="37"/>
      <c r="H104" s="37"/>
    </row>
    <row r="105" spans="1:12" ht="14.1" customHeight="1" x14ac:dyDescent="0.25">
      <c r="B105" s="206" t="s">
        <v>254</v>
      </c>
      <c r="C105" s="114" t="s">
        <v>6</v>
      </c>
      <c r="D105" s="169">
        <f>2*E105</f>
        <v>1314.9</v>
      </c>
      <c r="E105" s="170">
        <f>1.8*365.25</f>
        <v>657.45</v>
      </c>
      <c r="F105" s="171">
        <v>500</v>
      </c>
      <c r="G105" s="188" t="s">
        <v>184</v>
      </c>
      <c r="H105" s="188" t="s">
        <v>257</v>
      </c>
      <c r="I105" s="29"/>
      <c r="K105" s="50"/>
      <c r="L105" s="50"/>
    </row>
    <row r="106" spans="1:12" ht="14.1" customHeight="1" x14ac:dyDescent="0.25">
      <c r="B106" s="206"/>
      <c r="C106" s="114" t="s">
        <v>164</v>
      </c>
      <c r="D106" s="168">
        <f>(1500-1000)/D15</f>
        <v>1.6666666666666667</v>
      </c>
      <c r="E106" s="168">
        <f>(1500-1000)/E15</f>
        <v>1.6666666666666667</v>
      </c>
      <c r="F106" s="168">
        <f>(1500-1000)/F15</f>
        <v>1.6666666666666667</v>
      </c>
      <c r="G106" s="38" t="s">
        <v>270</v>
      </c>
      <c r="H106" s="38" t="s">
        <v>173</v>
      </c>
      <c r="I106" s="29"/>
      <c r="K106" s="50"/>
      <c r="L106" s="50"/>
    </row>
    <row r="107" spans="1:12" ht="14.1" customHeight="1" x14ac:dyDescent="0.25">
      <c r="B107" s="206"/>
      <c r="C107" s="114" t="s">
        <v>266</v>
      </c>
      <c r="D107" s="168">
        <v>1.67</v>
      </c>
      <c r="E107" s="168">
        <v>1.67</v>
      </c>
      <c r="F107" s="168">
        <v>1.67</v>
      </c>
      <c r="G107" s="188" t="s">
        <v>68</v>
      </c>
      <c r="H107" s="188" t="s">
        <v>259</v>
      </c>
      <c r="I107" s="29"/>
      <c r="K107" s="50"/>
      <c r="L107" s="50"/>
    </row>
    <row r="108" spans="1:12" ht="14.1" customHeight="1" x14ac:dyDescent="0.25">
      <c r="C108" s="33"/>
      <c r="D108" s="61"/>
      <c r="E108" s="61"/>
      <c r="F108" s="61"/>
      <c r="G108" s="48"/>
      <c r="K108" s="50"/>
      <c r="L108" s="50"/>
    </row>
    <row r="109" spans="1:12" ht="14.1" customHeight="1" x14ac:dyDescent="0.25">
      <c r="B109" s="224" t="s">
        <v>163</v>
      </c>
      <c r="C109" s="33" t="s">
        <v>291</v>
      </c>
      <c r="D109" s="186">
        <f>LN(D105+D16)-LN(D105)</f>
        <v>2.5318392135709189E-3</v>
      </c>
      <c r="E109" s="186">
        <f>LN(E105+E16)-LN(E105)</f>
        <v>5.0572844025733588E-3</v>
      </c>
      <c r="F109" s="186">
        <f>LN(F105+F16)-LN(F105)</f>
        <v>6.6445427186687667E-3</v>
      </c>
      <c r="G109" s="188" t="s">
        <v>12</v>
      </c>
      <c r="K109" s="50"/>
      <c r="L109" s="50"/>
    </row>
    <row r="110" spans="1:12" ht="14.1" customHeight="1" x14ac:dyDescent="0.25">
      <c r="B110" s="224"/>
      <c r="C110" s="188" t="s">
        <v>289</v>
      </c>
      <c r="D110" s="172">
        <f>LN(D105+D16+D17-D106-D107)-LN(D105)</f>
        <v>2.5032003970306249E-2</v>
      </c>
      <c r="E110" s="172">
        <f>LN(E105+E16+E17-E106-E107)-LN(E105)</f>
        <v>4.9452678380699666E-2</v>
      </c>
      <c r="F110" s="172">
        <f>LN(F105+F16+F17-F106-F107)-LN(F105)</f>
        <v>6.453227111803983E-2</v>
      </c>
      <c r="G110" s="188" t="s">
        <v>12</v>
      </c>
      <c r="H110" s="207" t="s">
        <v>263</v>
      </c>
      <c r="K110" s="50"/>
      <c r="L110" s="50"/>
    </row>
    <row r="111" spans="1:12" ht="14.1" customHeight="1" x14ac:dyDescent="0.25">
      <c r="B111" s="224"/>
      <c r="C111" s="114" t="s">
        <v>290</v>
      </c>
      <c r="D111" s="129">
        <f>LN(D105+D16+D17-D106)-LN(D105)</f>
        <v>2.626989852190853E-2</v>
      </c>
      <c r="E111" s="129">
        <f>LN(E105+E16+E17-E106)-LN(E105)</f>
        <v>5.1867317755798226E-2</v>
      </c>
      <c r="F111" s="129">
        <f>LN(F105+F16+F17-F106)-LN(F105)</f>
        <v>6.7658648473814864E-2</v>
      </c>
      <c r="G111" s="188" t="s">
        <v>12</v>
      </c>
      <c r="H111" s="207"/>
      <c r="K111" s="50"/>
      <c r="L111" s="50"/>
    </row>
    <row r="112" spans="1:12" ht="14.1" customHeight="1" x14ac:dyDescent="0.25">
      <c r="B112" s="224"/>
      <c r="C112" s="114" t="s">
        <v>167</v>
      </c>
      <c r="D112" s="32">
        <f>1000*(D109*(1-D27)+D110*D27*D47+D111*D27*(1-D47))</f>
        <v>16.335043164152538</v>
      </c>
      <c r="E112" s="32">
        <f>1000*(E109*(1-E27)+E110*E27*E47+E111*E27*(1-E47))</f>
        <v>32.27714710971933</v>
      </c>
      <c r="F112" s="32">
        <f>1000*(F109*(1-F27)+F110*F27*F47+F111*F27*(1-F47))</f>
        <v>49.135570332366783</v>
      </c>
      <c r="G112" s="188" t="s">
        <v>12</v>
      </c>
      <c r="H112" s="207"/>
      <c r="K112" s="50"/>
      <c r="L112" s="50"/>
    </row>
    <row r="113" spans="1:12" ht="14.1" customHeight="1" x14ac:dyDescent="0.25">
      <c r="B113" s="224"/>
      <c r="C113" s="116" t="s">
        <v>265</v>
      </c>
      <c r="D113" s="173">
        <f>D20/D112</f>
        <v>2271.9890509460861</v>
      </c>
      <c r="E113" s="173">
        <f>E20/E112</f>
        <v>983.81010023563579</v>
      </c>
      <c r="F113" s="173">
        <f>F20/F112</f>
        <v>665.56464755599779</v>
      </c>
      <c r="G113" s="188"/>
      <c r="H113" s="207"/>
      <c r="K113" s="50"/>
      <c r="L113" s="50"/>
    </row>
    <row r="114" spans="1:12" ht="14.1" customHeight="1" x14ac:dyDescent="0.25">
      <c r="C114" s="33"/>
      <c r="D114" s="61"/>
      <c r="E114" s="61"/>
      <c r="F114" s="61"/>
      <c r="K114" s="50"/>
      <c r="L114" s="50"/>
    </row>
    <row r="115" spans="1:12" ht="14.1" customHeight="1" x14ac:dyDescent="0.25">
      <c r="A115" s="227" t="s">
        <v>165</v>
      </c>
      <c r="B115" s="227"/>
      <c r="C115" s="196"/>
      <c r="D115" s="140"/>
      <c r="E115" s="140"/>
      <c r="F115" s="140"/>
      <c r="G115" s="222" t="s">
        <v>185</v>
      </c>
      <c r="H115" s="223"/>
      <c r="I115" s="141"/>
      <c r="J115" s="219"/>
      <c r="K115" s="219"/>
      <c r="L115" s="50"/>
    </row>
    <row r="116" spans="1:12" ht="14.1" customHeight="1" x14ac:dyDescent="0.25">
      <c r="A116" s="196"/>
      <c r="B116" s="221" t="s">
        <v>170</v>
      </c>
      <c r="C116" s="62" t="str">
        <f>C55</f>
        <v>Under-5 HIV deaths averted /1,000 enrollees</v>
      </c>
      <c r="D116" s="67">
        <f>D55</f>
        <v>0.22080959999999999</v>
      </c>
      <c r="E116" s="67">
        <f>E55</f>
        <v>0.51701759999999997</v>
      </c>
      <c r="F116" s="67">
        <f>F55</f>
        <v>4.1385056603773593</v>
      </c>
      <c r="G116" s="197">
        <v>12</v>
      </c>
      <c r="H116" s="198" t="s">
        <v>298</v>
      </c>
      <c r="I116" s="228" t="s">
        <v>299</v>
      </c>
      <c r="J116" s="181"/>
      <c r="K116" s="50"/>
      <c r="L116" s="50"/>
    </row>
    <row r="117" spans="1:12" ht="14.1" customHeight="1" x14ac:dyDescent="0.25">
      <c r="A117" s="196"/>
      <c r="B117" s="221"/>
      <c r="C117" s="62" t="str">
        <f>C63</f>
        <v>DALYs averted per 1,000 enrollees</v>
      </c>
      <c r="D117" s="67">
        <f>D63</f>
        <v>0.22175864832000003</v>
      </c>
      <c r="E117" s="67">
        <f>E63</f>
        <v>0.5192397619200001</v>
      </c>
      <c r="F117" s="67">
        <f>F63</f>
        <v>17.330958104150948</v>
      </c>
      <c r="G117" s="174">
        <v>1</v>
      </c>
      <c r="H117" s="175" t="s">
        <v>168</v>
      </c>
      <c r="I117" s="228"/>
      <c r="J117" s="181"/>
      <c r="K117" s="50"/>
      <c r="L117" s="50"/>
    </row>
    <row r="118" spans="1:12" ht="14.1" customHeight="1" x14ac:dyDescent="0.25">
      <c r="A118" s="196"/>
      <c r="B118" s="221"/>
      <c r="C118" s="62" t="str">
        <f>C81</f>
        <v>Neonatal deaths averted per 1,000 enrollees</v>
      </c>
      <c r="D118" s="67">
        <f>D81</f>
        <v>9.181165803108797E-2</v>
      </c>
      <c r="E118" s="67">
        <f>E81</f>
        <v>0.59059816143497745</v>
      </c>
      <c r="F118" s="67">
        <f>F81</f>
        <v>1.0247946428571424</v>
      </c>
      <c r="G118" s="197">
        <f>G116*0.25</f>
        <v>3</v>
      </c>
      <c r="H118" s="175" t="s">
        <v>296</v>
      </c>
      <c r="I118" s="228"/>
      <c r="J118" s="181"/>
      <c r="K118" s="50"/>
      <c r="L118" s="50"/>
    </row>
    <row r="119" spans="1:12" ht="14.1" customHeight="1" x14ac:dyDescent="0.25">
      <c r="A119" s="196"/>
      <c r="B119" s="221"/>
      <c r="C119" s="62" t="str">
        <f>C91</f>
        <v>Stillbirths averted per 1,000 enrollees</v>
      </c>
      <c r="D119" s="67">
        <f>D91</f>
        <v>5.7782410784453564E-2</v>
      </c>
      <c r="E119" s="67">
        <f>E91</f>
        <v>0.47111623403731462</v>
      </c>
      <c r="F119" s="67">
        <f>F91</f>
        <v>1.0835375220587298</v>
      </c>
      <c r="G119" s="197">
        <f>G116*0.15</f>
        <v>1.7999999999999998</v>
      </c>
      <c r="H119" s="198" t="s">
        <v>295</v>
      </c>
      <c r="I119" s="228"/>
      <c r="J119" s="181"/>
      <c r="K119" s="50"/>
      <c r="L119" s="50"/>
    </row>
    <row r="120" spans="1:12" ht="14.1" customHeight="1" x14ac:dyDescent="0.2">
      <c r="A120" s="196"/>
      <c r="B120" s="221"/>
      <c r="C120" s="62" t="str">
        <f>C101</f>
        <v>Maternal deaths averted per 1,000 enrollees</v>
      </c>
      <c r="D120" s="67">
        <f>D101</f>
        <v>3.3669844455594955E-3</v>
      </c>
      <c r="E120" s="67">
        <f>E101</f>
        <v>7.381419280575563E-2</v>
      </c>
      <c r="F120" s="67">
        <f>F101</f>
        <v>0.49091744680851052</v>
      </c>
      <c r="G120" s="197">
        <f>G116*4</f>
        <v>48</v>
      </c>
      <c r="H120" s="175" t="s">
        <v>268</v>
      </c>
      <c r="I120" s="228"/>
      <c r="J120" s="181"/>
    </row>
    <row r="121" spans="1:12" ht="14.1" customHeight="1" x14ac:dyDescent="0.2">
      <c r="A121" s="196"/>
      <c r="B121" s="221"/>
      <c r="C121" s="62" t="str">
        <f>C112</f>
        <v>Consumption benefit per 1,000 enrollees</v>
      </c>
      <c r="D121" s="67">
        <f t="shared" ref="D121:F121" si="6">D112</f>
        <v>16.335043164152538</v>
      </c>
      <c r="E121" s="67">
        <f t="shared" si="6"/>
        <v>32.27714710971933</v>
      </c>
      <c r="F121" s="67">
        <f t="shared" si="6"/>
        <v>49.135570332366783</v>
      </c>
      <c r="G121" s="197">
        <f>1/4</f>
        <v>0.25</v>
      </c>
      <c r="H121" s="176" t="s">
        <v>169</v>
      </c>
      <c r="I121" s="228"/>
      <c r="J121" s="181"/>
    </row>
    <row r="122" spans="1:12" ht="14.1" customHeight="1" x14ac:dyDescent="0.2">
      <c r="A122" s="196"/>
      <c r="B122" s="193"/>
      <c r="C122" s="114"/>
      <c r="D122" s="114"/>
      <c r="E122" s="114"/>
      <c r="F122" s="114"/>
      <c r="G122" s="177">
        <v>24.16</v>
      </c>
      <c r="H122" s="178" t="s">
        <v>272</v>
      </c>
      <c r="I122" s="228"/>
      <c r="J122" s="181"/>
    </row>
    <row r="123" spans="1:12" ht="14.1" customHeight="1" x14ac:dyDescent="0.2">
      <c r="A123" s="141"/>
      <c r="B123" s="220" t="s">
        <v>178</v>
      </c>
      <c r="C123" s="126" t="s">
        <v>171</v>
      </c>
      <c r="D123" s="144">
        <f>SUMPRODUCT(D116:D121,$G116:$G121)</f>
        <v>7.4962932062502707</v>
      </c>
      <c r="E123" s="144">
        <f>SUMPRODUCT(E116:E121,$G116:$G121)</f>
        <v>20.955622699598202</v>
      </c>
      <c r="F123" s="145">
        <f>SUMPRODUCT(F116:F121,$G116:$G121)</f>
        <v>107.8657075268566</v>
      </c>
      <c r="G123" s="146"/>
      <c r="H123" s="141"/>
      <c r="I123" s="141"/>
    </row>
    <row r="124" spans="1:12" ht="14.1" customHeight="1" x14ac:dyDescent="0.2">
      <c r="A124" s="141"/>
      <c r="B124" s="220"/>
      <c r="C124" s="127" t="s">
        <v>172</v>
      </c>
      <c r="D124" s="147">
        <f>D123/$G$116</f>
        <v>0.62469110052085586</v>
      </c>
      <c r="E124" s="147">
        <f t="shared" ref="E124:F124" si="7">E123/$G$116</f>
        <v>1.7463018916331834</v>
      </c>
      <c r="F124" s="148">
        <f t="shared" si="7"/>
        <v>8.988808960571383</v>
      </c>
      <c r="G124" s="141"/>
      <c r="H124" s="149" t="s">
        <v>193</v>
      </c>
      <c r="I124" s="150"/>
    </row>
    <row r="125" spans="1:12" ht="14.1" customHeight="1" x14ac:dyDescent="0.2">
      <c r="A125" s="141"/>
      <c r="B125" s="220"/>
      <c r="C125" s="65" t="s">
        <v>17</v>
      </c>
      <c r="D125" s="151">
        <f>D20/D124</f>
        <v>59410.225605490632</v>
      </c>
      <c r="E125" s="151">
        <f>E20/E124</f>
        <v>18183.902500177497</v>
      </c>
      <c r="F125" s="152">
        <f>F20/F124</f>
        <v>3638.1792842826026</v>
      </c>
      <c r="G125" s="141"/>
      <c r="H125" s="153" t="s">
        <v>187</v>
      </c>
      <c r="I125" s="154">
        <f t="shared" ref="I125:I130" si="8">(E116*G116)/$E$123</f>
        <v>0.29606427300864496</v>
      </c>
    </row>
    <row r="126" spans="1:12" ht="14.1" customHeight="1" x14ac:dyDescent="0.2">
      <c r="A126" s="141"/>
      <c r="B126" s="155"/>
      <c r="C126" s="62"/>
      <c r="D126" s="156"/>
      <c r="E126" s="156"/>
      <c r="F126" s="156"/>
      <c r="G126" s="141"/>
      <c r="H126" s="153" t="s">
        <v>188</v>
      </c>
      <c r="I126" s="154">
        <f t="shared" si="8"/>
        <v>2.4778064072033319E-2</v>
      </c>
    </row>
    <row r="127" spans="1:12" ht="14.1" customHeight="1" x14ac:dyDescent="0.2">
      <c r="A127" s="141"/>
      <c r="B127" s="220" t="s">
        <v>179</v>
      </c>
      <c r="C127" s="126" t="s">
        <v>176</v>
      </c>
      <c r="D127" s="199">
        <v>2300</v>
      </c>
      <c r="E127" s="199">
        <v>2300</v>
      </c>
      <c r="F127" s="201">
        <v>2300</v>
      </c>
      <c r="G127" s="200" t="s">
        <v>297</v>
      </c>
      <c r="H127" s="153" t="s">
        <v>189</v>
      </c>
      <c r="I127" s="154">
        <f t="shared" si="8"/>
        <v>8.4549837039149617E-2</v>
      </c>
    </row>
    <row r="128" spans="1:12" ht="14.1" customHeight="1" x14ac:dyDescent="0.2">
      <c r="A128" s="141"/>
      <c r="B128" s="220"/>
      <c r="C128" s="64" t="s">
        <v>175</v>
      </c>
      <c r="D128" s="157">
        <f>D127/D125</f>
        <v>3.8713874195209864E-2</v>
      </c>
      <c r="E128" s="157">
        <f>E127/E125</f>
        <v>0.12648550001725697</v>
      </c>
      <c r="F128" s="158">
        <f>F127/F125</f>
        <v>0.63218434834596871</v>
      </c>
      <c r="G128" s="141"/>
      <c r="H128" s="153" t="s">
        <v>190</v>
      </c>
      <c r="I128" s="154">
        <f t="shared" si="8"/>
        <v>4.0466906348882954E-2</v>
      </c>
    </row>
    <row r="129" spans="1:9" ht="14.1" customHeight="1" x14ac:dyDescent="0.2">
      <c r="A129" s="141"/>
      <c r="B129" s="220"/>
      <c r="C129" s="127" t="s">
        <v>177</v>
      </c>
      <c r="D129" s="202">
        <v>6.8</v>
      </c>
      <c r="E129" s="202">
        <v>6.8</v>
      </c>
      <c r="F129" s="202">
        <v>6.8</v>
      </c>
      <c r="G129" s="200" t="s">
        <v>297</v>
      </c>
      <c r="H129" s="153" t="s">
        <v>191</v>
      </c>
      <c r="I129" s="154">
        <f t="shared" si="8"/>
        <v>0.16907544602548147</v>
      </c>
    </row>
    <row r="130" spans="1:9" ht="14.1" customHeight="1" x14ac:dyDescent="0.2">
      <c r="A130" s="141"/>
      <c r="B130" s="220"/>
      <c r="C130" s="65" t="s">
        <v>174</v>
      </c>
      <c r="D130" s="159">
        <f>(D127*D129)/D125</f>
        <v>0.26325434452742708</v>
      </c>
      <c r="E130" s="159">
        <f t="shared" ref="E130:F130" si="9">(E127*E129)/E125</f>
        <v>0.86010140011734748</v>
      </c>
      <c r="F130" s="160">
        <f t="shared" si="9"/>
        <v>4.2988535687525875</v>
      </c>
      <c r="G130" s="141"/>
      <c r="H130" s="153" t="s">
        <v>192</v>
      </c>
      <c r="I130" s="154">
        <f t="shared" si="8"/>
        <v>0.38506547350580766</v>
      </c>
    </row>
    <row r="131" spans="1:9" ht="14.1" customHeight="1" x14ac:dyDescent="0.2">
      <c r="H131" s="39"/>
    </row>
    <row r="132" spans="1:9" ht="14.1" customHeight="1" x14ac:dyDescent="0.2">
      <c r="D132" s="48"/>
      <c r="E132" s="48"/>
      <c r="F132" s="48"/>
    </row>
    <row r="133" spans="1:9" ht="14.1" customHeight="1" x14ac:dyDescent="0.2">
      <c r="C133" s="189"/>
      <c r="D133" s="48"/>
      <c r="E133" s="48"/>
      <c r="F133" s="48"/>
    </row>
    <row r="134" spans="1:9" ht="14.1" customHeight="1" x14ac:dyDescent="0.2">
      <c r="C134" s="48"/>
      <c r="D134" s="48"/>
      <c r="E134" s="48"/>
      <c r="F134" s="48"/>
    </row>
    <row r="135" spans="1:9" ht="14.1" customHeight="1" x14ac:dyDescent="0.2">
      <c r="C135" s="48"/>
      <c r="D135" s="48"/>
      <c r="E135" s="48"/>
      <c r="F135" s="48"/>
    </row>
    <row r="136" spans="1:9" ht="14.1" customHeight="1" x14ac:dyDescent="0.2">
      <c r="C136" s="48"/>
      <c r="D136" s="48"/>
      <c r="E136" s="48"/>
      <c r="F136" s="48"/>
    </row>
    <row r="137" spans="1:9" ht="14.1" customHeight="1" x14ac:dyDescent="0.2">
      <c r="C137" s="48"/>
      <c r="D137" s="48"/>
      <c r="E137" s="48"/>
      <c r="F137" s="48"/>
    </row>
    <row r="138" spans="1:9" ht="14.1" customHeight="1" x14ac:dyDescent="0.2">
      <c r="C138" s="48"/>
      <c r="D138" s="48"/>
      <c r="E138" s="48"/>
      <c r="F138" s="48"/>
    </row>
    <row r="139" spans="1:9" ht="14.1" customHeight="1" x14ac:dyDescent="0.2">
      <c r="A139" s="48"/>
      <c r="C139" s="48"/>
      <c r="D139" s="48"/>
      <c r="E139" s="48"/>
      <c r="F139" s="48"/>
    </row>
    <row r="140" spans="1:9" ht="14.1" customHeight="1" x14ac:dyDescent="0.2">
      <c r="A140" s="48"/>
      <c r="B140" s="48"/>
      <c r="C140" s="48"/>
      <c r="D140" s="48"/>
      <c r="E140" s="48"/>
      <c r="F140" s="48"/>
      <c r="G140" s="48"/>
    </row>
    <row r="141" spans="1:9" ht="14.1" customHeight="1" x14ac:dyDescent="0.2">
      <c r="A141" s="48"/>
      <c r="B141" s="48"/>
      <c r="C141" s="48"/>
      <c r="D141" s="48"/>
      <c r="E141" s="48"/>
      <c r="F141" s="48"/>
      <c r="G141" s="48"/>
    </row>
    <row r="142" spans="1:9" ht="14.1" customHeight="1" x14ac:dyDescent="0.2">
      <c r="A142" s="48"/>
      <c r="B142" s="48"/>
      <c r="C142" s="48"/>
      <c r="D142" s="48"/>
      <c r="E142" s="48"/>
      <c r="F142" s="48"/>
      <c r="G142" s="48"/>
    </row>
    <row r="143" spans="1:9" ht="14.1" customHeight="1" x14ac:dyDescent="0.2">
      <c r="A143" s="48"/>
      <c r="B143" s="48"/>
      <c r="C143" s="48"/>
      <c r="D143" s="48"/>
      <c r="E143" s="48"/>
      <c r="F143" s="48"/>
      <c r="G143" s="48"/>
    </row>
    <row r="144" spans="1:9" ht="14.1" customHeight="1" x14ac:dyDescent="0.2">
      <c r="A144" s="48"/>
      <c r="B144" s="48"/>
      <c r="C144" s="48"/>
      <c r="D144" s="48"/>
      <c r="E144" s="48"/>
      <c r="F144" s="48"/>
      <c r="G144" s="48"/>
    </row>
    <row r="145" spans="1:7" ht="14.1" customHeight="1" x14ac:dyDescent="0.2">
      <c r="A145" s="48"/>
      <c r="B145" s="48"/>
      <c r="C145" s="48"/>
      <c r="D145" s="48"/>
      <c r="E145" s="48"/>
      <c r="F145" s="48"/>
      <c r="G145" s="48"/>
    </row>
    <row r="146" spans="1:7" ht="14.1" customHeight="1" x14ac:dyDescent="0.2">
      <c r="A146" s="48"/>
      <c r="B146" s="48"/>
      <c r="C146" s="48"/>
      <c r="D146" s="48"/>
      <c r="E146" s="48"/>
      <c r="F146" s="48"/>
      <c r="G146" s="48"/>
    </row>
    <row r="147" spans="1:7" ht="14.1" customHeight="1" x14ac:dyDescent="0.2">
      <c r="A147" s="48"/>
      <c r="B147" s="48"/>
      <c r="C147" s="48"/>
      <c r="D147" s="48"/>
      <c r="E147" s="48"/>
      <c r="F147" s="48"/>
      <c r="G147" s="48"/>
    </row>
    <row r="148" spans="1:7" ht="14.1" customHeight="1" x14ac:dyDescent="0.2">
      <c r="A148" s="48"/>
      <c r="B148" s="48"/>
      <c r="C148" s="48"/>
      <c r="D148" s="48"/>
      <c r="E148" s="48"/>
      <c r="F148" s="48"/>
      <c r="G148" s="48"/>
    </row>
    <row r="149" spans="1:7" ht="14.1" customHeight="1" x14ac:dyDescent="0.2">
      <c r="A149" s="48"/>
      <c r="B149" s="48"/>
      <c r="C149" s="48"/>
      <c r="D149" s="48"/>
      <c r="E149" s="48"/>
      <c r="F149" s="48"/>
      <c r="G149" s="48"/>
    </row>
    <row r="150" spans="1:7" ht="14.1" customHeight="1" x14ac:dyDescent="0.2">
      <c r="A150" s="48"/>
      <c r="B150" s="48"/>
      <c r="C150" s="48"/>
      <c r="D150" s="48"/>
      <c r="E150" s="48"/>
      <c r="F150" s="48"/>
      <c r="G150" s="48"/>
    </row>
    <row r="151" spans="1:7" ht="14.1" customHeight="1" x14ac:dyDescent="0.2">
      <c r="A151" s="48"/>
      <c r="B151" s="48"/>
      <c r="C151" s="48"/>
      <c r="D151" s="48"/>
      <c r="E151" s="48"/>
      <c r="F151" s="48"/>
      <c r="G151" s="48"/>
    </row>
    <row r="152" spans="1:7" ht="14.1" customHeight="1" x14ac:dyDescent="0.2">
      <c r="A152" s="48"/>
      <c r="B152" s="48"/>
      <c r="C152" s="48"/>
      <c r="D152" s="48"/>
      <c r="E152" s="48"/>
      <c r="F152" s="48"/>
      <c r="G152" s="48"/>
    </row>
    <row r="153" spans="1:7" ht="14.1" customHeight="1" x14ac:dyDescent="0.2">
      <c r="A153" s="48"/>
      <c r="B153" s="48"/>
      <c r="C153" s="48"/>
      <c r="D153" s="48"/>
      <c r="E153" s="48"/>
      <c r="F153" s="48"/>
      <c r="G153" s="48"/>
    </row>
    <row r="154" spans="1:7" ht="14.1" customHeight="1" x14ac:dyDescent="0.2">
      <c r="A154" s="48"/>
      <c r="B154" s="48"/>
      <c r="C154" s="48"/>
      <c r="D154" s="48"/>
      <c r="E154" s="48"/>
      <c r="F154" s="48"/>
      <c r="G154" s="48"/>
    </row>
    <row r="155" spans="1:7" ht="14.1" customHeight="1" x14ac:dyDescent="0.2">
      <c r="A155" s="48"/>
      <c r="B155" s="48"/>
      <c r="C155" s="48"/>
      <c r="D155" s="48"/>
      <c r="E155" s="48"/>
      <c r="F155" s="48"/>
      <c r="G155" s="48"/>
    </row>
    <row r="156" spans="1:7" ht="14.1" customHeight="1" x14ac:dyDescent="0.2">
      <c r="A156" s="48"/>
      <c r="B156" s="48"/>
      <c r="C156" s="48"/>
      <c r="D156" s="48"/>
      <c r="E156" s="48"/>
      <c r="F156" s="48"/>
      <c r="G156" s="48"/>
    </row>
    <row r="157" spans="1:7" ht="14.1" customHeight="1" x14ac:dyDescent="0.2">
      <c r="A157" s="48"/>
      <c r="B157" s="48"/>
      <c r="C157" s="48"/>
      <c r="D157" s="48"/>
      <c r="E157" s="48"/>
      <c r="F157" s="48"/>
      <c r="G157" s="48"/>
    </row>
    <row r="158" spans="1:7" ht="14.1" customHeight="1" x14ac:dyDescent="0.2">
      <c r="A158" s="48"/>
      <c r="B158" s="48"/>
      <c r="C158" s="48"/>
      <c r="D158" s="48"/>
      <c r="E158" s="48"/>
      <c r="F158" s="48"/>
      <c r="G158" s="48"/>
    </row>
    <row r="159" spans="1:7" ht="14.1" customHeight="1" x14ac:dyDescent="0.2">
      <c r="A159" s="48"/>
      <c r="B159" s="48"/>
      <c r="C159" s="48"/>
      <c r="D159" s="48"/>
      <c r="E159" s="48"/>
      <c r="F159" s="48"/>
      <c r="G159" s="48"/>
    </row>
    <row r="160" spans="1:7" ht="14.1" customHeight="1" x14ac:dyDescent="0.2">
      <c r="A160" s="48"/>
      <c r="B160" s="48"/>
      <c r="C160" s="48"/>
      <c r="D160" s="48"/>
      <c r="E160" s="48"/>
      <c r="F160" s="48"/>
      <c r="G160" s="48"/>
    </row>
    <row r="161" spans="1:11" ht="14.1" customHeight="1" x14ac:dyDescent="0.2">
      <c r="A161" s="48"/>
      <c r="B161" s="48"/>
      <c r="C161" s="48"/>
      <c r="D161" s="48"/>
      <c r="E161" s="48"/>
      <c r="F161" s="48"/>
      <c r="G161" s="48"/>
    </row>
    <row r="162" spans="1:11" ht="14.1" customHeight="1" x14ac:dyDescent="0.2">
      <c r="A162" s="48"/>
      <c r="B162" s="48"/>
      <c r="C162" s="48"/>
      <c r="D162" s="48"/>
      <c r="E162" s="48"/>
      <c r="F162" s="48"/>
      <c r="G162" s="48"/>
    </row>
    <row r="163" spans="1:11" ht="14.1" customHeight="1" x14ac:dyDescent="0.2">
      <c r="A163" s="48"/>
      <c r="B163" s="48"/>
      <c r="C163" s="48"/>
      <c r="D163" s="48"/>
      <c r="E163" s="48"/>
      <c r="F163" s="48"/>
      <c r="G163" s="48"/>
      <c r="J163" s="6"/>
      <c r="K163" s="6"/>
    </row>
    <row r="164" spans="1:11" ht="14.1" customHeight="1" x14ac:dyDescent="0.2">
      <c r="A164" s="48"/>
      <c r="B164" s="48"/>
      <c r="C164" s="48"/>
      <c r="D164" s="48"/>
      <c r="E164" s="48"/>
      <c r="F164" s="48"/>
      <c r="G164" s="48"/>
      <c r="J164" s="6"/>
      <c r="K164" s="6"/>
    </row>
    <row r="165" spans="1:11" ht="14.1" customHeight="1" x14ac:dyDescent="0.2">
      <c r="A165" s="48"/>
      <c r="B165" s="48"/>
      <c r="C165" s="48"/>
      <c r="D165" s="48"/>
      <c r="E165" s="48"/>
      <c r="F165" s="48"/>
      <c r="G165" s="48"/>
      <c r="J165" s="6"/>
      <c r="K165" s="6"/>
    </row>
    <row r="166" spans="1:11" ht="14.1" customHeight="1" x14ac:dyDescent="0.2">
      <c r="A166" s="48"/>
      <c r="B166" s="48"/>
      <c r="C166" s="48"/>
      <c r="D166" s="48"/>
      <c r="E166" s="48"/>
      <c r="F166" s="48"/>
      <c r="G166" s="48"/>
      <c r="J166" s="6"/>
      <c r="K166" s="6"/>
    </row>
    <row r="167" spans="1:11" ht="14.1" customHeight="1" x14ac:dyDescent="0.2">
      <c r="J167" s="6"/>
      <c r="K167" s="6"/>
    </row>
    <row r="168" spans="1:11" ht="14.1" customHeight="1" x14ac:dyDescent="0.2">
      <c r="J168" s="6"/>
      <c r="K168" s="6"/>
    </row>
    <row r="169" spans="1:11" ht="14.1" customHeight="1" x14ac:dyDescent="0.2">
      <c r="B169" s="4"/>
      <c r="J169" s="6"/>
      <c r="K169" s="6"/>
    </row>
    <row r="170" spans="1:11" ht="14.1" customHeight="1" x14ac:dyDescent="0.2">
      <c r="D170" s="15"/>
      <c r="E170" s="15"/>
      <c r="F170" s="15"/>
      <c r="G170" s="8"/>
      <c r="J170" s="6"/>
      <c r="K170" s="6"/>
    </row>
    <row r="171" spans="1:11" ht="14.1" customHeight="1" x14ac:dyDescent="0.2">
      <c r="D171" s="9"/>
      <c r="E171" s="9"/>
      <c r="F171" s="9"/>
      <c r="G171" s="8"/>
      <c r="K171" s="6"/>
    </row>
    <row r="172" spans="1:11" ht="14.1" customHeight="1" x14ac:dyDescent="0.2">
      <c r="D172" s="15"/>
      <c r="E172" s="15"/>
      <c r="F172" s="15"/>
      <c r="G172" s="8"/>
      <c r="K172" s="6"/>
    </row>
    <row r="173" spans="1:11" ht="14.1" customHeight="1" x14ac:dyDescent="0.2">
      <c r="D173" s="15"/>
      <c r="E173" s="15"/>
      <c r="F173" s="15"/>
      <c r="G173" s="8"/>
      <c r="K173" s="6"/>
    </row>
    <row r="175" spans="1:11" ht="14.1" customHeight="1" x14ac:dyDescent="0.2">
      <c r="B175" s="4"/>
    </row>
    <row r="179" spans="4:6" ht="14.1" customHeight="1" x14ac:dyDescent="0.2">
      <c r="D179" s="9"/>
      <c r="E179" s="9"/>
      <c r="F179" s="9"/>
    </row>
    <row r="180" spans="4:6" ht="14.1" customHeight="1" x14ac:dyDescent="0.2">
      <c r="D180" s="9"/>
      <c r="E180" s="9"/>
      <c r="F180" s="9"/>
    </row>
    <row r="182" spans="4:6" ht="14.1" customHeight="1" x14ac:dyDescent="0.2">
      <c r="D182" s="10"/>
      <c r="E182" s="10"/>
      <c r="F182" s="10"/>
    </row>
    <row r="185" spans="4:6" ht="14.1" customHeight="1" x14ac:dyDescent="0.2">
      <c r="D185" s="10"/>
      <c r="E185" s="10"/>
      <c r="F185" s="10"/>
    </row>
    <row r="193" spans="4:6" ht="14.1" customHeight="1" x14ac:dyDescent="0.2">
      <c r="D193" s="16"/>
      <c r="E193" s="16"/>
      <c r="F193" s="16"/>
    </row>
    <row r="194" spans="4:6" ht="14.1" customHeight="1" x14ac:dyDescent="0.2">
      <c r="D194" s="10"/>
      <c r="E194" s="10"/>
      <c r="F194" s="10"/>
    </row>
    <row r="195" spans="4:6" ht="14.1" customHeight="1" x14ac:dyDescent="0.2">
      <c r="D195" s="6"/>
      <c r="E195" s="6"/>
      <c r="F195" s="6"/>
    </row>
    <row r="210" spans="4:5" ht="14.1" customHeight="1" x14ac:dyDescent="0.2">
      <c r="D210" s="6"/>
      <c r="E210" s="6"/>
    </row>
    <row r="211" spans="4:5" ht="14.1" customHeight="1" x14ac:dyDescent="0.2">
      <c r="D211" s="6"/>
      <c r="E211" s="6"/>
    </row>
    <row r="229" spans="4:8" ht="14.1" customHeight="1" x14ac:dyDescent="0.2">
      <c r="H229" s="39"/>
    </row>
    <row r="230" spans="4:8" ht="14.1" customHeight="1" x14ac:dyDescent="0.2">
      <c r="H230" s="39"/>
    </row>
    <row r="231" spans="4:8" ht="14.1" customHeight="1" x14ac:dyDescent="0.2">
      <c r="H231" s="39"/>
    </row>
    <row r="232" spans="4:8" ht="14.1" customHeight="1" x14ac:dyDescent="0.2">
      <c r="H232" s="39"/>
    </row>
    <row r="237" spans="4:8" ht="14.1" customHeight="1" x14ac:dyDescent="0.2">
      <c r="G237" s="8"/>
    </row>
    <row r="238" spans="4:8" ht="14.1" customHeight="1" x14ac:dyDescent="0.2">
      <c r="D238" s="8"/>
      <c r="E238" s="8"/>
      <c r="G238" s="6"/>
    </row>
    <row r="239" spans="4:8" ht="14.1" customHeight="1" x14ac:dyDescent="0.2">
      <c r="D239" s="8"/>
      <c r="E239" s="8"/>
      <c r="G239" s="6"/>
    </row>
    <row r="240" spans="4:8" ht="14.1" customHeight="1" x14ac:dyDescent="0.2">
      <c r="D240" s="6"/>
      <c r="E240" s="6"/>
      <c r="G240" s="5"/>
    </row>
    <row r="241" spans="4:5" ht="14.1" customHeight="1" x14ac:dyDescent="0.2">
      <c r="D241" s="6"/>
      <c r="E241" s="6"/>
    </row>
    <row r="289" spans="10:14" ht="14.1" customHeight="1" x14ac:dyDescent="0.2">
      <c r="J289" s="17"/>
    </row>
    <row r="290" spans="10:14" ht="14.1" customHeight="1" x14ac:dyDescent="0.2">
      <c r="J290" s="18"/>
    </row>
    <row r="291" spans="10:14" ht="14.1" customHeight="1" x14ac:dyDescent="0.2">
      <c r="J291" s="18"/>
    </row>
    <row r="292" spans="10:14" ht="14.1" customHeight="1" x14ac:dyDescent="0.2">
      <c r="J292" s="18"/>
      <c r="K292" s="17"/>
      <c r="L292" s="8"/>
      <c r="M292" s="5"/>
    </row>
    <row r="293" spans="10:14" ht="14.1" customHeight="1" x14ac:dyDescent="0.2">
      <c r="J293" s="18"/>
      <c r="K293" s="18"/>
      <c r="L293" s="8"/>
      <c r="M293" s="5"/>
    </row>
    <row r="294" spans="10:14" ht="14.1" customHeight="1" x14ac:dyDescent="0.2">
      <c r="J294" s="18"/>
      <c r="K294" s="18"/>
      <c r="L294" s="18"/>
      <c r="M294" s="18"/>
    </row>
    <row r="295" spans="10:14" ht="14.1" customHeight="1" x14ac:dyDescent="0.2">
      <c r="J295" s="18"/>
      <c r="K295" s="18"/>
      <c r="L295" s="18"/>
      <c r="M295" s="18"/>
    </row>
    <row r="296" spans="10:14" ht="14.1" customHeight="1" x14ac:dyDescent="0.2">
      <c r="J296" s="18"/>
      <c r="K296" s="18"/>
      <c r="L296" s="18"/>
      <c r="M296" s="18"/>
    </row>
    <row r="297" spans="10:14" ht="14.1" customHeight="1" x14ac:dyDescent="0.2">
      <c r="J297" s="18"/>
      <c r="K297" s="18"/>
      <c r="L297" s="18"/>
      <c r="M297" s="18"/>
      <c r="N297" s="5"/>
    </row>
    <row r="298" spans="10:14" ht="14.1" customHeight="1" x14ac:dyDescent="0.2">
      <c r="J298" s="18"/>
      <c r="K298" s="18"/>
      <c r="L298" s="18"/>
      <c r="M298" s="18"/>
      <c r="N298" s="5"/>
    </row>
    <row r="299" spans="10:14" ht="14.1" customHeight="1" x14ac:dyDescent="0.2">
      <c r="J299" s="18"/>
      <c r="K299" s="18"/>
      <c r="L299" s="18"/>
      <c r="M299" s="18"/>
      <c r="N299" s="18"/>
    </row>
    <row r="300" spans="10:14" ht="14.1" customHeight="1" x14ac:dyDescent="0.2">
      <c r="J300" s="18"/>
      <c r="K300" s="18"/>
      <c r="L300" s="18"/>
      <c r="M300" s="18"/>
      <c r="N300" s="18"/>
    </row>
    <row r="301" spans="10:14" ht="14.1" customHeight="1" x14ac:dyDescent="0.2">
      <c r="J301" s="18"/>
      <c r="K301" s="18"/>
      <c r="L301" s="18"/>
      <c r="M301" s="18"/>
      <c r="N301" s="18"/>
    </row>
    <row r="302" spans="10:14" ht="14.1" customHeight="1" x14ac:dyDescent="0.2">
      <c r="J302" s="18"/>
      <c r="K302" s="18"/>
      <c r="L302" s="18"/>
      <c r="M302" s="18"/>
      <c r="N302" s="18"/>
    </row>
    <row r="303" spans="10:14" ht="14.1" customHeight="1" x14ac:dyDescent="0.2">
      <c r="J303" s="18"/>
      <c r="K303" s="18"/>
      <c r="L303" s="18"/>
      <c r="M303" s="18"/>
      <c r="N303" s="18"/>
    </row>
    <row r="304" spans="10:14" ht="14.1" customHeight="1" x14ac:dyDescent="0.2">
      <c r="J304" s="18"/>
      <c r="K304" s="18"/>
      <c r="L304" s="18"/>
      <c r="M304" s="18"/>
      <c r="N304" s="18"/>
    </row>
    <row r="305" spans="8:14" ht="14.1" customHeight="1" x14ac:dyDescent="0.2">
      <c r="J305" s="18"/>
      <c r="K305" s="18"/>
      <c r="L305" s="18"/>
      <c r="M305" s="18"/>
      <c r="N305" s="18"/>
    </row>
    <row r="306" spans="8:14" ht="14.1" customHeight="1" x14ac:dyDescent="0.2">
      <c r="J306" s="18"/>
      <c r="K306" s="18"/>
      <c r="L306" s="18"/>
      <c r="M306" s="18"/>
      <c r="N306" s="18"/>
    </row>
    <row r="307" spans="8:14" ht="14.1" customHeight="1" x14ac:dyDescent="0.2">
      <c r="J307" s="18"/>
      <c r="K307" s="18"/>
      <c r="L307" s="18"/>
      <c r="M307" s="18"/>
      <c r="N307" s="18"/>
    </row>
    <row r="308" spans="8:14" ht="14.1" customHeight="1" x14ac:dyDescent="0.2">
      <c r="J308" s="18"/>
      <c r="K308" s="18"/>
      <c r="L308" s="18"/>
      <c r="M308" s="18"/>
      <c r="N308" s="18"/>
    </row>
    <row r="309" spans="8:14" ht="14.1" customHeight="1" x14ac:dyDescent="0.2">
      <c r="J309" s="18"/>
      <c r="K309" s="18"/>
      <c r="L309" s="18"/>
      <c r="M309" s="18"/>
      <c r="N309" s="18"/>
    </row>
    <row r="310" spans="8:14" ht="14.1" customHeight="1" x14ac:dyDescent="0.2">
      <c r="J310" s="18"/>
      <c r="K310" s="18"/>
      <c r="L310" s="18"/>
      <c r="M310" s="18"/>
      <c r="N310" s="18"/>
    </row>
    <row r="311" spans="8:14" ht="14.1" customHeight="1" x14ac:dyDescent="0.2">
      <c r="J311" s="18"/>
      <c r="K311" s="18"/>
      <c r="L311" s="18"/>
      <c r="M311" s="18"/>
      <c r="N311" s="18"/>
    </row>
    <row r="312" spans="8:14" ht="14.1" customHeight="1" x14ac:dyDescent="0.2">
      <c r="J312" s="18"/>
      <c r="K312" s="18"/>
      <c r="L312" s="18"/>
      <c r="M312" s="18"/>
      <c r="N312" s="18"/>
    </row>
    <row r="313" spans="8:14" ht="14.1" customHeight="1" x14ac:dyDescent="0.2">
      <c r="J313" s="18"/>
      <c r="K313" s="18"/>
      <c r="L313" s="18"/>
      <c r="M313" s="18"/>
      <c r="N313" s="18"/>
    </row>
    <row r="314" spans="8:14" ht="14.1" customHeight="1" x14ac:dyDescent="0.2">
      <c r="J314" s="18"/>
      <c r="K314" s="18"/>
      <c r="L314" s="18"/>
      <c r="M314" s="18"/>
      <c r="N314" s="18"/>
    </row>
    <row r="315" spans="8:14" ht="14.1" customHeight="1" x14ac:dyDescent="0.2">
      <c r="J315" s="18"/>
      <c r="K315" s="18"/>
      <c r="L315" s="18"/>
      <c r="M315" s="18"/>
      <c r="N315" s="18"/>
    </row>
    <row r="316" spans="8:14" ht="14.1" customHeight="1" x14ac:dyDescent="0.2">
      <c r="H316" s="40"/>
      <c r="J316" s="18"/>
      <c r="K316" s="18"/>
      <c r="L316" s="18"/>
      <c r="M316" s="18"/>
      <c r="N316" s="18"/>
    </row>
    <row r="317" spans="8:14" ht="14.1" customHeight="1" x14ac:dyDescent="0.2">
      <c r="H317" s="41"/>
      <c r="J317" s="18"/>
      <c r="K317" s="18"/>
      <c r="L317" s="18"/>
      <c r="M317" s="18"/>
      <c r="N317" s="18"/>
    </row>
    <row r="318" spans="8:14" ht="14.1" customHeight="1" x14ac:dyDescent="0.2">
      <c r="H318" s="41"/>
      <c r="J318" s="18"/>
      <c r="K318" s="18"/>
      <c r="L318" s="18"/>
      <c r="M318" s="18"/>
      <c r="N318" s="18"/>
    </row>
    <row r="319" spans="8:14" ht="14.1" customHeight="1" x14ac:dyDescent="0.2">
      <c r="H319" s="41"/>
      <c r="J319" s="18"/>
      <c r="K319" s="18"/>
      <c r="L319" s="18"/>
      <c r="M319" s="18"/>
      <c r="N319" s="18"/>
    </row>
    <row r="320" spans="8:14" ht="14.1" customHeight="1" x14ac:dyDescent="0.2">
      <c r="H320" s="41"/>
      <c r="J320" s="18"/>
      <c r="K320" s="18"/>
      <c r="L320" s="18"/>
      <c r="M320" s="18"/>
      <c r="N320" s="18"/>
    </row>
    <row r="321" spans="4:14" ht="14.1" customHeight="1" x14ac:dyDescent="0.2">
      <c r="H321" s="41"/>
      <c r="J321" s="18"/>
      <c r="K321" s="18"/>
      <c r="L321" s="18"/>
      <c r="M321" s="18"/>
      <c r="N321" s="18"/>
    </row>
    <row r="322" spans="4:14" ht="14.1" customHeight="1" x14ac:dyDescent="0.2">
      <c r="H322" s="41"/>
      <c r="J322" s="18"/>
      <c r="K322" s="18"/>
      <c r="L322" s="18"/>
      <c r="M322" s="18"/>
      <c r="N322" s="18"/>
    </row>
    <row r="323" spans="4:14" ht="14.1" customHeight="1" x14ac:dyDescent="0.2">
      <c r="H323" s="41"/>
      <c r="J323" s="18"/>
      <c r="K323" s="18"/>
      <c r="L323" s="18"/>
      <c r="M323" s="18"/>
      <c r="N323" s="18"/>
    </row>
    <row r="324" spans="4:14" ht="14.1" customHeight="1" x14ac:dyDescent="0.2">
      <c r="G324" s="18"/>
      <c r="H324" s="41"/>
      <c r="J324" s="18"/>
      <c r="K324" s="18"/>
      <c r="L324" s="18"/>
      <c r="M324" s="18"/>
      <c r="N324" s="18"/>
    </row>
    <row r="325" spans="4:14" ht="14.1" customHeight="1" x14ac:dyDescent="0.2">
      <c r="D325" s="18"/>
      <c r="E325" s="18"/>
      <c r="G325" s="18"/>
      <c r="H325" s="41"/>
      <c r="J325" s="18"/>
      <c r="K325" s="18"/>
      <c r="L325" s="18"/>
      <c r="M325" s="18"/>
      <c r="N325" s="18"/>
    </row>
    <row r="326" spans="4:14" ht="14.1" customHeight="1" x14ac:dyDescent="0.2">
      <c r="D326" s="18"/>
      <c r="E326" s="18"/>
      <c r="G326" s="18"/>
      <c r="H326" s="41"/>
      <c r="J326" s="18"/>
      <c r="K326" s="18"/>
      <c r="L326" s="18"/>
      <c r="M326" s="18"/>
      <c r="N326" s="18"/>
    </row>
    <row r="327" spans="4:14" ht="14.1" customHeight="1" x14ac:dyDescent="0.2">
      <c r="D327" s="18"/>
      <c r="E327" s="18"/>
      <c r="G327" s="18"/>
      <c r="H327" s="41"/>
      <c r="J327" s="18"/>
      <c r="K327" s="18"/>
      <c r="L327" s="18"/>
      <c r="M327" s="18"/>
      <c r="N327" s="18"/>
    </row>
    <row r="328" spans="4:14" ht="14.1" customHeight="1" x14ac:dyDescent="0.2">
      <c r="D328" s="18"/>
      <c r="E328" s="18"/>
      <c r="G328" s="18"/>
      <c r="H328" s="41"/>
      <c r="J328" s="18"/>
      <c r="K328" s="18"/>
      <c r="L328" s="18"/>
      <c r="M328" s="18"/>
      <c r="N328" s="18"/>
    </row>
    <row r="329" spans="4:14" ht="14.1" customHeight="1" x14ac:dyDescent="0.2">
      <c r="D329" s="18"/>
      <c r="E329" s="18"/>
      <c r="G329" s="18"/>
      <c r="H329" s="41"/>
      <c r="J329" s="18"/>
      <c r="K329" s="18"/>
      <c r="L329" s="18"/>
      <c r="M329" s="18"/>
      <c r="N329" s="18"/>
    </row>
    <row r="330" spans="4:14" ht="14.1" customHeight="1" x14ac:dyDescent="0.2">
      <c r="D330" s="18"/>
      <c r="E330" s="18"/>
      <c r="G330" s="18"/>
      <c r="H330" s="41"/>
      <c r="J330" s="18"/>
      <c r="K330" s="18"/>
      <c r="L330" s="18"/>
      <c r="M330" s="18"/>
      <c r="N330" s="18"/>
    </row>
    <row r="331" spans="4:14" ht="14.1" customHeight="1" x14ac:dyDescent="0.2">
      <c r="D331" s="18"/>
      <c r="E331" s="18"/>
      <c r="G331" s="18"/>
      <c r="H331" s="41"/>
      <c r="J331" s="18"/>
      <c r="K331" s="18"/>
      <c r="L331" s="18"/>
      <c r="M331" s="18"/>
      <c r="N331" s="18"/>
    </row>
    <row r="332" spans="4:14" ht="14.1" customHeight="1" x14ac:dyDescent="0.2">
      <c r="D332" s="18"/>
      <c r="E332" s="18"/>
      <c r="G332" s="18"/>
      <c r="H332" s="41"/>
      <c r="J332" s="18"/>
      <c r="K332" s="18"/>
      <c r="L332" s="18"/>
      <c r="M332" s="18"/>
      <c r="N332" s="18"/>
    </row>
    <row r="333" spans="4:14" ht="14.1" customHeight="1" x14ac:dyDescent="0.2">
      <c r="D333" s="18"/>
      <c r="E333" s="18"/>
      <c r="G333" s="18"/>
      <c r="H333" s="41"/>
      <c r="J333" s="18"/>
      <c r="K333" s="18"/>
      <c r="L333" s="18"/>
      <c r="M333" s="18"/>
      <c r="N333" s="18"/>
    </row>
    <row r="334" spans="4:14" ht="14.1" customHeight="1" x14ac:dyDescent="0.2">
      <c r="D334" s="18"/>
      <c r="E334" s="18"/>
      <c r="G334" s="18"/>
      <c r="H334" s="41"/>
      <c r="J334" s="18"/>
      <c r="K334" s="18"/>
      <c r="L334" s="18"/>
      <c r="M334" s="18"/>
      <c r="N334" s="18"/>
    </row>
    <row r="335" spans="4:14" ht="14.1" customHeight="1" x14ac:dyDescent="0.2">
      <c r="D335" s="18"/>
      <c r="E335" s="18"/>
      <c r="G335" s="18"/>
      <c r="H335" s="41"/>
      <c r="J335" s="18"/>
      <c r="K335" s="18"/>
      <c r="L335" s="18"/>
      <c r="M335" s="18"/>
      <c r="N335" s="18"/>
    </row>
    <row r="336" spans="4:14" ht="14.1" customHeight="1" x14ac:dyDescent="0.2">
      <c r="D336" s="18"/>
      <c r="E336" s="18"/>
      <c r="G336" s="18"/>
      <c r="H336" s="41"/>
      <c r="J336" s="18"/>
      <c r="K336" s="18"/>
      <c r="L336" s="18"/>
      <c r="M336" s="18"/>
      <c r="N336" s="18"/>
    </row>
    <row r="337" spans="4:14" ht="14.1" customHeight="1" x14ac:dyDescent="0.2">
      <c r="D337" s="18"/>
      <c r="E337" s="18"/>
      <c r="G337" s="18"/>
      <c r="H337" s="41"/>
      <c r="J337" s="18"/>
      <c r="K337" s="18"/>
      <c r="L337" s="18"/>
      <c r="M337" s="18"/>
      <c r="N337" s="18"/>
    </row>
    <row r="338" spans="4:14" ht="14.1" customHeight="1" x14ac:dyDescent="0.2">
      <c r="D338" s="18"/>
      <c r="E338" s="18"/>
      <c r="G338" s="18"/>
      <c r="H338" s="41"/>
      <c r="J338" s="18"/>
      <c r="K338" s="18"/>
      <c r="L338" s="18"/>
      <c r="M338" s="18"/>
      <c r="N338" s="18"/>
    </row>
    <row r="339" spans="4:14" ht="14.1" customHeight="1" x14ac:dyDescent="0.2">
      <c r="D339" s="18"/>
      <c r="E339" s="18"/>
      <c r="G339" s="18"/>
      <c r="H339" s="41"/>
      <c r="J339" s="18"/>
      <c r="K339" s="18"/>
      <c r="L339" s="18"/>
      <c r="M339" s="18"/>
      <c r="N339" s="18"/>
    </row>
    <row r="340" spans="4:14" ht="14.1" customHeight="1" x14ac:dyDescent="0.2">
      <c r="D340" s="18"/>
      <c r="E340" s="18"/>
      <c r="G340" s="18"/>
      <c r="H340" s="41"/>
      <c r="J340" s="18"/>
      <c r="K340" s="18"/>
      <c r="L340" s="18"/>
      <c r="M340" s="18"/>
      <c r="N340" s="18"/>
    </row>
    <row r="341" spans="4:14" ht="14.1" customHeight="1" x14ac:dyDescent="0.2">
      <c r="D341" s="18"/>
      <c r="E341" s="18"/>
      <c r="G341" s="18"/>
      <c r="H341" s="41"/>
      <c r="J341" s="18"/>
      <c r="K341" s="18"/>
      <c r="L341" s="18"/>
      <c r="M341" s="18"/>
      <c r="N341" s="18"/>
    </row>
    <row r="342" spans="4:14" ht="14.1" customHeight="1" x14ac:dyDescent="0.2">
      <c r="D342" s="18"/>
      <c r="E342" s="18"/>
      <c r="G342" s="18"/>
      <c r="H342" s="41"/>
      <c r="J342" s="18"/>
      <c r="K342" s="18"/>
      <c r="L342" s="18"/>
      <c r="M342" s="18"/>
      <c r="N342" s="18"/>
    </row>
    <row r="343" spans="4:14" ht="14.1" customHeight="1" x14ac:dyDescent="0.2">
      <c r="D343" s="18"/>
      <c r="E343" s="18"/>
      <c r="G343" s="18"/>
      <c r="H343" s="41"/>
      <c r="J343" s="18"/>
      <c r="K343" s="18"/>
      <c r="L343" s="18"/>
      <c r="M343" s="18"/>
      <c r="N343" s="18"/>
    </row>
    <row r="344" spans="4:14" ht="14.1" customHeight="1" x14ac:dyDescent="0.2">
      <c r="D344" s="18"/>
      <c r="E344" s="18"/>
      <c r="G344" s="18"/>
      <c r="H344" s="41"/>
      <c r="J344" s="18"/>
      <c r="K344" s="18"/>
      <c r="L344" s="18"/>
      <c r="M344" s="18"/>
      <c r="N344" s="18"/>
    </row>
    <row r="345" spans="4:14" ht="14.1" customHeight="1" x14ac:dyDescent="0.2">
      <c r="D345" s="18"/>
      <c r="E345" s="18"/>
      <c r="G345" s="18"/>
      <c r="H345" s="41"/>
      <c r="K345" s="18"/>
      <c r="L345" s="18"/>
      <c r="M345" s="18"/>
      <c r="N345" s="18"/>
    </row>
    <row r="346" spans="4:14" ht="14.1" customHeight="1" x14ac:dyDescent="0.2">
      <c r="D346" s="18"/>
      <c r="E346" s="18"/>
      <c r="G346" s="18"/>
      <c r="H346" s="41"/>
      <c r="K346" s="18"/>
      <c r="L346" s="18"/>
      <c r="M346" s="18"/>
      <c r="N346" s="18"/>
    </row>
    <row r="347" spans="4:14" ht="14.1" customHeight="1" x14ac:dyDescent="0.2">
      <c r="D347" s="18"/>
      <c r="E347" s="18"/>
      <c r="G347" s="18"/>
      <c r="H347" s="41"/>
      <c r="K347" s="18"/>
      <c r="L347" s="18"/>
      <c r="M347" s="18"/>
      <c r="N347" s="18"/>
    </row>
    <row r="348" spans="4:14" ht="14.1" customHeight="1" x14ac:dyDescent="0.2">
      <c r="D348" s="18"/>
      <c r="E348" s="18"/>
      <c r="G348" s="18"/>
      <c r="H348" s="41"/>
      <c r="N348" s="18"/>
    </row>
    <row r="349" spans="4:14" ht="14.1" customHeight="1" x14ac:dyDescent="0.2">
      <c r="D349" s="18"/>
      <c r="E349" s="18"/>
      <c r="G349" s="18"/>
      <c r="H349" s="41"/>
      <c r="N349" s="18"/>
    </row>
    <row r="350" spans="4:14" ht="14.1" customHeight="1" x14ac:dyDescent="0.2">
      <c r="D350" s="18"/>
      <c r="E350" s="18"/>
      <c r="G350" s="18"/>
      <c r="H350" s="41"/>
      <c r="N350" s="18"/>
    </row>
    <row r="351" spans="4:14" ht="14.1" customHeight="1" x14ac:dyDescent="0.2">
      <c r="D351" s="18"/>
      <c r="E351" s="18"/>
      <c r="G351" s="18"/>
      <c r="H351" s="41"/>
      <c r="N351" s="18"/>
    </row>
    <row r="352" spans="4:14" ht="14.1" customHeight="1" x14ac:dyDescent="0.2">
      <c r="D352" s="18"/>
      <c r="E352" s="18"/>
      <c r="G352" s="18"/>
      <c r="H352" s="41"/>
      <c r="N352" s="18"/>
    </row>
    <row r="353" spans="4:8" ht="14.1" customHeight="1" x14ac:dyDescent="0.2">
      <c r="D353" s="18"/>
      <c r="E353" s="18"/>
      <c r="G353" s="18"/>
      <c r="H353" s="41"/>
    </row>
    <row r="354" spans="4:8" ht="14.1" customHeight="1" x14ac:dyDescent="0.2">
      <c r="D354" s="18"/>
      <c r="E354" s="18"/>
      <c r="G354" s="18"/>
      <c r="H354" s="41"/>
    </row>
    <row r="355" spans="4:8" ht="14.1" customHeight="1" x14ac:dyDescent="0.2">
      <c r="D355" s="18"/>
      <c r="E355" s="18"/>
      <c r="G355" s="18"/>
      <c r="H355" s="41"/>
    </row>
    <row r="356" spans="4:8" ht="14.1" customHeight="1" x14ac:dyDescent="0.2">
      <c r="D356" s="18"/>
      <c r="E356" s="18"/>
      <c r="G356" s="18"/>
      <c r="H356" s="41"/>
    </row>
    <row r="357" spans="4:8" ht="14.1" customHeight="1" x14ac:dyDescent="0.2">
      <c r="D357" s="18"/>
      <c r="E357" s="18"/>
      <c r="G357" s="18"/>
      <c r="H357" s="41"/>
    </row>
    <row r="358" spans="4:8" ht="14.1" customHeight="1" x14ac:dyDescent="0.2">
      <c r="D358" s="18"/>
      <c r="E358" s="18"/>
      <c r="G358" s="18"/>
      <c r="H358" s="41"/>
    </row>
    <row r="359" spans="4:8" ht="14.1" customHeight="1" x14ac:dyDescent="0.2">
      <c r="D359" s="18"/>
      <c r="E359" s="18"/>
      <c r="G359" s="18"/>
      <c r="H359" s="41"/>
    </row>
    <row r="360" spans="4:8" ht="14.1" customHeight="1" x14ac:dyDescent="0.2">
      <c r="D360" s="18"/>
      <c r="E360" s="18"/>
      <c r="G360" s="18"/>
      <c r="H360" s="41"/>
    </row>
    <row r="361" spans="4:8" ht="14.1" customHeight="1" x14ac:dyDescent="0.2">
      <c r="D361" s="18"/>
      <c r="E361" s="18"/>
      <c r="G361" s="18"/>
      <c r="H361" s="41"/>
    </row>
    <row r="362" spans="4:8" ht="14.1" customHeight="1" x14ac:dyDescent="0.2">
      <c r="D362" s="18"/>
      <c r="E362" s="18"/>
      <c r="G362" s="18"/>
      <c r="H362" s="41"/>
    </row>
    <row r="363" spans="4:8" ht="14.1" customHeight="1" x14ac:dyDescent="0.2">
      <c r="D363" s="18"/>
      <c r="E363" s="18"/>
      <c r="G363" s="18"/>
      <c r="H363" s="41"/>
    </row>
    <row r="364" spans="4:8" ht="14.1" customHeight="1" x14ac:dyDescent="0.2">
      <c r="D364" s="18"/>
      <c r="E364" s="18"/>
      <c r="G364" s="18"/>
      <c r="H364" s="41"/>
    </row>
    <row r="365" spans="4:8" ht="14.1" customHeight="1" x14ac:dyDescent="0.2">
      <c r="D365" s="18"/>
      <c r="E365" s="18"/>
      <c r="G365" s="18"/>
      <c r="H365" s="41"/>
    </row>
    <row r="366" spans="4:8" ht="14.1" customHeight="1" x14ac:dyDescent="0.2">
      <c r="D366" s="18"/>
      <c r="E366" s="18"/>
      <c r="G366" s="18"/>
      <c r="H366" s="41"/>
    </row>
    <row r="367" spans="4:8" ht="14.1" customHeight="1" x14ac:dyDescent="0.2">
      <c r="D367" s="18"/>
      <c r="E367" s="18"/>
      <c r="G367" s="18"/>
      <c r="H367" s="41"/>
    </row>
    <row r="368" spans="4:8" ht="14.1" customHeight="1" x14ac:dyDescent="0.2">
      <c r="D368" s="18"/>
      <c r="E368" s="18"/>
      <c r="G368" s="18"/>
      <c r="H368" s="41"/>
    </row>
    <row r="369" spans="4:8" ht="14.1" customHeight="1" x14ac:dyDescent="0.2">
      <c r="D369" s="18"/>
      <c r="E369" s="18"/>
      <c r="G369" s="18"/>
      <c r="H369" s="41"/>
    </row>
    <row r="370" spans="4:8" ht="14.1" customHeight="1" x14ac:dyDescent="0.2">
      <c r="D370" s="18"/>
      <c r="E370" s="18"/>
      <c r="G370" s="18"/>
      <c r="H370" s="41"/>
    </row>
    <row r="371" spans="4:8" ht="14.1" customHeight="1" x14ac:dyDescent="0.2">
      <c r="D371" s="18"/>
      <c r="E371" s="18"/>
      <c r="G371" s="18"/>
      <c r="H371" s="41"/>
    </row>
    <row r="372" spans="4:8" ht="14.1" customHeight="1" x14ac:dyDescent="0.2">
      <c r="D372" s="18"/>
      <c r="E372" s="18"/>
      <c r="G372" s="18"/>
    </row>
    <row r="373" spans="4:8" ht="14.1" customHeight="1" x14ac:dyDescent="0.2">
      <c r="D373" s="18"/>
      <c r="E373" s="18"/>
      <c r="G373" s="18"/>
    </row>
    <row r="374" spans="4:8" ht="14.1" customHeight="1" x14ac:dyDescent="0.2">
      <c r="D374" s="18"/>
      <c r="E374" s="18"/>
      <c r="G374" s="18"/>
    </row>
    <row r="375" spans="4:8" ht="14.1" customHeight="1" x14ac:dyDescent="0.2">
      <c r="D375" s="18"/>
      <c r="E375" s="18"/>
      <c r="G375" s="18"/>
    </row>
    <row r="376" spans="4:8" ht="14.1" customHeight="1" x14ac:dyDescent="0.2">
      <c r="D376" s="18"/>
      <c r="E376" s="18"/>
      <c r="G376" s="18"/>
    </row>
    <row r="377" spans="4:8" ht="14.1" customHeight="1" x14ac:dyDescent="0.2">
      <c r="D377" s="18"/>
      <c r="E377" s="18"/>
    </row>
    <row r="378" spans="4:8" ht="14.1" customHeight="1" x14ac:dyDescent="0.2">
      <c r="D378" s="18"/>
      <c r="E378" s="18"/>
    </row>
  </sheetData>
  <mergeCells count="30">
    <mergeCell ref="H8:H9"/>
    <mergeCell ref="B2:B3"/>
    <mergeCell ref="D5:D6"/>
    <mergeCell ref="C8:C9"/>
    <mergeCell ref="D8:F8"/>
    <mergeCell ref="G8:G9"/>
    <mergeCell ref="B84:B92"/>
    <mergeCell ref="A10:B10"/>
    <mergeCell ref="B14:B20"/>
    <mergeCell ref="A22:C22"/>
    <mergeCell ref="B42:B44"/>
    <mergeCell ref="B46:B48"/>
    <mergeCell ref="B50:B56"/>
    <mergeCell ref="B58:B64"/>
    <mergeCell ref="A66:C66"/>
    <mergeCell ref="B67:B69"/>
    <mergeCell ref="B71:B72"/>
    <mergeCell ref="B74:B82"/>
    <mergeCell ref="B94:B102"/>
    <mergeCell ref="A104:B104"/>
    <mergeCell ref="B105:B107"/>
    <mergeCell ref="B109:B113"/>
    <mergeCell ref="H110:H113"/>
    <mergeCell ref="J115:K115"/>
    <mergeCell ref="B116:B121"/>
    <mergeCell ref="I116:I122"/>
    <mergeCell ref="B123:B125"/>
    <mergeCell ref="B127:B130"/>
    <mergeCell ref="A115:B115"/>
    <mergeCell ref="G115:H115"/>
  </mergeCell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8"/>
  <sheetViews>
    <sheetView workbookViewId="0"/>
  </sheetViews>
  <sheetFormatPr defaultColWidth="10.85546875" defaultRowHeight="14.1" customHeight="1" x14ac:dyDescent="0.2"/>
  <cols>
    <col min="1" max="1" width="12.28515625" style="1" customWidth="1"/>
    <col min="2" max="2" width="18.85546875" style="1" customWidth="1"/>
    <col min="3" max="3" width="36.28515625" style="1" customWidth="1"/>
    <col min="4" max="4" width="16.28515625" style="1" customWidth="1"/>
    <col min="5" max="5" width="15.7109375" style="1" customWidth="1"/>
    <col min="6" max="6" width="14.28515625" style="1" customWidth="1"/>
    <col min="7" max="7" width="16" style="1" customWidth="1"/>
    <col min="8" max="8" width="60" style="48" customWidth="1"/>
    <col min="9" max="9" width="11.42578125" style="1" customWidth="1"/>
    <col min="10" max="12" width="10.85546875" style="1"/>
    <col min="13" max="14" width="10.85546875" style="1" customWidth="1"/>
    <col min="15" max="16384" width="10.85546875" style="1"/>
  </cols>
  <sheetData>
    <row r="1" spans="1:14" ht="14.1" customHeight="1" x14ac:dyDescent="0.2">
      <c r="K1" s="3"/>
    </row>
    <row r="2" spans="1:14" ht="14.1" customHeight="1" x14ac:dyDescent="0.2">
      <c r="B2" s="209" t="s">
        <v>101</v>
      </c>
      <c r="C2" s="63" t="s">
        <v>17</v>
      </c>
      <c r="D2" s="72">
        <f>D125</f>
        <v>20441.143194953118</v>
      </c>
      <c r="E2" s="72">
        <f>E125</f>
        <v>6528.9588819593282</v>
      </c>
      <c r="F2" s="73">
        <f>F125</f>
        <v>1666.6351745504421</v>
      </c>
      <c r="K2" s="3"/>
    </row>
    <row r="3" spans="1:14" ht="14.1" customHeight="1" x14ac:dyDescent="0.2">
      <c r="B3" s="209"/>
      <c r="C3" s="64" t="s">
        <v>180</v>
      </c>
      <c r="D3" s="67">
        <f>D130</f>
        <v>0.19054707277632438</v>
      </c>
      <c r="E3" s="68">
        <f>E130</f>
        <v>0.59657291007951907</v>
      </c>
      <c r="F3" s="69">
        <f>F130</f>
        <v>2.3370441590797677</v>
      </c>
      <c r="K3" s="27"/>
      <c r="L3" s="27"/>
      <c r="M3" s="27"/>
      <c r="N3" s="27"/>
    </row>
    <row r="4" spans="1:14" ht="14.1" customHeight="1" x14ac:dyDescent="0.2">
      <c r="B4" s="190"/>
      <c r="C4" s="65" t="s">
        <v>182</v>
      </c>
      <c r="D4" s="70">
        <f>D128</f>
        <v>4.6474895799103515E-2</v>
      </c>
      <c r="E4" s="70">
        <f>E128</f>
        <v>0.14550558782427295</v>
      </c>
      <c r="F4" s="71">
        <f>F128</f>
        <v>0.57001077050726046</v>
      </c>
      <c r="K4" s="27"/>
      <c r="L4" s="27"/>
      <c r="M4" s="27"/>
      <c r="N4" s="27"/>
    </row>
    <row r="5" spans="1:14" ht="14.1" customHeight="1" x14ac:dyDescent="0.2">
      <c r="C5" s="24"/>
      <c r="D5" s="210" t="s">
        <v>102</v>
      </c>
      <c r="E5" s="52"/>
      <c r="F5" s="53"/>
      <c r="G5" s="2"/>
      <c r="H5" s="22" t="s">
        <v>100</v>
      </c>
      <c r="I5" s="25"/>
      <c r="J5" s="25"/>
      <c r="K5" s="5"/>
      <c r="L5" s="7"/>
      <c r="M5" s="7"/>
      <c r="N5" s="7"/>
    </row>
    <row r="6" spans="1:14" ht="14.1" customHeight="1" x14ac:dyDescent="0.2">
      <c r="C6" s="24"/>
      <c r="D6" s="210"/>
      <c r="E6" s="13"/>
      <c r="F6" s="14"/>
      <c r="G6" s="21"/>
      <c r="H6" s="23" t="s">
        <v>271</v>
      </c>
      <c r="I6" s="25"/>
      <c r="J6" s="25"/>
      <c r="K6" s="28"/>
      <c r="L6" s="7"/>
      <c r="M6" s="7"/>
      <c r="N6" s="7"/>
    </row>
    <row r="7" spans="1:14" ht="14.1" customHeight="1" x14ac:dyDescent="0.2">
      <c r="I7" s="25"/>
      <c r="K7" s="28"/>
      <c r="L7" s="7"/>
      <c r="M7" s="7"/>
      <c r="N7" s="7"/>
    </row>
    <row r="8" spans="1:14" ht="14.1" customHeight="1" x14ac:dyDescent="0.2">
      <c r="B8" s="3"/>
      <c r="C8" s="213" t="s">
        <v>7</v>
      </c>
      <c r="D8" s="213" t="s">
        <v>9</v>
      </c>
      <c r="E8" s="214"/>
      <c r="F8" s="215"/>
      <c r="G8" s="215" t="s">
        <v>1</v>
      </c>
      <c r="H8" s="211" t="s">
        <v>0</v>
      </c>
      <c r="K8" s="28"/>
      <c r="L8" s="7"/>
      <c r="M8" s="7"/>
      <c r="N8" s="7"/>
    </row>
    <row r="9" spans="1:14" ht="14.1" customHeight="1" x14ac:dyDescent="0.2">
      <c r="A9" s="46"/>
      <c r="B9" s="46"/>
      <c r="C9" s="216"/>
      <c r="D9" s="74" t="s">
        <v>80</v>
      </c>
      <c r="E9" s="75" t="s">
        <v>98</v>
      </c>
      <c r="F9" s="76" t="s">
        <v>99</v>
      </c>
      <c r="G9" s="217"/>
      <c r="H9" s="212"/>
      <c r="K9" s="28"/>
      <c r="L9" s="7"/>
      <c r="M9" s="7"/>
      <c r="N9" s="7"/>
    </row>
    <row r="10" spans="1:14" ht="14.1" customHeight="1" x14ac:dyDescent="0.2">
      <c r="A10" s="218" t="s">
        <v>194</v>
      </c>
      <c r="B10" s="218"/>
      <c r="C10" s="43"/>
      <c r="D10" s="44"/>
      <c r="E10" s="44"/>
      <c r="F10" s="44"/>
      <c r="G10" s="43"/>
      <c r="H10" s="45"/>
      <c r="K10" s="28"/>
      <c r="L10" s="7"/>
      <c r="M10" s="7"/>
      <c r="N10" s="7"/>
    </row>
    <row r="11" spans="1:14" ht="14.1" customHeight="1" x14ac:dyDescent="0.2">
      <c r="A11" s="191"/>
      <c r="B11" s="191"/>
      <c r="C11" s="25" t="s">
        <v>128</v>
      </c>
      <c r="D11" s="77">
        <v>4.2500000000000003E-2</v>
      </c>
      <c r="E11" s="77">
        <v>4.2500000000000003E-2</v>
      </c>
      <c r="F11" s="77">
        <v>4.2500000000000003E-2</v>
      </c>
      <c r="G11" s="37" t="s">
        <v>129</v>
      </c>
      <c r="H11" s="37" t="s">
        <v>181</v>
      </c>
      <c r="K11" s="28"/>
      <c r="L11" s="7"/>
      <c r="M11" s="7"/>
      <c r="N11" s="7"/>
    </row>
    <row r="12" spans="1:14" ht="14.1" customHeight="1" x14ac:dyDescent="0.2">
      <c r="A12" s="191"/>
      <c r="B12" s="191"/>
      <c r="C12" s="43"/>
      <c r="D12" s="195"/>
      <c r="E12" s="195"/>
      <c r="F12" s="195"/>
      <c r="G12" s="103"/>
      <c r="H12" s="103"/>
      <c r="I12" s="1" t="s">
        <v>92</v>
      </c>
      <c r="K12" s="28"/>
      <c r="L12" s="7"/>
      <c r="M12" s="7"/>
      <c r="N12" s="7"/>
    </row>
    <row r="13" spans="1:14" ht="14.1" customHeight="1" x14ac:dyDescent="0.2">
      <c r="A13" s="191" t="s">
        <v>210</v>
      </c>
      <c r="B13" s="191"/>
      <c r="C13" s="43"/>
      <c r="D13" s="195"/>
      <c r="E13" s="195"/>
      <c r="F13" s="195"/>
      <c r="G13" s="103"/>
      <c r="H13" s="103"/>
      <c r="K13" s="28"/>
      <c r="L13" s="7"/>
      <c r="M13" s="7"/>
      <c r="N13" s="7"/>
    </row>
    <row r="14" spans="1:14" ht="14.1" customHeight="1" x14ac:dyDescent="0.2">
      <c r="B14" s="206" t="s">
        <v>118</v>
      </c>
      <c r="C14" s="33" t="s">
        <v>18</v>
      </c>
      <c r="D14" s="81">
        <f>0.85*E14</f>
        <v>0.54400000000000004</v>
      </c>
      <c r="E14" s="82">
        <v>0.64</v>
      </c>
      <c r="F14" s="83">
        <f>1.15*E14</f>
        <v>0.73599999999999999</v>
      </c>
      <c r="G14" s="48" t="s">
        <v>138</v>
      </c>
      <c r="H14" s="188" t="s">
        <v>279</v>
      </c>
      <c r="K14" s="28"/>
      <c r="L14" s="7"/>
      <c r="M14" s="7"/>
      <c r="N14" s="7"/>
    </row>
    <row r="15" spans="1:14" ht="14.1" customHeight="1" x14ac:dyDescent="0.2">
      <c r="B15" s="206"/>
      <c r="C15" s="59" t="s">
        <v>273</v>
      </c>
      <c r="D15" s="32">
        <v>300</v>
      </c>
      <c r="E15" s="32">
        <f>D15</f>
        <v>300</v>
      </c>
      <c r="F15" s="32">
        <f>D15</f>
        <v>300</v>
      </c>
      <c r="G15" s="112" t="s">
        <v>276</v>
      </c>
      <c r="H15" s="112" t="s">
        <v>275</v>
      </c>
      <c r="K15" s="28"/>
      <c r="L15" s="7"/>
      <c r="M15" s="7"/>
      <c r="N15" s="7"/>
    </row>
    <row r="16" spans="1:14" ht="14.1" customHeight="1" x14ac:dyDescent="0.2">
      <c r="B16" s="206"/>
      <c r="C16" s="59" t="s">
        <v>284</v>
      </c>
      <c r="D16" s="184">
        <f>1000/D15</f>
        <v>3.3333333333333335</v>
      </c>
      <c r="E16" s="184">
        <f t="shared" ref="E16:F16" si="0">1000/E15</f>
        <v>3.3333333333333335</v>
      </c>
      <c r="F16" s="184">
        <f t="shared" si="0"/>
        <v>3.3333333333333335</v>
      </c>
      <c r="G16" s="112" t="s">
        <v>138</v>
      </c>
      <c r="H16" s="112" t="s">
        <v>286</v>
      </c>
      <c r="K16" s="28"/>
      <c r="L16" s="7"/>
      <c r="M16" s="7"/>
      <c r="N16" s="7"/>
    </row>
    <row r="17" spans="1:14" ht="14.1" customHeight="1" x14ac:dyDescent="0.2">
      <c r="B17" s="206"/>
      <c r="C17" s="59" t="s">
        <v>285</v>
      </c>
      <c r="D17" s="107">
        <f>10000/D15</f>
        <v>33.333333333333336</v>
      </c>
      <c r="E17" s="107">
        <f t="shared" ref="E17:F17" si="1">10000/E15</f>
        <v>33.333333333333336</v>
      </c>
      <c r="F17" s="107">
        <f t="shared" si="1"/>
        <v>33.333333333333336</v>
      </c>
      <c r="G17" s="112" t="s">
        <v>138</v>
      </c>
      <c r="H17" s="112" t="s">
        <v>274</v>
      </c>
      <c r="K17" s="28"/>
      <c r="L17" s="7"/>
      <c r="M17" s="7"/>
      <c r="N17" s="7"/>
    </row>
    <row r="18" spans="1:14" ht="14.1" customHeight="1" x14ac:dyDescent="0.2">
      <c r="B18" s="206"/>
      <c r="C18" s="59" t="s">
        <v>287</v>
      </c>
      <c r="D18" s="107">
        <f>D16/D14</f>
        <v>6.1274509803921564</v>
      </c>
      <c r="E18" s="107">
        <f t="shared" ref="E18:F18" si="2">E16/E14</f>
        <v>5.208333333333333</v>
      </c>
      <c r="F18" s="107">
        <f t="shared" si="2"/>
        <v>4.5289855072463769</v>
      </c>
      <c r="G18" s="48" t="s">
        <v>12</v>
      </c>
      <c r="K18" s="28"/>
      <c r="L18" s="7"/>
      <c r="M18" s="7"/>
      <c r="N18" s="7"/>
    </row>
    <row r="19" spans="1:14" ht="14.1" customHeight="1" x14ac:dyDescent="0.2">
      <c r="B19" s="206"/>
      <c r="C19" s="59" t="s">
        <v>288</v>
      </c>
      <c r="D19" s="185">
        <f>D17/D14</f>
        <v>61.274509803921568</v>
      </c>
      <c r="E19" s="185">
        <f t="shared" ref="E19:F19" si="3">E17/E14</f>
        <v>52.083333333333336</v>
      </c>
      <c r="F19" s="185">
        <f t="shared" si="3"/>
        <v>45.289855072463773</v>
      </c>
      <c r="G19" s="48" t="s">
        <v>12</v>
      </c>
      <c r="K19" s="28"/>
      <c r="L19" s="7"/>
      <c r="M19" s="7"/>
      <c r="N19" s="7"/>
    </row>
    <row r="20" spans="1:14" ht="14.1" customHeight="1" x14ac:dyDescent="0.2">
      <c r="B20" s="206"/>
      <c r="C20" s="196" t="s">
        <v>119</v>
      </c>
      <c r="D20" s="108">
        <f>D28*D19+D29*D16</f>
        <v>37113.039215686273</v>
      </c>
      <c r="E20" s="108">
        <f>E28*E19+E29*E16</f>
        <v>31754.583333333336</v>
      </c>
      <c r="F20" s="108">
        <f>F28*F19+F29*F16</f>
        <v>32702.89855072464</v>
      </c>
      <c r="G20" s="116" t="s">
        <v>12</v>
      </c>
      <c r="H20" s="48" t="s">
        <v>211</v>
      </c>
      <c r="K20" s="28"/>
      <c r="L20" s="7"/>
      <c r="M20" s="7"/>
      <c r="N20" s="7"/>
    </row>
    <row r="21" spans="1:14" ht="14.1" customHeight="1" x14ac:dyDescent="0.2">
      <c r="B21" s="187"/>
      <c r="C21" s="187"/>
      <c r="D21" s="187"/>
      <c r="E21" s="187"/>
      <c r="F21" s="187"/>
      <c r="G21" s="187"/>
      <c r="K21" s="28"/>
      <c r="L21" s="7"/>
      <c r="M21" s="7"/>
      <c r="N21" s="7"/>
    </row>
    <row r="22" spans="1:14" ht="14.1" customHeight="1" x14ac:dyDescent="0.2">
      <c r="A22" s="218" t="s">
        <v>151</v>
      </c>
      <c r="B22" s="218"/>
      <c r="C22" s="218"/>
      <c r="D22" s="61"/>
      <c r="E22" s="61"/>
      <c r="F22" s="61"/>
      <c r="G22" s="48"/>
      <c r="K22" s="28"/>
      <c r="L22" s="7"/>
      <c r="M22" s="7"/>
      <c r="N22" s="7"/>
    </row>
    <row r="23" spans="1:14" ht="14.1" customHeight="1" x14ac:dyDescent="0.2">
      <c r="B23" s="187" t="s">
        <v>5</v>
      </c>
      <c r="C23" s="33" t="s">
        <v>10</v>
      </c>
      <c r="D23" s="60">
        <v>1000</v>
      </c>
      <c r="E23" s="60">
        <v>1000</v>
      </c>
      <c r="F23" s="60">
        <v>1000</v>
      </c>
      <c r="G23" s="192" t="s">
        <v>11</v>
      </c>
      <c r="H23" s="48" t="s">
        <v>195</v>
      </c>
      <c r="K23" s="28"/>
      <c r="L23" s="7"/>
      <c r="M23" s="7"/>
      <c r="N23" s="7"/>
    </row>
    <row r="24" spans="1:14" ht="14.1" customHeight="1" x14ac:dyDescent="0.2">
      <c r="B24" s="187"/>
      <c r="C24" s="33" t="s">
        <v>300</v>
      </c>
      <c r="D24" s="81">
        <f>E24</f>
        <v>0.58299999999999996</v>
      </c>
      <c r="E24" s="179">
        <v>0.58299999999999996</v>
      </c>
      <c r="F24" s="83">
        <v>0.7</v>
      </c>
      <c r="G24" s="192"/>
      <c r="K24" s="28"/>
      <c r="L24" s="7"/>
      <c r="M24" s="7"/>
      <c r="N24" s="7"/>
    </row>
    <row r="25" spans="1:14" ht="14.1" customHeight="1" x14ac:dyDescent="0.2">
      <c r="B25" s="187"/>
      <c r="C25" s="59" t="s">
        <v>20</v>
      </c>
      <c r="D25" s="204">
        <v>1</v>
      </c>
      <c r="E25" s="204">
        <v>1</v>
      </c>
      <c r="F25" s="204">
        <v>1</v>
      </c>
      <c r="G25" s="48" t="s">
        <v>302</v>
      </c>
      <c r="H25" s="112" t="s">
        <v>134</v>
      </c>
      <c r="K25" s="28"/>
      <c r="L25" s="7"/>
      <c r="M25" s="7"/>
      <c r="N25" s="7"/>
    </row>
    <row r="26" spans="1:14" ht="14.1" customHeight="1" x14ac:dyDescent="0.2">
      <c r="B26" s="187"/>
      <c r="C26" s="59" t="s">
        <v>19</v>
      </c>
      <c r="D26" s="204">
        <v>1</v>
      </c>
      <c r="E26" s="204">
        <v>1</v>
      </c>
      <c r="F26" s="204">
        <v>1</v>
      </c>
      <c r="G26" s="48" t="s">
        <v>302</v>
      </c>
      <c r="H26" s="112" t="s">
        <v>303</v>
      </c>
      <c r="K26" s="28"/>
      <c r="L26" s="7"/>
      <c r="M26" s="7"/>
      <c r="N26" s="7"/>
    </row>
    <row r="27" spans="1:14" ht="14.1" customHeight="1" x14ac:dyDescent="0.2">
      <c r="B27" s="187"/>
      <c r="C27" s="33" t="s">
        <v>301</v>
      </c>
      <c r="D27" s="81">
        <f>D24*D25*D26</f>
        <v>0.58299999999999996</v>
      </c>
      <c r="E27" s="179">
        <f>E24*E25*E26</f>
        <v>0.58299999999999996</v>
      </c>
      <c r="F27" s="83">
        <f>F24*F25*F26</f>
        <v>0.7</v>
      </c>
      <c r="G27" s="188" t="s">
        <v>196</v>
      </c>
      <c r="H27" s="112" t="s">
        <v>278</v>
      </c>
      <c r="K27" s="28"/>
      <c r="L27" s="7"/>
      <c r="M27" s="7"/>
      <c r="N27" s="7"/>
    </row>
    <row r="28" spans="1:14" ht="14.1" customHeight="1" x14ac:dyDescent="0.2">
      <c r="B28" s="187"/>
      <c r="C28" s="33" t="s">
        <v>2</v>
      </c>
      <c r="D28" s="78">
        <f>D23*D27</f>
        <v>583</v>
      </c>
      <c r="E28" s="78">
        <f>E23*E27</f>
        <v>583</v>
      </c>
      <c r="F28" s="78">
        <f>F23*F27</f>
        <v>700</v>
      </c>
      <c r="G28" s="48" t="s">
        <v>12</v>
      </c>
      <c r="K28" s="28"/>
      <c r="L28" s="7"/>
      <c r="M28" s="7"/>
      <c r="N28" s="7"/>
    </row>
    <row r="29" spans="1:14" ht="14.1" customHeight="1" x14ac:dyDescent="0.2">
      <c r="B29" s="187"/>
      <c r="C29" s="33" t="s">
        <v>3</v>
      </c>
      <c r="D29" s="60">
        <f>D23-(D23*D27)</f>
        <v>417</v>
      </c>
      <c r="E29" s="60">
        <f>E23-(E23*E27)</f>
        <v>417</v>
      </c>
      <c r="F29" s="60">
        <f>F23-(F23*F27)</f>
        <v>300</v>
      </c>
      <c r="G29" s="48" t="s">
        <v>12</v>
      </c>
      <c r="K29" s="28"/>
      <c r="L29" s="7"/>
      <c r="M29" s="7"/>
      <c r="N29" s="7"/>
    </row>
    <row r="30" spans="1:14" ht="14.1" customHeight="1" x14ac:dyDescent="0.2">
      <c r="B30" s="187"/>
      <c r="C30" s="33"/>
      <c r="D30" s="60"/>
      <c r="E30" s="60"/>
      <c r="F30" s="60"/>
      <c r="G30" s="48"/>
      <c r="K30" s="28"/>
      <c r="L30" s="7"/>
      <c r="M30" s="7"/>
      <c r="N30" s="7"/>
    </row>
    <row r="31" spans="1:14" ht="14.1" customHeight="1" x14ac:dyDescent="0.2">
      <c r="B31" s="187"/>
      <c r="C31" s="33" t="s">
        <v>4</v>
      </c>
      <c r="D31" s="81">
        <v>4.1000000000000002E-2</v>
      </c>
      <c r="E31" s="82">
        <v>0.08</v>
      </c>
      <c r="F31" s="83">
        <v>0.18</v>
      </c>
      <c r="G31" s="48" t="s">
        <v>203</v>
      </c>
      <c r="H31" s="38" t="s">
        <v>202</v>
      </c>
      <c r="I31" s="1" t="s">
        <v>92</v>
      </c>
      <c r="K31" s="28"/>
      <c r="L31" s="7"/>
      <c r="M31" s="7"/>
      <c r="N31" s="7"/>
    </row>
    <row r="32" spans="1:14" ht="14.1" customHeight="1" x14ac:dyDescent="0.2">
      <c r="B32" s="187"/>
      <c r="C32" s="33" t="s">
        <v>91</v>
      </c>
      <c r="D32" s="80">
        <f>E32</f>
        <v>0.80503144654088055</v>
      </c>
      <c r="E32" s="80">
        <f>1-(4/318)/(20/310)</f>
        <v>0.80503144654088055</v>
      </c>
      <c r="F32" s="80">
        <f>E32</f>
        <v>0.80503144654088055</v>
      </c>
      <c r="G32" s="48" t="s">
        <v>88</v>
      </c>
      <c r="H32" s="38" t="s">
        <v>104</v>
      </c>
      <c r="K32" s="28"/>
      <c r="L32" s="7"/>
      <c r="M32" s="7"/>
      <c r="N32" s="7"/>
    </row>
    <row r="33" spans="2:14" ht="14.1" customHeight="1" x14ac:dyDescent="0.2">
      <c r="B33" s="187"/>
      <c r="C33" s="60" t="s">
        <v>20</v>
      </c>
      <c r="D33" s="81">
        <v>0.9</v>
      </c>
      <c r="E33" s="82">
        <v>0.9</v>
      </c>
      <c r="F33" s="83">
        <v>1</v>
      </c>
      <c r="G33" s="48" t="s">
        <v>89</v>
      </c>
      <c r="H33" s="188" t="s">
        <v>87</v>
      </c>
      <c r="I33" s="1" t="s">
        <v>92</v>
      </c>
      <c r="K33" s="28"/>
      <c r="L33" s="7"/>
      <c r="M33" s="7"/>
      <c r="N33" s="7"/>
    </row>
    <row r="34" spans="2:14" ht="14.1" customHeight="1" x14ac:dyDescent="0.2">
      <c r="B34" s="187"/>
      <c r="C34" s="60" t="s">
        <v>19</v>
      </c>
      <c r="D34" s="81">
        <v>0.5</v>
      </c>
      <c r="E34" s="82">
        <v>0.6</v>
      </c>
      <c r="F34" s="83">
        <v>0.8</v>
      </c>
      <c r="G34" s="48" t="s">
        <v>89</v>
      </c>
      <c r="H34" s="188" t="s">
        <v>90</v>
      </c>
      <c r="K34" s="28"/>
      <c r="L34" s="7"/>
      <c r="M34" s="7"/>
      <c r="N34" s="7"/>
    </row>
    <row r="35" spans="2:14" ht="14.1" customHeight="1" x14ac:dyDescent="0.2">
      <c r="B35" s="187"/>
      <c r="C35" s="33" t="s">
        <v>15</v>
      </c>
      <c r="D35" s="84">
        <f>D32*D34*D33</f>
        <v>0.36226415094339626</v>
      </c>
      <c r="E35" s="84">
        <f>E32*E34*E33</f>
        <v>0.43471698113207546</v>
      </c>
      <c r="F35" s="84">
        <f>F32*F34*F33</f>
        <v>0.64402515723270448</v>
      </c>
      <c r="G35" s="48" t="s">
        <v>12</v>
      </c>
      <c r="H35" s="188"/>
      <c r="K35" s="28"/>
      <c r="L35" s="7"/>
      <c r="M35" s="7"/>
      <c r="N35" s="7"/>
    </row>
    <row r="36" spans="2:14" ht="14.1" customHeight="1" x14ac:dyDescent="0.2">
      <c r="B36" s="187"/>
      <c r="C36" s="33" t="s">
        <v>93</v>
      </c>
      <c r="D36" s="84">
        <f>(1-D35)*D31</f>
        <v>2.6147169811320755E-2</v>
      </c>
      <c r="E36" s="84">
        <f>(1-E35)*E31</f>
        <v>4.5222641509433961E-2</v>
      </c>
      <c r="F36" s="84">
        <f>(1-F35)*F31</f>
        <v>6.4075471698113187E-2</v>
      </c>
      <c r="G36" s="48" t="s">
        <v>12</v>
      </c>
      <c r="H36" s="188" t="s">
        <v>94</v>
      </c>
      <c r="K36" s="28"/>
      <c r="L36" s="7"/>
      <c r="M36" s="7"/>
      <c r="N36" s="7"/>
    </row>
    <row r="37" spans="2:14" ht="14.1" customHeight="1" x14ac:dyDescent="0.2">
      <c r="B37" s="187"/>
      <c r="C37" s="33"/>
      <c r="D37" s="60"/>
      <c r="E37" s="60"/>
      <c r="F37" s="60"/>
      <c r="G37" s="48"/>
      <c r="K37" s="28"/>
      <c r="L37" s="7"/>
      <c r="M37" s="7"/>
      <c r="N37" s="7"/>
    </row>
    <row r="38" spans="2:14" ht="14.1" customHeight="1" x14ac:dyDescent="0.2">
      <c r="B38" s="187"/>
      <c r="C38" s="33" t="s">
        <v>95</v>
      </c>
      <c r="D38" s="85">
        <f>D28*D36</f>
        <v>15.2438</v>
      </c>
      <c r="E38" s="85">
        <f>E28*E36</f>
        <v>26.364799999999999</v>
      </c>
      <c r="F38" s="85">
        <f>F28*F36</f>
        <v>44.852830188679228</v>
      </c>
      <c r="G38" s="48" t="s">
        <v>12</v>
      </c>
      <c r="K38" s="28"/>
      <c r="L38" s="7"/>
      <c r="M38" s="7"/>
      <c r="N38" s="7"/>
    </row>
    <row r="39" spans="2:14" ht="14.1" customHeight="1" x14ac:dyDescent="0.2">
      <c r="B39" s="187"/>
      <c r="C39" s="33" t="s">
        <v>96</v>
      </c>
      <c r="D39" s="85">
        <f>D29*D31</f>
        <v>17.097000000000001</v>
      </c>
      <c r="E39" s="85">
        <f>E29*E31</f>
        <v>33.36</v>
      </c>
      <c r="F39" s="85">
        <f>F29*F31</f>
        <v>54</v>
      </c>
      <c r="G39" s="48" t="s">
        <v>12</v>
      </c>
      <c r="K39" s="28"/>
      <c r="L39" s="7"/>
      <c r="M39" s="7"/>
      <c r="N39" s="7"/>
    </row>
    <row r="40" spans="2:14" ht="14.1" customHeight="1" x14ac:dyDescent="0.2">
      <c r="B40" s="187"/>
      <c r="C40" s="33" t="s">
        <v>97</v>
      </c>
      <c r="D40" s="85">
        <f>D38+D39</f>
        <v>32.340800000000002</v>
      </c>
      <c r="E40" s="85">
        <f>E38+E39</f>
        <v>59.724800000000002</v>
      </c>
      <c r="F40" s="85">
        <f>F38+F39</f>
        <v>98.852830188679235</v>
      </c>
      <c r="G40" s="48" t="s">
        <v>12</v>
      </c>
      <c r="K40" s="28"/>
      <c r="L40" s="7"/>
      <c r="M40" s="7"/>
      <c r="N40" s="7"/>
    </row>
    <row r="41" spans="2:14" ht="14.1" customHeight="1" x14ac:dyDescent="0.2">
      <c r="C41" s="33"/>
      <c r="D41" s="60"/>
      <c r="E41" s="60"/>
      <c r="F41" s="60"/>
      <c r="G41" s="48"/>
      <c r="K41" s="28"/>
      <c r="L41" s="7"/>
      <c r="M41" s="7"/>
      <c r="N41" s="7"/>
    </row>
    <row r="42" spans="2:14" ht="14.1" customHeight="1" x14ac:dyDescent="0.2">
      <c r="B42" s="206" t="s">
        <v>8</v>
      </c>
      <c r="C42" s="33" t="s">
        <v>10</v>
      </c>
      <c r="D42" s="60">
        <f>D23</f>
        <v>1000</v>
      </c>
      <c r="E42" s="60">
        <f>E23</f>
        <v>1000</v>
      </c>
      <c r="F42" s="60">
        <f>F23</f>
        <v>1000</v>
      </c>
      <c r="G42" s="192" t="str">
        <f>G23</f>
        <v>-</v>
      </c>
      <c r="H42" s="48" t="str">
        <f>H23</f>
        <v>Cancels out later in the logic. Do not change.</v>
      </c>
      <c r="K42" s="28"/>
      <c r="L42" s="7"/>
      <c r="M42" s="7"/>
      <c r="N42" s="7"/>
    </row>
    <row r="43" spans="2:14" ht="14.1" customHeight="1" x14ac:dyDescent="0.2">
      <c r="B43" s="206"/>
      <c r="C43" s="33" t="s">
        <v>4</v>
      </c>
      <c r="D43" s="60">
        <f>D31</f>
        <v>4.1000000000000002E-2</v>
      </c>
      <c r="E43" s="60">
        <f>E31</f>
        <v>0.08</v>
      </c>
      <c r="F43" s="60">
        <f>F31</f>
        <v>0.18</v>
      </c>
      <c r="G43" s="48" t="s">
        <v>21</v>
      </c>
      <c r="H43" s="188"/>
      <c r="K43" s="28"/>
      <c r="L43" s="7"/>
      <c r="M43" s="7"/>
      <c r="N43" s="7"/>
    </row>
    <row r="44" spans="2:14" ht="14.1" customHeight="1" x14ac:dyDescent="0.2">
      <c r="B44" s="206"/>
      <c r="C44" s="33" t="s">
        <v>205</v>
      </c>
      <c r="D44" s="60">
        <f>D43*D42</f>
        <v>41</v>
      </c>
      <c r="E44" s="60">
        <f>E43*E42</f>
        <v>80</v>
      </c>
      <c r="F44" s="60">
        <f>F43*F42</f>
        <v>180</v>
      </c>
      <c r="G44" s="48" t="s">
        <v>12</v>
      </c>
      <c r="K44" s="28"/>
      <c r="L44" s="7"/>
      <c r="M44" s="7"/>
      <c r="N44" s="7"/>
    </row>
    <row r="45" spans="2:14" ht="14.1" customHeight="1" x14ac:dyDescent="0.2">
      <c r="C45" s="61"/>
      <c r="D45" s="60"/>
      <c r="E45" s="60"/>
      <c r="F45" s="60"/>
      <c r="G45" s="48"/>
      <c r="K45" s="28"/>
      <c r="L45" s="7"/>
      <c r="M45" s="7"/>
      <c r="N45" s="7"/>
    </row>
    <row r="46" spans="2:14" ht="14.1" customHeight="1" x14ac:dyDescent="0.2">
      <c r="B46" s="206" t="s">
        <v>13</v>
      </c>
      <c r="C46" s="61" t="s">
        <v>206</v>
      </c>
      <c r="D46" s="85">
        <f>D44-D40</f>
        <v>8.6591999999999985</v>
      </c>
      <c r="E46" s="85">
        <f>E44-E40</f>
        <v>20.275199999999998</v>
      </c>
      <c r="F46" s="85">
        <f>F44-F40</f>
        <v>81.147169811320765</v>
      </c>
      <c r="G46" s="48" t="s">
        <v>12</v>
      </c>
      <c r="H46" s="48" t="s">
        <v>213</v>
      </c>
      <c r="K46" s="28"/>
      <c r="L46" s="7"/>
      <c r="M46" s="7"/>
      <c r="N46" s="7"/>
    </row>
    <row r="47" spans="2:14" ht="14.1" customHeight="1" x14ac:dyDescent="0.2">
      <c r="B47" s="206"/>
      <c r="C47" s="33" t="s">
        <v>16</v>
      </c>
      <c r="D47" s="86">
        <v>0.05</v>
      </c>
      <c r="E47" s="86">
        <v>0.05</v>
      </c>
      <c r="F47" s="79">
        <v>0.1</v>
      </c>
      <c r="G47" s="48" t="s">
        <v>209</v>
      </c>
      <c r="H47" s="112" t="s">
        <v>292</v>
      </c>
      <c r="K47" s="28"/>
      <c r="L47" s="7"/>
      <c r="M47" s="7"/>
      <c r="N47" s="7"/>
    </row>
    <row r="48" spans="2:14" ht="14.1" customHeight="1" x14ac:dyDescent="0.2">
      <c r="B48" s="206"/>
      <c r="C48" s="124" t="s">
        <v>120</v>
      </c>
      <c r="D48" s="125">
        <f>D46*D47</f>
        <v>0.43295999999999996</v>
      </c>
      <c r="E48" s="125">
        <f t="shared" ref="E48:F48" si="4">E46*E47</f>
        <v>1.01376</v>
      </c>
      <c r="F48" s="125">
        <f t="shared" si="4"/>
        <v>8.1147169811320765</v>
      </c>
      <c r="G48" s="188" t="s">
        <v>12</v>
      </c>
      <c r="K48" s="28"/>
      <c r="L48" s="7"/>
      <c r="M48" s="7"/>
      <c r="N48" s="7"/>
    </row>
    <row r="49" spans="2:14" ht="14.1" customHeight="1" x14ac:dyDescent="0.2">
      <c r="C49" s="61"/>
      <c r="D49" s="87"/>
      <c r="E49" s="87"/>
      <c r="F49" s="61"/>
      <c r="G49" s="48"/>
      <c r="K49" s="28"/>
      <c r="L49" s="7"/>
      <c r="M49" s="7"/>
      <c r="N49" s="7"/>
    </row>
    <row r="50" spans="2:14" ht="14.1" customHeight="1" x14ac:dyDescent="0.2">
      <c r="B50" s="206" t="s">
        <v>219</v>
      </c>
      <c r="C50" s="45" t="s">
        <v>103</v>
      </c>
      <c r="D50" s="109">
        <f>D20/D48</f>
        <v>85719.325609031497</v>
      </c>
      <c r="E50" s="109">
        <f>E20/E48</f>
        <v>31323.570996422561</v>
      </c>
      <c r="F50" s="109">
        <f>F20/F48</f>
        <v>4030.0725985593508</v>
      </c>
      <c r="G50" s="37" t="s">
        <v>12</v>
      </c>
      <c r="H50" s="37" t="s">
        <v>212</v>
      </c>
      <c r="K50" s="28"/>
      <c r="L50" s="7"/>
      <c r="M50" s="7"/>
      <c r="N50" s="7"/>
    </row>
    <row r="51" spans="2:14" ht="14.1" customHeight="1" x14ac:dyDescent="0.2">
      <c r="B51" s="206"/>
      <c r="C51" s="61"/>
      <c r="D51" s="88"/>
      <c r="E51" s="61"/>
      <c r="F51" s="61"/>
      <c r="G51" s="48"/>
    </row>
    <row r="52" spans="2:14" ht="14.1" customHeight="1" x14ac:dyDescent="0.2">
      <c r="B52" s="206"/>
      <c r="C52" s="62" t="s">
        <v>108</v>
      </c>
      <c r="D52" s="67">
        <v>0.6</v>
      </c>
      <c r="E52" s="67">
        <v>0.6</v>
      </c>
      <c r="F52" s="67">
        <v>0.6</v>
      </c>
      <c r="G52" s="38" t="s">
        <v>110</v>
      </c>
      <c r="H52" s="131" t="s">
        <v>124</v>
      </c>
    </row>
    <row r="53" spans="2:14" ht="14.1" customHeight="1" x14ac:dyDescent="0.2">
      <c r="B53" s="206"/>
      <c r="C53" s="62" t="s">
        <v>109</v>
      </c>
      <c r="D53" s="67">
        <v>0.09</v>
      </c>
      <c r="E53" s="67">
        <v>0.09</v>
      </c>
      <c r="F53" s="67">
        <v>0.09</v>
      </c>
      <c r="G53" s="38" t="s">
        <v>110</v>
      </c>
      <c r="H53" s="137"/>
    </row>
    <row r="54" spans="2:14" ht="14.1" customHeight="1" x14ac:dyDescent="0.2">
      <c r="B54" s="206"/>
      <c r="C54" s="62" t="s">
        <v>111</v>
      </c>
      <c r="D54" s="67">
        <f>D52-D53</f>
        <v>0.51</v>
      </c>
      <c r="E54" s="67">
        <f>E52-E53</f>
        <v>0.51</v>
      </c>
      <c r="F54" s="67">
        <f>F52-F53</f>
        <v>0.51</v>
      </c>
      <c r="G54" s="38" t="s">
        <v>12</v>
      </c>
      <c r="H54" s="137"/>
    </row>
    <row r="55" spans="2:14" ht="14.1" customHeight="1" x14ac:dyDescent="0.2">
      <c r="B55" s="206"/>
      <c r="C55" s="38" t="s">
        <v>218</v>
      </c>
      <c r="D55" s="67">
        <f>D48*D54</f>
        <v>0.22080959999999999</v>
      </c>
      <c r="E55" s="67">
        <f>E48*E54</f>
        <v>0.51701759999999997</v>
      </c>
      <c r="F55" s="67">
        <f>F48*F54</f>
        <v>4.1385056603773593</v>
      </c>
      <c r="G55" s="38" t="s">
        <v>12</v>
      </c>
      <c r="H55" s="137"/>
    </row>
    <row r="56" spans="2:14" ht="14.1" customHeight="1" x14ac:dyDescent="0.2">
      <c r="B56" s="206"/>
      <c r="C56" s="138" t="s">
        <v>112</v>
      </c>
      <c r="D56" s="139">
        <f>D20/D55</f>
        <v>168077.10903731664</v>
      </c>
      <c r="E56" s="139">
        <f>E20/E55</f>
        <v>61418.766659652087</v>
      </c>
      <c r="F56" s="139">
        <f>F20/F55</f>
        <v>7902.1031344300991</v>
      </c>
      <c r="G56" s="38" t="s">
        <v>12</v>
      </c>
      <c r="H56" s="131" t="s">
        <v>123</v>
      </c>
      <c r="I56" s="34"/>
    </row>
    <row r="57" spans="2:14" ht="14.1" customHeight="1" x14ac:dyDescent="0.2">
      <c r="B57" s="187"/>
      <c r="C57" s="61"/>
      <c r="D57" s="61"/>
      <c r="E57" s="61"/>
      <c r="F57" s="61"/>
      <c r="G57" s="48"/>
      <c r="H57" s="20"/>
      <c r="I57" s="42"/>
    </row>
    <row r="58" spans="2:14" ht="14.1" customHeight="1" x14ac:dyDescent="0.2">
      <c r="B58" s="224" t="s">
        <v>186</v>
      </c>
      <c r="C58" s="128" t="s">
        <v>113</v>
      </c>
      <c r="D58" s="129">
        <f>1-D52</f>
        <v>0.4</v>
      </c>
      <c r="E58" s="129">
        <f>1-E52</f>
        <v>0.4</v>
      </c>
      <c r="F58" s="129">
        <f>1-F52</f>
        <v>0.4</v>
      </c>
      <c r="G58" s="188" t="s">
        <v>114</v>
      </c>
      <c r="H58" s="130" t="s">
        <v>131</v>
      </c>
    </row>
    <row r="59" spans="2:14" ht="14.1" customHeight="1" x14ac:dyDescent="0.2">
      <c r="B59" s="224"/>
      <c r="C59" s="131" t="s">
        <v>132</v>
      </c>
      <c r="D59" s="49">
        <f>$G$122</f>
        <v>24.16</v>
      </c>
      <c r="E59" s="49">
        <f>$G$122</f>
        <v>24.16</v>
      </c>
      <c r="F59" s="49">
        <f>$G$122</f>
        <v>24.16</v>
      </c>
      <c r="G59" s="130" t="s">
        <v>221</v>
      </c>
      <c r="H59" s="130" t="s">
        <v>222</v>
      </c>
    </row>
    <row r="60" spans="2:14" ht="14.1" customHeight="1" x14ac:dyDescent="0.2">
      <c r="B60" s="224"/>
      <c r="C60" s="133" t="s">
        <v>116</v>
      </c>
      <c r="D60" s="81">
        <v>5.2999999999999999E-2</v>
      </c>
      <c r="E60" s="82">
        <v>5.2999999999999999E-2</v>
      </c>
      <c r="F60" s="83">
        <v>0.221</v>
      </c>
      <c r="G60" s="130" t="s">
        <v>117</v>
      </c>
      <c r="H60" s="130" t="s">
        <v>127</v>
      </c>
    </row>
    <row r="61" spans="2:14" ht="14.1" customHeight="1" x14ac:dyDescent="0.2">
      <c r="B61" s="224"/>
      <c r="C61" s="131" t="s">
        <v>220</v>
      </c>
      <c r="D61" s="134">
        <f>D58*D59*D60</f>
        <v>0.51219200000000009</v>
      </c>
      <c r="E61" s="134">
        <f>E58*E59*E60</f>
        <v>0.51219200000000009</v>
      </c>
      <c r="F61" s="134">
        <f>F58*F59*F60</f>
        <v>2.1357440000000003</v>
      </c>
      <c r="G61" s="188" t="s">
        <v>12</v>
      </c>
      <c r="H61" s="188" t="s">
        <v>226</v>
      </c>
    </row>
    <row r="62" spans="2:14" ht="14.1" customHeight="1" x14ac:dyDescent="0.2">
      <c r="B62" s="224"/>
      <c r="C62" s="131" t="s">
        <v>130</v>
      </c>
      <c r="D62" s="134" t="s">
        <v>125</v>
      </c>
      <c r="E62" s="134" t="s">
        <v>125</v>
      </c>
      <c r="F62" s="134" t="s">
        <v>125</v>
      </c>
      <c r="G62" s="188" t="s">
        <v>12</v>
      </c>
      <c r="H62" s="188" t="s">
        <v>126</v>
      </c>
    </row>
    <row r="63" spans="2:14" ht="14.1" customHeight="1" x14ac:dyDescent="0.2">
      <c r="B63" s="224"/>
      <c r="C63" s="133" t="s">
        <v>166</v>
      </c>
      <c r="D63" s="132">
        <f>D48*D61</f>
        <v>0.22175864832000003</v>
      </c>
      <c r="E63" s="132">
        <f>E48*E61</f>
        <v>0.5192397619200001</v>
      </c>
      <c r="F63" s="132">
        <f>F48*F61</f>
        <v>17.330958104150948</v>
      </c>
      <c r="G63" s="188" t="s">
        <v>12</v>
      </c>
      <c r="H63" s="188"/>
    </row>
    <row r="64" spans="2:14" ht="14.1" customHeight="1" x14ac:dyDescent="0.2">
      <c r="B64" s="224"/>
      <c r="C64" s="135" t="s">
        <v>115</v>
      </c>
      <c r="D64" s="136">
        <f>D50/D61</f>
        <v>167357.79865564374</v>
      </c>
      <c r="E64" s="136">
        <f>E50/E61</f>
        <v>61155.916133837614</v>
      </c>
      <c r="F64" s="136">
        <f>F50/F61</f>
        <v>1886.9642609598109</v>
      </c>
      <c r="G64" s="188" t="s">
        <v>12</v>
      </c>
      <c r="H64" s="188" t="s">
        <v>133</v>
      </c>
    </row>
    <row r="65" spans="1:9" ht="14.1" customHeight="1" x14ac:dyDescent="0.2">
      <c r="D65" s="61"/>
      <c r="E65" s="61"/>
      <c r="F65" s="61"/>
      <c r="G65" s="48"/>
    </row>
    <row r="66" spans="1:9" ht="14.1" customHeight="1" x14ac:dyDescent="0.2">
      <c r="A66" s="225" t="s">
        <v>150</v>
      </c>
      <c r="B66" s="225"/>
      <c r="C66" s="225"/>
      <c r="D66" s="61"/>
      <c r="E66" s="61"/>
      <c r="F66" s="61"/>
      <c r="G66" s="48"/>
    </row>
    <row r="67" spans="1:9" ht="14.1" customHeight="1" x14ac:dyDescent="0.2">
      <c r="A67" s="30"/>
      <c r="B67" s="226" t="s">
        <v>5</v>
      </c>
      <c r="C67" s="25" t="str">
        <f>C27</f>
        <v>Retention rate to delivery (adjusted)</v>
      </c>
      <c r="D67" s="89">
        <f>D27</f>
        <v>0.58299999999999996</v>
      </c>
      <c r="E67" s="89">
        <f>E27</f>
        <v>0.58299999999999996</v>
      </c>
      <c r="F67" s="89">
        <f>F27</f>
        <v>0.7</v>
      </c>
      <c r="G67" s="37" t="str">
        <f>G27</f>
        <v>"Summary of Key Program Statistics" New Incentives workbook, accessed 2016-23-08.</v>
      </c>
      <c r="H67" s="37" t="s">
        <v>137</v>
      </c>
    </row>
    <row r="68" spans="1:9" ht="14.1" customHeight="1" x14ac:dyDescent="0.2">
      <c r="A68" s="30"/>
      <c r="B68" s="226"/>
      <c r="C68" s="38" t="s">
        <v>227</v>
      </c>
      <c r="D68" s="96">
        <v>0</v>
      </c>
      <c r="E68" s="97">
        <v>0.08</v>
      </c>
      <c r="F68" s="98">
        <v>0.15</v>
      </c>
      <c r="G68" s="188" t="s">
        <v>138</v>
      </c>
      <c r="H68" s="38" t="s">
        <v>139</v>
      </c>
    </row>
    <row r="69" spans="1:9" ht="14.1" customHeight="1" x14ac:dyDescent="0.2">
      <c r="A69" s="30"/>
      <c r="B69" s="226"/>
      <c r="C69" s="62" t="s">
        <v>73</v>
      </c>
      <c r="D69" s="92">
        <f>(D67*1)+(1-D67)*D68</f>
        <v>0.58299999999999996</v>
      </c>
      <c r="E69" s="92">
        <f>(E67*1)+(1-E67)*E68</f>
        <v>0.61636000000000002</v>
      </c>
      <c r="F69" s="92">
        <f>(F67*1)+(1-F67)*F68</f>
        <v>0.745</v>
      </c>
      <c r="G69" s="38" t="s">
        <v>12</v>
      </c>
      <c r="H69" s="141"/>
    </row>
    <row r="70" spans="1:9" ht="14.1" customHeight="1" x14ac:dyDescent="0.2">
      <c r="C70" s="33"/>
      <c r="D70" s="61"/>
      <c r="E70" s="61"/>
      <c r="F70" s="61"/>
      <c r="G70" s="48"/>
    </row>
    <row r="71" spans="1:9" ht="14.1" customHeight="1" x14ac:dyDescent="0.2">
      <c r="A71" s="30"/>
      <c r="B71" s="226" t="s">
        <v>8</v>
      </c>
      <c r="C71" s="25" t="s">
        <v>72</v>
      </c>
      <c r="D71" s="90">
        <v>0.35</v>
      </c>
      <c r="E71" s="180">
        <v>0.27</v>
      </c>
      <c r="F71" s="90">
        <v>0.2</v>
      </c>
      <c r="G71" s="37" t="s">
        <v>229</v>
      </c>
      <c r="H71" s="35" t="s">
        <v>281</v>
      </c>
    </row>
    <row r="72" spans="1:9" ht="14.1" customHeight="1" x14ac:dyDescent="0.2">
      <c r="A72" s="30"/>
      <c r="B72" s="226"/>
      <c r="C72" s="38" t="s">
        <v>136</v>
      </c>
      <c r="D72" s="92">
        <f>(D71-(1-D67)*D68)/D67</f>
        <v>0.60034305317324188</v>
      </c>
      <c r="E72" s="92">
        <f>(E71-(1-E67)*E68)/E67</f>
        <v>0.4059005145797599</v>
      </c>
      <c r="F72" s="92">
        <f>(F71-(1-F67)*F68)/F67</f>
        <v>0.22142857142857145</v>
      </c>
      <c r="G72" s="38" t="s">
        <v>74</v>
      </c>
      <c r="H72" s="154" t="str">
        <f>CONCATENATE("This implies that the program increases FD by ",TEXT((E69-E72)/E72,"0%")," (",TEXT((E69-E72)*100,"0")," percentage points) for women retained.")</f>
        <v>This implies that the program increases FD by 52% (21 percentage points) for women retained.</v>
      </c>
    </row>
    <row r="73" spans="1:9" ht="14.1" customHeight="1" x14ac:dyDescent="0.2">
      <c r="C73" s="33"/>
      <c r="D73" s="61"/>
      <c r="E73" s="61"/>
      <c r="F73" s="61"/>
      <c r="G73" s="48"/>
    </row>
    <row r="74" spans="1:9" ht="14.1" customHeight="1" x14ac:dyDescent="0.2">
      <c r="B74" s="206" t="s">
        <v>39</v>
      </c>
      <c r="C74" s="62" t="s">
        <v>149</v>
      </c>
      <c r="D74" s="167">
        <v>3.9E-2</v>
      </c>
      <c r="E74" s="167">
        <v>3.9E-2</v>
      </c>
      <c r="F74" s="167">
        <v>3.9E-2</v>
      </c>
      <c r="G74" s="38" t="s">
        <v>45</v>
      </c>
      <c r="H74" s="35" t="s">
        <v>280</v>
      </c>
      <c r="I74" s="29"/>
    </row>
    <row r="75" spans="1:9" ht="14.1" customHeight="1" x14ac:dyDescent="0.2">
      <c r="B75" s="206"/>
      <c r="C75" s="37" t="s">
        <v>230</v>
      </c>
      <c r="D75" s="96">
        <v>0.1</v>
      </c>
      <c r="E75" s="97">
        <v>0.4</v>
      </c>
      <c r="F75" s="98">
        <v>0.45</v>
      </c>
      <c r="G75" s="38" t="s">
        <v>184</v>
      </c>
      <c r="H75" s="38" t="s">
        <v>183</v>
      </c>
    </row>
    <row r="76" spans="1:9" ht="14.1" customHeight="1" x14ac:dyDescent="0.2">
      <c r="A76" s="194"/>
      <c r="B76" s="206"/>
      <c r="C76" s="25" t="s">
        <v>20</v>
      </c>
      <c r="D76" s="205">
        <v>0.9</v>
      </c>
      <c r="E76" s="205">
        <v>0.9</v>
      </c>
      <c r="F76" s="205">
        <v>0.9</v>
      </c>
      <c r="G76" s="37" t="s">
        <v>236</v>
      </c>
      <c r="H76" s="35" t="s">
        <v>293</v>
      </c>
    </row>
    <row r="77" spans="1:9" ht="14.1" customHeight="1" x14ac:dyDescent="0.2">
      <c r="A77" s="194"/>
      <c r="B77" s="206"/>
      <c r="C77" s="25" t="s">
        <v>19</v>
      </c>
      <c r="D77" s="205">
        <v>0.4</v>
      </c>
      <c r="E77" s="205">
        <v>0.4</v>
      </c>
      <c r="F77" s="205">
        <v>0.4</v>
      </c>
      <c r="G77" s="37" t="s">
        <v>63</v>
      </c>
      <c r="H77" s="35" t="s">
        <v>294</v>
      </c>
    </row>
    <row r="78" spans="1:9" ht="14.1" customHeight="1" x14ac:dyDescent="0.2">
      <c r="A78" s="30"/>
      <c r="B78" s="206"/>
      <c r="C78" s="62" t="s">
        <v>140</v>
      </c>
      <c r="D78" s="91">
        <f>D74/(1-D$71*D75)</f>
        <v>4.0414507772020727E-2</v>
      </c>
      <c r="E78" s="91">
        <f>E74/(1-E$71*E75)</f>
        <v>4.3721973094170405E-2</v>
      </c>
      <c r="F78" s="91">
        <f>F74/(1-F$71*F75)</f>
        <v>4.2857142857142858E-2</v>
      </c>
      <c r="G78" s="37" t="s">
        <v>12</v>
      </c>
      <c r="H78" s="110" t="s">
        <v>237</v>
      </c>
    </row>
    <row r="79" spans="1:9" ht="14.1" customHeight="1" x14ac:dyDescent="0.2">
      <c r="A79" s="30"/>
      <c r="B79" s="206"/>
      <c r="C79" s="62" t="s">
        <v>141</v>
      </c>
      <c r="D79" s="91">
        <f>D78*(1-D75)</f>
        <v>3.6373056994818659E-2</v>
      </c>
      <c r="E79" s="91">
        <f>E78*(1-E75)</f>
        <v>2.6233183856502241E-2</v>
      </c>
      <c r="F79" s="91">
        <f>F78*(1-F75)</f>
        <v>2.3571428571428573E-2</v>
      </c>
      <c r="G79" s="37" t="s">
        <v>12</v>
      </c>
      <c r="H79" s="37"/>
    </row>
    <row r="80" spans="1:9" ht="14.1" customHeight="1" x14ac:dyDescent="0.2">
      <c r="A80" s="30"/>
      <c r="B80" s="206"/>
      <c r="C80" s="62" t="s">
        <v>62</v>
      </c>
      <c r="D80" s="93">
        <f>(D$69*D79)+(1-D$69)*D78</f>
        <v>3.8058341968911918E-2</v>
      </c>
      <c r="E80" s="93">
        <f>(E$69*E79)+(1-E$69)*E78</f>
        <v>3.2942582959641253E-2</v>
      </c>
      <c r="F80" s="93">
        <f>(F$69*F79)+(1-F$69)*F78</f>
        <v>2.8489285714285717E-2</v>
      </c>
      <c r="G80" s="37" t="s">
        <v>12</v>
      </c>
      <c r="H80" s="37"/>
    </row>
    <row r="81" spans="1:8" ht="14.1" customHeight="1" x14ac:dyDescent="0.2">
      <c r="A81" s="30"/>
      <c r="B81" s="206"/>
      <c r="C81" s="62" t="s">
        <v>143</v>
      </c>
      <c r="D81" s="66">
        <f>((D74*1000)-(D80*1000))*D76*D77</f>
        <v>0.33899689119170945</v>
      </c>
      <c r="E81" s="66">
        <f>((E74*1000)-(E80*1000))*E76*E77</f>
        <v>2.1806701345291475</v>
      </c>
      <c r="F81" s="66">
        <f>((F74*1000)-(F80*1000))*F76*F77</f>
        <v>3.7838571428571424</v>
      </c>
      <c r="G81" s="38" t="s">
        <v>12</v>
      </c>
      <c r="H81" s="38" t="s">
        <v>144</v>
      </c>
    </row>
    <row r="82" spans="1:8" ht="14.1" customHeight="1" x14ac:dyDescent="0.2">
      <c r="A82" s="30"/>
      <c r="B82" s="206"/>
      <c r="C82" s="196" t="s">
        <v>142</v>
      </c>
      <c r="D82" s="161">
        <f>D20/D81</f>
        <v>109478.99576665473</v>
      </c>
      <c r="E82" s="161">
        <f>E20/E81</f>
        <v>14561.84630152227</v>
      </c>
      <c r="F82" s="161">
        <f>F20/F81</f>
        <v>8642.7413393390161</v>
      </c>
      <c r="G82" s="162"/>
      <c r="H82" s="38"/>
    </row>
    <row r="83" spans="1:8" ht="14.1" customHeight="1" x14ac:dyDescent="0.2">
      <c r="A83" s="30"/>
      <c r="C83" s="194"/>
      <c r="D83" s="94"/>
      <c r="E83" s="94"/>
      <c r="F83" s="95"/>
      <c r="G83" s="103"/>
      <c r="H83" s="37"/>
    </row>
    <row r="84" spans="1:8" ht="14.1" customHeight="1" x14ac:dyDescent="0.2">
      <c r="A84" s="30"/>
      <c r="B84" s="224" t="s">
        <v>147</v>
      </c>
      <c r="C84" s="62" t="s">
        <v>148</v>
      </c>
      <c r="D84" s="167">
        <f t="shared" ref="D84:E84" si="5">58/6059</f>
        <v>9.5725367222313906E-3</v>
      </c>
      <c r="E84" s="167">
        <f t="shared" si="5"/>
        <v>9.5725367222313906E-3</v>
      </c>
      <c r="F84" s="167">
        <f>58/6059</f>
        <v>9.5725367222313906E-3</v>
      </c>
      <c r="G84" s="38" t="s">
        <v>243</v>
      </c>
      <c r="H84" s="35" t="s">
        <v>282</v>
      </c>
    </row>
    <row r="85" spans="1:8" ht="14.1" customHeight="1" x14ac:dyDescent="0.2">
      <c r="A85" s="30"/>
      <c r="B85" s="224"/>
      <c r="C85" s="38" t="s">
        <v>238</v>
      </c>
      <c r="D85" s="96">
        <v>0.1</v>
      </c>
      <c r="E85" s="97">
        <v>0.31</v>
      </c>
      <c r="F85" s="98">
        <v>0.45</v>
      </c>
      <c r="G85" s="38" t="s">
        <v>155</v>
      </c>
      <c r="H85" s="38" t="s">
        <v>156</v>
      </c>
    </row>
    <row r="86" spans="1:8" ht="14.1" customHeight="1" x14ac:dyDescent="0.2">
      <c r="A86" s="30"/>
      <c r="B86" s="224"/>
      <c r="C86" s="62" t="s">
        <v>20</v>
      </c>
      <c r="D86" s="96">
        <v>0.5</v>
      </c>
      <c r="E86" s="97">
        <v>0.6</v>
      </c>
      <c r="F86" s="98">
        <v>0.6</v>
      </c>
      <c r="G86" s="38" t="s">
        <v>152</v>
      </c>
      <c r="H86" s="38" t="s">
        <v>134</v>
      </c>
    </row>
    <row r="87" spans="1:8" ht="14.1" customHeight="1" x14ac:dyDescent="0.2">
      <c r="A87" s="30"/>
      <c r="B87" s="224"/>
      <c r="C87" s="62" t="s">
        <v>19</v>
      </c>
      <c r="D87" s="96">
        <v>0.5</v>
      </c>
      <c r="E87" s="97">
        <v>0.7</v>
      </c>
      <c r="F87" s="98">
        <v>0.7</v>
      </c>
      <c r="G87" s="38" t="s">
        <v>153</v>
      </c>
      <c r="H87" s="38" t="s">
        <v>135</v>
      </c>
    </row>
    <row r="88" spans="1:8" ht="14.1" customHeight="1" x14ac:dyDescent="0.2">
      <c r="A88" s="30"/>
      <c r="B88" s="224"/>
      <c r="C88" s="62" t="s">
        <v>157</v>
      </c>
      <c r="D88" s="91">
        <f>D84/(1-D$71*D85)</f>
        <v>9.9197271732967777E-3</v>
      </c>
      <c r="E88" s="91">
        <f>E84/(1-E$71*E85)</f>
        <v>1.044694611178805E-2</v>
      </c>
      <c r="F88" s="91">
        <f>F84/(1-F$71*F85)</f>
        <v>1.0519271123331198E-2</v>
      </c>
      <c r="G88" s="38" t="s">
        <v>12</v>
      </c>
      <c r="H88" s="38" t="s">
        <v>248</v>
      </c>
    </row>
    <row r="89" spans="1:8" ht="14.1" customHeight="1" x14ac:dyDescent="0.2">
      <c r="A89" s="30"/>
      <c r="B89" s="224"/>
      <c r="C89" s="62" t="s">
        <v>158</v>
      </c>
      <c r="D89" s="91">
        <f>D88*(1-D85)</f>
        <v>8.9277544559671004E-3</v>
      </c>
      <c r="E89" s="91">
        <f>E88*(1-E85)</f>
        <v>7.208392817133754E-3</v>
      </c>
      <c r="F89" s="91">
        <f>F88*(1-F85)</f>
        <v>5.7855991178321596E-3</v>
      </c>
      <c r="G89" s="38" t="s">
        <v>12</v>
      </c>
      <c r="H89" s="38"/>
    </row>
    <row r="90" spans="1:8" ht="14.1" customHeight="1" x14ac:dyDescent="0.2">
      <c r="A90" s="30"/>
      <c r="B90" s="224"/>
      <c r="C90" s="62" t="s">
        <v>159</v>
      </c>
      <c r="D90" s="163">
        <f>(D$69*D89)+(1-D$69)*D88</f>
        <v>9.3414070790935767E-3</v>
      </c>
      <c r="E90" s="163">
        <f>(E$69*E89)+(1-E$69)*E88</f>
        <v>8.4508314030949279E-3</v>
      </c>
      <c r="F90" s="163">
        <f>(F$69*F89)+(1-F$69)*F88</f>
        <v>6.9926854792344145E-3</v>
      </c>
      <c r="G90" s="38" t="s">
        <v>12</v>
      </c>
      <c r="H90" s="188"/>
    </row>
    <row r="91" spans="1:8" ht="14.1" customHeight="1" x14ac:dyDescent="0.2">
      <c r="A91" s="30"/>
      <c r="B91" s="224"/>
      <c r="C91" s="62" t="s">
        <v>160</v>
      </c>
      <c r="D91" s="164">
        <f>((D84*D23)-(D90*D23))*D86*D87</f>
        <v>5.7782410784453564E-2</v>
      </c>
      <c r="E91" s="164">
        <f>((E84*E23)-(E90*E23))*E86*E87</f>
        <v>0.47111623403731462</v>
      </c>
      <c r="F91" s="164">
        <f>((F84*F23)-(F90*F23))*F86*F87</f>
        <v>1.0835375220587298</v>
      </c>
      <c r="G91" s="38" t="s">
        <v>12</v>
      </c>
      <c r="H91" s="38" t="s">
        <v>144</v>
      </c>
    </row>
    <row r="92" spans="1:8" ht="14.1" customHeight="1" x14ac:dyDescent="0.2">
      <c r="A92" s="30"/>
      <c r="B92" s="224"/>
      <c r="C92" s="196" t="s">
        <v>161</v>
      </c>
      <c r="D92" s="165">
        <f>D20/D91</f>
        <v>642289.56029767427</v>
      </c>
      <c r="E92" s="165">
        <f>E20/E91</f>
        <v>67402.86375021885</v>
      </c>
      <c r="F92" s="165">
        <f>F20/F91</f>
        <v>30181.602284145061</v>
      </c>
      <c r="G92" s="162"/>
      <c r="H92" s="38"/>
    </row>
    <row r="93" spans="1:8" ht="14.1" customHeight="1" x14ac:dyDescent="0.2">
      <c r="C93" s="33"/>
      <c r="D93" s="61"/>
      <c r="E93" s="61"/>
      <c r="F93" s="61"/>
      <c r="G93" s="48"/>
    </row>
    <row r="94" spans="1:8" ht="14.1" customHeight="1" x14ac:dyDescent="0.2">
      <c r="A94" s="30"/>
      <c r="B94" s="226" t="s">
        <v>40</v>
      </c>
      <c r="C94" s="62" t="s">
        <v>71</v>
      </c>
      <c r="D94" s="91">
        <f>576/100000</f>
        <v>5.7600000000000004E-3</v>
      </c>
      <c r="E94" s="91">
        <f>576/100000</f>
        <v>5.7600000000000004E-3</v>
      </c>
      <c r="F94" s="91">
        <f>576/100000</f>
        <v>5.7600000000000004E-3</v>
      </c>
      <c r="G94" s="38" t="s">
        <v>162</v>
      </c>
      <c r="H94" s="37" t="s">
        <v>283</v>
      </c>
    </row>
    <row r="95" spans="1:8" ht="14.1" customHeight="1" x14ac:dyDescent="0.2">
      <c r="A95" s="30"/>
      <c r="B95" s="226"/>
      <c r="C95" s="37" t="s">
        <v>46</v>
      </c>
      <c r="D95" s="166">
        <v>0.01</v>
      </c>
      <c r="E95" s="97">
        <v>0.1</v>
      </c>
      <c r="F95" s="98">
        <v>0.3</v>
      </c>
      <c r="G95" s="104" t="s">
        <v>68</v>
      </c>
      <c r="H95" s="38" t="s">
        <v>251</v>
      </c>
    </row>
    <row r="96" spans="1:8" ht="14.1" customHeight="1" x14ac:dyDescent="0.2">
      <c r="B96" s="226"/>
      <c r="C96" s="25" t="s">
        <v>20</v>
      </c>
      <c r="D96" s="99">
        <v>0.5</v>
      </c>
      <c r="E96" s="100">
        <v>0.6</v>
      </c>
      <c r="F96" s="101">
        <v>0.7</v>
      </c>
      <c r="G96" s="37" t="s">
        <v>69</v>
      </c>
      <c r="H96" s="38" t="s">
        <v>134</v>
      </c>
    </row>
    <row r="97" spans="1:12" ht="14.1" customHeight="1" x14ac:dyDescent="0.2">
      <c r="A97" s="30"/>
      <c r="B97" s="226"/>
      <c r="C97" s="25" t="s">
        <v>19</v>
      </c>
      <c r="D97" s="99">
        <v>0.5</v>
      </c>
      <c r="E97" s="100">
        <v>0.6</v>
      </c>
      <c r="F97" s="101">
        <v>0.7</v>
      </c>
      <c r="G97" s="37" t="s">
        <v>69</v>
      </c>
      <c r="H97" s="38" t="s">
        <v>135</v>
      </c>
    </row>
    <row r="98" spans="1:12" ht="14.1" customHeight="1" x14ac:dyDescent="0.2">
      <c r="A98" s="30"/>
      <c r="B98" s="226"/>
      <c r="C98" s="38" t="s">
        <v>252</v>
      </c>
      <c r="D98" s="91">
        <f>D94/(1-D$71*D95)</f>
        <v>5.780230807827396E-3</v>
      </c>
      <c r="E98" s="91">
        <f>E94/(1-E$71*E95)</f>
        <v>5.9198355601233306E-3</v>
      </c>
      <c r="F98" s="91">
        <f>F94/(1-F$71*F95)</f>
        <v>6.1276595744680857E-3</v>
      </c>
      <c r="G98" s="38" t="s">
        <v>12</v>
      </c>
      <c r="H98" s="38" t="s">
        <v>248</v>
      </c>
    </row>
    <row r="99" spans="1:12" ht="14.1" customHeight="1" x14ac:dyDescent="0.2">
      <c r="A99" s="30"/>
      <c r="B99" s="226"/>
      <c r="C99" s="38" t="s">
        <v>253</v>
      </c>
      <c r="D99" s="91">
        <f>D98*(1-D95)</f>
        <v>5.7224284997491222E-3</v>
      </c>
      <c r="E99" s="91">
        <f>E98*(1-E95)</f>
        <v>5.3278520041109972E-3</v>
      </c>
      <c r="F99" s="91">
        <f>F98*(1-F95)</f>
        <v>4.28936170212766E-3</v>
      </c>
      <c r="G99" s="38" t="s">
        <v>12</v>
      </c>
      <c r="H99" s="188"/>
    </row>
    <row r="100" spans="1:12" ht="14.1" customHeight="1" x14ac:dyDescent="0.2">
      <c r="A100" s="30"/>
      <c r="B100" s="226"/>
      <c r="C100" s="62" t="s">
        <v>70</v>
      </c>
      <c r="D100" s="93">
        <f>(D$69*D99)+(1-D$69)*D98</f>
        <v>5.7465320622177626E-3</v>
      </c>
      <c r="E100" s="93">
        <f>(E$69*E99)+(1-E$69)*E98</f>
        <v>5.5549605755395685E-3</v>
      </c>
      <c r="F100" s="93">
        <f>(F$69*F99)+(1-F$69)*F98</f>
        <v>4.7581276595744688E-3</v>
      </c>
      <c r="G100" s="38" t="s">
        <v>12</v>
      </c>
      <c r="H100" s="38"/>
    </row>
    <row r="101" spans="1:12" ht="14.1" customHeight="1" x14ac:dyDescent="0.2">
      <c r="A101" s="30"/>
      <c r="B101" s="226"/>
      <c r="C101" s="62" t="s">
        <v>145</v>
      </c>
      <c r="D101" s="102">
        <f>((D94*D23)-(D100*D23))*D96*D97</f>
        <v>3.3669844455594955E-3</v>
      </c>
      <c r="E101" s="102">
        <f>((E94*E23)-(E100*E23))*E96*E97</f>
        <v>7.381419280575563E-2</v>
      </c>
      <c r="F101" s="102">
        <f>((F94*F23)-(F100*F23))*F96*F97</f>
        <v>0.49091744680851052</v>
      </c>
      <c r="G101" s="37"/>
      <c r="H101" s="38" t="s">
        <v>144</v>
      </c>
    </row>
    <row r="102" spans="1:12" ht="14.1" customHeight="1" x14ac:dyDescent="0.2">
      <c r="A102" s="11"/>
      <c r="B102" s="226"/>
      <c r="C102" s="196" t="s">
        <v>146</v>
      </c>
      <c r="D102" s="111">
        <f>D20/D101</f>
        <v>11022634.590614855</v>
      </c>
      <c r="E102" s="111">
        <f>E20/E101</f>
        <v>430196.17401895218</v>
      </c>
      <c r="F102" s="111">
        <f>F20/F101</f>
        <v>66615.881678943217</v>
      </c>
      <c r="G102" s="37"/>
      <c r="H102" s="37"/>
    </row>
    <row r="103" spans="1:12" ht="14.1" customHeight="1" x14ac:dyDescent="0.2">
      <c r="A103" s="11"/>
      <c r="B103" s="12"/>
      <c r="C103" s="33"/>
      <c r="D103" s="61"/>
      <c r="E103" s="61"/>
      <c r="F103" s="61"/>
      <c r="G103" s="48"/>
    </row>
    <row r="104" spans="1:12" ht="14.1" customHeight="1" x14ac:dyDescent="0.2">
      <c r="A104" s="208" t="s">
        <v>14</v>
      </c>
      <c r="B104" s="208"/>
      <c r="C104" s="25"/>
      <c r="D104" s="61"/>
      <c r="E104" s="61"/>
      <c r="F104" s="61"/>
      <c r="G104" s="37"/>
      <c r="H104" s="37"/>
    </row>
    <row r="105" spans="1:12" ht="14.1" customHeight="1" x14ac:dyDescent="0.25">
      <c r="B105" s="206" t="s">
        <v>254</v>
      </c>
      <c r="C105" s="114" t="s">
        <v>6</v>
      </c>
      <c r="D105" s="169">
        <f>2*E105</f>
        <v>1314.9</v>
      </c>
      <c r="E105" s="170">
        <f>1.8*365.25</f>
        <v>657.45</v>
      </c>
      <c r="F105" s="171">
        <v>500</v>
      </c>
      <c r="G105" s="188" t="s">
        <v>184</v>
      </c>
      <c r="H105" s="188" t="s">
        <v>257</v>
      </c>
      <c r="I105" s="29"/>
      <c r="K105" s="50"/>
      <c r="L105" s="50"/>
    </row>
    <row r="106" spans="1:12" ht="14.1" customHeight="1" x14ac:dyDescent="0.25">
      <c r="B106" s="206"/>
      <c r="C106" s="114" t="s">
        <v>164</v>
      </c>
      <c r="D106" s="168">
        <f>(1500-1000)/D15</f>
        <v>1.6666666666666667</v>
      </c>
      <c r="E106" s="168">
        <f>(1500-1000)/E15</f>
        <v>1.6666666666666667</v>
      </c>
      <c r="F106" s="168">
        <f>(1500-1000)/F15</f>
        <v>1.6666666666666667</v>
      </c>
      <c r="G106" s="38" t="s">
        <v>270</v>
      </c>
      <c r="H106" s="38" t="s">
        <v>173</v>
      </c>
      <c r="I106" s="29"/>
      <c r="K106" s="50"/>
      <c r="L106" s="50"/>
    </row>
    <row r="107" spans="1:12" ht="14.1" customHeight="1" x14ac:dyDescent="0.25">
      <c r="B107" s="206"/>
      <c r="C107" s="114" t="s">
        <v>266</v>
      </c>
      <c r="D107" s="168">
        <v>1.67</v>
      </c>
      <c r="E107" s="168">
        <v>1.67</v>
      </c>
      <c r="F107" s="168">
        <v>1.67</v>
      </c>
      <c r="G107" s="188" t="s">
        <v>68</v>
      </c>
      <c r="H107" s="188" t="s">
        <v>259</v>
      </c>
      <c r="I107" s="29"/>
      <c r="K107" s="50"/>
      <c r="L107" s="50"/>
    </row>
    <row r="108" spans="1:12" ht="14.1" customHeight="1" x14ac:dyDescent="0.25">
      <c r="C108" s="33"/>
      <c r="D108" s="61"/>
      <c r="E108" s="61"/>
      <c r="F108" s="61"/>
      <c r="G108" s="48"/>
      <c r="K108" s="50"/>
      <c r="L108" s="50"/>
    </row>
    <row r="109" spans="1:12" ht="14.1" customHeight="1" x14ac:dyDescent="0.25">
      <c r="B109" s="224" t="s">
        <v>163</v>
      </c>
      <c r="C109" s="33" t="s">
        <v>291</v>
      </c>
      <c r="D109" s="186">
        <f>LN(D105+D16)-LN(D105)</f>
        <v>2.5318392135709189E-3</v>
      </c>
      <c r="E109" s="186">
        <f>LN(E105+E16)-LN(E105)</f>
        <v>5.0572844025733588E-3</v>
      </c>
      <c r="F109" s="186">
        <f>LN(F105+F16)-LN(F105)</f>
        <v>6.6445427186687667E-3</v>
      </c>
      <c r="G109" s="188" t="s">
        <v>12</v>
      </c>
      <c r="K109" s="50"/>
      <c r="L109" s="50"/>
    </row>
    <row r="110" spans="1:12" ht="14.1" customHeight="1" x14ac:dyDescent="0.25">
      <c r="B110" s="224"/>
      <c r="C110" s="188" t="s">
        <v>289</v>
      </c>
      <c r="D110" s="172">
        <f>LN(D105+D16+D17-D106-D107)-LN(D105)</f>
        <v>2.5032003970306249E-2</v>
      </c>
      <c r="E110" s="172">
        <f>LN(E105+E16+E17-E106-E107)-LN(E105)</f>
        <v>4.9452678380699666E-2</v>
      </c>
      <c r="F110" s="172">
        <f>LN(F105+F16+F17-F106-F107)-LN(F105)</f>
        <v>6.453227111803983E-2</v>
      </c>
      <c r="G110" s="188" t="s">
        <v>12</v>
      </c>
      <c r="H110" s="207" t="s">
        <v>263</v>
      </c>
      <c r="K110" s="50"/>
      <c r="L110" s="50"/>
    </row>
    <row r="111" spans="1:12" ht="14.1" customHeight="1" x14ac:dyDescent="0.25">
      <c r="B111" s="224"/>
      <c r="C111" s="114" t="s">
        <v>290</v>
      </c>
      <c r="D111" s="129">
        <f>LN(D105+D16+D17-D106)-LN(D105)</f>
        <v>2.626989852190853E-2</v>
      </c>
      <c r="E111" s="129">
        <f>LN(E105+E16+E17-E106)-LN(E105)</f>
        <v>5.1867317755798226E-2</v>
      </c>
      <c r="F111" s="129">
        <f>LN(F105+F16+F17-F106)-LN(F105)</f>
        <v>6.7658648473814864E-2</v>
      </c>
      <c r="G111" s="188" t="s">
        <v>12</v>
      </c>
      <c r="H111" s="207"/>
      <c r="K111" s="50"/>
      <c r="L111" s="50"/>
    </row>
    <row r="112" spans="1:12" ht="14.1" customHeight="1" x14ac:dyDescent="0.25">
      <c r="B112" s="224"/>
      <c r="C112" s="114" t="s">
        <v>167</v>
      </c>
      <c r="D112" s="32">
        <f>1000*(D109*(1-D27)+D110*D27*D47+D111*D27*(1-D47))</f>
        <v>16.335043164152538</v>
      </c>
      <c r="E112" s="32">
        <f>1000*(E109*(1-E27)+E110*E27*E47+E111*E27*(1-E47))</f>
        <v>32.27714710971933</v>
      </c>
      <c r="F112" s="32">
        <f>1000*(F109*(1-F27)+F110*F27*F47+F111*F27*(1-F47))</f>
        <v>49.135570332366783</v>
      </c>
      <c r="G112" s="188" t="s">
        <v>12</v>
      </c>
      <c r="H112" s="207"/>
      <c r="K112" s="50"/>
      <c r="L112" s="50"/>
    </row>
    <row r="113" spans="1:12" ht="14.1" customHeight="1" x14ac:dyDescent="0.25">
      <c r="B113" s="224"/>
      <c r="C113" s="116" t="s">
        <v>265</v>
      </c>
      <c r="D113" s="173">
        <f>D20/D112</f>
        <v>2271.9890509460861</v>
      </c>
      <c r="E113" s="173">
        <f>E20/E112</f>
        <v>983.81010023563579</v>
      </c>
      <c r="F113" s="173">
        <f>F20/F112</f>
        <v>665.56464755599779</v>
      </c>
      <c r="G113" s="188"/>
      <c r="H113" s="207"/>
      <c r="K113" s="50"/>
      <c r="L113" s="50"/>
    </row>
    <row r="114" spans="1:12" ht="14.1" customHeight="1" x14ac:dyDescent="0.25">
      <c r="C114" s="33"/>
      <c r="D114" s="61"/>
      <c r="E114" s="61"/>
      <c r="F114" s="61"/>
      <c r="K114" s="50"/>
      <c r="L114" s="50"/>
    </row>
    <row r="115" spans="1:12" ht="14.1" customHeight="1" x14ac:dyDescent="0.25">
      <c r="A115" s="227" t="s">
        <v>165</v>
      </c>
      <c r="B115" s="227"/>
      <c r="C115" s="196"/>
      <c r="D115" s="140"/>
      <c r="E115" s="140"/>
      <c r="F115" s="140"/>
      <c r="G115" s="222" t="s">
        <v>185</v>
      </c>
      <c r="H115" s="223"/>
      <c r="I115" s="141"/>
      <c r="J115" s="219"/>
      <c r="K115" s="219"/>
      <c r="L115" s="50"/>
    </row>
    <row r="116" spans="1:12" ht="14.1" customHeight="1" x14ac:dyDescent="0.25">
      <c r="A116" s="196"/>
      <c r="B116" s="221" t="s">
        <v>170</v>
      </c>
      <c r="C116" s="62" t="str">
        <f>C55</f>
        <v>Under-5 HIV deaths averted /1,000 enrollees</v>
      </c>
      <c r="D116" s="67">
        <f>D55</f>
        <v>0.22080959999999999</v>
      </c>
      <c r="E116" s="67">
        <f>E55</f>
        <v>0.51701759999999997</v>
      </c>
      <c r="F116" s="67">
        <f>F55</f>
        <v>4.1385056603773593</v>
      </c>
      <c r="G116" s="197">
        <v>3</v>
      </c>
      <c r="H116" s="198" t="s">
        <v>298</v>
      </c>
      <c r="I116" s="228" t="s">
        <v>299</v>
      </c>
      <c r="J116" s="181"/>
      <c r="K116" s="50"/>
      <c r="L116" s="50"/>
    </row>
    <row r="117" spans="1:12" ht="14.1" customHeight="1" x14ac:dyDescent="0.25">
      <c r="A117" s="196"/>
      <c r="B117" s="221"/>
      <c r="C117" s="62" t="str">
        <f>C63</f>
        <v>DALYs averted per 1,000 enrollees</v>
      </c>
      <c r="D117" s="67">
        <f>D63</f>
        <v>0.22175864832000003</v>
      </c>
      <c r="E117" s="67">
        <f>E63</f>
        <v>0.5192397619200001</v>
      </c>
      <c r="F117" s="67">
        <f>F63</f>
        <v>17.330958104150948</v>
      </c>
      <c r="G117" s="174">
        <v>1</v>
      </c>
      <c r="H117" s="175" t="s">
        <v>168</v>
      </c>
      <c r="I117" s="228"/>
      <c r="J117" s="181"/>
      <c r="K117" s="50"/>
      <c r="L117" s="50"/>
    </row>
    <row r="118" spans="1:12" ht="14.1" customHeight="1" x14ac:dyDescent="0.25">
      <c r="A118" s="196"/>
      <c r="B118" s="221"/>
      <c r="C118" s="62" t="str">
        <f>C81</f>
        <v>Neonatal deaths averted per 1,000 enrollees</v>
      </c>
      <c r="D118" s="67">
        <f>D81</f>
        <v>0.33899689119170945</v>
      </c>
      <c r="E118" s="67">
        <f>E81</f>
        <v>2.1806701345291475</v>
      </c>
      <c r="F118" s="67">
        <f>F81</f>
        <v>3.7838571428571424</v>
      </c>
      <c r="G118" s="197">
        <v>1</v>
      </c>
      <c r="H118" s="175" t="s">
        <v>296</v>
      </c>
      <c r="I118" s="228"/>
      <c r="J118" s="181"/>
      <c r="K118" s="50"/>
      <c r="L118" s="50"/>
    </row>
    <row r="119" spans="1:12" ht="14.1" customHeight="1" x14ac:dyDescent="0.25">
      <c r="A119" s="196"/>
      <c r="B119" s="221"/>
      <c r="C119" s="62" t="str">
        <f>C91</f>
        <v>Stillbirths averted per 1,000 enrollees</v>
      </c>
      <c r="D119" s="67">
        <f>D91</f>
        <v>5.7782410784453564E-2</v>
      </c>
      <c r="E119" s="67">
        <f>E91</f>
        <v>0.47111623403731462</v>
      </c>
      <c r="F119" s="67">
        <f>F91</f>
        <v>1.0835375220587298</v>
      </c>
      <c r="G119" s="197">
        <f>G118</f>
        <v>1</v>
      </c>
      <c r="H119" s="198" t="s">
        <v>295</v>
      </c>
      <c r="I119" s="228"/>
      <c r="J119" s="181"/>
      <c r="K119" s="50"/>
      <c r="L119" s="50"/>
    </row>
    <row r="120" spans="1:12" ht="14.1" customHeight="1" x14ac:dyDescent="0.2">
      <c r="A120" s="196"/>
      <c r="B120" s="221"/>
      <c r="C120" s="62" t="str">
        <f>C101</f>
        <v>Maternal deaths averted per 1,000 enrollees</v>
      </c>
      <c r="D120" s="67">
        <f>D101</f>
        <v>3.3669844455594955E-3</v>
      </c>
      <c r="E120" s="67">
        <f>E101</f>
        <v>7.381419280575563E-2</v>
      </c>
      <c r="F120" s="67">
        <f>F101</f>
        <v>0.49091744680851052</v>
      </c>
      <c r="G120" s="197">
        <f>22.38+2</f>
        <v>24.38</v>
      </c>
      <c r="H120" s="175" t="s">
        <v>268</v>
      </c>
      <c r="I120" s="228"/>
      <c r="J120" s="181"/>
    </row>
    <row r="121" spans="1:12" ht="14.1" customHeight="1" x14ac:dyDescent="0.2">
      <c r="A121" s="196"/>
      <c r="B121" s="221"/>
      <c r="C121" s="62" t="str">
        <f>C112</f>
        <v>Consumption benefit per 1,000 enrollees</v>
      </c>
      <c r="D121" s="67">
        <f t="shared" ref="D121:F121" si="6">D112</f>
        <v>16.335043164152538</v>
      </c>
      <c r="E121" s="67">
        <f t="shared" si="6"/>
        <v>32.27714710971933</v>
      </c>
      <c r="F121" s="67">
        <f t="shared" si="6"/>
        <v>49.135570332366783</v>
      </c>
      <c r="G121" s="197">
        <f>1/4</f>
        <v>0.25</v>
      </c>
      <c r="H121" s="176" t="s">
        <v>169</v>
      </c>
      <c r="I121" s="228"/>
      <c r="J121" s="181"/>
    </row>
    <row r="122" spans="1:12" ht="14.1" customHeight="1" x14ac:dyDescent="0.2">
      <c r="A122" s="196"/>
      <c r="B122" s="193"/>
      <c r="C122" s="114"/>
      <c r="D122" s="114"/>
      <c r="E122" s="114"/>
      <c r="F122" s="114"/>
      <c r="G122" s="177">
        <v>24.16</v>
      </c>
      <c r="H122" s="178" t="s">
        <v>272</v>
      </c>
      <c r="I122" s="228"/>
      <c r="J122" s="181"/>
    </row>
    <row r="123" spans="1:12" ht="14.1" customHeight="1" x14ac:dyDescent="0.2">
      <c r="A123" s="141"/>
      <c r="B123" s="220" t="s">
        <v>178</v>
      </c>
      <c r="C123" s="126" t="s">
        <v>171</v>
      </c>
      <c r="D123" s="144">
        <f>SUMPRODUCT(D116:D121,$G116:$G121)</f>
        <v>5.4468146221170377</v>
      </c>
      <c r="E123" s="144">
        <f>SUMPRODUCT(E116:E121,$G116:$G121)</f>
        <v>14.590955728520616</v>
      </c>
      <c r="F123" s="145">
        <f>SUMPRODUCT(F116:F121,$G116:$G121)</f>
        <v>58.866329686482075</v>
      </c>
      <c r="G123" s="146"/>
      <c r="H123" s="141"/>
      <c r="I123" s="141"/>
    </row>
    <row r="124" spans="1:12" ht="14.1" customHeight="1" x14ac:dyDescent="0.2">
      <c r="A124" s="141"/>
      <c r="B124" s="220"/>
      <c r="C124" s="127" t="s">
        <v>172</v>
      </c>
      <c r="D124" s="147">
        <f>D123/$G$116</f>
        <v>1.8156048740390125</v>
      </c>
      <c r="E124" s="147">
        <f t="shared" ref="E124:F124" si="7">E123/$G$116</f>
        <v>4.8636519095068715</v>
      </c>
      <c r="F124" s="148">
        <f t="shared" si="7"/>
        <v>19.622109895494024</v>
      </c>
      <c r="G124" s="141"/>
      <c r="H124" s="149" t="s">
        <v>193</v>
      </c>
      <c r="I124" s="150"/>
    </row>
    <row r="125" spans="1:12" ht="14.1" customHeight="1" x14ac:dyDescent="0.2">
      <c r="A125" s="141"/>
      <c r="B125" s="220"/>
      <c r="C125" s="65" t="s">
        <v>17</v>
      </c>
      <c r="D125" s="151">
        <f>D20/D124</f>
        <v>20441.143194953118</v>
      </c>
      <c r="E125" s="151">
        <f>E20/E124</f>
        <v>6528.9588819593282</v>
      </c>
      <c r="F125" s="152">
        <f>F20/F124</f>
        <v>1666.6351745504421</v>
      </c>
      <c r="G125" s="141"/>
      <c r="H125" s="153" t="s">
        <v>187</v>
      </c>
      <c r="I125" s="154">
        <f t="shared" ref="I125:I130" si="8">(E116*G116)/$E$123</f>
        <v>0.10630234433294809</v>
      </c>
    </row>
    <row r="126" spans="1:12" ht="14.1" customHeight="1" x14ac:dyDescent="0.2">
      <c r="A126" s="141"/>
      <c r="B126" s="155"/>
      <c r="C126" s="62"/>
      <c r="D126" s="156"/>
      <c r="E126" s="156"/>
      <c r="F126" s="156"/>
      <c r="G126" s="141"/>
      <c r="H126" s="153" t="s">
        <v>188</v>
      </c>
      <c r="I126" s="154">
        <f t="shared" si="8"/>
        <v>3.5586411992536836E-2</v>
      </c>
    </row>
    <row r="127" spans="1:12" ht="14.1" customHeight="1" x14ac:dyDescent="0.2">
      <c r="A127" s="141"/>
      <c r="B127" s="220" t="s">
        <v>179</v>
      </c>
      <c r="C127" s="126" t="s">
        <v>176</v>
      </c>
      <c r="D127" s="199">
        <v>950</v>
      </c>
      <c r="E127" s="199">
        <v>950</v>
      </c>
      <c r="F127" s="199">
        <v>950</v>
      </c>
      <c r="G127" s="200" t="s">
        <v>297</v>
      </c>
      <c r="H127" s="153" t="s">
        <v>189</v>
      </c>
      <c r="I127" s="154">
        <f t="shared" si="8"/>
        <v>0.14945355020621715</v>
      </c>
    </row>
    <row r="128" spans="1:12" ht="14.1" customHeight="1" x14ac:dyDescent="0.2">
      <c r="A128" s="141"/>
      <c r="B128" s="220"/>
      <c r="C128" s="64" t="s">
        <v>175</v>
      </c>
      <c r="D128" s="157">
        <f>D127/D125</f>
        <v>4.6474895799103515E-2</v>
      </c>
      <c r="E128" s="157">
        <f>E127/E125</f>
        <v>0.14550558782427295</v>
      </c>
      <c r="F128" s="158">
        <f>F127/F125</f>
        <v>0.57001077050726046</v>
      </c>
      <c r="G128" s="141"/>
      <c r="H128" s="153" t="s">
        <v>190</v>
      </c>
      <c r="I128" s="154">
        <f t="shared" si="8"/>
        <v>3.2288236823063907E-2</v>
      </c>
    </row>
    <row r="129" spans="1:9" ht="14.1" customHeight="1" x14ac:dyDescent="0.2">
      <c r="A129" s="141"/>
      <c r="B129" s="220"/>
      <c r="C129" s="127" t="s">
        <v>177</v>
      </c>
      <c r="D129" s="202">
        <v>4.0999999999999996</v>
      </c>
      <c r="E129" s="202">
        <v>4.0999999999999996</v>
      </c>
      <c r="F129" s="202">
        <v>4.0999999999999996</v>
      </c>
      <c r="G129" s="200" t="s">
        <v>297</v>
      </c>
      <c r="H129" s="153" t="s">
        <v>191</v>
      </c>
      <c r="I129" s="154">
        <f t="shared" si="8"/>
        <v>0.12333599348031081</v>
      </c>
    </row>
    <row r="130" spans="1:9" ht="14.1" customHeight="1" x14ac:dyDescent="0.2">
      <c r="A130" s="141"/>
      <c r="B130" s="220"/>
      <c r="C130" s="65" t="s">
        <v>174</v>
      </c>
      <c r="D130" s="159">
        <f>(D127*D129)/D125</f>
        <v>0.19054707277632438</v>
      </c>
      <c r="E130" s="159">
        <f t="shared" ref="E130:F130" si="9">(E127*E129)/E125</f>
        <v>0.59657291007951907</v>
      </c>
      <c r="F130" s="160">
        <f t="shared" si="9"/>
        <v>2.3370441590797677</v>
      </c>
      <c r="G130" s="141"/>
      <c r="H130" s="153" t="s">
        <v>192</v>
      </c>
      <c r="I130" s="154">
        <f t="shared" si="8"/>
        <v>0.5530334631649233</v>
      </c>
    </row>
    <row r="131" spans="1:9" ht="14.1" customHeight="1" x14ac:dyDescent="0.2">
      <c r="H131" s="39"/>
    </row>
    <row r="132" spans="1:9" ht="14.1" customHeight="1" x14ac:dyDescent="0.2">
      <c r="D132" s="48"/>
      <c r="E132" s="48"/>
      <c r="F132" s="48"/>
    </row>
    <row r="133" spans="1:9" ht="14.1" customHeight="1" x14ac:dyDescent="0.2">
      <c r="C133" s="189"/>
      <c r="D133" s="48"/>
      <c r="E133" s="48"/>
      <c r="F133" s="48"/>
    </row>
    <row r="134" spans="1:9" ht="14.1" customHeight="1" x14ac:dyDescent="0.2">
      <c r="C134" s="48"/>
      <c r="D134" s="48"/>
      <c r="E134" s="48"/>
      <c r="F134" s="48"/>
    </row>
    <row r="135" spans="1:9" ht="14.1" customHeight="1" x14ac:dyDescent="0.2">
      <c r="C135" s="48"/>
      <c r="D135" s="48"/>
      <c r="E135" s="48"/>
      <c r="F135" s="48"/>
    </row>
    <row r="136" spans="1:9" ht="14.1" customHeight="1" x14ac:dyDescent="0.2">
      <c r="C136" s="48"/>
      <c r="D136" s="48"/>
      <c r="E136" s="48"/>
      <c r="F136" s="48"/>
    </row>
    <row r="137" spans="1:9" ht="14.1" customHeight="1" x14ac:dyDescent="0.2">
      <c r="C137" s="48"/>
      <c r="D137" s="48"/>
      <c r="E137" s="48"/>
      <c r="F137" s="48"/>
    </row>
    <row r="138" spans="1:9" ht="14.1" customHeight="1" x14ac:dyDescent="0.2">
      <c r="C138" s="48"/>
      <c r="D138" s="48"/>
      <c r="E138" s="48"/>
      <c r="F138" s="48"/>
    </row>
    <row r="139" spans="1:9" ht="14.1" customHeight="1" x14ac:dyDescent="0.2">
      <c r="A139" s="48"/>
      <c r="C139" s="48"/>
      <c r="D139" s="48"/>
      <c r="E139" s="48"/>
      <c r="F139" s="48"/>
    </row>
    <row r="140" spans="1:9" ht="14.1" customHeight="1" x14ac:dyDescent="0.2">
      <c r="A140" s="48"/>
      <c r="B140" s="48"/>
      <c r="C140" s="48"/>
      <c r="D140" s="48"/>
      <c r="E140" s="48"/>
      <c r="F140" s="48"/>
      <c r="G140" s="48"/>
    </row>
    <row r="141" spans="1:9" ht="14.1" customHeight="1" x14ac:dyDescent="0.2">
      <c r="A141" s="48"/>
      <c r="B141" s="48"/>
      <c r="C141" s="48"/>
      <c r="D141" s="48"/>
      <c r="E141" s="48"/>
      <c r="F141" s="48"/>
      <c r="G141" s="48"/>
    </row>
    <row r="142" spans="1:9" ht="14.1" customHeight="1" x14ac:dyDescent="0.2">
      <c r="A142" s="48"/>
      <c r="B142" s="48"/>
      <c r="C142" s="48"/>
      <c r="D142" s="48"/>
      <c r="E142" s="48"/>
      <c r="F142" s="48"/>
      <c r="G142" s="48"/>
    </row>
    <row r="143" spans="1:9" ht="14.1" customHeight="1" x14ac:dyDescent="0.2">
      <c r="A143" s="48"/>
      <c r="B143" s="48"/>
      <c r="C143" s="48"/>
      <c r="D143" s="48"/>
      <c r="E143" s="48"/>
      <c r="F143" s="48"/>
      <c r="G143" s="48"/>
    </row>
    <row r="144" spans="1:9" ht="14.1" customHeight="1" x14ac:dyDescent="0.2">
      <c r="A144" s="48"/>
      <c r="B144" s="48"/>
      <c r="C144" s="48"/>
      <c r="D144" s="48"/>
      <c r="E144" s="48"/>
      <c r="F144" s="48"/>
      <c r="G144" s="48"/>
    </row>
    <row r="145" spans="1:7" ht="14.1" customHeight="1" x14ac:dyDescent="0.2">
      <c r="A145" s="48"/>
      <c r="B145" s="48"/>
      <c r="C145" s="48"/>
      <c r="D145" s="48"/>
      <c r="E145" s="48"/>
      <c r="F145" s="48"/>
      <c r="G145" s="48"/>
    </row>
    <row r="146" spans="1:7" ht="14.1" customHeight="1" x14ac:dyDescent="0.2">
      <c r="A146" s="48"/>
      <c r="B146" s="48"/>
      <c r="C146" s="48"/>
      <c r="D146" s="48"/>
      <c r="E146" s="48"/>
      <c r="F146" s="48"/>
      <c r="G146" s="48"/>
    </row>
    <row r="147" spans="1:7" ht="14.1" customHeight="1" x14ac:dyDescent="0.2">
      <c r="A147" s="48"/>
      <c r="B147" s="48"/>
      <c r="C147" s="48"/>
      <c r="D147" s="48"/>
      <c r="E147" s="48"/>
      <c r="F147" s="48"/>
      <c r="G147" s="48"/>
    </row>
    <row r="148" spans="1:7" ht="14.1" customHeight="1" x14ac:dyDescent="0.2">
      <c r="A148" s="48"/>
      <c r="B148" s="48"/>
      <c r="C148" s="48"/>
      <c r="D148" s="48"/>
      <c r="E148" s="48"/>
      <c r="F148" s="48"/>
      <c r="G148" s="48"/>
    </row>
    <row r="149" spans="1:7" ht="14.1" customHeight="1" x14ac:dyDescent="0.2">
      <c r="A149" s="48"/>
      <c r="B149" s="48"/>
      <c r="C149" s="48"/>
      <c r="D149" s="48"/>
      <c r="E149" s="48"/>
      <c r="F149" s="48"/>
      <c r="G149" s="48"/>
    </row>
    <row r="150" spans="1:7" ht="14.1" customHeight="1" x14ac:dyDescent="0.2">
      <c r="A150" s="48"/>
      <c r="B150" s="48"/>
      <c r="C150" s="48"/>
      <c r="D150" s="48"/>
      <c r="E150" s="48"/>
      <c r="F150" s="48"/>
      <c r="G150" s="48"/>
    </row>
    <row r="151" spans="1:7" ht="14.1" customHeight="1" x14ac:dyDescent="0.2">
      <c r="A151" s="48"/>
      <c r="B151" s="48"/>
      <c r="C151" s="48"/>
      <c r="D151" s="48"/>
      <c r="E151" s="48"/>
      <c r="F151" s="48"/>
      <c r="G151" s="48"/>
    </row>
    <row r="152" spans="1:7" ht="14.1" customHeight="1" x14ac:dyDescent="0.2">
      <c r="A152" s="48"/>
      <c r="B152" s="48"/>
      <c r="C152" s="48"/>
      <c r="D152" s="48"/>
      <c r="E152" s="48"/>
      <c r="F152" s="48"/>
      <c r="G152" s="48"/>
    </row>
    <row r="153" spans="1:7" ht="14.1" customHeight="1" x14ac:dyDescent="0.2">
      <c r="A153" s="48"/>
      <c r="B153" s="48"/>
      <c r="C153" s="48"/>
      <c r="D153" s="48"/>
      <c r="E153" s="48"/>
      <c r="F153" s="48"/>
      <c r="G153" s="48"/>
    </row>
    <row r="154" spans="1:7" ht="14.1" customHeight="1" x14ac:dyDescent="0.2">
      <c r="A154" s="48"/>
      <c r="B154" s="48"/>
      <c r="C154" s="48"/>
      <c r="D154" s="48"/>
      <c r="E154" s="48"/>
      <c r="F154" s="48"/>
      <c r="G154" s="48"/>
    </row>
    <row r="155" spans="1:7" ht="14.1" customHeight="1" x14ac:dyDescent="0.2">
      <c r="A155" s="48"/>
      <c r="B155" s="48"/>
      <c r="C155" s="48"/>
      <c r="D155" s="48"/>
      <c r="E155" s="48"/>
      <c r="F155" s="48"/>
      <c r="G155" s="48"/>
    </row>
    <row r="156" spans="1:7" ht="14.1" customHeight="1" x14ac:dyDescent="0.2">
      <c r="A156" s="48"/>
      <c r="B156" s="48"/>
      <c r="C156" s="48"/>
      <c r="D156" s="48"/>
      <c r="E156" s="48"/>
      <c r="F156" s="48"/>
      <c r="G156" s="48"/>
    </row>
    <row r="157" spans="1:7" ht="14.1" customHeight="1" x14ac:dyDescent="0.2">
      <c r="A157" s="48"/>
      <c r="B157" s="48"/>
      <c r="C157" s="48"/>
      <c r="D157" s="48"/>
      <c r="E157" s="48"/>
      <c r="F157" s="48"/>
      <c r="G157" s="48"/>
    </row>
    <row r="158" spans="1:7" ht="14.1" customHeight="1" x14ac:dyDescent="0.2">
      <c r="A158" s="48"/>
      <c r="B158" s="48"/>
      <c r="C158" s="48"/>
      <c r="D158" s="48"/>
      <c r="E158" s="48"/>
      <c r="F158" s="48"/>
      <c r="G158" s="48"/>
    </row>
    <row r="159" spans="1:7" ht="14.1" customHeight="1" x14ac:dyDescent="0.2">
      <c r="A159" s="48"/>
      <c r="B159" s="48"/>
      <c r="C159" s="48"/>
      <c r="D159" s="48"/>
      <c r="E159" s="48"/>
      <c r="F159" s="48"/>
      <c r="G159" s="48"/>
    </row>
    <row r="160" spans="1:7" ht="14.1" customHeight="1" x14ac:dyDescent="0.2">
      <c r="A160" s="48"/>
      <c r="B160" s="48"/>
      <c r="C160" s="48"/>
      <c r="D160" s="48"/>
      <c r="E160" s="48"/>
      <c r="F160" s="48"/>
      <c r="G160" s="48"/>
    </row>
    <row r="161" spans="1:11" ht="14.1" customHeight="1" x14ac:dyDescent="0.2">
      <c r="A161" s="48"/>
      <c r="B161" s="48"/>
      <c r="C161" s="48"/>
      <c r="D161" s="48"/>
      <c r="E161" s="48"/>
      <c r="F161" s="48"/>
      <c r="G161" s="48"/>
    </row>
    <row r="162" spans="1:11" ht="14.1" customHeight="1" x14ac:dyDescent="0.2">
      <c r="A162" s="48"/>
      <c r="B162" s="48"/>
      <c r="C162" s="48"/>
      <c r="D162" s="48"/>
      <c r="E162" s="48"/>
      <c r="F162" s="48"/>
      <c r="G162" s="48"/>
    </row>
    <row r="163" spans="1:11" ht="14.1" customHeight="1" x14ac:dyDescent="0.2">
      <c r="A163" s="48"/>
      <c r="B163" s="48"/>
      <c r="C163" s="48"/>
      <c r="D163" s="48"/>
      <c r="E163" s="48"/>
      <c r="F163" s="48"/>
      <c r="G163" s="48"/>
      <c r="J163" s="6"/>
      <c r="K163" s="6"/>
    </row>
    <row r="164" spans="1:11" ht="14.1" customHeight="1" x14ac:dyDescent="0.2">
      <c r="A164" s="48"/>
      <c r="B164" s="48"/>
      <c r="C164" s="48"/>
      <c r="D164" s="48"/>
      <c r="E164" s="48"/>
      <c r="F164" s="48"/>
      <c r="G164" s="48"/>
      <c r="J164" s="6"/>
      <c r="K164" s="6"/>
    </row>
    <row r="165" spans="1:11" ht="14.1" customHeight="1" x14ac:dyDescent="0.2">
      <c r="A165" s="48"/>
      <c r="B165" s="48"/>
      <c r="C165" s="48"/>
      <c r="D165" s="48"/>
      <c r="E165" s="48"/>
      <c r="F165" s="48"/>
      <c r="G165" s="48"/>
      <c r="J165" s="6"/>
      <c r="K165" s="6"/>
    </row>
    <row r="166" spans="1:11" ht="14.1" customHeight="1" x14ac:dyDescent="0.2">
      <c r="A166" s="48"/>
      <c r="B166" s="48"/>
      <c r="C166" s="48"/>
      <c r="D166" s="48"/>
      <c r="E166" s="48"/>
      <c r="F166" s="48"/>
      <c r="G166" s="48"/>
      <c r="J166" s="6"/>
      <c r="K166" s="6"/>
    </row>
    <row r="167" spans="1:11" ht="14.1" customHeight="1" x14ac:dyDescent="0.2">
      <c r="J167" s="6"/>
      <c r="K167" s="6"/>
    </row>
    <row r="168" spans="1:11" ht="14.1" customHeight="1" x14ac:dyDescent="0.2">
      <c r="J168" s="6"/>
      <c r="K168" s="6"/>
    </row>
    <row r="169" spans="1:11" ht="14.1" customHeight="1" x14ac:dyDescent="0.2">
      <c r="B169" s="4"/>
      <c r="J169" s="6"/>
      <c r="K169" s="6"/>
    </row>
    <row r="170" spans="1:11" ht="14.1" customHeight="1" x14ac:dyDescent="0.2">
      <c r="D170" s="15"/>
      <c r="E170" s="15"/>
      <c r="F170" s="15"/>
      <c r="G170" s="8"/>
      <c r="J170" s="6"/>
      <c r="K170" s="6"/>
    </row>
    <row r="171" spans="1:11" ht="14.1" customHeight="1" x14ac:dyDescent="0.2">
      <c r="D171" s="9"/>
      <c r="E171" s="9"/>
      <c r="F171" s="9"/>
      <c r="G171" s="8"/>
      <c r="K171" s="6"/>
    </row>
    <row r="172" spans="1:11" ht="14.1" customHeight="1" x14ac:dyDescent="0.2">
      <c r="D172" s="15"/>
      <c r="E172" s="15"/>
      <c r="F172" s="15"/>
      <c r="G172" s="8"/>
      <c r="K172" s="6"/>
    </row>
    <row r="173" spans="1:11" ht="14.1" customHeight="1" x14ac:dyDescent="0.2">
      <c r="D173" s="15"/>
      <c r="E173" s="15"/>
      <c r="F173" s="15"/>
      <c r="G173" s="8"/>
      <c r="K173" s="6"/>
    </row>
    <row r="175" spans="1:11" ht="14.1" customHeight="1" x14ac:dyDescent="0.2">
      <c r="B175" s="4"/>
    </row>
    <row r="179" spans="4:6" ht="14.1" customHeight="1" x14ac:dyDescent="0.2">
      <c r="D179" s="9"/>
      <c r="E179" s="9"/>
      <c r="F179" s="9"/>
    </row>
    <row r="180" spans="4:6" ht="14.1" customHeight="1" x14ac:dyDescent="0.2">
      <c r="D180" s="9"/>
      <c r="E180" s="9"/>
      <c r="F180" s="9"/>
    </row>
    <row r="182" spans="4:6" ht="14.1" customHeight="1" x14ac:dyDescent="0.2">
      <c r="D182" s="10"/>
      <c r="E182" s="10"/>
      <c r="F182" s="10"/>
    </row>
    <row r="185" spans="4:6" ht="14.1" customHeight="1" x14ac:dyDescent="0.2">
      <c r="D185" s="10"/>
      <c r="E185" s="10"/>
      <c r="F185" s="10"/>
    </row>
    <row r="193" spans="4:6" ht="14.1" customHeight="1" x14ac:dyDescent="0.2">
      <c r="D193" s="16"/>
      <c r="E193" s="16"/>
      <c r="F193" s="16"/>
    </row>
    <row r="194" spans="4:6" ht="14.1" customHeight="1" x14ac:dyDescent="0.2">
      <c r="D194" s="10"/>
      <c r="E194" s="10"/>
      <c r="F194" s="10"/>
    </row>
    <row r="195" spans="4:6" ht="14.1" customHeight="1" x14ac:dyDescent="0.2">
      <c r="D195" s="6"/>
      <c r="E195" s="6"/>
      <c r="F195" s="6"/>
    </row>
    <row r="210" spans="4:5" ht="14.1" customHeight="1" x14ac:dyDescent="0.2">
      <c r="D210" s="6"/>
      <c r="E210" s="6"/>
    </row>
    <row r="211" spans="4:5" ht="14.1" customHeight="1" x14ac:dyDescent="0.2">
      <c r="D211" s="6"/>
      <c r="E211" s="6"/>
    </row>
    <row r="229" spans="4:8" ht="14.1" customHeight="1" x14ac:dyDescent="0.2">
      <c r="H229" s="39"/>
    </row>
    <row r="230" spans="4:8" ht="14.1" customHeight="1" x14ac:dyDescent="0.2">
      <c r="H230" s="39"/>
    </row>
    <row r="231" spans="4:8" ht="14.1" customHeight="1" x14ac:dyDescent="0.2">
      <c r="H231" s="39"/>
    </row>
    <row r="232" spans="4:8" ht="14.1" customHeight="1" x14ac:dyDescent="0.2">
      <c r="H232" s="39"/>
    </row>
    <row r="237" spans="4:8" ht="14.1" customHeight="1" x14ac:dyDescent="0.2">
      <c r="G237" s="8"/>
    </row>
    <row r="238" spans="4:8" ht="14.1" customHeight="1" x14ac:dyDescent="0.2">
      <c r="D238" s="8"/>
      <c r="E238" s="8"/>
      <c r="G238" s="6"/>
    </row>
    <row r="239" spans="4:8" ht="14.1" customHeight="1" x14ac:dyDescent="0.2">
      <c r="D239" s="8"/>
      <c r="E239" s="8"/>
      <c r="G239" s="6"/>
    </row>
    <row r="240" spans="4:8" ht="14.1" customHeight="1" x14ac:dyDescent="0.2">
      <c r="D240" s="6"/>
      <c r="E240" s="6"/>
      <c r="G240" s="5"/>
    </row>
    <row r="241" spans="4:5" ht="14.1" customHeight="1" x14ac:dyDescent="0.2">
      <c r="D241" s="6"/>
      <c r="E241" s="6"/>
    </row>
    <row r="289" spans="10:14" ht="14.1" customHeight="1" x14ac:dyDescent="0.2">
      <c r="J289" s="17"/>
    </row>
    <row r="290" spans="10:14" ht="14.1" customHeight="1" x14ac:dyDescent="0.2">
      <c r="J290" s="18"/>
    </row>
    <row r="291" spans="10:14" ht="14.1" customHeight="1" x14ac:dyDescent="0.2">
      <c r="J291" s="18"/>
    </row>
    <row r="292" spans="10:14" ht="14.1" customHeight="1" x14ac:dyDescent="0.2">
      <c r="J292" s="18"/>
      <c r="K292" s="17"/>
      <c r="L292" s="8"/>
      <c r="M292" s="5"/>
    </row>
    <row r="293" spans="10:14" ht="14.1" customHeight="1" x14ac:dyDescent="0.2">
      <c r="J293" s="18"/>
      <c r="K293" s="18"/>
      <c r="L293" s="8"/>
      <c r="M293" s="5"/>
    </row>
    <row r="294" spans="10:14" ht="14.1" customHeight="1" x14ac:dyDescent="0.2">
      <c r="J294" s="18"/>
      <c r="K294" s="18"/>
      <c r="L294" s="18"/>
      <c r="M294" s="18"/>
    </row>
    <row r="295" spans="10:14" ht="14.1" customHeight="1" x14ac:dyDescent="0.2">
      <c r="J295" s="18"/>
      <c r="K295" s="18"/>
      <c r="L295" s="18"/>
      <c r="M295" s="18"/>
    </row>
    <row r="296" spans="10:14" ht="14.1" customHeight="1" x14ac:dyDescent="0.2">
      <c r="J296" s="18"/>
      <c r="K296" s="18"/>
      <c r="L296" s="18"/>
      <c r="M296" s="18"/>
    </row>
    <row r="297" spans="10:14" ht="14.1" customHeight="1" x14ac:dyDescent="0.2">
      <c r="J297" s="18"/>
      <c r="K297" s="18"/>
      <c r="L297" s="18"/>
      <c r="M297" s="18"/>
      <c r="N297" s="5"/>
    </row>
    <row r="298" spans="10:14" ht="14.1" customHeight="1" x14ac:dyDescent="0.2">
      <c r="J298" s="18"/>
      <c r="K298" s="18"/>
      <c r="L298" s="18"/>
      <c r="M298" s="18"/>
      <c r="N298" s="5"/>
    </row>
    <row r="299" spans="10:14" ht="14.1" customHeight="1" x14ac:dyDescent="0.2">
      <c r="J299" s="18"/>
      <c r="K299" s="18"/>
      <c r="L299" s="18"/>
      <c r="M299" s="18"/>
      <c r="N299" s="18"/>
    </row>
    <row r="300" spans="10:14" ht="14.1" customHeight="1" x14ac:dyDescent="0.2">
      <c r="J300" s="18"/>
      <c r="K300" s="18"/>
      <c r="L300" s="18"/>
      <c r="M300" s="18"/>
      <c r="N300" s="18"/>
    </row>
    <row r="301" spans="10:14" ht="14.1" customHeight="1" x14ac:dyDescent="0.2">
      <c r="J301" s="18"/>
      <c r="K301" s="18"/>
      <c r="L301" s="18"/>
      <c r="M301" s="18"/>
      <c r="N301" s="18"/>
    </row>
    <row r="302" spans="10:14" ht="14.1" customHeight="1" x14ac:dyDescent="0.2">
      <c r="J302" s="18"/>
      <c r="K302" s="18"/>
      <c r="L302" s="18"/>
      <c r="M302" s="18"/>
      <c r="N302" s="18"/>
    </row>
    <row r="303" spans="10:14" ht="14.1" customHeight="1" x14ac:dyDescent="0.2">
      <c r="J303" s="18"/>
      <c r="K303" s="18"/>
      <c r="L303" s="18"/>
      <c r="M303" s="18"/>
      <c r="N303" s="18"/>
    </row>
    <row r="304" spans="10:14" ht="14.1" customHeight="1" x14ac:dyDescent="0.2">
      <c r="J304" s="18"/>
      <c r="K304" s="18"/>
      <c r="L304" s="18"/>
      <c r="M304" s="18"/>
      <c r="N304" s="18"/>
    </row>
    <row r="305" spans="8:14" ht="14.1" customHeight="1" x14ac:dyDescent="0.2">
      <c r="J305" s="18"/>
      <c r="K305" s="18"/>
      <c r="L305" s="18"/>
      <c r="M305" s="18"/>
      <c r="N305" s="18"/>
    </row>
    <row r="306" spans="8:14" ht="14.1" customHeight="1" x14ac:dyDescent="0.2">
      <c r="J306" s="18"/>
      <c r="K306" s="18"/>
      <c r="L306" s="18"/>
      <c r="M306" s="18"/>
      <c r="N306" s="18"/>
    </row>
    <row r="307" spans="8:14" ht="14.1" customHeight="1" x14ac:dyDescent="0.2">
      <c r="J307" s="18"/>
      <c r="K307" s="18"/>
      <c r="L307" s="18"/>
      <c r="M307" s="18"/>
      <c r="N307" s="18"/>
    </row>
    <row r="308" spans="8:14" ht="14.1" customHeight="1" x14ac:dyDescent="0.2">
      <c r="J308" s="18"/>
      <c r="K308" s="18"/>
      <c r="L308" s="18"/>
      <c r="M308" s="18"/>
      <c r="N308" s="18"/>
    </row>
    <row r="309" spans="8:14" ht="14.1" customHeight="1" x14ac:dyDescent="0.2">
      <c r="J309" s="18"/>
      <c r="K309" s="18"/>
      <c r="L309" s="18"/>
      <c r="M309" s="18"/>
      <c r="N309" s="18"/>
    </row>
    <row r="310" spans="8:14" ht="14.1" customHeight="1" x14ac:dyDescent="0.2">
      <c r="J310" s="18"/>
      <c r="K310" s="18"/>
      <c r="L310" s="18"/>
      <c r="M310" s="18"/>
      <c r="N310" s="18"/>
    </row>
    <row r="311" spans="8:14" ht="14.1" customHeight="1" x14ac:dyDescent="0.2">
      <c r="J311" s="18"/>
      <c r="K311" s="18"/>
      <c r="L311" s="18"/>
      <c r="M311" s="18"/>
      <c r="N311" s="18"/>
    </row>
    <row r="312" spans="8:14" ht="14.1" customHeight="1" x14ac:dyDescent="0.2">
      <c r="J312" s="18"/>
      <c r="K312" s="18"/>
      <c r="L312" s="18"/>
      <c r="M312" s="18"/>
      <c r="N312" s="18"/>
    </row>
    <row r="313" spans="8:14" ht="14.1" customHeight="1" x14ac:dyDescent="0.2">
      <c r="J313" s="18"/>
      <c r="K313" s="18"/>
      <c r="L313" s="18"/>
      <c r="M313" s="18"/>
      <c r="N313" s="18"/>
    </row>
    <row r="314" spans="8:14" ht="14.1" customHeight="1" x14ac:dyDescent="0.2">
      <c r="J314" s="18"/>
      <c r="K314" s="18"/>
      <c r="L314" s="18"/>
      <c r="M314" s="18"/>
      <c r="N314" s="18"/>
    </row>
    <row r="315" spans="8:14" ht="14.1" customHeight="1" x14ac:dyDescent="0.2">
      <c r="J315" s="18"/>
      <c r="K315" s="18"/>
      <c r="L315" s="18"/>
      <c r="M315" s="18"/>
      <c r="N315" s="18"/>
    </row>
    <row r="316" spans="8:14" ht="14.1" customHeight="1" x14ac:dyDescent="0.2">
      <c r="H316" s="40"/>
      <c r="J316" s="18"/>
      <c r="K316" s="18"/>
      <c r="L316" s="18"/>
      <c r="M316" s="18"/>
      <c r="N316" s="18"/>
    </row>
    <row r="317" spans="8:14" ht="14.1" customHeight="1" x14ac:dyDescent="0.2">
      <c r="H317" s="41"/>
      <c r="J317" s="18"/>
      <c r="K317" s="18"/>
      <c r="L317" s="18"/>
      <c r="M317" s="18"/>
      <c r="N317" s="18"/>
    </row>
    <row r="318" spans="8:14" ht="14.1" customHeight="1" x14ac:dyDescent="0.2">
      <c r="H318" s="41"/>
      <c r="J318" s="18"/>
      <c r="K318" s="18"/>
      <c r="L318" s="18"/>
      <c r="M318" s="18"/>
      <c r="N318" s="18"/>
    </row>
    <row r="319" spans="8:14" ht="14.1" customHeight="1" x14ac:dyDescent="0.2">
      <c r="H319" s="41"/>
      <c r="J319" s="18"/>
      <c r="K319" s="18"/>
      <c r="L319" s="18"/>
      <c r="M319" s="18"/>
      <c r="N319" s="18"/>
    </row>
    <row r="320" spans="8:14" ht="14.1" customHeight="1" x14ac:dyDescent="0.2">
      <c r="H320" s="41"/>
      <c r="J320" s="18"/>
      <c r="K320" s="18"/>
      <c r="L320" s="18"/>
      <c r="M320" s="18"/>
      <c r="N320" s="18"/>
    </row>
    <row r="321" spans="4:14" ht="14.1" customHeight="1" x14ac:dyDescent="0.2">
      <c r="H321" s="41"/>
      <c r="J321" s="18"/>
      <c r="K321" s="18"/>
      <c r="L321" s="18"/>
      <c r="M321" s="18"/>
      <c r="N321" s="18"/>
    </row>
    <row r="322" spans="4:14" ht="14.1" customHeight="1" x14ac:dyDescent="0.2">
      <c r="H322" s="41"/>
      <c r="J322" s="18"/>
      <c r="K322" s="18"/>
      <c r="L322" s="18"/>
      <c r="M322" s="18"/>
      <c r="N322" s="18"/>
    </row>
    <row r="323" spans="4:14" ht="14.1" customHeight="1" x14ac:dyDescent="0.2">
      <c r="H323" s="41"/>
      <c r="J323" s="18"/>
      <c r="K323" s="18"/>
      <c r="L323" s="18"/>
      <c r="M323" s="18"/>
      <c r="N323" s="18"/>
    </row>
    <row r="324" spans="4:14" ht="14.1" customHeight="1" x14ac:dyDescent="0.2">
      <c r="G324" s="18"/>
      <c r="H324" s="41"/>
      <c r="J324" s="18"/>
      <c r="K324" s="18"/>
      <c r="L324" s="18"/>
      <c r="M324" s="18"/>
      <c r="N324" s="18"/>
    </row>
    <row r="325" spans="4:14" ht="14.1" customHeight="1" x14ac:dyDescent="0.2">
      <c r="D325" s="18"/>
      <c r="E325" s="18"/>
      <c r="G325" s="18"/>
      <c r="H325" s="41"/>
      <c r="J325" s="18"/>
      <c r="K325" s="18"/>
      <c r="L325" s="18"/>
      <c r="M325" s="18"/>
      <c r="N325" s="18"/>
    </row>
    <row r="326" spans="4:14" ht="14.1" customHeight="1" x14ac:dyDescent="0.2">
      <c r="D326" s="18"/>
      <c r="E326" s="18"/>
      <c r="G326" s="18"/>
      <c r="H326" s="41"/>
      <c r="J326" s="18"/>
      <c r="K326" s="18"/>
      <c r="L326" s="18"/>
      <c r="M326" s="18"/>
      <c r="N326" s="18"/>
    </row>
    <row r="327" spans="4:14" ht="14.1" customHeight="1" x14ac:dyDescent="0.2">
      <c r="D327" s="18"/>
      <c r="E327" s="18"/>
      <c r="G327" s="18"/>
      <c r="H327" s="41"/>
      <c r="J327" s="18"/>
      <c r="K327" s="18"/>
      <c r="L327" s="18"/>
      <c r="M327" s="18"/>
      <c r="N327" s="18"/>
    </row>
    <row r="328" spans="4:14" ht="14.1" customHeight="1" x14ac:dyDescent="0.2">
      <c r="D328" s="18"/>
      <c r="E328" s="18"/>
      <c r="G328" s="18"/>
      <c r="H328" s="41"/>
      <c r="J328" s="18"/>
      <c r="K328" s="18"/>
      <c r="L328" s="18"/>
      <c r="M328" s="18"/>
      <c r="N328" s="18"/>
    </row>
    <row r="329" spans="4:14" ht="14.1" customHeight="1" x14ac:dyDescent="0.2">
      <c r="D329" s="18"/>
      <c r="E329" s="18"/>
      <c r="G329" s="18"/>
      <c r="H329" s="41"/>
      <c r="J329" s="18"/>
      <c r="K329" s="18"/>
      <c r="L329" s="18"/>
      <c r="M329" s="18"/>
      <c r="N329" s="18"/>
    </row>
    <row r="330" spans="4:14" ht="14.1" customHeight="1" x14ac:dyDescent="0.2">
      <c r="D330" s="18"/>
      <c r="E330" s="18"/>
      <c r="G330" s="18"/>
      <c r="H330" s="41"/>
      <c r="J330" s="18"/>
      <c r="K330" s="18"/>
      <c r="L330" s="18"/>
      <c r="M330" s="18"/>
      <c r="N330" s="18"/>
    </row>
    <row r="331" spans="4:14" ht="14.1" customHeight="1" x14ac:dyDescent="0.2">
      <c r="D331" s="18"/>
      <c r="E331" s="18"/>
      <c r="G331" s="18"/>
      <c r="H331" s="41"/>
      <c r="J331" s="18"/>
      <c r="K331" s="18"/>
      <c r="L331" s="18"/>
      <c r="M331" s="18"/>
      <c r="N331" s="18"/>
    </row>
    <row r="332" spans="4:14" ht="14.1" customHeight="1" x14ac:dyDescent="0.2">
      <c r="D332" s="18"/>
      <c r="E332" s="18"/>
      <c r="G332" s="18"/>
      <c r="H332" s="41"/>
      <c r="J332" s="18"/>
      <c r="K332" s="18"/>
      <c r="L332" s="18"/>
      <c r="M332" s="18"/>
      <c r="N332" s="18"/>
    </row>
    <row r="333" spans="4:14" ht="14.1" customHeight="1" x14ac:dyDescent="0.2">
      <c r="D333" s="18"/>
      <c r="E333" s="18"/>
      <c r="G333" s="18"/>
      <c r="H333" s="41"/>
      <c r="J333" s="18"/>
      <c r="K333" s="18"/>
      <c r="L333" s="18"/>
      <c r="M333" s="18"/>
      <c r="N333" s="18"/>
    </row>
    <row r="334" spans="4:14" ht="14.1" customHeight="1" x14ac:dyDescent="0.2">
      <c r="D334" s="18"/>
      <c r="E334" s="18"/>
      <c r="G334" s="18"/>
      <c r="H334" s="41"/>
      <c r="J334" s="18"/>
      <c r="K334" s="18"/>
      <c r="L334" s="18"/>
      <c r="M334" s="18"/>
      <c r="N334" s="18"/>
    </row>
    <row r="335" spans="4:14" ht="14.1" customHeight="1" x14ac:dyDescent="0.2">
      <c r="D335" s="18"/>
      <c r="E335" s="18"/>
      <c r="G335" s="18"/>
      <c r="H335" s="41"/>
      <c r="J335" s="18"/>
      <c r="K335" s="18"/>
      <c r="L335" s="18"/>
      <c r="M335" s="18"/>
      <c r="N335" s="18"/>
    </row>
    <row r="336" spans="4:14" ht="14.1" customHeight="1" x14ac:dyDescent="0.2">
      <c r="D336" s="18"/>
      <c r="E336" s="18"/>
      <c r="G336" s="18"/>
      <c r="H336" s="41"/>
      <c r="J336" s="18"/>
      <c r="K336" s="18"/>
      <c r="L336" s="18"/>
      <c r="M336" s="18"/>
      <c r="N336" s="18"/>
    </row>
    <row r="337" spans="4:14" ht="14.1" customHeight="1" x14ac:dyDescent="0.2">
      <c r="D337" s="18"/>
      <c r="E337" s="18"/>
      <c r="G337" s="18"/>
      <c r="H337" s="41"/>
      <c r="J337" s="18"/>
      <c r="K337" s="18"/>
      <c r="L337" s="18"/>
      <c r="M337" s="18"/>
      <c r="N337" s="18"/>
    </row>
    <row r="338" spans="4:14" ht="14.1" customHeight="1" x14ac:dyDescent="0.2">
      <c r="D338" s="18"/>
      <c r="E338" s="18"/>
      <c r="G338" s="18"/>
      <c r="H338" s="41"/>
      <c r="J338" s="18"/>
      <c r="K338" s="18"/>
      <c r="L338" s="18"/>
      <c r="M338" s="18"/>
      <c r="N338" s="18"/>
    </row>
    <row r="339" spans="4:14" ht="14.1" customHeight="1" x14ac:dyDescent="0.2">
      <c r="D339" s="18"/>
      <c r="E339" s="18"/>
      <c r="G339" s="18"/>
      <c r="H339" s="41"/>
      <c r="J339" s="18"/>
      <c r="K339" s="18"/>
      <c r="L339" s="18"/>
      <c r="M339" s="18"/>
      <c r="N339" s="18"/>
    </row>
    <row r="340" spans="4:14" ht="14.1" customHeight="1" x14ac:dyDescent="0.2">
      <c r="D340" s="18"/>
      <c r="E340" s="18"/>
      <c r="G340" s="18"/>
      <c r="H340" s="41"/>
      <c r="J340" s="18"/>
      <c r="K340" s="18"/>
      <c r="L340" s="18"/>
      <c r="M340" s="18"/>
      <c r="N340" s="18"/>
    </row>
    <row r="341" spans="4:14" ht="14.1" customHeight="1" x14ac:dyDescent="0.2">
      <c r="D341" s="18"/>
      <c r="E341" s="18"/>
      <c r="G341" s="18"/>
      <c r="H341" s="41"/>
      <c r="J341" s="18"/>
      <c r="K341" s="18"/>
      <c r="L341" s="18"/>
      <c r="M341" s="18"/>
      <c r="N341" s="18"/>
    </row>
    <row r="342" spans="4:14" ht="14.1" customHeight="1" x14ac:dyDescent="0.2">
      <c r="D342" s="18"/>
      <c r="E342" s="18"/>
      <c r="G342" s="18"/>
      <c r="H342" s="41"/>
      <c r="J342" s="18"/>
      <c r="K342" s="18"/>
      <c r="L342" s="18"/>
      <c r="M342" s="18"/>
      <c r="N342" s="18"/>
    </row>
    <row r="343" spans="4:14" ht="14.1" customHeight="1" x14ac:dyDescent="0.2">
      <c r="D343" s="18"/>
      <c r="E343" s="18"/>
      <c r="G343" s="18"/>
      <c r="H343" s="41"/>
      <c r="J343" s="18"/>
      <c r="K343" s="18"/>
      <c r="L343" s="18"/>
      <c r="M343" s="18"/>
      <c r="N343" s="18"/>
    </row>
    <row r="344" spans="4:14" ht="14.1" customHeight="1" x14ac:dyDescent="0.2">
      <c r="D344" s="18"/>
      <c r="E344" s="18"/>
      <c r="G344" s="18"/>
      <c r="H344" s="41"/>
      <c r="J344" s="18"/>
      <c r="K344" s="18"/>
      <c r="L344" s="18"/>
      <c r="M344" s="18"/>
      <c r="N344" s="18"/>
    </row>
    <row r="345" spans="4:14" ht="14.1" customHeight="1" x14ac:dyDescent="0.2">
      <c r="D345" s="18"/>
      <c r="E345" s="18"/>
      <c r="G345" s="18"/>
      <c r="H345" s="41"/>
      <c r="K345" s="18"/>
      <c r="L345" s="18"/>
      <c r="M345" s="18"/>
      <c r="N345" s="18"/>
    </row>
    <row r="346" spans="4:14" ht="14.1" customHeight="1" x14ac:dyDescent="0.2">
      <c r="D346" s="18"/>
      <c r="E346" s="18"/>
      <c r="G346" s="18"/>
      <c r="H346" s="41"/>
      <c r="K346" s="18"/>
      <c r="L346" s="18"/>
      <c r="M346" s="18"/>
      <c r="N346" s="18"/>
    </row>
    <row r="347" spans="4:14" ht="14.1" customHeight="1" x14ac:dyDescent="0.2">
      <c r="D347" s="18"/>
      <c r="E347" s="18"/>
      <c r="G347" s="18"/>
      <c r="H347" s="41"/>
      <c r="K347" s="18"/>
      <c r="L347" s="18"/>
      <c r="M347" s="18"/>
      <c r="N347" s="18"/>
    </row>
    <row r="348" spans="4:14" ht="14.1" customHeight="1" x14ac:dyDescent="0.2">
      <c r="D348" s="18"/>
      <c r="E348" s="18"/>
      <c r="G348" s="18"/>
      <c r="H348" s="41"/>
      <c r="N348" s="18"/>
    </row>
    <row r="349" spans="4:14" ht="14.1" customHeight="1" x14ac:dyDescent="0.2">
      <c r="D349" s="18"/>
      <c r="E349" s="18"/>
      <c r="G349" s="18"/>
      <c r="H349" s="41"/>
      <c r="N349" s="18"/>
    </row>
    <row r="350" spans="4:14" ht="14.1" customHeight="1" x14ac:dyDescent="0.2">
      <c r="D350" s="18"/>
      <c r="E350" s="18"/>
      <c r="G350" s="18"/>
      <c r="H350" s="41"/>
      <c r="N350" s="18"/>
    </row>
    <row r="351" spans="4:14" ht="14.1" customHeight="1" x14ac:dyDescent="0.2">
      <c r="D351" s="18"/>
      <c r="E351" s="18"/>
      <c r="G351" s="18"/>
      <c r="H351" s="41"/>
      <c r="N351" s="18"/>
    </row>
    <row r="352" spans="4:14" ht="14.1" customHeight="1" x14ac:dyDescent="0.2">
      <c r="D352" s="18"/>
      <c r="E352" s="18"/>
      <c r="G352" s="18"/>
      <c r="H352" s="41"/>
      <c r="N352" s="18"/>
    </row>
    <row r="353" spans="4:8" ht="14.1" customHeight="1" x14ac:dyDescent="0.2">
      <c r="D353" s="18"/>
      <c r="E353" s="18"/>
      <c r="G353" s="18"/>
      <c r="H353" s="41"/>
    </row>
    <row r="354" spans="4:8" ht="14.1" customHeight="1" x14ac:dyDescent="0.2">
      <c r="D354" s="18"/>
      <c r="E354" s="18"/>
      <c r="G354" s="18"/>
      <c r="H354" s="41"/>
    </row>
    <row r="355" spans="4:8" ht="14.1" customHeight="1" x14ac:dyDescent="0.2">
      <c r="D355" s="18"/>
      <c r="E355" s="18"/>
      <c r="G355" s="18"/>
      <c r="H355" s="41"/>
    </row>
    <row r="356" spans="4:8" ht="14.1" customHeight="1" x14ac:dyDescent="0.2">
      <c r="D356" s="18"/>
      <c r="E356" s="18"/>
      <c r="G356" s="18"/>
      <c r="H356" s="41"/>
    </row>
    <row r="357" spans="4:8" ht="14.1" customHeight="1" x14ac:dyDescent="0.2">
      <c r="D357" s="18"/>
      <c r="E357" s="18"/>
      <c r="G357" s="18"/>
      <c r="H357" s="41"/>
    </row>
    <row r="358" spans="4:8" ht="14.1" customHeight="1" x14ac:dyDescent="0.2">
      <c r="D358" s="18"/>
      <c r="E358" s="18"/>
      <c r="G358" s="18"/>
      <c r="H358" s="41"/>
    </row>
    <row r="359" spans="4:8" ht="14.1" customHeight="1" x14ac:dyDescent="0.2">
      <c r="D359" s="18"/>
      <c r="E359" s="18"/>
      <c r="G359" s="18"/>
      <c r="H359" s="41"/>
    </row>
    <row r="360" spans="4:8" ht="14.1" customHeight="1" x14ac:dyDescent="0.2">
      <c r="D360" s="18"/>
      <c r="E360" s="18"/>
      <c r="G360" s="18"/>
      <c r="H360" s="41"/>
    </row>
    <row r="361" spans="4:8" ht="14.1" customHeight="1" x14ac:dyDescent="0.2">
      <c r="D361" s="18"/>
      <c r="E361" s="18"/>
      <c r="G361" s="18"/>
      <c r="H361" s="41"/>
    </row>
    <row r="362" spans="4:8" ht="14.1" customHeight="1" x14ac:dyDescent="0.2">
      <c r="D362" s="18"/>
      <c r="E362" s="18"/>
      <c r="G362" s="18"/>
      <c r="H362" s="41"/>
    </row>
    <row r="363" spans="4:8" ht="14.1" customHeight="1" x14ac:dyDescent="0.2">
      <c r="D363" s="18"/>
      <c r="E363" s="18"/>
      <c r="G363" s="18"/>
      <c r="H363" s="41"/>
    </row>
    <row r="364" spans="4:8" ht="14.1" customHeight="1" x14ac:dyDescent="0.2">
      <c r="D364" s="18"/>
      <c r="E364" s="18"/>
      <c r="G364" s="18"/>
      <c r="H364" s="41"/>
    </row>
    <row r="365" spans="4:8" ht="14.1" customHeight="1" x14ac:dyDescent="0.2">
      <c r="D365" s="18"/>
      <c r="E365" s="18"/>
      <c r="G365" s="18"/>
      <c r="H365" s="41"/>
    </row>
    <row r="366" spans="4:8" ht="14.1" customHeight="1" x14ac:dyDescent="0.2">
      <c r="D366" s="18"/>
      <c r="E366" s="18"/>
      <c r="G366" s="18"/>
      <c r="H366" s="41"/>
    </row>
    <row r="367" spans="4:8" ht="14.1" customHeight="1" x14ac:dyDescent="0.2">
      <c r="D367" s="18"/>
      <c r="E367" s="18"/>
      <c r="G367" s="18"/>
      <c r="H367" s="41"/>
    </row>
    <row r="368" spans="4:8" ht="14.1" customHeight="1" x14ac:dyDescent="0.2">
      <c r="D368" s="18"/>
      <c r="E368" s="18"/>
      <c r="G368" s="18"/>
      <c r="H368" s="41"/>
    </row>
    <row r="369" spans="4:8" ht="14.1" customHeight="1" x14ac:dyDescent="0.2">
      <c r="D369" s="18"/>
      <c r="E369" s="18"/>
      <c r="G369" s="18"/>
      <c r="H369" s="41"/>
    </row>
    <row r="370" spans="4:8" ht="14.1" customHeight="1" x14ac:dyDescent="0.2">
      <c r="D370" s="18"/>
      <c r="E370" s="18"/>
      <c r="G370" s="18"/>
      <c r="H370" s="41"/>
    </row>
    <row r="371" spans="4:8" ht="14.1" customHeight="1" x14ac:dyDescent="0.2">
      <c r="D371" s="18"/>
      <c r="E371" s="18"/>
      <c r="G371" s="18"/>
      <c r="H371" s="41"/>
    </row>
    <row r="372" spans="4:8" ht="14.1" customHeight="1" x14ac:dyDescent="0.2">
      <c r="D372" s="18"/>
      <c r="E372" s="18"/>
      <c r="G372" s="18"/>
    </row>
    <row r="373" spans="4:8" ht="14.1" customHeight="1" x14ac:dyDescent="0.2">
      <c r="D373" s="18"/>
      <c r="E373" s="18"/>
      <c r="G373" s="18"/>
    </row>
    <row r="374" spans="4:8" ht="14.1" customHeight="1" x14ac:dyDescent="0.2">
      <c r="D374" s="18"/>
      <c r="E374" s="18"/>
      <c r="G374" s="18"/>
    </row>
    <row r="375" spans="4:8" ht="14.1" customHeight="1" x14ac:dyDescent="0.2">
      <c r="D375" s="18"/>
      <c r="E375" s="18"/>
      <c r="G375" s="18"/>
    </row>
    <row r="376" spans="4:8" ht="14.1" customHeight="1" x14ac:dyDescent="0.2">
      <c r="D376" s="18"/>
      <c r="E376" s="18"/>
      <c r="G376" s="18"/>
    </row>
    <row r="377" spans="4:8" ht="14.1" customHeight="1" x14ac:dyDescent="0.2">
      <c r="D377" s="18"/>
      <c r="E377" s="18"/>
    </row>
    <row r="378" spans="4:8" ht="14.1" customHeight="1" x14ac:dyDescent="0.2">
      <c r="D378" s="18"/>
      <c r="E378" s="18"/>
    </row>
  </sheetData>
  <mergeCells count="30">
    <mergeCell ref="H8:H9"/>
    <mergeCell ref="B2:B3"/>
    <mergeCell ref="D5:D6"/>
    <mergeCell ref="C8:C9"/>
    <mergeCell ref="D8:F8"/>
    <mergeCell ref="G8:G9"/>
    <mergeCell ref="B84:B92"/>
    <mergeCell ref="A10:B10"/>
    <mergeCell ref="B14:B20"/>
    <mergeCell ref="A22:C22"/>
    <mergeCell ref="B42:B44"/>
    <mergeCell ref="B46:B48"/>
    <mergeCell ref="B50:B56"/>
    <mergeCell ref="B58:B64"/>
    <mergeCell ref="A66:C66"/>
    <mergeCell ref="B67:B69"/>
    <mergeCell ref="B71:B72"/>
    <mergeCell ref="B74:B82"/>
    <mergeCell ref="B94:B102"/>
    <mergeCell ref="A104:B104"/>
    <mergeCell ref="B105:B107"/>
    <mergeCell ref="B109:B113"/>
    <mergeCell ref="H110:H113"/>
    <mergeCell ref="J115:K115"/>
    <mergeCell ref="B116:B121"/>
    <mergeCell ref="I116:I122"/>
    <mergeCell ref="B123:B125"/>
    <mergeCell ref="B127:B130"/>
    <mergeCell ref="A115:B115"/>
    <mergeCell ref="G115:H115"/>
  </mergeCell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8"/>
  <sheetViews>
    <sheetView workbookViewId="0"/>
  </sheetViews>
  <sheetFormatPr defaultColWidth="10.85546875" defaultRowHeight="14.1" customHeight="1" x14ac:dyDescent="0.2"/>
  <cols>
    <col min="1" max="1" width="12.28515625" style="1" customWidth="1"/>
    <col min="2" max="2" width="18.85546875" style="1" customWidth="1"/>
    <col min="3" max="3" width="36.28515625" style="1" customWidth="1"/>
    <col min="4" max="4" width="16.28515625" style="1" customWidth="1"/>
    <col min="5" max="5" width="15.7109375" style="1" customWidth="1"/>
    <col min="6" max="6" width="14.28515625" style="1" customWidth="1"/>
    <col min="7" max="7" width="16" style="1" customWidth="1"/>
    <col min="8" max="8" width="60" style="48" customWidth="1"/>
    <col min="9" max="9" width="11.42578125" style="1" customWidth="1"/>
    <col min="10" max="12" width="10.85546875" style="1"/>
    <col min="13" max="14" width="10.85546875" style="1" customWidth="1"/>
    <col min="15" max="16384" width="10.85546875" style="1"/>
  </cols>
  <sheetData>
    <row r="1" spans="1:14" ht="14.1" customHeight="1" x14ac:dyDescent="0.2">
      <c r="K1" s="3"/>
    </row>
    <row r="2" spans="1:14" ht="14.1" customHeight="1" x14ac:dyDescent="0.2">
      <c r="B2" s="209" t="s">
        <v>101</v>
      </c>
      <c r="C2" s="63" t="s">
        <v>17</v>
      </c>
      <c r="D2" s="72">
        <f>D125</f>
        <v>66588.10394931538</v>
      </c>
      <c r="E2" s="72">
        <f>E125</f>
        <v>18670.198077634835</v>
      </c>
      <c r="F2" s="73">
        <f>F125</f>
        <v>4046.7294534995981</v>
      </c>
      <c r="K2" s="3"/>
    </row>
    <row r="3" spans="1:14" ht="14.1" customHeight="1" x14ac:dyDescent="0.2">
      <c r="B3" s="209"/>
      <c r="C3" s="64" t="s">
        <v>180</v>
      </c>
      <c r="D3" s="67">
        <f>D130</f>
        <v>0.39405687268063111</v>
      </c>
      <c r="E3" s="68">
        <f>E130</f>
        <v>1.4054216185007959</v>
      </c>
      <c r="F3" s="69">
        <f>F130</f>
        <v>6.4841250944780029</v>
      </c>
      <c r="K3" s="27"/>
      <c r="L3" s="27"/>
      <c r="M3" s="27"/>
      <c r="N3" s="27"/>
    </row>
    <row r="4" spans="1:14" ht="14.1" customHeight="1" x14ac:dyDescent="0.2">
      <c r="B4" s="190"/>
      <c r="C4" s="65" t="s">
        <v>182</v>
      </c>
      <c r="D4" s="70">
        <f>D128</f>
        <v>3.311402291433875E-2</v>
      </c>
      <c r="E4" s="70">
        <f>E128</f>
        <v>0.11810265701687361</v>
      </c>
      <c r="F4" s="71">
        <f>F128</f>
        <v>0.5448844617208406</v>
      </c>
      <c r="K4" s="27"/>
      <c r="L4" s="27"/>
      <c r="M4" s="27"/>
      <c r="N4" s="27"/>
    </row>
    <row r="5" spans="1:14" ht="14.1" customHeight="1" x14ac:dyDescent="0.2">
      <c r="C5" s="24"/>
      <c r="D5" s="210" t="s">
        <v>102</v>
      </c>
      <c r="E5" s="52"/>
      <c r="F5" s="53"/>
      <c r="G5" s="2"/>
      <c r="H5" s="22" t="s">
        <v>100</v>
      </c>
      <c r="I5" s="25"/>
      <c r="J5" s="25"/>
      <c r="K5" s="5"/>
      <c r="L5" s="7"/>
      <c r="M5" s="7"/>
      <c r="N5" s="7"/>
    </row>
    <row r="6" spans="1:14" ht="14.1" customHeight="1" x14ac:dyDescent="0.2">
      <c r="C6" s="24"/>
      <c r="D6" s="210"/>
      <c r="E6" s="13"/>
      <c r="F6" s="14"/>
      <c r="G6" s="21"/>
      <c r="H6" s="23" t="s">
        <v>271</v>
      </c>
      <c r="I6" s="25"/>
      <c r="J6" s="25"/>
      <c r="K6" s="28"/>
      <c r="L6" s="7"/>
      <c r="M6" s="7"/>
      <c r="N6" s="7"/>
    </row>
    <row r="7" spans="1:14" ht="14.1" customHeight="1" x14ac:dyDescent="0.2">
      <c r="I7" s="25"/>
      <c r="K7" s="28"/>
      <c r="L7" s="7"/>
      <c r="M7" s="7"/>
      <c r="N7" s="7"/>
    </row>
    <row r="8" spans="1:14" ht="14.1" customHeight="1" x14ac:dyDescent="0.2">
      <c r="B8" s="3"/>
      <c r="C8" s="213" t="s">
        <v>7</v>
      </c>
      <c r="D8" s="213" t="s">
        <v>9</v>
      </c>
      <c r="E8" s="214"/>
      <c r="F8" s="215"/>
      <c r="G8" s="215" t="s">
        <v>1</v>
      </c>
      <c r="H8" s="211" t="s">
        <v>0</v>
      </c>
      <c r="K8" s="28"/>
      <c r="L8" s="7"/>
      <c r="M8" s="7"/>
      <c r="N8" s="7"/>
    </row>
    <row r="9" spans="1:14" ht="14.1" customHeight="1" x14ac:dyDescent="0.2">
      <c r="A9" s="46"/>
      <c r="B9" s="46"/>
      <c r="C9" s="216"/>
      <c r="D9" s="74" t="s">
        <v>80</v>
      </c>
      <c r="E9" s="75" t="s">
        <v>98</v>
      </c>
      <c r="F9" s="76" t="s">
        <v>99</v>
      </c>
      <c r="G9" s="217"/>
      <c r="H9" s="212"/>
      <c r="K9" s="28"/>
      <c r="L9" s="7"/>
      <c r="M9" s="7"/>
      <c r="N9" s="7"/>
    </row>
    <row r="10" spans="1:14" ht="14.1" customHeight="1" x14ac:dyDescent="0.2">
      <c r="A10" s="218" t="s">
        <v>194</v>
      </c>
      <c r="B10" s="218"/>
      <c r="C10" s="43"/>
      <c r="D10" s="44"/>
      <c r="E10" s="44"/>
      <c r="F10" s="44"/>
      <c r="G10" s="43"/>
      <c r="H10" s="45"/>
      <c r="K10" s="28"/>
      <c r="L10" s="7"/>
      <c r="M10" s="7"/>
      <c r="N10" s="7"/>
    </row>
    <row r="11" spans="1:14" ht="14.1" customHeight="1" x14ac:dyDescent="0.2">
      <c r="A11" s="191"/>
      <c r="B11" s="191"/>
      <c r="C11" s="25" t="s">
        <v>128</v>
      </c>
      <c r="D11" s="77">
        <v>4.2500000000000003E-2</v>
      </c>
      <c r="E11" s="77">
        <v>4.2500000000000003E-2</v>
      </c>
      <c r="F11" s="77">
        <v>4.2500000000000003E-2</v>
      </c>
      <c r="G11" s="37" t="s">
        <v>129</v>
      </c>
      <c r="H11" s="37" t="s">
        <v>181</v>
      </c>
      <c r="K11" s="28"/>
      <c r="L11" s="7"/>
      <c r="M11" s="7"/>
      <c r="N11" s="7"/>
    </row>
    <row r="12" spans="1:14" ht="14.1" customHeight="1" x14ac:dyDescent="0.2">
      <c r="A12" s="191"/>
      <c r="B12" s="191"/>
      <c r="C12" s="43"/>
      <c r="D12" s="195"/>
      <c r="E12" s="195"/>
      <c r="F12" s="195"/>
      <c r="G12" s="103"/>
      <c r="H12" s="103"/>
      <c r="I12" s="1" t="s">
        <v>92</v>
      </c>
      <c r="K12" s="28"/>
      <c r="L12" s="7"/>
      <c r="M12" s="7"/>
      <c r="N12" s="7"/>
    </row>
    <row r="13" spans="1:14" ht="14.1" customHeight="1" x14ac:dyDescent="0.2">
      <c r="A13" s="191" t="s">
        <v>210</v>
      </c>
      <c r="B13" s="191"/>
      <c r="C13" s="43"/>
      <c r="D13" s="195"/>
      <c r="E13" s="195"/>
      <c r="F13" s="195"/>
      <c r="G13" s="103"/>
      <c r="H13" s="103"/>
      <c r="K13" s="28"/>
      <c r="L13" s="7"/>
      <c r="M13" s="7"/>
      <c r="N13" s="7"/>
    </row>
    <row r="14" spans="1:14" ht="14.1" customHeight="1" x14ac:dyDescent="0.2">
      <c r="B14" s="206" t="s">
        <v>118</v>
      </c>
      <c r="C14" s="33" t="s">
        <v>18</v>
      </c>
      <c r="D14" s="81">
        <f>0.85*E14</f>
        <v>0.54400000000000004</v>
      </c>
      <c r="E14" s="82">
        <v>0.64</v>
      </c>
      <c r="F14" s="83">
        <f>1.15*E14</f>
        <v>0.73599999999999999</v>
      </c>
      <c r="G14" s="48" t="s">
        <v>138</v>
      </c>
      <c r="H14" s="188" t="s">
        <v>279</v>
      </c>
      <c r="K14" s="28"/>
      <c r="L14" s="7"/>
      <c r="M14" s="7"/>
      <c r="N14" s="7"/>
    </row>
    <row r="15" spans="1:14" ht="14.1" customHeight="1" x14ac:dyDescent="0.2">
      <c r="B15" s="206"/>
      <c r="C15" s="59" t="s">
        <v>273</v>
      </c>
      <c r="D15" s="32">
        <v>300</v>
      </c>
      <c r="E15" s="32">
        <f>D15</f>
        <v>300</v>
      </c>
      <c r="F15" s="32">
        <f>D15</f>
        <v>300</v>
      </c>
      <c r="G15" s="112" t="s">
        <v>276</v>
      </c>
      <c r="H15" s="112" t="s">
        <v>275</v>
      </c>
      <c r="K15" s="28"/>
      <c r="L15" s="7"/>
      <c r="M15" s="7"/>
      <c r="N15" s="7"/>
    </row>
    <row r="16" spans="1:14" ht="14.1" customHeight="1" x14ac:dyDescent="0.2">
      <c r="B16" s="206"/>
      <c r="C16" s="59" t="s">
        <v>284</v>
      </c>
      <c r="D16" s="184">
        <f>1000/D15</f>
        <v>3.3333333333333335</v>
      </c>
      <c r="E16" s="184">
        <f t="shared" ref="E16:F16" si="0">1000/E15</f>
        <v>3.3333333333333335</v>
      </c>
      <c r="F16" s="184">
        <f t="shared" si="0"/>
        <v>3.3333333333333335</v>
      </c>
      <c r="G16" s="112" t="s">
        <v>138</v>
      </c>
      <c r="H16" s="112" t="s">
        <v>286</v>
      </c>
      <c r="K16" s="28"/>
      <c r="L16" s="7"/>
      <c r="M16" s="7"/>
      <c r="N16" s="7"/>
    </row>
    <row r="17" spans="1:14" ht="14.1" customHeight="1" x14ac:dyDescent="0.2">
      <c r="B17" s="206"/>
      <c r="C17" s="59" t="s">
        <v>285</v>
      </c>
      <c r="D17" s="107">
        <f>10000/D15</f>
        <v>33.333333333333336</v>
      </c>
      <c r="E17" s="107">
        <f t="shared" ref="E17:F17" si="1">10000/E15</f>
        <v>33.333333333333336</v>
      </c>
      <c r="F17" s="107">
        <f t="shared" si="1"/>
        <v>33.333333333333336</v>
      </c>
      <c r="G17" s="112" t="s">
        <v>138</v>
      </c>
      <c r="H17" s="112" t="s">
        <v>274</v>
      </c>
      <c r="K17" s="28"/>
      <c r="L17" s="7"/>
      <c r="M17" s="7"/>
      <c r="N17" s="7"/>
    </row>
    <row r="18" spans="1:14" ht="14.1" customHeight="1" x14ac:dyDescent="0.2">
      <c r="B18" s="206"/>
      <c r="C18" s="59" t="s">
        <v>287</v>
      </c>
      <c r="D18" s="107">
        <f>D16/D14</f>
        <v>6.1274509803921564</v>
      </c>
      <c r="E18" s="107">
        <f t="shared" ref="E18:F18" si="2">E16/E14</f>
        <v>5.208333333333333</v>
      </c>
      <c r="F18" s="107">
        <f t="shared" si="2"/>
        <v>4.5289855072463769</v>
      </c>
      <c r="G18" s="48" t="s">
        <v>12</v>
      </c>
      <c r="K18" s="28"/>
      <c r="L18" s="7"/>
      <c r="M18" s="7"/>
      <c r="N18" s="7"/>
    </row>
    <row r="19" spans="1:14" ht="14.1" customHeight="1" x14ac:dyDescent="0.2">
      <c r="B19" s="206"/>
      <c r="C19" s="59" t="s">
        <v>288</v>
      </c>
      <c r="D19" s="185">
        <f>D17/D14</f>
        <v>61.274509803921568</v>
      </c>
      <c r="E19" s="185">
        <f t="shared" ref="E19:F19" si="3">E17/E14</f>
        <v>52.083333333333336</v>
      </c>
      <c r="F19" s="185">
        <f t="shared" si="3"/>
        <v>45.289855072463773</v>
      </c>
      <c r="G19" s="48" t="s">
        <v>12</v>
      </c>
      <c r="K19" s="28"/>
      <c r="L19" s="7"/>
      <c r="M19" s="7"/>
      <c r="N19" s="7"/>
    </row>
    <row r="20" spans="1:14" ht="14.1" customHeight="1" x14ac:dyDescent="0.2">
      <c r="B20" s="206"/>
      <c r="C20" s="196" t="s">
        <v>119</v>
      </c>
      <c r="D20" s="108">
        <f>D28*D19+D29*D16</f>
        <v>37113.039215686273</v>
      </c>
      <c r="E20" s="108">
        <f>E28*E19+E29*E16</f>
        <v>31754.583333333336</v>
      </c>
      <c r="F20" s="108">
        <f>F28*F19+F29*F16</f>
        <v>32702.89855072464</v>
      </c>
      <c r="G20" s="116" t="s">
        <v>12</v>
      </c>
      <c r="H20" s="48" t="s">
        <v>211</v>
      </c>
      <c r="K20" s="28"/>
      <c r="L20" s="7"/>
      <c r="M20" s="7"/>
      <c r="N20" s="7"/>
    </row>
    <row r="21" spans="1:14" ht="14.1" customHeight="1" x14ac:dyDescent="0.2">
      <c r="B21" s="187"/>
      <c r="C21" s="187"/>
      <c r="D21" s="187"/>
      <c r="E21" s="187"/>
      <c r="F21" s="187"/>
      <c r="G21" s="187"/>
      <c r="K21" s="28"/>
      <c r="L21" s="7"/>
      <c r="M21" s="7"/>
      <c r="N21" s="7"/>
    </row>
    <row r="22" spans="1:14" ht="14.1" customHeight="1" x14ac:dyDescent="0.2">
      <c r="A22" s="218" t="s">
        <v>151</v>
      </c>
      <c r="B22" s="218"/>
      <c r="C22" s="218"/>
      <c r="D22" s="61"/>
      <c r="E22" s="61"/>
      <c r="F22" s="61"/>
      <c r="G22" s="48"/>
      <c r="K22" s="28"/>
      <c r="L22" s="7"/>
      <c r="M22" s="7"/>
      <c r="N22" s="7"/>
    </row>
    <row r="23" spans="1:14" ht="14.1" customHeight="1" x14ac:dyDescent="0.2">
      <c r="B23" s="187" t="s">
        <v>5</v>
      </c>
      <c r="C23" s="33" t="s">
        <v>10</v>
      </c>
      <c r="D23" s="60">
        <v>1000</v>
      </c>
      <c r="E23" s="60">
        <v>1000</v>
      </c>
      <c r="F23" s="60">
        <v>1000</v>
      </c>
      <c r="G23" s="192" t="s">
        <v>11</v>
      </c>
      <c r="H23" s="48" t="s">
        <v>195</v>
      </c>
      <c r="K23" s="28"/>
      <c r="L23" s="7"/>
      <c r="M23" s="7"/>
      <c r="N23" s="7"/>
    </row>
    <row r="24" spans="1:14" ht="14.1" customHeight="1" x14ac:dyDescent="0.2">
      <c r="B24" s="187"/>
      <c r="C24" s="33" t="s">
        <v>300</v>
      </c>
      <c r="D24" s="81">
        <f>E24</f>
        <v>0.58299999999999996</v>
      </c>
      <c r="E24" s="179">
        <v>0.58299999999999996</v>
      </c>
      <c r="F24" s="83">
        <v>0.7</v>
      </c>
      <c r="G24" s="192"/>
      <c r="K24" s="28"/>
      <c r="L24" s="7"/>
      <c r="M24" s="7"/>
      <c r="N24" s="7"/>
    </row>
    <row r="25" spans="1:14" ht="14.1" customHeight="1" x14ac:dyDescent="0.2">
      <c r="B25" s="187"/>
      <c r="C25" s="59" t="s">
        <v>20</v>
      </c>
      <c r="D25" s="204">
        <v>1</v>
      </c>
      <c r="E25" s="204">
        <v>1</v>
      </c>
      <c r="F25" s="204">
        <v>1</v>
      </c>
      <c r="G25" s="48" t="s">
        <v>302</v>
      </c>
      <c r="H25" s="112" t="s">
        <v>134</v>
      </c>
      <c r="K25" s="28"/>
      <c r="L25" s="7"/>
      <c r="M25" s="7"/>
      <c r="N25" s="7"/>
    </row>
    <row r="26" spans="1:14" ht="14.1" customHeight="1" x14ac:dyDescent="0.2">
      <c r="B26" s="187"/>
      <c r="C26" s="59" t="s">
        <v>19</v>
      </c>
      <c r="D26" s="204">
        <v>1</v>
      </c>
      <c r="E26" s="204">
        <v>1</v>
      </c>
      <c r="F26" s="204">
        <v>1</v>
      </c>
      <c r="G26" s="48" t="s">
        <v>302</v>
      </c>
      <c r="H26" s="112" t="s">
        <v>303</v>
      </c>
      <c r="K26" s="28"/>
      <c r="L26" s="7"/>
      <c r="M26" s="7"/>
      <c r="N26" s="7"/>
    </row>
    <row r="27" spans="1:14" ht="14.1" customHeight="1" x14ac:dyDescent="0.2">
      <c r="B27" s="187"/>
      <c r="C27" s="33" t="s">
        <v>301</v>
      </c>
      <c r="D27" s="81">
        <f>D24*D25*D26</f>
        <v>0.58299999999999996</v>
      </c>
      <c r="E27" s="179">
        <f>E24*E25*E26</f>
        <v>0.58299999999999996</v>
      </c>
      <c r="F27" s="83">
        <f>F24*F25*F26</f>
        <v>0.7</v>
      </c>
      <c r="G27" s="188" t="s">
        <v>196</v>
      </c>
      <c r="H27" s="112" t="s">
        <v>278</v>
      </c>
      <c r="K27" s="28"/>
      <c r="L27" s="7"/>
      <c r="M27" s="7"/>
      <c r="N27" s="7"/>
    </row>
    <row r="28" spans="1:14" ht="14.1" customHeight="1" x14ac:dyDescent="0.2">
      <c r="B28" s="187"/>
      <c r="C28" s="33" t="s">
        <v>2</v>
      </c>
      <c r="D28" s="78">
        <f>D23*D27</f>
        <v>583</v>
      </c>
      <c r="E28" s="78">
        <f>E23*E27</f>
        <v>583</v>
      </c>
      <c r="F28" s="78">
        <f>F23*F27</f>
        <v>700</v>
      </c>
      <c r="G28" s="48" t="s">
        <v>12</v>
      </c>
      <c r="K28" s="28"/>
      <c r="L28" s="7"/>
      <c r="M28" s="7"/>
      <c r="N28" s="7"/>
    </row>
    <row r="29" spans="1:14" ht="14.1" customHeight="1" x14ac:dyDescent="0.2">
      <c r="B29" s="187"/>
      <c r="C29" s="33" t="s">
        <v>3</v>
      </c>
      <c r="D29" s="60">
        <f>D23-(D23*D27)</f>
        <v>417</v>
      </c>
      <c r="E29" s="60">
        <f>E23-(E23*E27)</f>
        <v>417</v>
      </c>
      <c r="F29" s="60">
        <f>F23-(F23*F27)</f>
        <v>300</v>
      </c>
      <c r="G29" s="48" t="s">
        <v>12</v>
      </c>
      <c r="K29" s="28"/>
      <c r="L29" s="7"/>
      <c r="M29" s="7"/>
      <c r="N29" s="7"/>
    </row>
    <row r="30" spans="1:14" ht="14.1" customHeight="1" x14ac:dyDescent="0.2">
      <c r="B30" s="187"/>
      <c r="C30" s="33"/>
      <c r="D30" s="60"/>
      <c r="E30" s="60"/>
      <c r="F30" s="60"/>
      <c r="G30" s="48"/>
      <c r="K30" s="28"/>
      <c r="L30" s="7"/>
      <c r="M30" s="7"/>
      <c r="N30" s="7"/>
    </row>
    <row r="31" spans="1:14" ht="14.1" customHeight="1" x14ac:dyDescent="0.2">
      <c r="B31" s="187"/>
      <c r="C31" s="33" t="s">
        <v>4</v>
      </c>
      <c r="D31" s="81">
        <v>4.1000000000000002E-2</v>
      </c>
      <c r="E31" s="82">
        <v>0.08</v>
      </c>
      <c r="F31" s="83">
        <v>0.18</v>
      </c>
      <c r="G31" s="48" t="s">
        <v>203</v>
      </c>
      <c r="H31" s="38" t="s">
        <v>202</v>
      </c>
      <c r="I31" s="1" t="s">
        <v>92</v>
      </c>
      <c r="K31" s="28"/>
      <c r="L31" s="7"/>
      <c r="M31" s="7"/>
      <c r="N31" s="7"/>
    </row>
    <row r="32" spans="1:14" ht="14.1" customHeight="1" x14ac:dyDescent="0.2">
      <c r="B32" s="187"/>
      <c r="C32" s="33" t="s">
        <v>91</v>
      </c>
      <c r="D32" s="80">
        <f>E32</f>
        <v>0.80503144654088055</v>
      </c>
      <c r="E32" s="80">
        <f>1-(4/318)/(20/310)</f>
        <v>0.80503144654088055</v>
      </c>
      <c r="F32" s="80">
        <f>E32</f>
        <v>0.80503144654088055</v>
      </c>
      <c r="G32" s="48" t="s">
        <v>88</v>
      </c>
      <c r="H32" s="38" t="s">
        <v>104</v>
      </c>
      <c r="K32" s="28"/>
      <c r="L32" s="7"/>
      <c r="M32" s="7"/>
      <c r="N32" s="7"/>
    </row>
    <row r="33" spans="2:14" ht="14.1" customHeight="1" x14ac:dyDescent="0.2">
      <c r="B33" s="187"/>
      <c r="C33" s="60" t="s">
        <v>20</v>
      </c>
      <c r="D33" s="81">
        <v>0.9</v>
      </c>
      <c r="E33" s="82">
        <v>0.9</v>
      </c>
      <c r="F33" s="83">
        <v>1</v>
      </c>
      <c r="G33" s="48" t="s">
        <v>89</v>
      </c>
      <c r="H33" s="188" t="s">
        <v>87</v>
      </c>
      <c r="I33" s="1" t="s">
        <v>92</v>
      </c>
      <c r="K33" s="28"/>
      <c r="L33" s="7"/>
      <c r="M33" s="7"/>
      <c r="N33" s="7"/>
    </row>
    <row r="34" spans="2:14" ht="14.1" customHeight="1" x14ac:dyDescent="0.2">
      <c r="B34" s="187"/>
      <c r="C34" s="60" t="s">
        <v>19</v>
      </c>
      <c r="D34" s="81">
        <v>0.5</v>
      </c>
      <c r="E34" s="82">
        <v>0.6</v>
      </c>
      <c r="F34" s="83">
        <v>0.8</v>
      </c>
      <c r="G34" s="48" t="s">
        <v>89</v>
      </c>
      <c r="H34" s="188" t="s">
        <v>90</v>
      </c>
      <c r="K34" s="28"/>
      <c r="L34" s="7"/>
      <c r="M34" s="7"/>
      <c r="N34" s="7"/>
    </row>
    <row r="35" spans="2:14" ht="14.1" customHeight="1" x14ac:dyDescent="0.2">
      <c r="B35" s="187"/>
      <c r="C35" s="33" t="s">
        <v>15</v>
      </c>
      <c r="D35" s="84">
        <f>D32*D34*D33</f>
        <v>0.36226415094339626</v>
      </c>
      <c r="E35" s="84">
        <f>E32*E34*E33</f>
        <v>0.43471698113207546</v>
      </c>
      <c r="F35" s="84">
        <f>F32*F34*F33</f>
        <v>0.64402515723270448</v>
      </c>
      <c r="G35" s="48" t="s">
        <v>12</v>
      </c>
      <c r="H35" s="188"/>
      <c r="K35" s="28"/>
      <c r="L35" s="7"/>
      <c r="M35" s="7"/>
      <c r="N35" s="7"/>
    </row>
    <row r="36" spans="2:14" ht="14.1" customHeight="1" x14ac:dyDescent="0.2">
      <c r="B36" s="187"/>
      <c r="C36" s="33" t="s">
        <v>93</v>
      </c>
      <c r="D36" s="84">
        <f>(1-D35)*D31</f>
        <v>2.6147169811320755E-2</v>
      </c>
      <c r="E36" s="84">
        <f>(1-E35)*E31</f>
        <v>4.5222641509433961E-2</v>
      </c>
      <c r="F36" s="84">
        <f>(1-F35)*F31</f>
        <v>6.4075471698113187E-2</v>
      </c>
      <c r="G36" s="48" t="s">
        <v>12</v>
      </c>
      <c r="H36" s="188" t="s">
        <v>94</v>
      </c>
      <c r="K36" s="28"/>
      <c r="L36" s="7"/>
      <c r="M36" s="7"/>
      <c r="N36" s="7"/>
    </row>
    <row r="37" spans="2:14" ht="14.1" customHeight="1" x14ac:dyDescent="0.2">
      <c r="B37" s="187"/>
      <c r="C37" s="33"/>
      <c r="D37" s="60"/>
      <c r="E37" s="60"/>
      <c r="F37" s="60"/>
      <c r="G37" s="48"/>
      <c r="K37" s="28"/>
      <c r="L37" s="7"/>
      <c r="M37" s="7"/>
      <c r="N37" s="7"/>
    </row>
    <row r="38" spans="2:14" ht="14.1" customHeight="1" x14ac:dyDescent="0.2">
      <c r="B38" s="187"/>
      <c r="C38" s="33" t="s">
        <v>95</v>
      </c>
      <c r="D38" s="85">
        <f>D28*D36</f>
        <v>15.2438</v>
      </c>
      <c r="E38" s="85">
        <f>E28*E36</f>
        <v>26.364799999999999</v>
      </c>
      <c r="F38" s="85">
        <f>F28*F36</f>
        <v>44.852830188679228</v>
      </c>
      <c r="G38" s="48" t="s">
        <v>12</v>
      </c>
      <c r="K38" s="28"/>
      <c r="L38" s="7"/>
      <c r="M38" s="7"/>
      <c r="N38" s="7"/>
    </row>
    <row r="39" spans="2:14" ht="14.1" customHeight="1" x14ac:dyDescent="0.2">
      <c r="B39" s="187"/>
      <c r="C39" s="33" t="s">
        <v>96</v>
      </c>
      <c r="D39" s="85">
        <f>D29*D31</f>
        <v>17.097000000000001</v>
      </c>
      <c r="E39" s="85">
        <f>E29*E31</f>
        <v>33.36</v>
      </c>
      <c r="F39" s="85">
        <f>F29*F31</f>
        <v>54</v>
      </c>
      <c r="G39" s="48" t="s">
        <v>12</v>
      </c>
      <c r="K39" s="28"/>
      <c r="L39" s="7"/>
      <c r="M39" s="7"/>
      <c r="N39" s="7"/>
    </row>
    <row r="40" spans="2:14" ht="14.1" customHeight="1" x14ac:dyDescent="0.2">
      <c r="B40" s="187"/>
      <c r="C40" s="33" t="s">
        <v>97</v>
      </c>
      <c r="D40" s="85">
        <f>D38+D39</f>
        <v>32.340800000000002</v>
      </c>
      <c r="E40" s="85">
        <f>E38+E39</f>
        <v>59.724800000000002</v>
      </c>
      <c r="F40" s="85">
        <f>F38+F39</f>
        <v>98.852830188679235</v>
      </c>
      <c r="G40" s="48" t="s">
        <v>12</v>
      </c>
      <c r="K40" s="28"/>
      <c r="L40" s="7"/>
      <c r="M40" s="7"/>
      <c r="N40" s="7"/>
    </row>
    <row r="41" spans="2:14" ht="14.1" customHeight="1" x14ac:dyDescent="0.2">
      <c r="C41" s="33"/>
      <c r="D41" s="60"/>
      <c r="E41" s="60"/>
      <c r="F41" s="60"/>
      <c r="G41" s="48"/>
      <c r="K41" s="28"/>
      <c r="L41" s="7"/>
      <c r="M41" s="7"/>
      <c r="N41" s="7"/>
    </row>
    <row r="42" spans="2:14" ht="14.1" customHeight="1" x14ac:dyDescent="0.2">
      <c r="B42" s="206" t="s">
        <v>8</v>
      </c>
      <c r="C42" s="33" t="s">
        <v>10</v>
      </c>
      <c r="D42" s="60">
        <f>D23</f>
        <v>1000</v>
      </c>
      <c r="E42" s="60">
        <f>E23</f>
        <v>1000</v>
      </c>
      <c r="F42" s="60">
        <f>F23</f>
        <v>1000</v>
      </c>
      <c r="G42" s="192" t="str">
        <f>G23</f>
        <v>-</v>
      </c>
      <c r="H42" s="48" t="str">
        <f>H23</f>
        <v>Cancels out later in the logic. Do not change.</v>
      </c>
      <c r="K42" s="28"/>
      <c r="L42" s="7"/>
      <c r="M42" s="7"/>
      <c r="N42" s="7"/>
    </row>
    <row r="43" spans="2:14" ht="14.1" customHeight="1" x14ac:dyDescent="0.2">
      <c r="B43" s="206"/>
      <c r="C43" s="33" t="s">
        <v>4</v>
      </c>
      <c r="D43" s="60">
        <f>D31</f>
        <v>4.1000000000000002E-2</v>
      </c>
      <c r="E43" s="60">
        <f>E31</f>
        <v>0.08</v>
      </c>
      <c r="F43" s="60">
        <f>F31</f>
        <v>0.18</v>
      </c>
      <c r="G43" s="48" t="s">
        <v>21</v>
      </c>
      <c r="H43" s="188"/>
      <c r="K43" s="28"/>
      <c r="L43" s="7"/>
      <c r="M43" s="7"/>
      <c r="N43" s="7"/>
    </row>
    <row r="44" spans="2:14" ht="14.1" customHeight="1" x14ac:dyDescent="0.2">
      <c r="B44" s="206"/>
      <c r="C44" s="33" t="s">
        <v>205</v>
      </c>
      <c r="D44" s="60">
        <f>D43*D42</f>
        <v>41</v>
      </c>
      <c r="E44" s="60">
        <f>E43*E42</f>
        <v>80</v>
      </c>
      <c r="F44" s="60">
        <f>F43*F42</f>
        <v>180</v>
      </c>
      <c r="G44" s="48" t="s">
        <v>12</v>
      </c>
      <c r="K44" s="28"/>
      <c r="L44" s="7"/>
      <c r="M44" s="7"/>
      <c r="N44" s="7"/>
    </row>
    <row r="45" spans="2:14" ht="14.1" customHeight="1" x14ac:dyDescent="0.2">
      <c r="C45" s="61"/>
      <c r="D45" s="60"/>
      <c r="E45" s="60"/>
      <c r="F45" s="60"/>
      <c r="G45" s="48"/>
      <c r="K45" s="28"/>
      <c r="L45" s="7"/>
      <c r="M45" s="7"/>
      <c r="N45" s="7"/>
    </row>
    <row r="46" spans="2:14" ht="14.1" customHeight="1" x14ac:dyDescent="0.2">
      <c r="B46" s="206" t="s">
        <v>13</v>
      </c>
      <c r="C46" s="61" t="s">
        <v>206</v>
      </c>
      <c r="D46" s="85">
        <f>D44-D40</f>
        <v>8.6591999999999985</v>
      </c>
      <c r="E46" s="85">
        <f>E44-E40</f>
        <v>20.275199999999998</v>
      </c>
      <c r="F46" s="85">
        <f>F44-F40</f>
        <v>81.147169811320765</v>
      </c>
      <c r="G46" s="48" t="s">
        <v>12</v>
      </c>
      <c r="H46" s="48" t="s">
        <v>213</v>
      </c>
      <c r="K46" s="28"/>
      <c r="L46" s="7"/>
      <c r="M46" s="7"/>
      <c r="N46" s="7"/>
    </row>
    <row r="47" spans="2:14" ht="14.1" customHeight="1" x14ac:dyDescent="0.2">
      <c r="B47" s="206"/>
      <c r="C47" s="33" t="s">
        <v>16</v>
      </c>
      <c r="D47" s="86">
        <v>0.05</v>
      </c>
      <c r="E47" s="86">
        <v>0.05</v>
      </c>
      <c r="F47" s="79">
        <v>0.1</v>
      </c>
      <c r="G47" s="48" t="s">
        <v>209</v>
      </c>
      <c r="H47" s="112" t="s">
        <v>292</v>
      </c>
      <c r="K47" s="28"/>
      <c r="L47" s="7"/>
      <c r="M47" s="7"/>
      <c r="N47" s="7"/>
    </row>
    <row r="48" spans="2:14" ht="14.1" customHeight="1" x14ac:dyDescent="0.2">
      <c r="B48" s="206"/>
      <c r="C48" s="124" t="s">
        <v>120</v>
      </c>
      <c r="D48" s="125">
        <f>D46*D47</f>
        <v>0.43295999999999996</v>
      </c>
      <c r="E48" s="125">
        <f t="shared" ref="E48:F48" si="4">E46*E47</f>
        <v>1.01376</v>
      </c>
      <c r="F48" s="125">
        <f t="shared" si="4"/>
        <v>8.1147169811320765</v>
      </c>
      <c r="G48" s="188" t="s">
        <v>12</v>
      </c>
      <c r="K48" s="28"/>
      <c r="L48" s="7"/>
      <c r="M48" s="7"/>
      <c r="N48" s="7"/>
    </row>
    <row r="49" spans="2:14" ht="14.1" customHeight="1" x14ac:dyDescent="0.2">
      <c r="C49" s="61"/>
      <c r="D49" s="87"/>
      <c r="E49" s="87"/>
      <c r="F49" s="61"/>
      <c r="G49" s="48"/>
      <c r="K49" s="28"/>
      <c r="L49" s="7"/>
      <c r="M49" s="7"/>
      <c r="N49" s="7"/>
    </row>
    <row r="50" spans="2:14" ht="14.1" customHeight="1" x14ac:dyDescent="0.2">
      <c r="B50" s="206" t="s">
        <v>219</v>
      </c>
      <c r="C50" s="45" t="s">
        <v>103</v>
      </c>
      <c r="D50" s="109">
        <f>D20/D48</f>
        <v>85719.325609031497</v>
      </c>
      <c r="E50" s="109">
        <f>E20/E48</f>
        <v>31323.570996422561</v>
      </c>
      <c r="F50" s="109">
        <f>F20/F48</f>
        <v>4030.0725985593508</v>
      </c>
      <c r="G50" s="37" t="s">
        <v>12</v>
      </c>
      <c r="H50" s="37" t="s">
        <v>212</v>
      </c>
      <c r="K50" s="28"/>
      <c r="L50" s="7"/>
      <c r="M50" s="7"/>
      <c r="N50" s="7"/>
    </row>
    <row r="51" spans="2:14" ht="14.1" customHeight="1" x14ac:dyDescent="0.2">
      <c r="B51" s="206"/>
      <c r="C51" s="61"/>
      <c r="D51" s="88"/>
      <c r="E51" s="61"/>
      <c r="F51" s="61"/>
      <c r="G51" s="48"/>
    </row>
    <row r="52" spans="2:14" ht="14.1" customHeight="1" x14ac:dyDescent="0.2">
      <c r="B52" s="206"/>
      <c r="C52" s="62" t="s">
        <v>108</v>
      </c>
      <c r="D52" s="67">
        <v>0.6</v>
      </c>
      <c r="E52" s="67">
        <v>0.6</v>
      </c>
      <c r="F52" s="67">
        <v>0.6</v>
      </c>
      <c r="G52" s="38" t="s">
        <v>110</v>
      </c>
      <c r="H52" s="131" t="s">
        <v>124</v>
      </c>
    </row>
    <row r="53" spans="2:14" ht="14.1" customHeight="1" x14ac:dyDescent="0.2">
      <c r="B53" s="206"/>
      <c r="C53" s="62" t="s">
        <v>109</v>
      </c>
      <c r="D53" s="67">
        <v>0.09</v>
      </c>
      <c r="E53" s="67">
        <v>0.09</v>
      </c>
      <c r="F53" s="67">
        <v>0.09</v>
      </c>
      <c r="G53" s="38" t="s">
        <v>110</v>
      </c>
      <c r="H53" s="137"/>
    </row>
    <row r="54" spans="2:14" ht="14.1" customHeight="1" x14ac:dyDescent="0.2">
      <c r="B54" s="206"/>
      <c r="C54" s="62" t="s">
        <v>111</v>
      </c>
      <c r="D54" s="67">
        <f>D52-D53</f>
        <v>0.51</v>
      </c>
      <c r="E54" s="67">
        <f>E52-E53</f>
        <v>0.51</v>
      </c>
      <c r="F54" s="67">
        <f>F52-F53</f>
        <v>0.51</v>
      </c>
      <c r="G54" s="38" t="s">
        <v>12</v>
      </c>
      <c r="H54" s="137"/>
    </row>
    <row r="55" spans="2:14" ht="14.1" customHeight="1" x14ac:dyDescent="0.2">
      <c r="B55" s="206"/>
      <c r="C55" s="38" t="s">
        <v>218</v>
      </c>
      <c r="D55" s="67">
        <f>D48*D54</f>
        <v>0.22080959999999999</v>
      </c>
      <c r="E55" s="67">
        <f>E48*E54</f>
        <v>0.51701759999999997</v>
      </c>
      <c r="F55" s="67">
        <f>F48*F54</f>
        <v>4.1385056603773593</v>
      </c>
      <c r="G55" s="38" t="s">
        <v>12</v>
      </c>
      <c r="H55" s="137"/>
    </row>
    <row r="56" spans="2:14" ht="14.1" customHeight="1" x14ac:dyDescent="0.2">
      <c r="B56" s="206"/>
      <c r="C56" s="138" t="s">
        <v>112</v>
      </c>
      <c r="D56" s="139">
        <f>D20/D55</f>
        <v>168077.10903731664</v>
      </c>
      <c r="E56" s="139">
        <f>E20/E55</f>
        <v>61418.766659652087</v>
      </c>
      <c r="F56" s="139">
        <f>F20/F55</f>
        <v>7902.1031344300991</v>
      </c>
      <c r="G56" s="38" t="s">
        <v>12</v>
      </c>
      <c r="H56" s="131" t="s">
        <v>123</v>
      </c>
      <c r="I56" s="34"/>
    </row>
    <row r="57" spans="2:14" ht="14.1" customHeight="1" x14ac:dyDescent="0.2">
      <c r="B57" s="187"/>
      <c r="C57" s="61"/>
      <c r="D57" s="61"/>
      <c r="E57" s="61"/>
      <c r="F57" s="61"/>
      <c r="G57" s="48"/>
      <c r="H57" s="20"/>
      <c r="I57" s="42"/>
    </row>
    <row r="58" spans="2:14" ht="14.1" customHeight="1" x14ac:dyDescent="0.2">
      <c r="B58" s="224" t="s">
        <v>186</v>
      </c>
      <c r="C58" s="128" t="s">
        <v>113</v>
      </c>
      <c r="D58" s="129">
        <f>1-D52</f>
        <v>0.4</v>
      </c>
      <c r="E58" s="129">
        <f>1-E52</f>
        <v>0.4</v>
      </c>
      <c r="F58" s="129">
        <f>1-F52</f>
        <v>0.4</v>
      </c>
      <c r="G58" s="188" t="s">
        <v>114</v>
      </c>
      <c r="H58" s="130" t="s">
        <v>131</v>
      </c>
    </row>
    <row r="59" spans="2:14" ht="14.1" customHeight="1" x14ac:dyDescent="0.2">
      <c r="B59" s="224"/>
      <c r="C59" s="131" t="s">
        <v>132</v>
      </c>
      <c r="D59" s="49">
        <f>$G$122</f>
        <v>30</v>
      </c>
      <c r="E59" s="49">
        <f>$G$122</f>
        <v>30</v>
      </c>
      <c r="F59" s="49">
        <f>$G$122</f>
        <v>30</v>
      </c>
      <c r="G59" s="130" t="s">
        <v>221</v>
      </c>
      <c r="H59" s="130" t="s">
        <v>222</v>
      </c>
    </row>
    <row r="60" spans="2:14" ht="14.1" customHeight="1" x14ac:dyDescent="0.2">
      <c r="B60" s="224"/>
      <c r="C60" s="133" t="s">
        <v>116</v>
      </c>
      <c r="D60" s="81">
        <v>5.2999999999999999E-2</v>
      </c>
      <c r="E60" s="82">
        <v>5.2999999999999999E-2</v>
      </c>
      <c r="F60" s="83">
        <v>0.221</v>
      </c>
      <c r="G60" s="130" t="s">
        <v>117</v>
      </c>
      <c r="H60" s="130" t="s">
        <v>127</v>
      </c>
    </row>
    <row r="61" spans="2:14" ht="14.1" customHeight="1" x14ac:dyDescent="0.2">
      <c r="B61" s="224"/>
      <c r="C61" s="131" t="s">
        <v>220</v>
      </c>
      <c r="D61" s="134">
        <f>D58*D59*D60</f>
        <v>0.63600000000000001</v>
      </c>
      <c r="E61" s="134">
        <f>E58*E59*E60</f>
        <v>0.63600000000000001</v>
      </c>
      <c r="F61" s="134">
        <f>F58*F59*F60</f>
        <v>2.6520000000000001</v>
      </c>
      <c r="G61" s="188" t="s">
        <v>12</v>
      </c>
      <c r="H61" s="188" t="s">
        <v>226</v>
      </c>
    </row>
    <row r="62" spans="2:14" ht="14.1" customHeight="1" x14ac:dyDescent="0.2">
      <c r="B62" s="224"/>
      <c r="C62" s="131" t="s">
        <v>130</v>
      </c>
      <c r="D62" s="134" t="s">
        <v>125</v>
      </c>
      <c r="E62" s="134" t="s">
        <v>125</v>
      </c>
      <c r="F62" s="134" t="s">
        <v>125</v>
      </c>
      <c r="G62" s="188" t="s">
        <v>12</v>
      </c>
      <c r="H62" s="188" t="s">
        <v>126</v>
      </c>
    </row>
    <row r="63" spans="2:14" ht="14.1" customHeight="1" x14ac:dyDescent="0.2">
      <c r="B63" s="224"/>
      <c r="C63" s="133" t="s">
        <v>166</v>
      </c>
      <c r="D63" s="132">
        <f>D48*D61</f>
        <v>0.27536255999999998</v>
      </c>
      <c r="E63" s="132">
        <f>E48*E61</f>
        <v>0.64475136</v>
      </c>
      <c r="F63" s="132">
        <f>F48*F61</f>
        <v>21.520229433962268</v>
      </c>
      <c r="G63" s="188" t="s">
        <v>12</v>
      </c>
      <c r="H63" s="188"/>
    </row>
    <row r="64" spans="2:14" ht="14.1" customHeight="1" x14ac:dyDescent="0.2">
      <c r="B64" s="224"/>
      <c r="C64" s="135" t="s">
        <v>115</v>
      </c>
      <c r="D64" s="136">
        <f>D50/D61</f>
        <v>134778.81385067845</v>
      </c>
      <c r="E64" s="136">
        <f>E50/E61</f>
        <v>49250.897793117234</v>
      </c>
      <c r="F64" s="136">
        <f>F50/F61</f>
        <v>1519.6352181596344</v>
      </c>
      <c r="G64" s="188" t="s">
        <v>12</v>
      </c>
      <c r="H64" s="188" t="s">
        <v>133</v>
      </c>
    </row>
    <row r="65" spans="1:9" ht="14.1" customHeight="1" x14ac:dyDescent="0.2">
      <c r="D65" s="61"/>
      <c r="E65" s="61"/>
      <c r="F65" s="61"/>
      <c r="G65" s="48"/>
    </row>
    <row r="66" spans="1:9" ht="14.1" customHeight="1" x14ac:dyDescent="0.2">
      <c r="A66" s="225" t="s">
        <v>150</v>
      </c>
      <c r="B66" s="225"/>
      <c r="C66" s="225"/>
      <c r="D66" s="61"/>
      <c r="E66" s="61"/>
      <c r="F66" s="61"/>
      <c r="G66" s="48"/>
    </row>
    <row r="67" spans="1:9" ht="14.1" customHeight="1" x14ac:dyDescent="0.2">
      <c r="A67" s="30"/>
      <c r="B67" s="226" t="s">
        <v>5</v>
      </c>
      <c r="C67" s="25" t="str">
        <f>C27</f>
        <v>Retention rate to delivery (adjusted)</v>
      </c>
      <c r="D67" s="89">
        <f>D27</f>
        <v>0.58299999999999996</v>
      </c>
      <c r="E67" s="89">
        <f>E27</f>
        <v>0.58299999999999996</v>
      </c>
      <c r="F67" s="89">
        <f>F27</f>
        <v>0.7</v>
      </c>
      <c r="G67" s="37" t="str">
        <f>G27</f>
        <v>"Summary of Key Program Statistics" New Incentives workbook, accessed 2016-23-08.</v>
      </c>
      <c r="H67" s="37" t="s">
        <v>137</v>
      </c>
    </row>
    <row r="68" spans="1:9" ht="14.1" customHeight="1" x14ac:dyDescent="0.2">
      <c r="A68" s="30"/>
      <c r="B68" s="226"/>
      <c r="C68" s="38" t="s">
        <v>227</v>
      </c>
      <c r="D68" s="96">
        <v>0</v>
      </c>
      <c r="E68" s="97">
        <v>0.08</v>
      </c>
      <c r="F68" s="98">
        <v>0.15</v>
      </c>
      <c r="G68" s="188" t="s">
        <v>138</v>
      </c>
      <c r="H68" s="38" t="s">
        <v>139</v>
      </c>
    </row>
    <row r="69" spans="1:9" ht="14.1" customHeight="1" x14ac:dyDescent="0.2">
      <c r="A69" s="30"/>
      <c r="B69" s="226"/>
      <c r="C69" s="62" t="s">
        <v>73</v>
      </c>
      <c r="D69" s="92">
        <f>(D67*1)+(1-D67)*D68</f>
        <v>0.58299999999999996</v>
      </c>
      <c r="E69" s="92">
        <f>(E67*1)+(1-E67)*E68</f>
        <v>0.61636000000000002</v>
      </c>
      <c r="F69" s="92">
        <f>(F67*1)+(1-F67)*F68</f>
        <v>0.745</v>
      </c>
      <c r="G69" s="38" t="s">
        <v>12</v>
      </c>
      <c r="H69" s="141"/>
    </row>
    <row r="70" spans="1:9" ht="14.1" customHeight="1" x14ac:dyDescent="0.2">
      <c r="C70" s="33"/>
      <c r="D70" s="61"/>
      <c r="E70" s="61"/>
      <c r="F70" s="61"/>
      <c r="G70" s="48"/>
    </row>
    <row r="71" spans="1:9" ht="14.1" customHeight="1" x14ac:dyDescent="0.2">
      <c r="A71" s="30"/>
      <c r="B71" s="226" t="s">
        <v>8</v>
      </c>
      <c r="C71" s="25" t="s">
        <v>72</v>
      </c>
      <c r="D71" s="90">
        <v>0.35</v>
      </c>
      <c r="E71" s="180">
        <v>0.27</v>
      </c>
      <c r="F71" s="90">
        <v>0.2</v>
      </c>
      <c r="G71" s="37" t="s">
        <v>229</v>
      </c>
      <c r="H71" s="35" t="s">
        <v>281</v>
      </c>
    </row>
    <row r="72" spans="1:9" ht="14.1" customHeight="1" x14ac:dyDescent="0.2">
      <c r="A72" s="30"/>
      <c r="B72" s="226"/>
      <c r="C72" s="38" t="s">
        <v>136</v>
      </c>
      <c r="D72" s="92">
        <f>(D71-(1-D67)*D68)/D67</f>
        <v>0.60034305317324188</v>
      </c>
      <c r="E72" s="92">
        <f>(E71-(1-E67)*E68)/E67</f>
        <v>0.4059005145797599</v>
      </c>
      <c r="F72" s="92">
        <f>(F71-(1-F67)*F68)/F67</f>
        <v>0.22142857142857145</v>
      </c>
      <c r="G72" s="38" t="s">
        <v>74</v>
      </c>
      <c r="H72" s="154" t="str">
        <f>CONCATENATE("This implies that the program increases FD by ",TEXT((E69-E72)/E72,"0%")," (",TEXT((E69-E72)*100,"0")," percentage points) for women retained.")</f>
        <v>This implies that the program increases FD by 52% (21 percentage points) for women retained.</v>
      </c>
    </row>
    <row r="73" spans="1:9" ht="14.1" customHeight="1" x14ac:dyDescent="0.2">
      <c r="C73" s="33"/>
      <c r="D73" s="61"/>
      <c r="E73" s="61"/>
      <c r="F73" s="61"/>
      <c r="G73" s="48"/>
    </row>
    <row r="74" spans="1:9" ht="14.1" customHeight="1" x14ac:dyDescent="0.2">
      <c r="B74" s="206" t="s">
        <v>39</v>
      </c>
      <c r="C74" s="62" t="s">
        <v>149</v>
      </c>
      <c r="D74" s="167">
        <v>3.9E-2</v>
      </c>
      <c r="E74" s="167">
        <v>3.9E-2</v>
      </c>
      <c r="F74" s="167">
        <v>3.9E-2</v>
      </c>
      <c r="G74" s="38" t="s">
        <v>45</v>
      </c>
      <c r="H74" s="35" t="s">
        <v>280</v>
      </c>
      <c r="I74" s="29"/>
    </row>
    <row r="75" spans="1:9" ht="14.1" customHeight="1" x14ac:dyDescent="0.2">
      <c r="B75" s="206"/>
      <c r="C75" s="37" t="s">
        <v>230</v>
      </c>
      <c r="D75" s="96">
        <v>0.1</v>
      </c>
      <c r="E75" s="97">
        <v>0.4</v>
      </c>
      <c r="F75" s="98">
        <v>0.45</v>
      </c>
      <c r="G75" s="38" t="s">
        <v>184</v>
      </c>
      <c r="H75" s="38" t="s">
        <v>183</v>
      </c>
    </row>
    <row r="76" spans="1:9" ht="14.1" customHeight="1" x14ac:dyDescent="0.2">
      <c r="A76" s="194"/>
      <c r="B76" s="206"/>
      <c r="C76" s="25" t="s">
        <v>20</v>
      </c>
      <c r="D76" s="205">
        <v>0.85</v>
      </c>
      <c r="E76" s="205">
        <v>0.85</v>
      </c>
      <c r="F76" s="205">
        <v>0.85</v>
      </c>
      <c r="G76" s="37" t="s">
        <v>236</v>
      </c>
      <c r="H76" s="35" t="s">
        <v>293</v>
      </c>
    </row>
    <row r="77" spans="1:9" ht="14.1" customHeight="1" x14ac:dyDescent="0.2">
      <c r="A77" s="194"/>
      <c r="B77" s="206"/>
      <c r="C77" s="25" t="s">
        <v>19</v>
      </c>
      <c r="D77" s="205">
        <v>0.3</v>
      </c>
      <c r="E77" s="205">
        <v>0.3</v>
      </c>
      <c r="F77" s="205">
        <v>0.3</v>
      </c>
      <c r="G77" s="37" t="s">
        <v>63</v>
      </c>
      <c r="H77" s="35" t="s">
        <v>294</v>
      </c>
    </row>
    <row r="78" spans="1:9" ht="14.1" customHeight="1" x14ac:dyDescent="0.2">
      <c r="A78" s="30"/>
      <c r="B78" s="206"/>
      <c r="C78" s="62" t="s">
        <v>140</v>
      </c>
      <c r="D78" s="91">
        <f>D74/(1-D$71*D75)</f>
        <v>4.0414507772020727E-2</v>
      </c>
      <c r="E78" s="91">
        <f>E74/(1-E$71*E75)</f>
        <v>4.3721973094170405E-2</v>
      </c>
      <c r="F78" s="91">
        <f>F74/(1-F$71*F75)</f>
        <v>4.2857142857142858E-2</v>
      </c>
      <c r="G78" s="37" t="s">
        <v>12</v>
      </c>
      <c r="H78" s="110" t="s">
        <v>237</v>
      </c>
    </row>
    <row r="79" spans="1:9" ht="14.1" customHeight="1" x14ac:dyDescent="0.2">
      <c r="A79" s="30"/>
      <c r="B79" s="206"/>
      <c r="C79" s="62" t="s">
        <v>141</v>
      </c>
      <c r="D79" s="91">
        <f>D78*(1-D75)</f>
        <v>3.6373056994818659E-2</v>
      </c>
      <c r="E79" s="91">
        <f>E78*(1-E75)</f>
        <v>2.6233183856502241E-2</v>
      </c>
      <c r="F79" s="91">
        <f>F78*(1-F75)</f>
        <v>2.3571428571428573E-2</v>
      </c>
      <c r="G79" s="37" t="s">
        <v>12</v>
      </c>
      <c r="H79" s="37"/>
    </row>
    <row r="80" spans="1:9" ht="14.1" customHeight="1" x14ac:dyDescent="0.2">
      <c r="A80" s="30"/>
      <c r="B80" s="206"/>
      <c r="C80" s="62" t="s">
        <v>62</v>
      </c>
      <c r="D80" s="93">
        <f>(D$69*D79)+(1-D$69)*D78</f>
        <v>3.8058341968911918E-2</v>
      </c>
      <c r="E80" s="93">
        <f>(E$69*E79)+(1-E$69)*E78</f>
        <v>3.2942582959641253E-2</v>
      </c>
      <c r="F80" s="93">
        <f>(F$69*F79)+(1-F$69)*F78</f>
        <v>2.8489285714285717E-2</v>
      </c>
      <c r="G80" s="37" t="s">
        <v>12</v>
      </c>
      <c r="H80" s="37"/>
    </row>
    <row r="81" spans="1:8" ht="14.1" customHeight="1" x14ac:dyDescent="0.2">
      <c r="A81" s="30"/>
      <c r="B81" s="206"/>
      <c r="C81" s="62" t="s">
        <v>143</v>
      </c>
      <c r="D81" s="66">
        <f>((D74*1000)-(D80*1000))*D76*D77</f>
        <v>0.24012279792746083</v>
      </c>
      <c r="E81" s="66">
        <f>((E74*1000)-(E80*1000))*E76*E77</f>
        <v>1.5446413452914793</v>
      </c>
      <c r="F81" s="66">
        <f>((F74*1000)-(F80*1000))*F76*F77</f>
        <v>2.6802321428571418</v>
      </c>
      <c r="G81" s="38" t="s">
        <v>12</v>
      </c>
      <c r="H81" s="38" t="s">
        <v>144</v>
      </c>
    </row>
    <row r="82" spans="1:8" ht="14.1" customHeight="1" x14ac:dyDescent="0.2">
      <c r="A82" s="30"/>
      <c r="B82" s="206"/>
      <c r="C82" s="196" t="s">
        <v>142</v>
      </c>
      <c r="D82" s="161">
        <f>D20/D81</f>
        <v>154558.58225880671</v>
      </c>
      <c r="E82" s="161">
        <f>E20/E81</f>
        <v>20557.900660972617</v>
      </c>
      <c r="F82" s="161">
        <f>F20/F81</f>
        <v>12201.517184949202</v>
      </c>
      <c r="G82" s="162"/>
      <c r="H82" s="38"/>
    </row>
    <row r="83" spans="1:8" ht="14.1" customHeight="1" x14ac:dyDescent="0.2">
      <c r="A83" s="30"/>
      <c r="C83" s="194"/>
      <c r="D83" s="94"/>
      <c r="E83" s="94"/>
      <c r="F83" s="95"/>
      <c r="G83" s="103"/>
      <c r="H83" s="37"/>
    </row>
    <row r="84" spans="1:8" ht="14.1" customHeight="1" x14ac:dyDescent="0.2">
      <c r="A84" s="30"/>
      <c r="B84" s="224" t="s">
        <v>147</v>
      </c>
      <c r="C84" s="62" t="s">
        <v>148</v>
      </c>
      <c r="D84" s="167">
        <f t="shared" ref="D84:E84" si="5">58/6059</f>
        <v>9.5725367222313906E-3</v>
      </c>
      <c r="E84" s="167">
        <f t="shared" si="5"/>
        <v>9.5725367222313906E-3</v>
      </c>
      <c r="F84" s="167">
        <f>58/6059</f>
        <v>9.5725367222313906E-3</v>
      </c>
      <c r="G84" s="38" t="s">
        <v>243</v>
      </c>
      <c r="H84" s="35" t="s">
        <v>282</v>
      </c>
    </row>
    <row r="85" spans="1:8" ht="14.1" customHeight="1" x14ac:dyDescent="0.2">
      <c r="A85" s="30"/>
      <c r="B85" s="224"/>
      <c r="C85" s="38" t="s">
        <v>238</v>
      </c>
      <c r="D85" s="96">
        <v>0.1</v>
      </c>
      <c r="E85" s="97">
        <v>0.1</v>
      </c>
      <c r="F85" s="98">
        <v>0.45</v>
      </c>
      <c r="G85" s="38" t="s">
        <v>155</v>
      </c>
      <c r="H85" s="38" t="s">
        <v>156</v>
      </c>
    </row>
    <row r="86" spans="1:8" ht="14.1" customHeight="1" x14ac:dyDescent="0.2">
      <c r="A86" s="30"/>
      <c r="B86" s="224"/>
      <c r="C86" s="62" t="s">
        <v>20</v>
      </c>
      <c r="D86" s="96">
        <v>0.5</v>
      </c>
      <c r="E86" s="97">
        <v>0.6</v>
      </c>
      <c r="F86" s="98">
        <v>0.6</v>
      </c>
      <c r="G86" s="38" t="s">
        <v>152</v>
      </c>
      <c r="H86" s="38" t="s">
        <v>134</v>
      </c>
    </row>
    <row r="87" spans="1:8" ht="14.1" customHeight="1" x14ac:dyDescent="0.2">
      <c r="A87" s="30"/>
      <c r="B87" s="224"/>
      <c r="C87" s="62" t="s">
        <v>19</v>
      </c>
      <c r="D87" s="96">
        <v>0.5</v>
      </c>
      <c r="E87" s="97">
        <v>0.1</v>
      </c>
      <c r="F87" s="98">
        <v>0.7</v>
      </c>
      <c r="G87" s="38" t="s">
        <v>153</v>
      </c>
      <c r="H87" s="38" t="s">
        <v>135</v>
      </c>
    </row>
    <row r="88" spans="1:8" ht="14.1" customHeight="1" x14ac:dyDescent="0.2">
      <c r="A88" s="30"/>
      <c r="B88" s="224"/>
      <c r="C88" s="62" t="s">
        <v>157</v>
      </c>
      <c r="D88" s="91">
        <f>D84/(1-D$71*D85)</f>
        <v>9.9197271732967777E-3</v>
      </c>
      <c r="E88" s="91">
        <f>E84/(1-E$71*E85)</f>
        <v>9.8381672376478841E-3</v>
      </c>
      <c r="F88" s="91">
        <f>F84/(1-F$71*F85)</f>
        <v>1.0519271123331198E-2</v>
      </c>
      <c r="G88" s="38" t="s">
        <v>12</v>
      </c>
      <c r="H88" s="38" t="s">
        <v>248</v>
      </c>
    </row>
    <row r="89" spans="1:8" ht="14.1" customHeight="1" x14ac:dyDescent="0.2">
      <c r="A89" s="30"/>
      <c r="B89" s="224"/>
      <c r="C89" s="62" t="s">
        <v>158</v>
      </c>
      <c r="D89" s="91">
        <f>D88*(1-D85)</f>
        <v>8.9277544559671004E-3</v>
      </c>
      <c r="E89" s="91">
        <f>E88*(1-E85)</f>
        <v>8.8543505138830962E-3</v>
      </c>
      <c r="F89" s="91">
        <f>F88*(1-F85)</f>
        <v>5.7855991178321596E-3</v>
      </c>
      <c r="G89" s="38" t="s">
        <v>12</v>
      </c>
      <c r="H89" s="38"/>
    </row>
    <row r="90" spans="1:8" ht="14.1" customHeight="1" x14ac:dyDescent="0.2">
      <c r="A90" s="30"/>
      <c r="B90" s="224"/>
      <c r="C90" s="62" t="s">
        <v>159</v>
      </c>
      <c r="D90" s="163">
        <f>(D$69*D89)+(1-D$69)*D88</f>
        <v>9.3414070790935767E-3</v>
      </c>
      <c r="E90" s="163">
        <f>(E$69*E89)+(1-E$69)*E88</f>
        <v>9.2317819617882199E-3</v>
      </c>
      <c r="F90" s="163">
        <f>(F$69*F89)+(1-F$69)*F88</f>
        <v>6.9926854792344145E-3</v>
      </c>
      <c r="G90" s="38" t="s">
        <v>12</v>
      </c>
      <c r="H90" s="188"/>
    </row>
    <row r="91" spans="1:8" ht="14.1" customHeight="1" x14ac:dyDescent="0.2">
      <c r="A91" s="30"/>
      <c r="B91" s="224"/>
      <c r="C91" s="62" t="s">
        <v>160</v>
      </c>
      <c r="D91" s="164">
        <f>((D84*D23)-(D90*D23))*D86*D87</f>
        <v>5.7782410784453564E-2</v>
      </c>
      <c r="E91" s="164">
        <f>((E84*E23)-(E90*E23))*E86*E87</f>
        <v>2.0445285626590214E-2</v>
      </c>
      <c r="F91" s="164">
        <f>((F84*F23)-(F90*F23))*F86*F87</f>
        <v>1.0835375220587298</v>
      </c>
      <c r="G91" s="38" t="s">
        <v>12</v>
      </c>
      <c r="H91" s="38" t="s">
        <v>144</v>
      </c>
    </row>
    <row r="92" spans="1:8" ht="14.1" customHeight="1" x14ac:dyDescent="0.2">
      <c r="A92" s="30"/>
      <c r="B92" s="224"/>
      <c r="C92" s="196" t="s">
        <v>161</v>
      </c>
      <c r="D92" s="165">
        <f>D20/D91</f>
        <v>642289.56029767427</v>
      </c>
      <c r="E92" s="165">
        <f>E20/E91</f>
        <v>1553149.4112283157</v>
      </c>
      <c r="F92" s="165">
        <f>F20/F91</f>
        <v>30181.602284145061</v>
      </c>
      <c r="G92" s="162"/>
      <c r="H92" s="38"/>
    </row>
    <row r="93" spans="1:8" ht="14.1" customHeight="1" x14ac:dyDescent="0.2">
      <c r="C93" s="33"/>
      <c r="D93" s="61"/>
      <c r="E93" s="61"/>
      <c r="F93" s="61"/>
      <c r="G93" s="48"/>
    </row>
    <row r="94" spans="1:8" ht="14.1" customHeight="1" x14ac:dyDescent="0.2">
      <c r="A94" s="30"/>
      <c r="B94" s="226" t="s">
        <v>40</v>
      </c>
      <c r="C94" s="62" t="s">
        <v>71</v>
      </c>
      <c r="D94" s="91">
        <f>576/100000</f>
        <v>5.7600000000000004E-3</v>
      </c>
      <c r="E94" s="91">
        <f>576/100000</f>
        <v>5.7600000000000004E-3</v>
      </c>
      <c r="F94" s="91">
        <f>576/100000</f>
        <v>5.7600000000000004E-3</v>
      </c>
      <c r="G94" s="38" t="s">
        <v>162</v>
      </c>
      <c r="H94" s="37" t="s">
        <v>283</v>
      </c>
    </row>
    <row r="95" spans="1:8" ht="14.1" customHeight="1" x14ac:dyDescent="0.2">
      <c r="A95" s="30"/>
      <c r="B95" s="226"/>
      <c r="C95" s="37" t="s">
        <v>46</v>
      </c>
      <c r="D95" s="166">
        <v>0.01</v>
      </c>
      <c r="E95" s="97">
        <v>0.1</v>
      </c>
      <c r="F95" s="98">
        <v>0.3</v>
      </c>
      <c r="G95" s="104" t="s">
        <v>68</v>
      </c>
      <c r="H95" s="38" t="s">
        <v>251</v>
      </c>
    </row>
    <row r="96" spans="1:8" ht="14.1" customHeight="1" x14ac:dyDescent="0.2">
      <c r="B96" s="226"/>
      <c r="C96" s="25" t="s">
        <v>20</v>
      </c>
      <c r="D96" s="99">
        <v>0.5</v>
      </c>
      <c r="E96" s="100">
        <v>0.6</v>
      </c>
      <c r="F96" s="101">
        <v>0.7</v>
      </c>
      <c r="G96" s="37" t="s">
        <v>69</v>
      </c>
      <c r="H96" s="38" t="s">
        <v>134</v>
      </c>
    </row>
    <row r="97" spans="1:12" ht="14.1" customHeight="1" x14ac:dyDescent="0.2">
      <c r="A97" s="30"/>
      <c r="B97" s="226"/>
      <c r="C97" s="25" t="s">
        <v>19</v>
      </c>
      <c r="D97" s="99">
        <v>0.5</v>
      </c>
      <c r="E97" s="100">
        <v>0.1</v>
      </c>
      <c r="F97" s="101">
        <v>0.7</v>
      </c>
      <c r="G97" s="37" t="s">
        <v>69</v>
      </c>
      <c r="H97" s="38" t="s">
        <v>135</v>
      </c>
    </row>
    <row r="98" spans="1:12" ht="14.1" customHeight="1" x14ac:dyDescent="0.2">
      <c r="A98" s="30"/>
      <c r="B98" s="226"/>
      <c r="C98" s="38" t="s">
        <v>252</v>
      </c>
      <c r="D98" s="91">
        <f>D94/(1-D$71*D95)</f>
        <v>5.780230807827396E-3</v>
      </c>
      <c r="E98" s="91">
        <f>E94/(1-E$71*E95)</f>
        <v>5.9198355601233306E-3</v>
      </c>
      <c r="F98" s="91">
        <f>F94/(1-F$71*F95)</f>
        <v>6.1276595744680857E-3</v>
      </c>
      <c r="G98" s="38" t="s">
        <v>12</v>
      </c>
      <c r="H98" s="38" t="s">
        <v>248</v>
      </c>
    </row>
    <row r="99" spans="1:12" ht="14.1" customHeight="1" x14ac:dyDescent="0.2">
      <c r="A99" s="30"/>
      <c r="B99" s="226"/>
      <c r="C99" s="38" t="s">
        <v>253</v>
      </c>
      <c r="D99" s="91">
        <f>D98*(1-D95)</f>
        <v>5.7224284997491222E-3</v>
      </c>
      <c r="E99" s="91">
        <f>E98*(1-E95)</f>
        <v>5.3278520041109972E-3</v>
      </c>
      <c r="F99" s="91">
        <f>F98*(1-F95)</f>
        <v>4.28936170212766E-3</v>
      </c>
      <c r="G99" s="38" t="s">
        <v>12</v>
      </c>
      <c r="H99" s="188"/>
    </row>
    <row r="100" spans="1:12" ht="14.1" customHeight="1" x14ac:dyDescent="0.2">
      <c r="A100" s="30"/>
      <c r="B100" s="226"/>
      <c r="C100" s="62" t="s">
        <v>70</v>
      </c>
      <c r="D100" s="93">
        <f>(D$69*D99)+(1-D$69)*D98</f>
        <v>5.7465320622177626E-3</v>
      </c>
      <c r="E100" s="93">
        <f>(E$69*E99)+(1-E$69)*E98</f>
        <v>5.5549605755395685E-3</v>
      </c>
      <c r="F100" s="93">
        <f>(F$69*F99)+(1-F$69)*F98</f>
        <v>4.7581276595744688E-3</v>
      </c>
      <c r="G100" s="38" t="s">
        <v>12</v>
      </c>
      <c r="H100" s="38"/>
    </row>
    <row r="101" spans="1:12" ht="14.1" customHeight="1" x14ac:dyDescent="0.2">
      <c r="A101" s="30"/>
      <c r="B101" s="226"/>
      <c r="C101" s="62" t="s">
        <v>145</v>
      </c>
      <c r="D101" s="102">
        <f>((D94*D23)-(D100*D23))*D96*D97</f>
        <v>3.3669844455594955E-3</v>
      </c>
      <c r="E101" s="102">
        <f>((E94*E23)-(E100*E23))*E96*E97</f>
        <v>1.2302365467625941E-2</v>
      </c>
      <c r="F101" s="102">
        <f>((F94*F23)-(F100*F23))*F96*F97</f>
        <v>0.49091744680851052</v>
      </c>
      <c r="G101" s="37"/>
      <c r="H101" s="38" t="s">
        <v>144</v>
      </c>
    </row>
    <row r="102" spans="1:12" ht="14.1" customHeight="1" x14ac:dyDescent="0.2">
      <c r="A102" s="11"/>
      <c r="B102" s="226"/>
      <c r="C102" s="196" t="s">
        <v>146</v>
      </c>
      <c r="D102" s="111">
        <f>D20/D101</f>
        <v>11022634.590614855</v>
      </c>
      <c r="E102" s="111">
        <f>E20/E101</f>
        <v>2581177.0441137124</v>
      </c>
      <c r="F102" s="111">
        <f>F20/F101</f>
        <v>66615.881678943217</v>
      </c>
      <c r="G102" s="37"/>
      <c r="H102" s="37"/>
    </row>
    <row r="103" spans="1:12" ht="14.1" customHeight="1" x14ac:dyDescent="0.2">
      <c r="A103" s="11"/>
      <c r="B103" s="12"/>
      <c r="C103" s="33"/>
      <c r="D103" s="61"/>
      <c r="E103" s="61"/>
      <c r="F103" s="61"/>
      <c r="G103" s="48"/>
    </row>
    <row r="104" spans="1:12" ht="14.1" customHeight="1" x14ac:dyDescent="0.2">
      <c r="A104" s="208" t="s">
        <v>14</v>
      </c>
      <c r="B104" s="208"/>
      <c r="C104" s="25"/>
      <c r="D104" s="61"/>
      <c r="E104" s="61"/>
      <c r="F104" s="61"/>
      <c r="G104" s="37"/>
      <c r="H104" s="37"/>
    </row>
    <row r="105" spans="1:12" ht="14.1" customHeight="1" x14ac:dyDescent="0.25">
      <c r="B105" s="206" t="s">
        <v>254</v>
      </c>
      <c r="C105" s="114" t="s">
        <v>6</v>
      </c>
      <c r="D105" s="169">
        <f>2*E105</f>
        <v>1314.9</v>
      </c>
      <c r="E105" s="170">
        <f>1.8*365.25</f>
        <v>657.45</v>
      </c>
      <c r="F105" s="171">
        <v>500</v>
      </c>
      <c r="G105" s="188" t="s">
        <v>184</v>
      </c>
      <c r="H105" s="188" t="s">
        <v>257</v>
      </c>
      <c r="I105" s="29"/>
      <c r="K105" s="50"/>
      <c r="L105" s="50"/>
    </row>
    <row r="106" spans="1:12" ht="14.1" customHeight="1" x14ac:dyDescent="0.25">
      <c r="B106" s="206"/>
      <c r="C106" s="114" t="s">
        <v>164</v>
      </c>
      <c r="D106" s="168">
        <f>(1500-1000)/D15</f>
        <v>1.6666666666666667</v>
      </c>
      <c r="E106" s="168">
        <f>(1500-1000)/E15</f>
        <v>1.6666666666666667</v>
      </c>
      <c r="F106" s="168">
        <f>(1500-1000)/F15</f>
        <v>1.6666666666666667</v>
      </c>
      <c r="G106" s="38" t="s">
        <v>270</v>
      </c>
      <c r="H106" s="38" t="s">
        <v>173</v>
      </c>
      <c r="I106" s="29"/>
      <c r="K106" s="50"/>
      <c r="L106" s="50"/>
    </row>
    <row r="107" spans="1:12" ht="14.1" customHeight="1" x14ac:dyDescent="0.25">
      <c r="B107" s="206"/>
      <c r="C107" s="114" t="s">
        <v>266</v>
      </c>
      <c r="D107" s="168">
        <v>1.67</v>
      </c>
      <c r="E107" s="168">
        <v>1.67</v>
      </c>
      <c r="F107" s="168">
        <v>1.67</v>
      </c>
      <c r="G107" s="188" t="s">
        <v>68</v>
      </c>
      <c r="H107" s="188" t="s">
        <v>259</v>
      </c>
      <c r="I107" s="29"/>
      <c r="K107" s="50"/>
      <c r="L107" s="50"/>
    </row>
    <row r="108" spans="1:12" ht="14.1" customHeight="1" x14ac:dyDescent="0.25">
      <c r="C108" s="33"/>
      <c r="D108" s="61"/>
      <c r="E108" s="61"/>
      <c r="F108" s="61"/>
      <c r="G108" s="48"/>
      <c r="K108" s="50"/>
      <c r="L108" s="50"/>
    </row>
    <row r="109" spans="1:12" ht="14.1" customHeight="1" x14ac:dyDescent="0.25">
      <c r="B109" s="224" t="s">
        <v>163</v>
      </c>
      <c r="C109" s="33" t="s">
        <v>291</v>
      </c>
      <c r="D109" s="186">
        <f>LN(D105+D16)-LN(D105)</f>
        <v>2.5318392135709189E-3</v>
      </c>
      <c r="E109" s="186">
        <f>LN(E105+E16)-LN(E105)</f>
        <v>5.0572844025733588E-3</v>
      </c>
      <c r="F109" s="186">
        <f>LN(F105+F16)-LN(F105)</f>
        <v>6.6445427186687667E-3</v>
      </c>
      <c r="G109" s="188" t="s">
        <v>12</v>
      </c>
      <c r="K109" s="50"/>
      <c r="L109" s="50"/>
    </row>
    <row r="110" spans="1:12" ht="14.1" customHeight="1" x14ac:dyDescent="0.25">
      <c r="B110" s="224"/>
      <c r="C110" s="188" t="s">
        <v>289</v>
      </c>
      <c r="D110" s="172">
        <f>LN(D105+D16+D17-D106-D107)-LN(D105)</f>
        <v>2.5032003970306249E-2</v>
      </c>
      <c r="E110" s="172">
        <f>LN(E105+E16+E17-E106-E107)-LN(E105)</f>
        <v>4.9452678380699666E-2</v>
      </c>
      <c r="F110" s="172">
        <f>LN(F105+F16+F17-F106-F107)-LN(F105)</f>
        <v>6.453227111803983E-2</v>
      </c>
      <c r="G110" s="188" t="s">
        <v>12</v>
      </c>
      <c r="H110" s="207" t="s">
        <v>263</v>
      </c>
      <c r="K110" s="50"/>
      <c r="L110" s="50"/>
    </row>
    <row r="111" spans="1:12" ht="14.1" customHeight="1" x14ac:dyDescent="0.25">
      <c r="B111" s="224"/>
      <c r="C111" s="114" t="s">
        <v>290</v>
      </c>
      <c r="D111" s="129">
        <f>LN(D105+D16+D17-D106)-LN(D105)</f>
        <v>2.626989852190853E-2</v>
      </c>
      <c r="E111" s="129">
        <f>LN(E105+E16+E17-E106)-LN(E105)</f>
        <v>5.1867317755798226E-2</v>
      </c>
      <c r="F111" s="129">
        <f>LN(F105+F16+F17-F106)-LN(F105)</f>
        <v>6.7658648473814864E-2</v>
      </c>
      <c r="G111" s="188" t="s">
        <v>12</v>
      </c>
      <c r="H111" s="207"/>
      <c r="K111" s="50"/>
      <c r="L111" s="50"/>
    </row>
    <row r="112" spans="1:12" ht="14.1" customHeight="1" x14ac:dyDescent="0.25">
      <c r="B112" s="224"/>
      <c r="C112" s="114" t="s">
        <v>167</v>
      </c>
      <c r="D112" s="32">
        <f>1000*(D109*(1-D27)+D110*D27*D47+D111*D27*(1-D47))</f>
        <v>16.335043164152538</v>
      </c>
      <c r="E112" s="32">
        <f>1000*(E109*(1-E27)+E110*E27*E47+E111*E27*(1-E47))</f>
        <v>32.27714710971933</v>
      </c>
      <c r="F112" s="32">
        <f>1000*(F109*(1-F27)+F110*F27*F47+F111*F27*(1-F47))</f>
        <v>49.135570332366783</v>
      </c>
      <c r="G112" s="188" t="s">
        <v>12</v>
      </c>
      <c r="H112" s="207"/>
      <c r="K112" s="50"/>
      <c r="L112" s="50"/>
    </row>
    <row r="113" spans="1:12" ht="14.1" customHeight="1" x14ac:dyDescent="0.25">
      <c r="B113" s="224"/>
      <c r="C113" s="116" t="s">
        <v>265</v>
      </c>
      <c r="D113" s="173">
        <f>D20/D112</f>
        <v>2271.9890509460861</v>
      </c>
      <c r="E113" s="173">
        <f>E20/E112</f>
        <v>983.81010023563579</v>
      </c>
      <c r="F113" s="173">
        <f>F20/F112</f>
        <v>665.56464755599779</v>
      </c>
      <c r="G113" s="188"/>
      <c r="H113" s="207"/>
      <c r="K113" s="50"/>
      <c r="L113" s="50"/>
    </row>
    <row r="114" spans="1:12" ht="14.1" customHeight="1" x14ac:dyDescent="0.25">
      <c r="C114" s="33"/>
      <c r="D114" s="61"/>
      <c r="E114" s="61"/>
      <c r="F114" s="61"/>
      <c r="K114" s="50"/>
      <c r="L114" s="50"/>
    </row>
    <row r="115" spans="1:12" ht="14.1" customHeight="1" x14ac:dyDescent="0.25">
      <c r="A115" s="227" t="s">
        <v>165</v>
      </c>
      <c r="B115" s="227"/>
      <c r="C115" s="196"/>
      <c r="D115" s="140"/>
      <c r="E115" s="140"/>
      <c r="F115" s="140"/>
      <c r="G115" s="222" t="s">
        <v>185</v>
      </c>
      <c r="H115" s="223"/>
      <c r="I115" s="141"/>
      <c r="J115" s="219"/>
      <c r="K115" s="219"/>
      <c r="L115" s="50"/>
    </row>
    <row r="116" spans="1:12" ht="14.1" customHeight="1" x14ac:dyDescent="0.25">
      <c r="A116" s="196"/>
      <c r="B116" s="221" t="s">
        <v>170</v>
      </c>
      <c r="C116" s="62" t="str">
        <f>C55</f>
        <v>Under-5 HIV deaths averted /1,000 enrollees</v>
      </c>
      <c r="D116" s="67">
        <f>D55</f>
        <v>0.22080959999999999</v>
      </c>
      <c r="E116" s="67">
        <f>E55</f>
        <v>0.51701759999999997</v>
      </c>
      <c r="F116" s="67">
        <f>F55</f>
        <v>4.1385056603773593</v>
      </c>
      <c r="G116" s="197">
        <v>30</v>
      </c>
      <c r="H116" s="198" t="s">
        <v>298</v>
      </c>
      <c r="I116" s="228" t="s">
        <v>299</v>
      </c>
      <c r="J116" s="181"/>
      <c r="K116" s="50"/>
      <c r="L116" s="50"/>
    </row>
    <row r="117" spans="1:12" ht="14.1" customHeight="1" x14ac:dyDescent="0.25">
      <c r="A117" s="196"/>
      <c r="B117" s="221"/>
      <c r="C117" s="62" t="str">
        <f>C63</f>
        <v>DALYs averted per 1,000 enrollees</v>
      </c>
      <c r="D117" s="67">
        <f>D63</f>
        <v>0.27536255999999998</v>
      </c>
      <c r="E117" s="67">
        <f>E63</f>
        <v>0.64475136</v>
      </c>
      <c r="F117" s="67">
        <f>F63</f>
        <v>21.520229433962268</v>
      </c>
      <c r="G117" s="174">
        <v>1</v>
      </c>
      <c r="H117" s="175" t="s">
        <v>168</v>
      </c>
      <c r="I117" s="228"/>
      <c r="J117" s="181"/>
      <c r="K117" s="50"/>
      <c r="L117" s="50"/>
    </row>
    <row r="118" spans="1:12" ht="14.1" customHeight="1" x14ac:dyDescent="0.25">
      <c r="A118" s="196"/>
      <c r="B118" s="221"/>
      <c r="C118" s="62" t="str">
        <f>C81</f>
        <v>Neonatal deaths averted per 1,000 enrollees</v>
      </c>
      <c r="D118" s="67">
        <f>D81</f>
        <v>0.24012279792746083</v>
      </c>
      <c r="E118" s="67">
        <f>E81</f>
        <v>1.5446413452914793</v>
      </c>
      <c r="F118" s="67">
        <f>F81</f>
        <v>2.6802321428571418</v>
      </c>
      <c r="G118" s="197">
        <f>G116*0.5</f>
        <v>15</v>
      </c>
      <c r="H118" s="175" t="s">
        <v>296</v>
      </c>
      <c r="I118" s="228"/>
      <c r="J118" s="181"/>
      <c r="K118" s="50"/>
      <c r="L118" s="50"/>
    </row>
    <row r="119" spans="1:12" ht="14.1" customHeight="1" x14ac:dyDescent="0.25">
      <c r="A119" s="196"/>
      <c r="B119" s="221"/>
      <c r="C119" s="62" t="str">
        <f>C91</f>
        <v>Stillbirths averted per 1,000 enrollees</v>
      </c>
      <c r="D119" s="67">
        <f>D91</f>
        <v>5.7782410784453564E-2</v>
      </c>
      <c r="E119" s="67">
        <f>E91</f>
        <v>2.0445285626590214E-2</v>
      </c>
      <c r="F119" s="67">
        <f>F91</f>
        <v>1.0835375220587298</v>
      </c>
      <c r="G119" s="197">
        <f>G116*0.33</f>
        <v>9.9</v>
      </c>
      <c r="H119" s="198" t="s">
        <v>295</v>
      </c>
      <c r="I119" s="228"/>
      <c r="J119" s="181"/>
      <c r="K119" s="50"/>
      <c r="L119" s="50"/>
    </row>
    <row r="120" spans="1:12" ht="14.1" customHeight="1" x14ac:dyDescent="0.2">
      <c r="A120" s="196"/>
      <c r="B120" s="221"/>
      <c r="C120" s="62" t="str">
        <f>C101</f>
        <v>Maternal deaths averted per 1,000 enrollees</v>
      </c>
      <c r="D120" s="67">
        <f>D101</f>
        <v>3.3669844455594955E-3</v>
      </c>
      <c r="E120" s="67">
        <f>E101</f>
        <v>1.2302365467625941E-2</v>
      </c>
      <c r="F120" s="67">
        <f>F101</f>
        <v>0.49091744680851052</v>
      </c>
      <c r="G120" s="197">
        <f>G116*2</f>
        <v>60</v>
      </c>
      <c r="H120" s="175" t="s">
        <v>268</v>
      </c>
      <c r="I120" s="228"/>
      <c r="J120" s="181"/>
    </row>
    <row r="121" spans="1:12" ht="14.1" customHeight="1" x14ac:dyDescent="0.2">
      <c r="A121" s="196"/>
      <c r="B121" s="221"/>
      <c r="C121" s="62" t="str">
        <f>C112</f>
        <v>Consumption benefit per 1,000 enrollees</v>
      </c>
      <c r="D121" s="67">
        <f t="shared" ref="D121:F121" si="6">D112</f>
        <v>16.335043164152538</v>
      </c>
      <c r="E121" s="67">
        <f t="shared" si="6"/>
        <v>32.27714710971933</v>
      </c>
      <c r="F121" s="67">
        <f t="shared" si="6"/>
        <v>49.135570332366783</v>
      </c>
      <c r="G121" s="197">
        <f>1/3</f>
        <v>0.33333333333333331</v>
      </c>
      <c r="H121" s="176" t="s">
        <v>169</v>
      </c>
      <c r="I121" s="228"/>
      <c r="J121" s="181"/>
    </row>
    <row r="122" spans="1:12" ht="14.1" customHeight="1" x14ac:dyDescent="0.2">
      <c r="A122" s="196"/>
      <c r="B122" s="193"/>
      <c r="C122" s="114"/>
      <c r="D122" s="114"/>
      <c r="E122" s="114"/>
      <c r="F122" s="114"/>
      <c r="G122" s="177">
        <f>G116</f>
        <v>30</v>
      </c>
      <c r="H122" s="178" t="s">
        <v>272</v>
      </c>
      <c r="I122" s="228"/>
      <c r="J122" s="181"/>
    </row>
    <row r="123" spans="1:12" ht="14.1" customHeight="1" x14ac:dyDescent="0.2">
      <c r="A123" s="141"/>
      <c r="B123" s="220" t="s">
        <v>178</v>
      </c>
      <c r="C123" s="126" t="s">
        <v>171</v>
      </c>
      <c r="D123" s="144">
        <f>SUMPRODUCT(D116:D121,$G116:$G121)</f>
        <v>16.72057185046242</v>
      </c>
      <c r="E123" s="144">
        <f>SUMPRODUCT(E116:E121,$G116:$G121)</f>
        <v>51.024498831706097</v>
      </c>
      <c r="F123" s="145">
        <f>SUMPRODUCT(F116:F121,$G116:$G121)</f>
        <v>242.43947310915451</v>
      </c>
      <c r="G123" s="146"/>
      <c r="H123" s="141"/>
      <c r="I123" s="141"/>
    </row>
    <row r="124" spans="1:12" ht="14.1" customHeight="1" x14ac:dyDescent="0.2">
      <c r="A124" s="141"/>
      <c r="B124" s="220"/>
      <c r="C124" s="127" t="s">
        <v>172</v>
      </c>
      <c r="D124" s="147">
        <f>D123/$G$116</f>
        <v>0.557352395015414</v>
      </c>
      <c r="E124" s="147">
        <f t="shared" ref="E124:F124" si="7">E123/$G$116</f>
        <v>1.7008166277235366</v>
      </c>
      <c r="F124" s="148">
        <f t="shared" si="7"/>
        <v>8.0813157703051495</v>
      </c>
      <c r="G124" s="141"/>
      <c r="H124" s="149" t="s">
        <v>193</v>
      </c>
      <c r="I124" s="150"/>
    </row>
    <row r="125" spans="1:12" ht="14.1" customHeight="1" x14ac:dyDescent="0.2">
      <c r="A125" s="141"/>
      <c r="B125" s="220"/>
      <c r="C125" s="65" t="s">
        <v>17</v>
      </c>
      <c r="D125" s="151">
        <f>D20/D124</f>
        <v>66588.10394931538</v>
      </c>
      <c r="E125" s="151">
        <f>E20/E124</f>
        <v>18670.198077634835</v>
      </c>
      <c r="F125" s="152">
        <f>F20/F124</f>
        <v>4046.7294534995981</v>
      </c>
      <c r="G125" s="141"/>
      <c r="H125" s="153" t="s">
        <v>187</v>
      </c>
      <c r="I125" s="154">
        <f t="shared" ref="I125:I130" si="8">(E116*G116)/$E$123</f>
        <v>0.30398197640624186</v>
      </c>
    </row>
    <row r="126" spans="1:12" ht="14.1" customHeight="1" x14ac:dyDescent="0.2">
      <c r="A126" s="141"/>
      <c r="B126" s="155"/>
      <c r="C126" s="62"/>
      <c r="D126" s="156"/>
      <c r="E126" s="156"/>
      <c r="F126" s="156"/>
      <c r="G126" s="141"/>
      <c r="H126" s="153" t="s">
        <v>188</v>
      </c>
      <c r="I126" s="154">
        <f t="shared" si="8"/>
        <v>1.263611352904378E-2</v>
      </c>
    </row>
    <row r="127" spans="1:12" ht="14.1" customHeight="1" x14ac:dyDescent="0.2">
      <c r="A127" s="141"/>
      <c r="B127" s="220" t="s">
        <v>179</v>
      </c>
      <c r="C127" s="126" t="s">
        <v>176</v>
      </c>
      <c r="D127" s="199">
        <v>2205</v>
      </c>
      <c r="E127" s="199">
        <v>2205</v>
      </c>
      <c r="F127" s="199">
        <v>2205</v>
      </c>
      <c r="G127" s="200" t="s">
        <v>297</v>
      </c>
      <c r="H127" s="153" t="s">
        <v>189</v>
      </c>
      <c r="I127" s="154">
        <f t="shared" si="8"/>
        <v>0.45408814804418668</v>
      </c>
    </row>
    <row r="128" spans="1:12" ht="14.1" customHeight="1" x14ac:dyDescent="0.2">
      <c r="A128" s="141"/>
      <c r="B128" s="220"/>
      <c r="C128" s="64" t="s">
        <v>175</v>
      </c>
      <c r="D128" s="157">
        <f>D127/D125</f>
        <v>3.311402291433875E-2</v>
      </c>
      <c r="E128" s="157">
        <f>E127/E125</f>
        <v>0.11810265701687361</v>
      </c>
      <c r="F128" s="158">
        <f>F127/F125</f>
        <v>0.5448844617208406</v>
      </c>
      <c r="G128" s="141"/>
      <c r="H128" s="153" t="s">
        <v>190</v>
      </c>
      <c r="I128" s="154">
        <f t="shared" si="8"/>
        <v>3.966885169628921E-3</v>
      </c>
    </row>
    <row r="129" spans="1:9" ht="14.1" customHeight="1" x14ac:dyDescent="0.2">
      <c r="A129" s="141"/>
      <c r="B129" s="220"/>
      <c r="C129" s="127" t="s">
        <v>177</v>
      </c>
      <c r="D129" s="202">
        <v>11.9</v>
      </c>
      <c r="E129" s="202">
        <v>11.9</v>
      </c>
      <c r="F129" s="202">
        <v>11.9</v>
      </c>
      <c r="G129" s="200" t="s">
        <v>297</v>
      </c>
      <c r="H129" s="153" t="s">
        <v>191</v>
      </c>
      <c r="I129" s="154">
        <f t="shared" si="8"/>
        <v>1.4466421914150828E-2</v>
      </c>
    </row>
    <row r="130" spans="1:9" ht="14.1" customHeight="1" x14ac:dyDescent="0.2">
      <c r="A130" s="141"/>
      <c r="B130" s="220"/>
      <c r="C130" s="65" t="s">
        <v>174</v>
      </c>
      <c r="D130" s="159">
        <f>(D127*D129)/D125</f>
        <v>0.39405687268063111</v>
      </c>
      <c r="E130" s="159">
        <f t="shared" ref="E130:F130" si="9">(E127*E129)/E125</f>
        <v>1.4054216185007959</v>
      </c>
      <c r="F130" s="160">
        <f t="shared" si="9"/>
        <v>6.4841250944780029</v>
      </c>
      <c r="G130" s="141"/>
      <c r="H130" s="153" t="s">
        <v>192</v>
      </c>
      <c r="I130" s="154">
        <f t="shared" si="8"/>
        <v>0.2108604549367479</v>
      </c>
    </row>
    <row r="131" spans="1:9" ht="14.1" customHeight="1" x14ac:dyDescent="0.2">
      <c r="H131" s="39"/>
    </row>
    <row r="132" spans="1:9" ht="14.1" customHeight="1" x14ac:dyDescent="0.2">
      <c r="D132" s="48"/>
      <c r="E132" s="48"/>
      <c r="F132" s="48"/>
    </row>
    <row r="133" spans="1:9" ht="14.1" customHeight="1" x14ac:dyDescent="0.2">
      <c r="C133" s="189"/>
      <c r="D133" s="48"/>
      <c r="E133" s="48"/>
      <c r="F133" s="48"/>
    </row>
    <row r="134" spans="1:9" ht="14.1" customHeight="1" x14ac:dyDescent="0.2">
      <c r="C134" s="48"/>
      <c r="D134" s="48"/>
      <c r="E134" s="48"/>
      <c r="F134" s="48"/>
    </row>
    <row r="135" spans="1:9" ht="14.1" customHeight="1" x14ac:dyDescent="0.2">
      <c r="C135" s="48"/>
      <c r="D135" s="48"/>
      <c r="E135" s="48"/>
      <c r="F135" s="48"/>
    </row>
    <row r="136" spans="1:9" ht="14.1" customHeight="1" x14ac:dyDescent="0.2">
      <c r="C136" s="48"/>
      <c r="D136" s="48"/>
      <c r="E136" s="48"/>
      <c r="F136" s="48"/>
    </row>
    <row r="137" spans="1:9" ht="14.1" customHeight="1" x14ac:dyDescent="0.2">
      <c r="C137" s="48"/>
      <c r="D137" s="48"/>
      <c r="E137" s="48"/>
      <c r="F137" s="48"/>
    </row>
    <row r="138" spans="1:9" ht="14.1" customHeight="1" x14ac:dyDescent="0.2">
      <c r="C138" s="48"/>
      <c r="D138" s="48"/>
      <c r="E138" s="48"/>
      <c r="F138" s="48"/>
    </row>
    <row r="139" spans="1:9" ht="14.1" customHeight="1" x14ac:dyDescent="0.2">
      <c r="A139" s="48"/>
      <c r="C139" s="48"/>
      <c r="D139" s="48"/>
      <c r="E139" s="48"/>
      <c r="F139" s="48"/>
    </row>
    <row r="140" spans="1:9" ht="14.1" customHeight="1" x14ac:dyDescent="0.2">
      <c r="A140" s="48"/>
      <c r="B140" s="48"/>
      <c r="C140" s="48"/>
      <c r="D140" s="48"/>
      <c r="E140" s="48"/>
      <c r="F140" s="48"/>
      <c r="G140" s="48"/>
    </row>
    <row r="141" spans="1:9" ht="14.1" customHeight="1" x14ac:dyDescent="0.2">
      <c r="A141" s="48"/>
      <c r="B141" s="48"/>
      <c r="C141" s="48"/>
      <c r="D141" s="48"/>
      <c r="E141" s="48"/>
      <c r="F141" s="48"/>
      <c r="G141" s="48"/>
    </row>
    <row r="142" spans="1:9" ht="14.1" customHeight="1" x14ac:dyDescent="0.2">
      <c r="A142" s="48"/>
      <c r="B142" s="48"/>
      <c r="C142" s="48"/>
      <c r="D142" s="48"/>
      <c r="E142" s="48"/>
      <c r="F142" s="48"/>
      <c r="G142" s="48"/>
    </row>
    <row r="143" spans="1:9" ht="14.1" customHeight="1" x14ac:dyDescent="0.2">
      <c r="A143" s="48"/>
      <c r="B143" s="48"/>
      <c r="C143" s="48"/>
      <c r="D143" s="48"/>
      <c r="E143" s="48"/>
      <c r="F143" s="48"/>
      <c r="G143" s="48"/>
    </row>
    <row r="144" spans="1:9" ht="14.1" customHeight="1" x14ac:dyDescent="0.2">
      <c r="A144" s="48"/>
      <c r="B144" s="48"/>
      <c r="C144" s="48"/>
      <c r="D144" s="48"/>
      <c r="E144" s="48"/>
      <c r="F144" s="48"/>
      <c r="G144" s="48"/>
    </row>
    <row r="145" spans="1:7" ht="14.1" customHeight="1" x14ac:dyDescent="0.2">
      <c r="A145" s="48"/>
      <c r="B145" s="48"/>
      <c r="C145" s="48"/>
      <c r="D145" s="48"/>
      <c r="E145" s="48"/>
      <c r="F145" s="48"/>
      <c r="G145" s="48"/>
    </row>
    <row r="146" spans="1:7" ht="14.1" customHeight="1" x14ac:dyDescent="0.2">
      <c r="A146" s="48"/>
      <c r="B146" s="48"/>
      <c r="C146" s="48"/>
      <c r="D146" s="48"/>
      <c r="E146" s="48"/>
      <c r="F146" s="48"/>
      <c r="G146" s="48"/>
    </row>
    <row r="147" spans="1:7" ht="14.1" customHeight="1" x14ac:dyDescent="0.2">
      <c r="A147" s="48"/>
      <c r="B147" s="48"/>
      <c r="C147" s="48"/>
      <c r="D147" s="48"/>
      <c r="E147" s="48"/>
      <c r="F147" s="48"/>
      <c r="G147" s="48"/>
    </row>
    <row r="148" spans="1:7" ht="14.1" customHeight="1" x14ac:dyDescent="0.2">
      <c r="A148" s="48"/>
      <c r="B148" s="48"/>
      <c r="C148" s="48"/>
      <c r="D148" s="48"/>
      <c r="E148" s="48"/>
      <c r="F148" s="48"/>
      <c r="G148" s="48"/>
    </row>
    <row r="149" spans="1:7" ht="14.1" customHeight="1" x14ac:dyDescent="0.2">
      <c r="A149" s="48"/>
      <c r="B149" s="48"/>
      <c r="C149" s="48"/>
      <c r="D149" s="48"/>
      <c r="E149" s="48"/>
      <c r="F149" s="48"/>
      <c r="G149" s="48"/>
    </row>
    <row r="150" spans="1:7" ht="14.1" customHeight="1" x14ac:dyDescent="0.2">
      <c r="A150" s="48"/>
      <c r="B150" s="48"/>
      <c r="C150" s="48"/>
      <c r="D150" s="48"/>
      <c r="E150" s="48"/>
      <c r="F150" s="48"/>
      <c r="G150" s="48"/>
    </row>
    <row r="151" spans="1:7" ht="14.1" customHeight="1" x14ac:dyDescent="0.2">
      <c r="A151" s="48"/>
      <c r="B151" s="48"/>
      <c r="C151" s="48"/>
      <c r="D151" s="48"/>
      <c r="E151" s="48"/>
      <c r="F151" s="48"/>
      <c r="G151" s="48"/>
    </row>
    <row r="152" spans="1:7" ht="14.1" customHeight="1" x14ac:dyDescent="0.2">
      <c r="A152" s="48"/>
      <c r="B152" s="48"/>
      <c r="C152" s="48"/>
      <c r="D152" s="48"/>
      <c r="E152" s="48"/>
      <c r="F152" s="48"/>
      <c r="G152" s="48"/>
    </row>
    <row r="153" spans="1:7" ht="14.1" customHeight="1" x14ac:dyDescent="0.2">
      <c r="A153" s="48"/>
      <c r="B153" s="48"/>
      <c r="C153" s="48"/>
      <c r="D153" s="48"/>
      <c r="E153" s="48"/>
      <c r="F153" s="48"/>
      <c r="G153" s="48"/>
    </row>
    <row r="154" spans="1:7" ht="14.1" customHeight="1" x14ac:dyDescent="0.2">
      <c r="A154" s="48"/>
      <c r="B154" s="48"/>
      <c r="C154" s="48"/>
      <c r="D154" s="48"/>
      <c r="E154" s="48"/>
      <c r="F154" s="48"/>
      <c r="G154" s="48"/>
    </row>
    <row r="155" spans="1:7" ht="14.1" customHeight="1" x14ac:dyDescent="0.2">
      <c r="A155" s="48"/>
      <c r="B155" s="48"/>
      <c r="C155" s="48"/>
      <c r="D155" s="48"/>
      <c r="E155" s="48"/>
      <c r="F155" s="48"/>
      <c r="G155" s="48"/>
    </row>
    <row r="156" spans="1:7" ht="14.1" customHeight="1" x14ac:dyDescent="0.2">
      <c r="A156" s="48"/>
      <c r="B156" s="48"/>
      <c r="C156" s="48"/>
      <c r="D156" s="48"/>
      <c r="E156" s="48"/>
      <c r="F156" s="48"/>
      <c r="G156" s="48"/>
    </row>
    <row r="157" spans="1:7" ht="14.1" customHeight="1" x14ac:dyDescent="0.2">
      <c r="A157" s="48"/>
      <c r="B157" s="48"/>
      <c r="C157" s="48"/>
      <c r="D157" s="48"/>
      <c r="E157" s="48"/>
      <c r="F157" s="48"/>
      <c r="G157" s="48"/>
    </row>
    <row r="158" spans="1:7" ht="14.1" customHeight="1" x14ac:dyDescent="0.2">
      <c r="A158" s="48"/>
      <c r="B158" s="48"/>
      <c r="C158" s="48"/>
      <c r="D158" s="48"/>
      <c r="E158" s="48"/>
      <c r="F158" s="48"/>
      <c r="G158" s="48"/>
    </row>
    <row r="159" spans="1:7" ht="14.1" customHeight="1" x14ac:dyDescent="0.2">
      <c r="A159" s="48"/>
      <c r="B159" s="48"/>
      <c r="C159" s="48"/>
      <c r="D159" s="48"/>
      <c r="E159" s="48"/>
      <c r="F159" s="48"/>
      <c r="G159" s="48"/>
    </row>
    <row r="160" spans="1:7" ht="14.1" customHeight="1" x14ac:dyDescent="0.2">
      <c r="A160" s="48"/>
      <c r="B160" s="48"/>
      <c r="C160" s="48"/>
      <c r="D160" s="48"/>
      <c r="E160" s="48"/>
      <c r="F160" s="48"/>
      <c r="G160" s="48"/>
    </row>
    <row r="161" spans="1:11" ht="14.1" customHeight="1" x14ac:dyDescent="0.2">
      <c r="A161" s="48"/>
      <c r="B161" s="48"/>
      <c r="C161" s="48"/>
      <c r="D161" s="48"/>
      <c r="E161" s="48"/>
      <c r="F161" s="48"/>
      <c r="G161" s="48"/>
    </row>
    <row r="162" spans="1:11" ht="14.1" customHeight="1" x14ac:dyDescent="0.2">
      <c r="A162" s="48"/>
      <c r="B162" s="48"/>
      <c r="C162" s="48"/>
      <c r="D162" s="48"/>
      <c r="E162" s="48"/>
      <c r="F162" s="48"/>
      <c r="G162" s="48"/>
    </row>
    <row r="163" spans="1:11" ht="14.1" customHeight="1" x14ac:dyDescent="0.2">
      <c r="A163" s="48"/>
      <c r="B163" s="48"/>
      <c r="C163" s="48"/>
      <c r="D163" s="48"/>
      <c r="E163" s="48"/>
      <c r="F163" s="48"/>
      <c r="G163" s="48"/>
      <c r="J163" s="6"/>
      <c r="K163" s="6"/>
    </row>
    <row r="164" spans="1:11" ht="14.1" customHeight="1" x14ac:dyDescent="0.2">
      <c r="A164" s="48"/>
      <c r="B164" s="48"/>
      <c r="C164" s="48"/>
      <c r="D164" s="48"/>
      <c r="E164" s="48"/>
      <c r="F164" s="48"/>
      <c r="G164" s="48"/>
      <c r="J164" s="6"/>
      <c r="K164" s="6"/>
    </row>
    <row r="165" spans="1:11" ht="14.1" customHeight="1" x14ac:dyDescent="0.2">
      <c r="A165" s="48"/>
      <c r="B165" s="48"/>
      <c r="C165" s="48"/>
      <c r="D165" s="48"/>
      <c r="E165" s="48"/>
      <c r="F165" s="48"/>
      <c r="G165" s="48"/>
      <c r="J165" s="6"/>
      <c r="K165" s="6"/>
    </row>
    <row r="166" spans="1:11" ht="14.1" customHeight="1" x14ac:dyDescent="0.2">
      <c r="A166" s="48"/>
      <c r="B166" s="48"/>
      <c r="C166" s="48"/>
      <c r="D166" s="48"/>
      <c r="E166" s="48"/>
      <c r="F166" s="48"/>
      <c r="G166" s="48"/>
      <c r="J166" s="6"/>
      <c r="K166" s="6"/>
    </row>
    <row r="167" spans="1:11" ht="14.1" customHeight="1" x14ac:dyDescent="0.2">
      <c r="J167" s="6"/>
      <c r="K167" s="6"/>
    </row>
    <row r="168" spans="1:11" ht="14.1" customHeight="1" x14ac:dyDescent="0.2">
      <c r="J168" s="6"/>
      <c r="K168" s="6"/>
    </row>
    <row r="169" spans="1:11" ht="14.1" customHeight="1" x14ac:dyDescent="0.2">
      <c r="B169" s="4"/>
      <c r="J169" s="6"/>
      <c r="K169" s="6"/>
    </row>
    <row r="170" spans="1:11" ht="14.1" customHeight="1" x14ac:dyDescent="0.2">
      <c r="D170" s="15"/>
      <c r="E170" s="15"/>
      <c r="F170" s="15"/>
      <c r="G170" s="8"/>
      <c r="J170" s="6"/>
      <c r="K170" s="6"/>
    </row>
    <row r="171" spans="1:11" ht="14.1" customHeight="1" x14ac:dyDescent="0.2">
      <c r="D171" s="9"/>
      <c r="E171" s="9"/>
      <c r="F171" s="9"/>
      <c r="G171" s="8"/>
      <c r="K171" s="6"/>
    </row>
    <row r="172" spans="1:11" ht="14.1" customHeight="1" x14ac:dyDescent="0.2">
      <c r="D172" s="15"/>
      <c r="E172" s="15"/>
      <c r="F172" s="15"/>
      <c r="G172" s="8"/>
      <c r="K172" s="6"/>
    </row>
    <row r="173" spans="1:11" ht="14.1" customHeight="1" x14ac:dyDescent="0.2">
      <c r="D173" s="15"/>
      <c r="E173" s="15"/>
      <c r="F173" s="15"/>
      <c r="G173" s="8"/>
      <c r="K173" s="6"/>
    </row>
    <row r="175" spans="1:11" ht="14.1" customHeight="1" x14ac:dyDescent="0.2">
      <c r="B175" s="4"/>
    </row>
    <row r="179" spans="4:6" ht="14.1" customHeight="1" x14ac:dyDescent="0.2">
      <c r="D179" s="9"/>
      <c r="E179" s="9"/>
      <c r="F179" s="9"/>
    </row>
    <row r="180" spans="4:6" ht="14.1" customHeight="1" x14ac:dyDescent="0.2">
      <c r="D180" s="9"/>
      <c r="E180" s="9"/>
      <c r="F180" s="9"/>
    </row>
    <row r="182" spans="4:6" ht="14.1" customHeight="1" x14ac:dyDescent="0.2">
      <c r="D182" s="10"/>
      <c r="E182" s="10"/>
      <c r="F182" s="10"/>
    </row>
    <row r="185" spans="4:6" ht="14.1" customHeight="1" x14ac:dyDescent="0.2">
      <c r="D185" s="10"/>
      <c r="E185" s="10"/>
      <c r="F185" s="10"/>
    </row>
    <row r="193" spans="4:6" ht="14.1" customHeight="1" x14ac:dyDescent="0.2">
      <c r="D193" s="16"/>
      <c r="E193" s="16"/>
      <c r="F193" s="16"/>
    </row>
    <row r="194" spans="4:6" ht="14.1" customHeight="1" x14ac:dyDescent="0.2">
      <c r="D194" s="10"/>
      <c r="E194" s="10"/>
      <c r="F194" s="10"/>
    </row>
    <row r="195" spans="4:6" ht="14.1" customHeight="1" x14ac:dyDescent="0.2">
      <c r="D195" s="6"/>
      <c r="E195" s="6"/>
      <c r="F195" s="6"/>
    </row>
    <row r="210" spans="4:5" ht="14.1" customHeight="1" x14ac:dyDescent="0.2">
      <c r="D210" s="6"/>
      <c r="E210" s="6"/>
    </row>
    <row r="211" spans="4:5" ht="14.1" customHeight="1" x14ac:dyDescent="0.2">
      <c r="D211" s="6"/>
      <c r="E211" s="6"/>
    </row>
    <row r="229" spans="4:8" ht="14.1" customHeight="1" x14ac:dyDescent="0.2">
      <c r="H229" s="39"/>
    </row>
    <row r="230" spans="4:8" ht="14.1" customHeight="1" x14ac:dyDescent="0.2">
      <c r="H230" s="39"/>
    </row>
    <row r="231" spans="4:8" ht="14.1" customHeight="1" x14ac:dyDescent="0.2">
      <c r="H231" s="39"/>
    </row>
    <row r="232" spans="4:8" ht="14.1" customHeight="1" x14ac:dyDescent="0.2">
      <c r="H232" s="39"/>
    </row>
    <row r="237" spans="4:8" ht="14.1" customHeight="1" x14ac:dyDescent="0.2">
      <c r="G237" s="8"/>
    </row>
    <row r="238" spans="4:8" ht="14.1" customHeight="1" x14ac:dyDescent="0.2">
      <c r="D238" s="8"/>
      <c r="E238" s="8"/>
      <c r="G238" s="6"/>
    </row>
    <row r="239" spans="4:8" ht="14.1" customHeight="1" x14ac:dyDescent="0.2">
      <c r="D239" s="8"/>
      <c r="E239" s="8"/>
      <c r="G239" s="6"/>
    </row>
    <row r="240" spans="4:8" ht="14.1" customHeight="1" x14ac:dyDescent="0.2">
      <c r="D240" s="6"/>
      <c r="E240" s="6"/>
      <c r="G240" s="5"/>
    </row>
    <row r="241" spans="4:5" ht="14.1" customHeight="1" x14ac:dyDescent="0.2">
      <c r="D241" s="6"/>
      <c r="E241" s="6"/>
    </row>
    <row r="289" spans="10:14" ht="14.1" customHeight="1" x14ac:dyDescent="0.2">
      <c r="J289" s="17"/>
    </row>
    <row r="290" spans="10:14" ht="14.1" customHeight="1" x14ac:dyDescent="0.2">
      <c r="J290" s="18"/>
    </row>
    <row r="291" spans="10:14" ht="14.1" customHeight="1" x14ac:dyDescent="0.2">
      <c r="J291" s="18"/>
    </row>
    <row r="292" spans="10:14" ht="14.1" customHeight="1" x14ac:dyDescent="0.2">
      <c r="J292" s="18"/>
      <c r="K292" s="17"/>
      <c r="L292" s="8"/>
      <c r="M292" s="5"/>
    </row>
    <row r="293" spans="10:14" ht="14.1" customHeight="1" x14ac:dyDescent="0.2">
      <c r="J293" s="18"/>
      <c r="K293" s="18"/>
      <c r="L293" s="8"/>
      <c r="M293" s="5"/>
    </row>
    <row r="294" spans="10:14" ht="14.1" customHeight="1" x14ac:dyDescent="0.2">
      <c r="J294" s="18"/>
      <c r="K294" s="18"/>
      <c r="L294" s="18"/>
      <c r="M294" s="18"/>
    </row>
    <row r="295" spans="10:14" ht="14.1" customHeight="1" x14ac:dyDescent="0.2">
      <c r="J295" s="18"/>
      <c r="K295" s="18"/>
      <c r="L295" s="18"/>
      <c r="M295" s="18"/>
    </row>
    <row r="296" spans="10:14" ht="14.1" customHeight="1" x14ac:dyDescent="0.2">
      <c r="J296" s="18"/>
      <c r="K296" s="18"/>
      <c r="L296" s="18"/>
      <c r="M296" s="18"/>
    </row>
    <row r="297" spans="10:14" ht="14.1" customHeight="1" x14ac:dyDescent="0.2">
      <c r="J297" s="18"/>
      <c r="K297" s="18"/>
      <c r="L297" s="18"/>
      <c r="M297" s="18"/>
      <c r="N297" s="5"/>
    </row>
    <row r="298" spans="10:14" ht="14.1" customHeight="1" x14ac:dyDescent="0.2">
      <c r="J298" s="18"/>
      <c r="K298" s="18"/>
      <c r="L298" s="18"/>
      <c r="M298" s="18"/>
      <c r="N298" s="5"/>
    </row>
    <row r="299" spans="10:14" ht="14.1" customHeight="1" x14ac:dyDescent="0.2">
      <c r="J299" s="18"/>
      <c r="K299" s="18"/>
      <c r="L299" s="18"/>
      <c r="M299" s="18"/>
      <c r="N299" s="18"/>
    </row>
    <row r="300" spans="10:14" ht="14.1" customHeight="1" x14ac:dyDescent="0.2">
      <c r="J300" s="18"/>
      <c r="K300" s="18"/>
      <c r="L300" s="18"/>
      <c r="M300" s="18"/>
      <c r="N300" s="18"/>
    </row>
    <row r="301" spans="10:14" ht="14.1" customHeight="1" x14ac:dyDescent="0.2">
      <c r="J301" s="18"/>
      <c r="K301" s="18"/>
      <c r="L301" s="18"/>
      <c r="M301" s="18"/>
      <c r="N301" s="18"/>
    </row>
    <row r="302" spans="10:14" ht="14.1" customHeight="1" x14ac:dyDescent="0.2">
      <c r="J302" s="18"/>
      <c r="K302" s="18"/>
      <c r="L302" s="18"/>
      <c r="M302" s="18"/>
      <c r="N302" s="18"/>
    </row>
    <row r="303" spans="10:14" ht="14.1" customHeight="1" x14ac:dyDescent="0.2">
      <c r="J303" s="18"/>
      <c r="K303" s="18"/>
      <c r="L303" s="18"/>
      <c r="M303" s="18"/>
      <c r="N303" s="18"/>
    </row>
    <row r="304" spans="10:14" ht="14.1" customHeight="1" x14ac:dyDescent="0.2">
      <c r="J304" s="18"/>
      <c r="K304" s="18"/>
      <c r="L304" s="18"/>
      <c r="M304" s="18"/>
      <c r="N304" s="18"/>
    </row>
    <row r="305" spans="8:14" ht="14.1" customHeight="1" x14ac:dyDescent="0.2">
      <c r="J305" s="18"/>
      <c r="K305" s="18"/>
      <c r="L305" s="18"/>
      <c r="M305" s="18"/>
      <c r="N305" s="18"/>
    </row>
    <row r="306" spans="8:14" ht="14.1" customHeight="1" x14ac:dyDescent="0.2">
      <c r="J306" s="18"/>
      <c r="K306" s="18"/>
      <c r="L306" s="18"/>
      <c r="M306" s="18"/>
      <c r="N306" s="18"/>
    </row>
    <row r="307" spans="8:14" ht="14.1" customHeight="1" x14ac:dyDescent="0.2">
      <c r="J307" s="18"/>
      <c r="K307" s="18"/>
      <c r="L307" s="18"/>
      <c r="M307" s="18"/>
      <c r="N307" s="18"/>
    </row>
    <row r="308" spans="8:14" ht="14.1" customHeight="1" x14ac:dyDescent="0.2">
      <c r="J308" s="18"/>
      <c r="K308" s="18"/>
      <c r="L308" s="18"/>
      <c r="M308" s="18"/>
      <c r="N308" s="18"/>
    </row>
    <row r="309" spans="8:14" ht="14.1" customHeight="1" x14ac:dyDescent="0.2">
      <c r="J309" s="18"/>
      <c r="K309" s="18"/>
      <c r="L309" s="18"/>
      <c r="M309" s="18"/>
      <c r="N309" s="18"/>
    </row>
    <row r="310" spans="8:14" ht="14.1" customHeight="1" x14ac:dyDescent="0.2">
      <c r="J310" s="18"/>
      <c r="K310" s="18"/>
      <c r="L310" s="18"/>
      <c r="M310" s="18"/>
      <c r="N310" s="18"/>
    </row>
    <row r="311" spans="8:14" ht="14.1" customHeight="1" x14ac:dyDescent="0.2">
      <c r="J311" s="18"/>
      <c r="K311" s="18"/>
      <c r="L311" s="18"/>
      <c r="M311" s="18"/>
      <c r="N311" s="18"/>
    </row>
    <row r="312" spans="8:14" ht="14.1" customHeight="1" x14ac:dyDescent="0.2">
      <c r="J312" s="18"/>
      <c r="K312" s="18"/>
      <c r="L312" s="18"/>
      <c r="M312" s="18"/>
      <c r="N312" s="18"/>
    </row>
    <row r="313" spans="8:14" ht="14.1" customHeight="1" x14ac:dyDescent="0.2">
      <c r="J313" s="18"/>
      <c r="K313" s="18"/>
      <c r="L313" s="18"/>
      <c r="M313" s="18"/>
      <c r="N313" s="18"/>
    </row>
    <row r="314" spans="8:14" ht="14.1" customHeight="1" x14ac:dyDescent="0.2">
      <c r="J314" s="18"/>
      <c r="K314" s="18"/>
      <c r="L314" s="18"/>
      <c r="M314" s="18"/>
      <c r="N314" s="18"/>
    </row>
    <row r="315" spans="8:14" ht="14.1" customHeight="1" x14ac:dyDescent="0.2">
      <c r="J315" s="18"/>
      <c r="K315" s="18"/>
      <c r="L315" s="18"/>
      <c r="M315" s="18"/>
      <c r="N315" s="18"/>
    </row>
    <row r="316" spans="8:14" ht="14.1" customHeight="1" x14ac:dyDescent="0.2">
      <c r="H316" s="40"/>
      <c r="J316" s="18"/>
      <c r="K316" s="18"/>
      <c r="L316" s="18"/>
      <c r="M316" s="18"/>
      <c r="N316" s="18"/>
    </row>
    <row r="317" spans="8:14" ht="14.1" customHeight="1" x14ac:dyDescent="0.2">
      <c r="H317" s="41"/>
      <c r="J317" s="18"/>
      <c r="K317" s="18"/>
      <c r="L317" s="18"/>
      <c r="M317" s="18"/>
      <c r="N317" s="18"/>
    </row>
    <row r="318" spans="8:14" ht="14.1" customHeight="1" x14ac:dyDescent="0.2">
      <c r="H318" s="41"/>
      <c r="J318" s="18"/>
      <c r="K318" s="18"/>
      <c r="L318" s="18"/>
      <c r="M318" s="18"/>
      <c r="N318" s="18"/>
    </row>
    <row r="319" spans="8:14" ht="14.1" customHeight="1" x14ac:dyDescent="0.2">
      <c r="H319" s="41"/>
      <c r="J319" s="18"/>
      <c r="K319" s="18"/>
      <c r="L319" s="18"/>
      <c r="M319" s="18"/>
      <c r="N319" s="18"/>
    </row>
    <row r="320" spans="8:14" ht="14.1" customHeight="1" x14ac:dyDescent="0.2">
      <c r="H320" s="41"/>
      <c r="J320" s="18"/>
      <c r="K320" s="18"/>
      <c r="L320" s="18"/>
      <c r="M320" s="18"/>
      <c r="N320" s="18"/>
    </row>
    <row r="321" spans="4:14" ht="14.1" customHeight="1" x14ac:dyDescent="0.2">
      <c r="H321" s="41"/>
      <c r="J321" s="18"/>
      <c r="K321" s="18"/>
      <c r="L321" s="18"/>
      <c r="M321" s="18"/>
      <c r="N321" s="18"/>
    </row>
    <row r="322" spans="4:14" ht="14.1" customHeight="1" x14ac:dyDescent="0.2">
      <c r="H322" s="41"/>
      <c r="J322" s="18"/>
      <c r="K322" s="18"/>
      <c r="L322" s="18"/>
      <c r="M322" s="18"/>
      <c r="N322" s="18"/>
    </row>
    <row r="323" spans="4:14" ht="14.1" customHeight="1" x14ac:dyDescent="0.2">
      <c r="H323" s="41"/>
      <c r="J323" s="18"/>
      <c r="K323" s="18"/>
      <c r="L323" s="18"/>
      <c r="M323" s="18"/>
      <c r="N323" s="18"/>
    </row>
    <row r="324" spans="4:14" ht="14.1" customHeight="1" x14ac:dyDescent="0.2">
      <c r="G324" s="18"/>
      <c r="H324" s="41"/>
      <c r="J324" s="18"/>
      <c r="K324" s="18"/>
      <c r="L324" s="18"/>
      <c r="M324" s="18"/>
      <c r="N324" s="18"/>
    </row>
    <row r="325" spans="4:14" ht="14.1" customHeight="1" x14ac:dyDescent="0.2">
      <c r="D325" s="18"/>
      <c r="E325" s="18"/>
      <c r="G325" s="18"/>
      <c r="H325" s="41"/>
      <c r="J325" s="18"/>
      <c r="K325" s="18"/>
      <c r="L325" s="18"/>
      <c r="M325" s="18"/>
      <c r="N325" s="18"/>
    </row>
    <row r="326" spans="4:14" ht="14.1" customHeight="1" x14ac:dyDescent="0.2">
      <c r="D326" s="18"/>
      <c r="E326" s="18"/>
      <c r="G326" s="18"/>
      <c r="H326" s="41"/>
      <c r="J326" s="18"/>
      <c r="K326" s="18"/>
      <c r="L326" s="18"/>
      <c r="M326" s="18"/>
      <c r="N326" s="18"/>
    </row>
    <row r="327" spans="4:14" ht="14.1" customHeight="1" x14ac:dyDescent="0.2">
      <c r="D327" s="18"/>
      <c r="E327" s="18"/>
      <c r="G327" s="18"/>
      <c r="H327" s="41"/>
      <c r="J327" s="18"/>
      <c r="K327" s="18"/>
      <c r="L327" s="18"/>
      <c r="M327" s="18"/>
      <c r="N327" s="18"/>
    </row>
    <row r="328" spans="4:14" ht="14.1" customHeight="1" x14ac:dyDescent="0.2">
      <c r="D328" s="18"/>
      <c r="E328" s="18"/>
      <c r="G328" s="18"/>
      <c r="H328" s="41"/>
      <c r="J328" s="18"/>
      <c r="K328" s="18"/>
      <c r="L328" s="18"/>
      <c r="M328" s="18"/>
      <c r="N328" s="18"/>
    </row>
    <row r="329" spans="4:14" ht="14.1" customHeight="1" x14ac:dyDescent="0.2">
      <c r="D329" s="18"/>
      <c r="E329" s="18"/>
      <c r="G329" s="18"/>
      <c r="H329" s="41"/>
      <c r="J329" s="18"/>
      <c r="K329" s="18"/>
      <c r="L329" s="18"/>
      <c r="M329" s="18"/>
      <c r="N329" s="18"/>
    </row>
    <row r="330" spans="4:14" ht="14.1" customHeight="1" x14ac:dyDescent="0.2">
      <c r="D330" s="18"/>
      <c r="E330" s="18"/>
      <c r="G330" s="18"/>
      <c r="H330" s="41"/>
      <c r="J330" s="18"/>
      <c r="K330" s="18"/>
      <c r="L330" s="18"/>
      <c r="M330" s="18"/>
      <c r="N330" s="18"/>
    </row>
    <row r="331" spans="4:14" ht="14.1" customHeight="1" x14ac:dyDescent="0.2">
      <c r="D331" s="18"/>
      <c r="E331" s="18"/>
      <c r="G331" s="18"/>
      <c r="H331" s="41"/>
      <c r="J331" s="18"/>
      <c r="K331" s="18"/>
      <c r="L331" s="18"/>
      <c r="M331" s="18"/>
      <c r="N331" s="18"/>
    </row>
    <row r="332" spans="4:14" ht="14.1" customHeight="1" x14ac:dyDescent="0.2">
      <c r="D332" s="18"/>
      <c r="E332" s="18"/>
      <c r="G332" s="18"/>
      <c r="H332" s="41"/>
      <c r="J332" s="18"/>
      <c r="K332" s="18"/>
      <c r="L332" s="18"/>
      <c r="M332" s="18"/>
      <c r="N332" s="18"/>
    </row>
    <row r="333" spans="4:14" ht="14.1" customHeight="1" x14ac:dyDescent="0.2">
      <c r="D333" s="18"/>
      <c r="E333" s="18"/>
      <c r="G333" s="18"/>
      <c r="H333" s="41"/>
      <c r="J333" s="18"/>
      <c r="K333" s="18"/>
      <c r="L333" s="18"/>
      <c r="M333" s="18"/>
      <c r="N333" s="18"/>
    </row>
    <row r="334" spans="4:14" ht="14.1" customHeight="1" x14ac:dyDescent="0.2">
      <c r="D334" s="18"/>
      <c r="E334" s="18"/>
      <c r="G334" s="18"/>
      <c r="H334" s="41"/>
      <c r="J334" s="18"/>
      <c r="K334" s="18"/>
      <c r="L334" s="18"/>
      <c r="M334" s="18"/>
      <c r="N334" s="18"/>
    </row>
    <row r="335" spans="4:14" ht="14.1" customHeight="1" x14ac:dyDescent="0.2">
      <c r="D335" s="18"/>
      <c r="E335" s="18"/>
      <c r="G335" s="18"/>
      <c r="H335" s="41"/>
      <c r="J335" s="18"/>
      <c r="K335" s="18"/>
      <c r="L335" s="18"/>
      <c r="M335" s="18"/>
      <c r="N335" s="18"/>
    </row>
    <row r="336" spans="4:14" ht="14.1" customHeight="1" x14ac:dyDescent="0.2">
      <c r="D336" s="18"/>
      <c r="E336" s="18"/>
      <c r="G336" s="18"/>
      <c r="H336" s="41"/>
      <c r="J336" s="18"/>
      <c r="K336" s="18"/>
      <c r="L336" s="18"/>
      <c r="M336" s="18"/>
      <c r="N336" s="18"/>
    </row>
    <row r="337" spans="4:14" ht="14.1" customHeight="1" x14ac:dyDescent="0.2">
      <c r="D337" s="18"/>
      <c r="E337" s="18"/>
      <c r="G337" s="18"/>
      <c r="H337" s="41"/>
      <c r="J337" s="18"/>
      <c r="K337" s="18"/>
      <c r="L337" s="18"/>
      <c r="M337" s="18"/>
      <c r="N337" s="18"/>
    </row>
    <row r="338" spans="4:14" ht="14.1" customHeight="1" x14ac:dyDescent="0.2">
      <c r="D338" s="18"/>
      <c r="E338" s="18"/>
      <c r="G338" s="18"/>
      <c r="H338" s="41"/>
      <c r="J338" s="18"/>
      <c r="K338" s="18"/>
      <c r="L338" s="18"/>
      <c r="M338" s="18"/>
      <c r="N338" s="18"/>
    </row>
    <row r="339" spans="4:14" ht="14.1" customHeight="1" x14ac:dyDescent="0.2">
      <c r="D339" s="18"/>
      <c r="E339" s="18"/>
      <c r="G339" s="18"/>
      <c r="H339" s="41"/>
      <c r="J339" s="18"/>
      <c r="K339" s="18"/>
      <c r="L339" s="18"/>
      <c r="M339" s="18"/>
      <c r="N339" s="18"/>
    </row>
    <row r="340" spans="4:14" ht="14.1" customHeight="1" x14ac:dyDescent="0.2">
      <c r="D340" s="18"/>
      <c r="E340" s="18"/>
      <c r="G340" s="18"/>
      <c r="H340" s="41"/>
      <c r="J340" s="18"/>
      <c r="K340" s="18"/>
      <c r="L340" s="18"/>
      <c r="M340" s="18"/>
      <c r="N340" s="18"/>
    </row>
    <row r="341" spans="4:14" ht="14.1" customHeight="1" x14ac:dyDescent="0.2">
      <c r="D341" s="18"/>
      <c r="E341" s="18"/>
      <c r="G341" s="18"/>
      <c r="H341" s="41"/>
      <c r="J341" s="18"/>
      <c r="K341" s="18"/>
      <c r="L341" s="18"/>
      <c r="M341" s="18"/>
      <c r="N341" s="18"/>
    </row>
    <row r="342" spans="4:14" ht="14.1" customHeight="1" x14ac:dyDescent="0.2">
      <c r="D342" s="18"/>
      <c r="E342" s="18"/>
      <c r="G342" s="18"/>
      <c r="H342" s="41"/>
      <c r="J342" s="18"/>
      <c r="K342" s="18"/>
      <c r="L342" s="18"/>
      <c r="M342" s="18"/>
      <c r="N342" s="18"/>
    </row>
    <row r="343" spans="4:14" ht="14.1" customHeight="1" x14ac:dyDescent="0.2">
      <c r="D343" s="18"/>
      <c r="E343" s="18"/>
      <c r="G343" s="18"/>
      <c r="H343" s="41"/>
      <c r="J343" s="18"/>
      <c r="K343" s="18"/>
      <c r="L343" s="18"/>
      <c r="M343" s="18"/>
      <c r="N343" s="18"/>
    </row>
    <row r="344" spans="4:14" ht="14.1" customHeight="1" x14ac:dyDescent="0.2">
      <c r="D344" s="18"/>
      <c r="E344" s="18"/>
      <c r="G344" s="18"/>
      <c r="H344" s="41"/>
      <c r="J344" s="18"/>
      <c r="K344" s="18"/>
      <c r="L344" s="18"/>
      <c r="M344" s="18"/>
      <c r="N344" s="18"/>
    </row>
    <row r="345" spans="4:14" ht="14.1" customHeight="1" x14ac:dyDescent="0.2">
      <c r="D345" s="18"/>
      <c r="E345" s="18"/>
      <c r="G345" s="18"/>
      <c r="H345" s="41"/>
      <c r="K345" s="18"/>
      <c r="L345" s="18"/>
      <c r="M345" s="18"/>
      <c r="N345" s="18"/>
    </row>
    <row r="346" spans="4:14" ht="14.1" customHeight="1" x14ac:dyDescent="0.2">
      <c r="D346" s="18"/>
      <c r="E346" s="18"/>
      <c r="G346" s="18"/>
      <c r="H346" s="41"/>
      <c r="K346" s="18"/>
      <c r="L346" s="18"/>
      <c r="M346" s="18"/>
      <c r="N346" s="18"/>
    </row>
    <row r="347" spans="4:14" ht="14.1" customHeight="1" x14ac:dyDescent="0.2">
      <c r="D347" s="18"/>
      <c r="E347" s="18"/>
      <c r="G347" s="18"/>
      <c r="H347" s="41"/>
      <c r="K347" s="18"/>
      <c r="L347" s="18"/>
      <c r="M347" s="18"/>
      <c r="N347" s="18"/>
    </row>
    <row r="348" spans="4:14" ht="14.1" customHeight="1" x14ac:dyDescent="0.2">
      <c r="D348" s="18"/>
      <c r="E348" s="18"/>
      <c r="G348" s="18"/>
      <c r="H348" s="41"/>
      <c r="N348" s="18"/>
    </row>
    <row r="349" spans="4:14" ht="14.1" customHeight="1" x14ac:dyDescent="0.2">
      <c r="D349" s="18"/>
      <c r="E349" s="18"/>
      <c r="G349" s="18"/>
      <c r="H349" s="41"/>
      <c r="N349" s="18"/>
    </row>
    <row r="350" spans="4:14" ht="14.1" customHeight="1" x14ac:dyDescent="0.2">
      <c r="D350" s="18"/>
      <c r="E350" s="18"/>
      <c r="G350" s="18"/>
      <c r="H350" s="41"/>
      <c r="N350" s="18"/>
    </row>
    <row r="351" spans="4:14" ht="14.1" customHeight="1" x14ac:dyDescent="0.2">
      <c r="D351" s="18"/>
      <c r="E351" s="18"/>
      <c r="G351" s="18"/>
      <c r="H351" s="41"/>
      <c r="N351" s="18"/>
    </row>
    <row r="352" spans="4:14" ht="14.1" customHeight="1" x14ac:dyDescent="0.2">
      <c r="D352" s="18"/>
      <c r="E352" s="18"/>
      <c r="G352" s="18"/>
      <c r="H352" s="41"/>
      <c r="N352" s="18"/>
    </row>
    <row r="353" spans="4:8" ht="14.1" customHeight="1" x14ac:dyDescent="0.2">
      <c r="D353" s="18"/>
      <c r="E353" s="18"/>
      <c r="G353" s="18"/>
      <c r="H353" s="41"/>
    </row>
    <row r="354" spans="4:8" ht="14.1" customHeight="1" x14ac:dyDescent="0.2">
      <c r="D354" s="18"/>
      <c r="E354" s="18"/>
      <c r="G354" s="18"/>
      <c r="H354" s="41"/>
    </row>
    <row r="355" spans="4:8" ht="14.1" customHeight="1" x14ac:dyDescent="0.2">
      <c r="D355" s="18"/>
      <c r="E355" s="18"/>
      <c r="G355" s="18"/>
      <c r="H355" s="41"/>
    </row>
    <row r="356" spans="4:8" ht="14.1" customHeight="1" x14ac:dyDescent="0.2">
      <c r="D356" s="18"/>
      <c r="E356" s="18"/>
      <c r="G356" s="18"/>
      <c r="H356" s="41"/>
    </row>
    <row r="357" spans="4:8" ht="14.1" customHeight="1" x14ac:dyDescent="0.2">
      <c r="D357" s="18"/>
      <c r="E357" s="18"/>
      <c r="G357" s="18"/>
      <c r="H357" s="41"/>
    </row>
    <row r="358" spans="4:8" ht="14.1" customHeight="1" x14ac:dyDescent="0.2">
      <c r="D358" s="18"/>
      <c r="E358" s="18"/>
      <c r="G358" s="18"/>
      <c r="H358" s="41"/>
    </row>
    <row r="359" spans="4:8" ht="14.1" customHeight="1" x14ac:dyDescent="0.2">
      <c r="D359" s="18"/>
      <c r="E359" s="18"/>
      <c r="G359" s="18"/>
      <c r="H359" s="41"/>
    </row>
    <row r="360" spans="4:8" ht="14.1" customHeight="1" x14ac:dyDescent="0.2">
      <c r="D360" s="18"/>
      <c r="E360" s="18"/>
      <c r="G360" s="18"/>
      <c r="H360" s="41"/>
    </row>
    <row r="361" spans="4:8" ht="14.1" customHeight="1" x14ac:dyDescent="0.2">
      <c r="D361" s="18"/>
      <c r="E361" s="18"/>
      <c r="G361" s="18"/>
      <c r="H361" s="41"/>
    </row>
    <row r="362" spans="4:8" ht="14.1" customHeight="1" x14ac:dyDescent="0.2">
      <c r="D362" s="18"/>
      <c r="E362" s="18"/>
      <c r="G362" s="18"/>
      <c r="H362" s="41"/>
    </row>
    <row r="363" spans="4:8" ht="14.1" customHeight="1" x14ac:dyDescent="0.2">
      <c r="D363" s="18"/>
      <c r="E363" s="18"/>
      <c r="G363" s="18"/>
      <c r="H363" s="41"/>
    </row>
    <row r="364" spans="4:8" ht="14.1" customHeight="1" x14ac:dyDescent="0.2">
      <c r="D364" s="18"/>
      <c r="E364" s="18"/>
      <c r="G364" s="18"/>
      <c r="H364" s="41"/>
    </row>
    <row r="365" spans="4:8" ht="14.1" customHeight="1" x14ac:dyDescent="0.2">
      <c r="D365" s="18"/>
      <c r="E365" s="18"/>
      <c r="G365" s="18"/>
      <c r="H365" s="41"/>
    </row>
    <row r="366" spans="4:8" ht="14.1" customHeight="1" x14ac:dyDescent="0.2">
      <c r="D366" s="18"/>
      <c r="E366" s="18"/>
      <c r="G366" s="18"/>
      <c r="H366" s="41"/>
    </row>
    <row r="367" spans="4:8" ht="14.1" customHeight="1" x14ac:dyDescent="0.2">
      <c r="D367" s="18"/>
      <c r="E367" s="18"/>
      <c r="G367" s="18"/>
      <c r="H367" s="41"/>
    </row>
    <row r="368" spans="4:8" ht="14.1" customHeight="1" x14ac:dyDescent="0.2">
      <c r="D368" s="18"/>
      <c r="E368" s="18"/>
      <c r="G368" s="18"/>
      <c r="H368" s="41"/>
    </row>
    <row r="369" spans="4:8" ht="14.1" customHeight="1" x14ac:dyDescent="0.2">
      <c r="D369" s="18"/>
      <c r="E369" s="18"/>
      <c r="G369" s="18"/>
      <c r="H369" s="41"/>
    </row>
    <row r="370" spans="4:8" ht="14.1" customHeight="1" x14ac:dyDescent="0.2">
      <c r="D370" s="18"/>
      <c r="E370" s="18"/>
      <c r="G370" s="18"/>
      <c r="H370" s="41"/>
    </row>
    <row r="371" spans="4:8" ht="14.1" customHeight="1" x14ac:dyDescent="0.2">
      <c r="D371" s="18"/>
      <c r="E371" s="18"/>
      <c r="G371" s="18"/>
      <c r="H371" s="41"/>
    </row>
    <row r="372" spans="4:8" ht="14.1" customHeight="1" x14ac:dyDescent="0.2">
      <c r="D372" s="18"/>
      <c r="E372" s="18"/>
      <c r="G372" s="18"/>
    </row>
    <row r="373" spans="4:8" ht="14.1" customHeight="1" x14ac:dyDescent="0.2">
      <c r="D373" s="18"/>
      <c r="E373" s="18"/>
      <c r="G373" s="18"/>
    </row>
    <row r="374" spans="4:8" ht="14.1" customHeight="1" x14ac:dyDescent="0.2">
      <c r="D374" s="18"/>
      <c r="E374" s="18"/>
      <c r="G374" s="18"/>
    </row>
    <row r="375" spans="4:8" ht="14.1" customHeight="1" x14ac:dyDescent="0.2">
      <c r="D375" s="18"/>
      <c r="E375" s="18"/>
      <c r="G375" s="18"/>
    </row>
    <row r="376" spans="4:8" ht="14.1" customHeight="1" x14ac:dyDescent="0.2">
      <c r="D376" s="18"/>
      <c r="E376" s="18"/>
      <c r="G376" s="18"/>
    </row>
    <row r="377" spans="4:8" ht="14.1" customHeight="1" x14ac:dyDescent="0.2">
      <c r="D377" s="18"/>
      <c r="E377" s="18"/>
    </row>
    <row r="378" spans="4:8" ht="14.1" customHeight="1" x14ac:dyDescent="0.2">
      <c r="D378" s="18"/>
      <c r="E378" s="18"/>
    </row>
  </sheetData>
  <mergeCells count="30">
    <mergeCell ref="H8:H9"/>
    <mergeCell ref="B2:B3"/>
    <mergeCell ref="D5:D6"/>
    <mergeCell ref="C8:C9"/>
    <mergeCell ref="D8:F8"/>
    <mergeCell ref="G8:G9"/>
    <mergeCell ref="B84:B92"/>
    <mergeCell ref="A10:B10"/>
    <mergeCell ref="B14:B20"/>
    <mergeCell ref="A22:C22"/>
    <mergeCell ref="B42:B44"/>
    <mergeCell ref="B46:B48"/>
    <mergeCell ref="B50:B56"/>
    <mergeCell ref="B58:B64"/>
    <mergeCell ref="A66:C66"/>
    <mergeCell ref="B67:B69"/>
    <mergeCell ref="B71:B72"/>
    <mergeCell ref="B74:B82"/>
    <mergeCell ref="B94:B102"/>
    <mergeCell ref="A104:B104"/>
    <mergeCell ref="B105:B107"/>
    <mergeCell ref="B109:B113"/>
    <mergeCell ref="H110:H113"/>
    <mergeCell ref="J115:K115"/>
    <mergeCell ref="B116:B121"/>
    <mergeCell ref="I116:I122"/>
    <mergeCell ref="B123:B125"/>
    <mergeCell ref="B127:B130"/>
    <mergeCell ref="A115:B115"/>
    <mergeCell ref="G115:H115"/>
  </mergeCell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8"/>
  <sheetViews>
    <sheetView workbookViewId="0"/>
  </sheetViews>
  <sheetFormatPr defaultColWidth="10.85546875" defaultRowHeight="14.1" customHeight="1" x14ac:dyDescent="0.2"/>
  <cols>
    <col min="1" max="1" width="12.28515625" style="1" customWidth="1"/>
    <col min="2" max="2" width="18.85546875" style="1" customWidth="1"/>
    <col min="3" max="3" width="36.28515625" style="1" customWidth="1"/>
    <col min="4" max="4" width="16.28515625" style="1" customWidth="1"/>
    <col min="5" max="5" width="15.7109375" style="1" customWidth="1"/>
    <col min="6" max="6" width="14.28515625" style="1" customWidth="1"/>
    <col min="7" max="7" width="16" style="1" customWidth="1"/>
    <col min="8" max="8" width="60" style="48" customWidth="1"/>
    <col min="9" max="9" width="11.42578125" style="1" customWidth="1"/>
    <col min="10" max="12" width="10.85546875" style="1"/>
    <col min="13" max="14" width="10.85546875" style="1" customWidth="1"/>
    <col min="15" max="16384" width="10.85546875" style="1"/>
  </cols>
  <sheetData>
    <row r="1" spans="1:14" ht="14.1" customHeight="1" x14ac:dyDescent="0.2">
      <c r="K1" s="3"/>
    </row>
    <row r="2" spans="1:14" ht="14.1" customHeight="1" x14ac:dyDescent="0.2">
      <c r="B2" s="209" t="s">
        <v>101</v>
      </c>
      <c r="C2" s="63" t="s">
        <v>17</v>
      </c>
      <c r="D2" s="72">
        <f>D125</f>
        <v>37457.287561825098</v>
      </c>
      <c r="E2" s="72">
        <f>E125</f>
        <v>11550.904845621217</v>
      </c>
      <c r="F2" s="73">
        <f>F125</f>
        <v>3296.2198166467956</v>
      </c>
      <c r="K2" s="3"/>
    </row>
    <row r="3" spans="1:14" ht="14.1" customHeight="1" x14ac:dyDescent="0.2">
      <c r="B3" s="209"/>
      <c r="C3" s="64" t="s">
        <v>180</v>
      </c>
      <c r="D3" s="67">
        <f>D130</f>
        <v>0.25142236966453557</v>
      </c>
      <c r="E3" s="68">
        <f>E130</f>
        <v>0.81531275046128338</v>
      </c>
      <c r="F3" s="69">
        <f>F130</f>
        <v>2.8570910084450651</v>
      </c>
      <c r="K3" s="27"/>
      <c r="L3" s="27"/>
      <c r="M3" s="27"/>
      <c r="N3" s="27"/>
    </row>
    <row r="4" spans="1:14" ht="14.1" customHeight="1" x14ac:dyDescent="0.2">
      <c r="B4" s="190"/>
      <c r="C4" s="65" t="s">
        <v>182</v>
      </c>
      <c r="D4" s="70">
        <f>D128</f>
        <v>3.4919773564518829E-2</v>
      </c>
      <c r="E4" s="70">
        <f>E128</f>
        <v>0.11323788200851158</v>
      </c>
      <c r="F4" s="71">
        <f>F128</f>
        <v>0.39681819561737014</v>
      </c>
      <c r="K4" s="27"/>
      <c r="L4" s="27"/>
      <c r="M4" s="27"/>
      <c r="N4" s="27"/>
    </row>
    <row r="5" spans="1:14" ht="14.1" customHeight="1" x14ac:dyDescent="0.2">
      <c r="C5" s="24"/>
      <c r="D5" s="210" t="s">
        <v>102</v>
      </c>
      <c r="E5" s="52"/>
      <c r="F5" s="53"/>
      <c r="G5" s="2"/>
      <c r="H5" s="22" t="s">
        <v>100</v>
      </c>
      <c r="I5" s="25"/>
      <c r="J5" s="25"/>
      <c r="K5" s="5"/>
      <c r="L5" s="7"/>
      <c r="M5" s="7"/>
      <c r="N5" s="7"/>
    </row>
    <row r="6" spans="1:14" ht="14.1" customHeight="1" x14ac:dyDescent="0.2">
      <c r="C6" s="24"/>
      <c r="D6" s="210"/>
      <c r="E6" s="13"/>
      <c r="F6" s="14"/>
      <c r="G6" s="21"/>
      <c r="H6" s="23" t="s">
        <v>271</v>
      </c>
      <c r="I6" s="25"/>
      <c r="J6" s="25"/>
      <c r="K6" s="28"/>
      <c r="L6" s="7"/>
      <c r="M6" s="7"/>
      <c r="N6" s="7"/>
    </row>
    <row r="7" spans="1:14" ht="14.1" customHeight="1" x14ac:dyDescent="0.2">
      <c r="I7" s="25"/>
      <c r="K7" s="28"/>
      <c r="L7" s="7"/>
      <c r="M7" s="7"/>
      <c r="N7" s="7"/>
    </row>
    <row r="8" spans="1:14" ht="14.1" customHeight="1" x14ac:dyDescent="0.2">
      <c r="B8" s="3"/>
      <c r="C8" s="213" t="s">
        <v>7</v>
      </c>
      <c r="D8" s="213" t="s">
        <v>9</v>
      </c>
      <c r="E8" s="214"/>
      <c r="F8" s="215"/>
      <c r="G8" s="215" t="s">
        <v>1</v>
      </c>
      <c r="H8" s="211" t="s">
        <v>0</v>
      </c>
      <c r="K8" s="28"/>
      <c r="L8" s="7"/>
      <c r="M8" s="7"/>
      <c r="N8" s="7"/>
    </row>
    <row r="9" spans="1:14" ht="14.1" customHeight="1" x14ac:dyDescent="0.2">
      <c r="A9" s="46"/>
      <c r="B9" s="46"/>
      <c r="C9" s="216"/>
      <c r="D9" s="74" t="s">
        <v>80</v>
      </c>
      <c r="E9" s="75" t="s">
        <v>98</v>
      </c>
      <c r="F9" s="76" t="s">
        <v>99</v>
      </c>
      <c r="G9" s="217"/>
      <c r="H9" s="212"/>
      <c r="K9" s="28"/>
      <c r="L9" s="7"/>
      <c r="M9" s="7"/>
      <c r="N9" s="7"/>
    </row>
    <row r="10" spans="1:14" ht="14.1" customHeight="1" x14ac:dyDescent="0.2">
      <c r="A10" s="218" t="s">
        <v>194</v>
      </c>
      <c r="B10" s="218"/>
      <c r="C10" s="43"/>
      <c r="D10" s="44"/>
      <c r="E10" s="44"/>
      <c r="F10" s="44"/>
      <c r="G10" s="43"/>
      <c r="H10" s="45"/>
      <c r="K10" s="28"/>
      <c r="L10" s="7"/>
      <c r="M10" s="7"/>
      <c r="N10" s="7"/>
    </row>
    <row r="11" spans="1:14" ht="14.1" customHeight="1" x14ac:dyDescent="0.2">
      <c r="A11" s="191"/>
      <c r="B11" s="191"/>
      <c r="C11" s="25" t="s">
        <v>128</v>
      </c>
      <c r="D11" s="77">
        <v>4.2500000000000003E-2</v>
      </c>
      <c r="E11" s="77">
        <v>4.2500000000000003E-2</v>
      </c>
      <c r="F11" s="77">
        <v>4.2500000000000003E-2</v>
      </c>
      <c r="G11" s="37" t="s">
        <v>129</v>
      </c>
      <c r="H11" s="37" t="s">
        <v>181</v>
      </c>
      <c r="K11" s="28"/>
      <c r="L11" s="7"/>
      <c r="M11" s="7"/>
      <c r="N11" s="7"/>
    </row>
    <row r="12" spans="1:14" ht="14.1" customHeight="1" x14ac:dyDescent="0.2">
      <c r="A12" s="191"/>
      <c r="B12" s="191"/>
      <c r="C12" s="43"/>
      <c r="D12" s="195"/>
      <c r="E12" s="195"/>
      <c r="F12" s="195"/>
      <c r="G12" s="103"/>
      <c r="H12" s="103"/>
      <c r="I12" s="1" t="s">
        <v>92</v>
      </c>
      <c r="K12" s="28"/>
      <c r="L12" s="7"/>
      <c r="M12" s="7"/>
      <c r="N12" s="7"/>
    </row>
    <row r="13" spans="1:14" ht="14.1" customHeight="1" x14ac:dyDescent="0.2">
      <c r="A13" s="191" t="s">
        <v>210</v>
      </c>
      <c r="B13" s="191"/>
      <c r="C13" s="43"/>
      <c r="D13" s="195"/>
      <c r="E13" s="195"/>
      <c r="F13" s="195"/>
      <c r="G13" s="103"/>
      <c r="H13" s="103"/>
      <c r="K13" s="28"/>
      <c r="L13" s="7"/>
      <c r="M13" s="7"/>
      <c r="N13" s="7"/>
    </row>
    <row r="14" spans="1:14" ht="14.1" customHeight="1" x14ac:dyDescent="0.2">
      <c r="B14" s="206" t="s">
        <v>118</v>
      </c>
      <c r="C14" s="33" t="s">
        <v>18</v>
      </c>
      <c r="D14" s="81">
        <f>0.85*E14</f>
        <v>0.54400000000000004</v>
      </c>
      <c r="E14" s="82">
        <v>0.64</v>
      </c>
      <c r="F14" s="83">
        <f>1.15*E14</f>
        <v>0.73599999999999999</v>
      </c>
      <c r="G14" s="48" t="s">
        <v>138</v>
      </c>
      <c r="H14" s="188" t="s">
        <v>279</v>
      </c>
      <c r="K14" s="28"/>
      <c r="L14" s="7"/>
      <c r="M14" s="7"/>
      <c r="N14" s="7"/>
    </row>
    <row r="15" spans="1:14" ht="14.1" customHeight="1" x14ac:dyDescent="0.2">
      <c r="B15" s="206"/>
      <c r="C15" s="59" t="s">
        <v>273</v>
      </c>
      <c r="D15" s="32">
        <v>300</v>
      </c>
      <c r="E15" s="32">
        <f>D15</f>
        <v>300</v>
      </c>
      <c r="F15" s="32">
        <f>D15</f>
        <v>300</v>
      </c>
      <c r="G15" s="112" t="s">
        <v>276</v>
      </c>
      <c r="H15" s="112" t="s">
        <v>275</v>
      </c>
      <c r="K15" s="28"/>
      <c r="L15" s="7"/>
      <c r="M15" s="7"/>
      <c r="N15" s="7"/>
    </row>
    <row r="16" spans="1:14" ht="14.1" customHeight="1" x14ac:dyDescent="0.2">
      <c r="B16" s="206"/>
      <c r="C16" s="59" t="s">
        <v>284</v>
      </c>
      <c r="D16" s="184">
        <f>1000/D15</f>
        <v>3.3333333333333335</v>
      </c>
      <c r="E16" s="184">
        <f t="shared" ref="E16:F16" si="0">1000/E15</f>
        <v>3.3333333333333335</v>
      </c>
      <c r="F16" s="184">
        <f t="shared" si="0"/>
        <v>3.3333333333333335</v>
      </c>
      <c r="G16" s="112" t="s">
        <v>138</v>
      </c>
      <c r="H16" s="112" t="s">
        <v>286</v>
      </c>
      <c r="K16" s="28"/>
      <c r="L16" s="7"/>
      <c r="M16" s="7"/>
      <c r="N16" s="7"/>
    </row>
    <row r="17" spans="1:14" ht="14.1" customHeight="1" x14ac:dyDescent="0.2">
      <c r="B17" s="206"/>
      <c r="C17" s="59" t="s">
        <v>285</v>
      </c>
      <c r="D17" s="107">
        <f>10000/D15</f>
        <v>33.333333333333336</v>
      </c>
      <c r="E17" s="107">
        <f t="shared" ref="E17:F17" si="1">10000/E15</f>
        <v>33.333333333333336</v>
      </c>
      <c r="F17" s="107">
        <f t="shared" si="1"/>
        <v>33.333333333333336</v>
      </c>
      <c r="G17" s="112" t="s">
        <v>138</v>
      </c>
      <c r="H17" s="112" t="s">
        <v>274</v>
      </c>
      <c r="K17" s="28"/>
      <c r="L17" s="7"/>
      <c r="M17" s="7"/>
      <c r="N17" s="7"/>
    </row>
    <row r="18" spans="1:14" ht="14.1" customHeight="1" x14ac:dyDescent="0.2">
      <c r="B18" s="206"/>
      <c r="C18" s="59" t="s">
        <v>287</v>
      </c>
      <c r="D18" s="107">
        <f>D16/D14</f>
        <v>6.1274509803921564</v>
      </c>
      <c r="E18" s="107">
        <f t="shared" ref="E18:F18" si="2">E16/E14</f>
        <v>5.208333333333333</v>
      </c>
      <c r="F18" s="107">
        <f t="shared" si="2"/>
        <v>4.5289855072463769</v>
      </c>
      <c r="G18" s="48" t="s">
        <v>12</v>
      </c>
      <c r="K18" s="28"/>
      <c r="L18" s="7"/>
      <c r="M18" s="7"/>
      <c r="N18" s="7"/>
    </row>
    <row r="19" spans="1:14" ht="14.1" customHeight="1" x14ac:dyDescent="0.2">
      <c r="B19" s="206"/>
      <c r="C19" s="59" t="s">
        <v>288</v>
      </c>
      <c r="D19" s="185">
        <f>D17/D14</f>
        <v>61.274509803921568</v>
      </c>
      <c r="E19" s="185">
        <f t="shared" ref="E19:F19" si="3">E17/E14</f>
        <v>52.083333333333336</v>
      </c>
      <c r="F19" s="185">
        <f t="shared" si="3"/>
        <v>45.289855072463773</v>
      </c>
      <c r="G19" s="48" t="s">
        <v>12</v>
      </c>
      <c r="K19" s="28"/>
      <c r="L19" s="7"/>
      <c r="M19" s="7"/>
      <c r="N19" s="7"/>
    </row>
    <row r="20" spans="1:14" ht="14.1" customHeight="1" x14ac:dyDescent="0.2">
      <c r="B20" s="206"/>
      <c r="C20" s="196" t="s">
        <v>119</v>
      </c>
      <c r="D20" s="108">
        <f>D28*D19+D29*D16</f>
        <v>37113.039215686273</v>
      </c>
      <c r="E20" s="108">
        <f>E28*E19+E29*E16</f>
        <v>31754.583333333336</v>
      </c>
      <c r="F20" s="108">
        <f>F28*F19+F29*F16</f>
        <v>32702.89855072464</v>
      </c>
      <c r="G20" s="116" t="s">
        <v>12</v>
      </c>
      <c r="H20" s="48" t="s">
        <v>211</v>
      </c>
      <c r="K20" s="28"/>
      <c r="L20" s="7"/>
      <c r="M20" s="7"/>
      <c r="N20" s="7"/>
    </row>
    <row r="21" spans="1:14" ht="14.1" customHeight="1" x14ac:dyDescent="0.2">
      <c r="B21" s="187"/>
      <c r="C21" s="187"/>
      <c r="D21" s="187"/>
      <c r="E21" s="187"/>
      <c r="F21" s="187"/>
      <c r="G21" s="187"/>
      <c r="K21" s="28"/>
      <c r="L21" s="7"/>
      <c r="M21" s="7"/>
      <c r="N21" s="7"/>
    </row>
    <row r="22" spans="1:14" ht="14.1" customHeight="1" x14ac:dyDescent="0.2">
      <c r="A22" s="218" t="s">
        <v>151</v>
      </c>
      <c r="B22" s="218"/>
      <c r="C22" s="218"/>
      <c r="D22" s="61"/>
      <c r="E22" s="61"/>
      <c r="F22" s="61"/>
      <c r="G22" s="48"/>
      <c r="K22" s="28"/>
      <c r="L22" s="7"/>
      <c r="M22" s="7"/>
      <c r="N22" s="7"/>
    </row>
    <row r="23" spans="1:14" ht="14.1" customHeight="1" x14ac:dyDescent="0.2">
      <c r="B23" s="187" t="s">
        <v>5</v>
      </c>
      <c r="C23" s="33" t="s">
        <v>10</v>
      </c>
      <c r="D23" s="60">
        <v>1000</v>
      </c>
      <c r="E23" s="60">
        <v>1000</v>
      </c>
      <c r="F23" s="60">
        <v>1000</v>
      </c>
      <c r="G23" s="192" t="s">
        <v>11</v>
      </c>
      <c r="H23" s="48" t="s">
        <v>195</v>
      </c>
      <c r="K23" s="28"/>
      <c r="L23" s="7"/>
      <c r="M23" s="7"/>
      <c r="N23" s="7"/>
    </row>
    <row r="24" spans="1:14" ht="14.1" customHeight="1" x14ac:dyDescent="0.2">
      <c r="B24" s="187"/>
      <c r="C24" s="33" t="s">
        <v>300</v>
      </c>
      <c r="D24" s="81">
        <f>E24</f>
        <v>0.58299999999999996</v>
      </c>
      <c r="E24" s="179">
        <v>0.58299999999999996</v>
      </c>
      <c r="F24" s="83">
        <v>0.7</v>
      </c>
      <c r="G24" s="192"/>
      <c r="K24" s="28"/>
      <c r="L24" s="7"/>
      <c r="M24" s="7"/>
      <c r="N24" s="7"/>
    </row>
    <row r="25" spans="1:14" ht="14.1" customHeight="1" x14ac:dyDescent="0.2">
      <c r="B25" s="187"/>
      <c r="C25" s="59" t="s">
        <v>20</v>
      </c>
      <c r="D25" s="204">
        <v>1</v>
      </c>
      <c r="E25" s="204">
        <v>1</v>
      </c>
      <c r="F25" s="204">
        <v>1</v>
      </c>
      <c r="G25" s="48" t="s">
        <v>302</v>
      </c>
      <c r="H25" s="112" t="s">
        <v>134</v>
      </c>
      <c r="K25" s="28"/>
      <c r="L25" s="7"/>
      <c r="M25" s="7"/>
      <c r="N25" s="7"/>
    </row>
    <row r="26" spans="1:14" ht="14.1" customHeight="1" x14ac:dyDescent="0.2">
      <c r="B26" s="187"/>
      <c r="C26" s="59" t="s">
        <v>19</v>
      </c>
      <c r="D26" s="204">
        <v>1</v>
      </c>
      <c r="E26" s="204">
        <v>1</v>
      </c>
      <c r="F26" s="204">
        <v>1</v>
      </c>
      <c r="G26" s="48" t="s">
        <v>302</v>
      </c>
      <c r="H26" s="112" t="s">
        <v>303</v>
      </c>
      <c r="K26" s="28"/>
      <c r="L26" s="7"/>
      <c r="M26" s="7"/>
      <c r="N26" s="7"/>
    </row>
    <row r="27" spans="1:14" ht="14.1" customHeight="1" x14ac:dyDescent="0.2">
      <c r="B27" s="187"/>
      <c r="C27" s="33" t="s">
        <v>301</v>
      </c>
      <c r="D27" s="81">
        <f>D24*D25*D26</f>
        <v>0.58299999999999996</v>
      </c>
      <c r="E27" s="179">
        <f>E24*E25*E26</f>
        <v>0.58299999999999996</v>
      </c>
      <c r="F27" s="83">
        <f>F24*F25*F26</f>
        <v>0.7</v>
      </c>
      <c r="G27" s="188" t="s">
        <v>196</v>
      </c>
      <c r="H27" s="112" t="s">
        <v>278</v>
      </c>
      <c r="K27" s="28"/>
      <c r="L27" s="7"/>
      <c r="M27" s="7"/>
      <c r="N27" s="7"/>
    </row>
    <row r="28" spans="1:14" ht="14.1" customHeight="1" x14ac:dyDescent="0.2">
      <c r="B28" s="187"/>
      <c r="C28" s="33" t="s">
        <v>2</v>
      </c>
      <c r="D28" s="78">
        <f>D23*D27</f>
        <v>583</v>
      </c>
      <c r="E28" s="78">
        <f>E23*E27</f>
        <v>583</v>
      </c>
      <c r="F28" s="78">
        <f>F23*F27</f>
        <v>700</v>
      </c>
      <c r="G28" s="48" t="s">
        <v>12</v>
      </c>
      <c r="K28" s="28"/>
      <c r="L28" s="7"/>
      <c r="M28" s="7"/>
      <c r="N28" s="7"/>
    </row>
    <row r="29" spans="1:14" ht="14.1" customHeight="1" x14ac:dyDescent="0.2">
      <c r="B29" s="187"/>
      <c r="C29" s="33" t="s">
        <v>3</v>
      </c>
      <c r="D29" s="60">
        <f>D23-(D23*D27)</f>
        <v>417</v>
      </c>
      <c r="E29" s="60">
        <f>E23-(E23*E27)</f>
        <v>417</v>
      </c>
      <c r="F29" s="60">
        <f>F23-(F23*F27)</f>
        <v>300</v>
      </c>
      <c r="G29" s="48" t="s">
        <v>12</v>
      </c>
      <c r="K29" s="28"/>
      <c r="L29" s="7"/>
      <c r="M29" s="7"/>
      <c r="N29" s="7"/>
    </row>
    <row r="30" spans="1:14" ht="14.1" customHeight="1" x14ac:dyDescent="0.2">
      <c r="B30" s="187"/>
      <c r="C30" s="33"/>
      <c r="D30" s="60"/>
      <c r="E30" s="60"/>
      <c r="F30" s="60"/>
      <c r="G30" s="48"/>
      <c r="K30" s="28"/>
      <c r="L30" s="7"/>
      <c r="M30" s="7"/>
      <c r="N30" s="7"/>
    </row>
    <row r="31" spans="1:14" ht="14.1" customHeight="1" x14ac:dyDescent="0.2">
      <c r="B31" s="187"/>
      <c r="C31" s="33" t="s">
        <v>4</v>
      </c>
      <c r="D31" s="81">
        <v>4.1000000000000002E-2</v>
      </c>
      <c r="E31" s="82">
        <v>0.08</v>
      </c>
      <c r="F31" s="83">
        <v>0.18</v>
      </c>
      <c r="G31" s="48" t="s">
        <v>203</v>
      </c>
      <c r="H31" s="38" t="s">
        <v>202</v>
      </c>
      <c r="I31" s="1" t="s">
        <v>92</v>
      </c>
      <c r="K31" s="28"/>
      <c r="L31" s="7"/>
      <c r="M31" s="7"/>
      <c r="N31" s="7"/>
    </row>
    <row r="32" spans="1:14" ht="14.1" customHeight="1" x14ac:dyDescent="0.2">
      <c r="B32" s="187"/>
      <c r="C32" s="33" t="s">
        <v>91</v>
      </c>
      <c r="D32" s="80">
        <f>E32</f>
        <v>0.80503144654088055</v>
      </c>
      <c r="E32" s="80">
        <f>1-(4/318)/(20/310)</f>
        <v>0.80503144654088055</v>
      </c>
      <c r="F32" s="80">
        <f>E32</f>
        <v>0.80503144654088055</v>
      </c>
      <c r="G32" s="48" t="s">
        <v>88</v>
      </c>
      <c r="H32" s="38" t="s">
        <v>104</v>
      </c>
      <c r="K32" s="28"/>
      <c r="L32" s="7"/>
      <c r="M32" s="7"/>
      <c r="N32" s="7"/>
    </row>
    <row r="33" spans="2:14" ht="14.1" customHeight="1" x14ac:dyDescent="0.2">
      <c r="B33" s="187"/>
      <c r="C33" s="60" t="s">
        <v>20</v>
      </c>
      <c r="D33" s="81">
        <v>0.9</v>
      </c>
      <c r="E33" s="82">
        <v>0.9</v>
      </c>
      <c r="F33" s="83">
        <v>1</v>
      </c>
      <c r="G33" s="48" t="s">
        <v>89</v>
      </c>
      <c r="H33" s="188" t="s">
        <v>87</v>
      </c>
      <c r="I33" s="1" t="s">
        <v>92</v>
      </c>
      <c r="K33" s="28"/>
      <c r="L33" s="7"/>
      <c r="M33" s="7"/>
      <c r="N33" s="7"/>
    </row>
    <row r="34" spans="2:14" ht="14.1" customHeight="1" x14ac:dyDescent="0.2">
      <c r="B34" s="187"/>
      <c r="C34" s="60" t="s">
        <v>19</v>
      </c>
      <c r="D34" s="81">
        <v>0.5</v>
      </c>
      <c r="E34" s="82">
        <v>0.6</v>
      </c>
      <c r="F34" s="83">
        <v>0.8</v>
      </c>
      <c r="G34" s="48" t="s">
        <v>89</v>
      </c>
      <c r="H34" s="188" t="s">
        <v>90</v>
      </c>
      <c r="K34" s="28"/>
      <c r="L34" s="7"/>
      <c r="M34" s="7"/>
      <c r="N34" s="7"/>
    </row>
    <row r="35" spans="2:14" ht="14.1" customHeight="1" x14ac:dyDescent="0.2">
      <c r="B35" s="187"/>
      <c r="C35" s="33" t="s">
        <v>15</v>
      </c>
      <c r="D35" s="84">
        <f>D32*D34*D33</f>
        <v>0.36226415094339626</v>
      </c>
      <c r="E35" s="84">
        <f>E32*E34*E33</f>
        <v>0.43471698113207546</v>
      </c>
      <c r="F35" s="84">
        <f>F32*F34*F33</f>
        <v>0.64402515723270448</v>
      </c>
      <c r="G35" s="48" t="s">
        <v>12</v>
      </c>
      <c r="H35" s="188"/>
      <c r="K35" s="28"/>
      <c r="L35" s="7"/>
      <c r="M35" s="7"/>
      <c r="N35" s="7"/>
    </row>
    <row r="36" spans="2:14" ht="14.1" customHeight="1" x14ac:dyDescent="0.2">
      <c r="B36" s="187"/>
      <c r="C36" s="33" t="s">
        <v>93</v>
      </c>
      <c r="D36" s="84">
        <f>(1-D35)*D31</f>
        <v>2.6147169811320755E-2</v>
      </c>
      <c r="E36" s="84">
        <f>(1-E35)*E31</f>
        <v>4.5222641509433961E-2</v>
      </c>
      <c r="F36" s="84">
        <f>(1-F35)*F31</f>
        <v>6.4075471698113187E-2</v>
      </c>
      <c r="G36" s="48" t="s">
        <v>12</v>
      </c>
      <c r="H36" s="188" t="s">
        <v>94</v>
      </c>
      <c r="K36" s="28"/>
      <c r="L36" s="7"/>
      <c r="M36" s="7"/>
      <c r="N36" s="7"/>
    </row>
    <row r="37" spans="2:14" ht="14.1" customHeight="1" x14ac:dyDescent="0.2">
      <c r="B37" s="187"/>
      <c r="C37" s="33"/>
      <c r="D37" s="60"/>
      <c r="E37" s="60"/>
      <c r="F37" s="60"/>
      <c r="G37" s="48"/>
      <c r="K37" s="28"/>
      <c r="L37" s="7"/>
      <c r="M37" s="7"/>
      <c r="N37" s="7"/>
    </row>
    <row r="38" spans="2:14" ht="14.1" customHeight="1" x14ac:dyDescent="0.2">
      <c r="B38" s="187"/>
      <c r="C38" s="33" t="s">
        <v>95</v>
      </c>
      <c r="D38" s="85">
        <f>D28*D36</f>
        <v>15.2438</v>
      </c>
      <c r="E38" s="85">
        <f>E28*E36</f>
        <v>26.364799999999999</v>
      </c>
      <c r="F38" s="85">
        <f>F28*F36</f>
        <v>44.852830188679228</v>
      </c>
      <c r="G38" s="48" t="s">
        <v>12</v>
      </c>
      <c r="K38" s="28"/>
      <c r="L38" s="7"/>
      <c r="M38" s="7"/>
      <c r="N38" s="7"/>
    </row>
    <row r="39" spans="2:14" ht="14.1" customHeight="1" x14ac:dyDescent="0.2">
      <c r="B39" s="187"/>
      <c r="C39" s="33" t="s">
        <v>96</v>
      </c>
      <c r="D39" s="85">
        <f>D29*D31</f>
        <v>17.097000000000001</v>
      </c>
      <c r="E39" s="85">
        <f>E29*E31</f>
        <v>33.36</v>
      </c>
      <c r="F39" s="85">
        <f>F29*F31</f>
        <v>54</v>
      </c>
      <c r="G39" s="48" t="s">
        <v>12</v>
      </c>
      <c r="K39" s="28"/>
      <c r="L39" s="7"/>
      <c r="M39" s="7"/>
      <c r="N39" s="7"/>
    </row>
    <row r="40" spans="2:14" ht="14.1" customHeight="1" x14ac:dyDescent="0.2">
      <c r="B40" s="187"/>
      <c r="C40" s="33" t="s">
        <v>97</v>
      </c>
      <c r="D40" s="85">
        <f>D38+D39</f>
        <v>32.340800000000002</v>
      </c>
      <c r="E40" s="85">
        <f>E38+E39</f>
        <v>59.724800000000002</v>
      </c>
      <c r="F40" s="85">
        <f>F38+F39</f>
        <v>98.852830188679235</v>
      </c>
      <c r="G40" s="48" t="s">
        <v>12</v>
      </c>
      <c r="K40" s="28"/>
      <c r="L40" s="7"/>
      <c r="M40" s="7"/>
      <c r="N40" s="7"/>
    </row>
    <row r="41" spans="2:14" ht="14.1" customHeight="1" x14ac:dyDescent="0.2">
      <c r="C41" s="33"/>
      <c r="D41" s="60"/>
      <c r="E41" s="60"/>
      <c r="F41" s="60"/>
      <c r="G41" s="48"/>
      <c r="K41" s="28"/>
      <c r="L41" s="7"/>
      <c r="M41" s="7"/>
      <c r="N41" s="7"/>
    </row>
    <row r="42" spans="2:14" ht="14.1" customHeight="1" x14ac:dyDescent="0.2">
      <c r="B42" s="206" t="s">
        <v>8</v>
      </c>
      <c r="C42" s="33" t="s">
        <v>10</v>
      </c>
      <c r="D42" s="60">
        <f>D23</f>
        <v>1000</v>
      </c>
      <c r="E42" s="60">
        <f>E23</f>
        <v>1000</v>
      </c>
      <c r="F42" s="60">
        <f>F23</f>
        <v>1000</v>
      </c>
      <c r="G42" s="192" t="str">
        <f>G23</f>
        <v>-</v>
      </c>
      <c r="H42" s="48" t="str">
        <f>H23</f>
        <v>Cancels out later in the logic. Do not change.</v>
      </c>
      <c r="K42" s="28"/>
      <c r="L42" s="7"/>
      <c r="M42" s="7"/>
      <c r="N42" s="7"/>
    </row>
    <row r="43" spans="2:14" ht="14.1" customHeight="1" x14ac:dyDescent="0.2">
      <c r="B43" s="206"/>
      <c r="C43" s="33" t="s">
        <v>4</v>
      </c>
      <c r="D43" s="60">
        <f>D31</f>
        <v>4.1000000000000002E-2</v>
      </c>
      <c r="E43" s="60">
        <f>E31</f>
        <v>0.08</v>
      </c>
      <c r="F43" s="60">
        <f>F31</f>
        <v>0.18</v>
      </c>
      <c r="G43" s="48" t="s">
        <v>21</v>
      </c>
      <c r="H43" s="188"/>
      <c r="K43" s="28"/>
      <c r="L43" s="7"/>
      <c r="M43" s="7"/>
      <c r="N43" s="7"/>
    </row>
    <row r="44" spans="2:14" ht="14.1" customHeight="1" x14ac:dyDescent="0.2">
      <c r="B44" s="206"/>
      <c r="C44" s="33" t="s">
        <v>205</v>
      </c>
      <c r="D44" s="60">
        <f>D43*D42</f>
        <v>41</v>
      </c>
      <c r="E44" s="60">
        <f>E43*E42</f>
        <v>80</v>
      </c>
      <c r="F44" s="60">
        <f>F43*F42</f>
        <v>180</v>
      </c>
      <c r="G44" s="48" t="s">
        <v>12</v>
      </c>
      <c r="K44" s="28"/>
      <c r="L44" s="7"/>
      <c r="M44" s="7"/>
      <c r="N44" s="7"/>
    </row>
    <row r="45" spans="2:14" ht="14.1" customHeight="1" x14ac:dyDescent="0.2">
      <c r="C45" s="61"/>
      <c r="D45" s="60"/>
      <c r="E45" s="60"/>
      <c r="F45" s="60"/>
      <c r="G45" s="48"/>
      <c r="K45" s="28"/>
      <c r="L45" s="7"/>
      <c r="M45" s="7"/>
      <c r="N45" s="7"/>
    </row>
    <row r="46" spans="2:14" ht="14.1" customHeight="1" x14ac:dyDescent="0.2">
      <c r="B46" s="206" t="s">
        <v>13</v>
      </c>
      <c r="C46" s="61" t="s">
        <v>206</v>
      </c>
      <c r="D46" s="85">
        <f>D44-D40</f>
        <v>8.6591999999999985</v>
      </c>
      <c r="E46" s="85">
        <f>E44-E40</f>
        <v>20.275199999999998</v>
      </c>
      <c r="F46" s="85">
        <f>F44-F40</f>
        <v>81.147169811320765</v>
      </c>
      <c r="G46" s="48" t="s">
        <v>12</v>
      </c>
      <c r="H46" s="48" t="s">
        <v>213</v>
      </c>
      <c r="K46" s="28"/>
      <c r="L46" s="7"/>
      <c r="M46" s="7"/>
      <c r="N46" s="7"/>
    </row>
    <row r="47" spans="2:14" ht="14.1" customHeight="1" x14ac:dyDescent="0.2">
      <c r="B47" s="206"/>
      <c r="C47" s="33" t="s">
        <v>16</v>
      </c>
      <c r="D47" s="86">
        <v>0.05</v>
      </c>
      <c r="E47" s="86">
        <v>0.05</v>
      </c>
      <c r="F47" s="79">
        <v>0.1</v>
      </c>
      <c r="G47" s="48" t="s">
        <v>209</v>
      </c>
      <c r="H47" s="112" t="s">
        <v>292</v>
      </c>
      <c r="K47" s="28"/>
      <c r="L47" s="7"/>
      <c r="M47" s="7"/>
      <c r="N47" s="7"/>
    </row>
    <row r="48" spans="2:14" ht="14.1" customHeight="1" x14ac:dyDescent="0.2">
      <c r="B48" s="206"/>
      <c r="C48" s="124" t="s">
        <v>120</v>
      </c>
      <c r="D48" s="125">
        <f>D46*D47</f>
        <v>0.43295999999999996</v>
      </c>
      <c r="E48" s="125">
        <f t="shared" ref="E48:F48" si="4">E46*E47</f>
        <v>1.01376</v>
      </c>
      <c r="F48" s="125">
        <f t="shared" si="4"/>
        <v>8.1147169811320765</v>
      </c>
      <c r="G48" s="188" t="s">
        <v>12</v>
      </c>
      <c r="K48" s="28"/>
      <c r="L48" s="7"/>
      <c r="M48" s="7"/>
      <c r="N48" s="7"/>
    </row>
    <row r="49" spans="2:14" ht="14.1" customHeight="1" x14ac:dyDescent="0.2">
      <c r="C49" s="61"/>
      <c r="D49" s="87"/>
      <c r="E49" s="87"/>
      <c r="F49" s="61"/>
      <c r="G49" s="48"/>
      <c r="K49" s="28"/>
      <c r="L49" s="7"/>
      <c r="M49" s="7"/>
      <c r="N49" s="7"/>
    </row>
    <row r="50" spans="2:14" ht="14.1" customHeight="1" x14ac:dyDescent="0.2">
      <c r="B50" s="206" t="s">
        <v>219</v>
      </c>
      <c r="C50" s="45" t="s">
        <v>103</v>
      </c>
      <c r="D50" s="109">
        <f>D20/D48</f>
        <v>85719.325609031497</v>
      </c>
      <c r="E50" s="109">
        <f>E20/E48</f>
        <v>31323.570996422561</v>
      </c>
      <c r="F50" s="109">
        <f>F20/F48</f>
        <v>4030.0725985593508</v>
      </c>
      <c r="G50" s="37" t="s">
        <v>12</v>
      </c>
      <c r="H50" s="37" t="s">
        <v>212</v>
      </c>
      <c r="K50" s="28"/>
      <c r="L50" s="7"/>
      <c r="M50" s="7"/>
      <c r="N50" s="7"/>
    </row>
    <row r="51" spans="2:14" ht="14.1" customHeight="1" x14ac:dyDescent="0.2">
      <c r="B51" s="206"/>
      <c r="C51" s="61"/>
      <c r="D51" s="88"/>
      <c r="E51" s="61"/>
      <c r="F51" s="61"/>
      <c r="G51" s="48"/>
    </row>
    <row r="52" spans="2:14" ht="14.1" customHeight="1" x14ac:dyDescent="0.2">
      <c r="B52" s="206"/>
      <c r="C52" s="62" t="s">
        <v>108</v>
      </c>
      <c r="D52" s="67">
        <v>0.6</v>
      </c>
      <c r="E52" s="67">
        <v>0.6</v>
      </c>
      <c r="F52" s="67">
        <v>0.6</v>
      </c>
      <c r="G52" s="38" t="s">
        <v>110</v>
      </c>
      <c r="H52" s="131" t="s">
        <v>124</v>
      </c>
    </row>
    <row r="53" spans="2:14" ht="14.1" customHeight="1" x14ac:dyDescent="0.2">
      <c r="B53" s="206"/>
      <c r="C53" s="62" t="s">
        <v>109</v>
      </c>
      <c r="D53" s="67">
        <v>0.09</v>
      </c>
      <c r="E53" s="67">
        <v>0.09</v>
      </c>
      <c r="F53" s="67">
        <v>0.09</v>
      </c>
      <c r="G53" s="38" t="s">
        <v>110</v>
      </c>
      <c r="H53" s="137"/>
    </row>
    <row r="54" spans="2:14" ht="14.1" customHeight="1" x14ac:dyDescent="0.2">
      <c r="B54" s="206"/>
      <c r="C54" s="62" t="s">
        <v>111</v>
      </c>
      <c r="D54" s="67">
        <f>D52-D53</f>
        <v>0.51</v>
      </c>
      <c r="E54" s="67">
        <f>E52-E53</f>
        <v>0.51</v>
      </c>
      <c r="F54" s="67">
        <f>F52-F53</f>
        <v>0.51</v>
      </c>
      <c r="G54" s="38" t="s">
        <v>12</v>
      </c>
      <c r="H54" s="137"/>
    </row>
    <row r="55" spans="2:14" ht="14.1" customHeight="1" x14ac:dyDescent="0.2">
      <c r="B55" s="206"/>
      <c r="C55" s="38" t="s">
        <v>218</v>
      </c>
      <c r="D55" s="67">
        <f>D48*D54</f>
        <v>0.22080959999999999</v>
      </c>
      <c r="E55" s="67">
        <f>E48*E54</f>
        <v>0.51701759999999997</v>
      </c>
      <c r="F55" s="67">
        <f>F48*F54</f>
        <v>4.1385056603773593</v>
      </c>
      <c r="G55" s="38" t="s">
        <v>12</v>
      </c>
      <c r="H55" s="137"/>
    </row>
    <row r="56" spans="2:14" ht="14.1" customHeight="1" x14ac:dyDescent="0.2">
      <c r="B56" s="206"/>
      <c r="C56" s="138" t="s">
        <v>112</v>
      </c>
      <c r="D56" s="139">
        <f>D20/D55</f>
        <v>168077.10903731664</v>
      </c>
      <c r="E56" s="139">
        <f>E20/E55</f>
        <v>61418.766659652087</v>
      </c>
      <c r="F56" s="139">
        <f>F20/F55</f>
        <v>7902.1031344300991</v>
      </c>
      <c r="G56" s="38" t="s">
        <v>12</v>
      </c>
      <c r="H56" s="131" t="s">
        <v>123</v>
      </c>
      <c r="I56" s="34"/>
    </row>
    <row r="57" spans="2:14" ht="14.1" customHeight="1" x14ac:dyDescent="0.2">
      <c r="B57" s="187"/>
      <c r="C57" s="61"/>
      <c r="D57" s="61"/>
      <c r="E57" s="61"/>
      <c r="F57" s="61"/>
      <c r="G57" s="48"/>
      <c r="H57" s="20"/>
      <c r="I57" s="42"/>
    </row>
    <row r="58" spans="2:14" ht="14.1" customHeight="1" x14ac:dyDescent="0.2">
      <c r="B58" s="224" t="s">
        <v>186</v>
      </c>
      <c r="C58" s="128" t="s">
        <v>113</v>
      </c>
      <c r="D58" s="129">
        <f>1-D52</f>
        <v>0.4</v>
      </c>
      <c r="E58" s="129">
        <f>1-E52</f>
        <v>0.4</v>
      </c>
      <c r="F58" s="129">
        <f>1-F52</f>
        <v>0.4</v>
      </c>
      <c r="G58" s="188" t="s">
        <v>114</v>
      </c>
      <c r="H58" s="130" t="s">
        <v>131</v>
      </c>
    </row>
    <row r="59" spans="2:14" ht="14.1" customHeight="1" x14ac:dyDescent="0.2">
      <c r="B59" s="224"/>
      <c r="C59" s="131" t="s">
        <v>132</v>
      </c>
      <c r="D59" s="49">
        <f>$G$122</f>
        <v>10</v>
      </c>
      <c r="E59" s="49">
        <f>$G$122</f>
        <v>10</v>
      </c>
      <c r="F59" s="49">
        <f>$G$122</f>
        <v>10</v>
      </c>
      <c r="G59" s="130" t="s">
        <v>221</v>
      </c>
      <c r="H59" s="130" t="s">
        <v>222</v>
      </c>
    </row>
    <row r="60" spans="2:14" ht="14.1" customHeight="1" x14ac:dyDescent="0.2">
      <c r="B60" s="224"/>
      <c r="C60" s="133" t="s">
        <v>116</v>
      </c>
      <c r="D60" s="81">
        <v>5.2999999999999999E-2</v>
      </c>
      <c r="E60" s="82">
        <v>5.2999999999999999E-2</v>
      </c>
      <c r="F60" s="83">
        <v>0.221</v>
      </c>
      <c r="G60" s="130" t="s">
        <v>117</v>
      </c>
      <c r="H60" s="130" t="s">
        <v>127</v>
      </c>
    </row>
    <row r="61" spans="2:14" ht="14.1" customHeight="1" x14ac:dyDescent="0.2">
      <c r="B61" s="224"/>
      <c r="C61" s="131" t="s">
        <v>220</v>
      </c>
      <c r="D61" s="134">
        <f>D58*D59*D60</f>
        <v>0.21199999999999999</v>
      </c>
      <c r="E61" s="134">
        <f>E58*E59*E60</f>
        <v>0.21199999999999999</v>
      </c>
      <c r="F61" s="134">
        <f>F58*F59*F60</f>
        <v>0.88400000000000001</v>
      </c>
      <c r="G61" s="188" t="s">
        <v>12</v>
      </c>
      <c r="H61" s="188" t="s">
        <v>226</v>
      </c>
    </row>
    <row r="62" spans="2:14" ht="14.1" customHeight="1" x14ac:dyDescent="0.2">
      <c r="B62" s="224"/>
      <c r="C62" s="131" t="s">
        <v>130</v>
      </c>
      <c r="D62" s="134" t="s">
        <v>125</v>
      </c>
      <c r="E62" s="134" t="s">
        <v>125</v>
      </c>
      <c r="F62" s="134" t="s">
        <v>125</v>
      </c>
      <c r="G62" s="188" t="s">
        <v>12</v>
      </c>
      <c r="H62" s="188" t="s">
        <v>126</v>
      </c>
    </row>
    <row r="63" spans="2:14" ht="14.1" customHeight="1" x14ac:dyDescent="0.2">
      <c r="B63" s="224"/>
      <c r="C63" s="133" t="s">
        <v>166</v>
      </c>
      <c r="D63" s="132">
        <f>D48*D61</f>
        <v>9.1787519999999984E-2</v>
      </c>
      <c r="E63" s="132">
        <f>E48*E61</f>
        <v>0.21491711999999999</v>
      </c>
      <c r="F63" s="132">
        <f>F48*F61</f>
        <v>7.1734098113207558</v>
      </c>
      <c r="G63" s="188" t="s">
        <v>12</v>
      </c>
      <c r="H63" s="188"/>
    </row>
    <row r="64" spans="2:14" ht="14.1" customHeight="1" x14ac:dyDescent="0.2">
      <c r="B64" s="224"/>
      <c r="C64" s="135" t="s">
        <v>115</v>
      </c>
      <c r="D64" s="136">
        <f>D50/D61</f>
        <v>404336.44155203539</v>
      </c>
      <c r="E64" s="136">
        <f>E50/E61</f>
        <v>147752.69337935169</v>
      </c>
      <c r="F64" s="136">
        <f>F50/F61</f>
        <v>4558.9056544789037</v>
      </c>
      <c r="G64" s="188" t="s">
        <v>12</v>
      </c>
      <c r="H64" s="188" t="s">
        <v>133</v>
      </c>
    </row>
    <row r="65" spans="1:9" ht="14.1" customHeight="1" x14ac:dyDescent="0.2">
      <c r="D65" s="61"/>
      <c r="E65" s="61"/>
      <c r="F65" s="61"/>
      <c r="G65" s="48"/>
    </row>
    <row r="66" spans="1:9" ht="14.1" customHeight="1" x14ac:dyDescent="0.2">
      <c r="A66" s="225" t="s">
        <v>150</v>
      </c>
      <c r="B66" s="225"/>
      <c r="C66" s="225"/>
      <c r="D66" s="61"/>
      <c r="E66" s="61"/>
      <c r="F66" s="61"/>
      <c r="G66" s="48"/>
    </row>
    <row r="67" spans="1:9" ht="14.1" customHeight="1" x14ac:dyDescent="0.2">
      <c r="A67" s="30"/>
      <c r="B67" s="226" t="s">
        <v>5</v>
      </c>
      <c r="C67" s="25" t="str">
        <f>C27</f>
        <v>Retention rate to delivery (adjusted)</v>
      </c>
      <c r="D67" s="89">
        <f>D27</f>
        <v>0.58299999999999996</v>
      </c>
      <c r="E67" s="89">
        <f>E27</f>
        <v>0.58299999999999996</v>
      </c>
      <c r="F67" s="89">
        <f>F27</f>
        <v>0.7</v>
      </c>
      <c r="G67" s="37" t="str">
        <f>G27</f>
        <v>"Summary of Key Program Statistics" New Incentives workbook, accessed 2016-23-08.</v>
      </c>
      <c r="H67" s="37" t="s">
        <v>137</v>
      </c>
    </row>
    <row r="68" spans="1:9" ht="14.1" customHeight="1" x14ac:dyDescent="0.2">
      <c r="A68" s="30"/>
      <c r="B68" s="226"/>
      <c r="C68" s="38" t="s">
        <v>227</v>
      </c>
      <c r="D68" s="96">
        <v>0</v>
      </c>
      <c r="E68" s="97">
        <v>0.08</v>
      </c>
      <c r="F68" s="98">
        <v>0.15</v>
      </c>
      <c r="G68" s="188" t="s">
        <v>138</v>
      </c>
      <c r="H68" s="38" t="s">
        <v>139</v>
      </c>
    </row>
    <row r="69" spans="1:9" ht="14.1" customHeight="1" x14ac:dyDescent="0.2">
      <c r="A69" s="30"/>
      <c r="B69" s="226"/>
      <c r="C69" s="62" t="s">
        <v>73</v>
      </c>
      <c r="D69" s="92">
        <f>(D67*1)+(1-D67)*D68</f>
        <v>0.58299999999999996</v>
      </c>
      <c r="E69" s="92">
        <f>(E67*1)+(1-E67)*E68</f>
        <v>0.61636000000000002</v>
      </c>
      <c r="F69" s="92">
        <f>(F67*1)+(1-F67)*F68</f>
        <v>0.745</v>
      </c>
      <c r="G69" s="38" t="s">
        <v>12</v>
      </c>
      <c r="H69" s="141"/>
    </row>
    <row r="70" spans="1:9" ht="14.1" customHeight="1" x14ac:dyDescent="0.2">
      <c r="C70" s="33"/>
      <c r="D70" s="61"/>
      <c r="E70" s="61"/>
      <c r="F70" s="61"/>
      <c r="G70" s="48"/>
    </row>
    <row r="71" spans="1:9" ht="14.1" customHeight="1" x14ac:dyDescent="0.2">
      <c r="A71" s="30"/>
      <c r="B71" s="226" t="s">
        <v>8</v>
      </c>
      <c r="C71" s="25" t="s">
        <v>72</v>
      </c>
      <c r="D71" s="90">
        <v>0.35</v>
      </c>
      <c r="E71" s="180">
        <v>0.27</v>
      </c>
      <c r="F71" s="90">
        <v>0.2</v>
      </c>
      <c r="G71" s="37" t="s">
        <v>229</v>
      </c>
      <c r="H71" s="35" t="s">
        <v>281</v>
      </c>
    </row>
    <row r="72" spans="1:9" ht="14.1" customHeight="1" x14ac:dyDescent="0.2">
      <c r="A72" s="30"/>
      <c r="B72" s="226"/>
      <c r="C72" s="38" t="s">
        <v>136</v>
      </c>
      <c r="D72" s="92">
        <f>(D71-(1-D67)*D68)/D67</f>
        <v>0.60034305317324188</v>
      </c>
      <c r="E72" s="92">
        <f>(E71-(1-E67)*E68)/E67</f>
        <v>0.4059005145797599</v>
      </c>
      <c r="F72" s="92">
        <f>(F71-(1-F67)*F68)/F67</f>
        <v>0.22142857142857145</v>
      </c>
      <c r="G72" s="38" t="s">
        <v>74</v>
      </c>
      <c r="H72" s="154" t="str">
        <f>CONCATENATE("This implies that the program increases FD by ",TEXT((E69-E72)/E72,"0%")," (",TEXT((E69-E72)*100,"0")," percentage points) for women retained.")</f>
        <v>This implies that the program increases FD by 52% (21 percentage points) for women retained.</v>
      </c>
    </row>
    <row r="73" spans="1:9" ht="14.1" customHeight="1" x14ac:dyDescent="0.2">
      <c r="C73" s="33"/>
      <c r="D73" s="61"/>
      <c r="E73" s="61"/>
      <c r="F73" s="61"/>
      <c r="G73" s="48"/>
    </row>
    <row r="74" spans="1:9" ht="14.1" customHeight="1" x14ac:dyDescent="0.2">
      <c r="B74" s="206" t="s">
        <v>39</v>
      </c>
      <c r="C74" s="62" t="s">
        <v>149</v>
      </c>
      <c r="D74" s="167">
        <v>3.9E-2</v>
      </c>
      <c r="E74" s="167">
        <v>3.9E-2</v>
      </c>
      <c r="F74" s="167">
        <v>3.9E-2</v>
      </c>
      <c r="G74" s="38" t="s">
        <v>45</v>
      </c>
      <c r="H74" s="35" t="s">
        <v>280</v>
      </c>
      <c r="I74" s="29"/>
    </row>
    <row r="75" spans="1:9" ht="14.1" customHeight="1" x14ac:dyDescent="0.2">
      <c r="B75" s="206"/>
      <c r="C75" s="37" t="s">
        <v>230</v>
      </c>
      <c r="D75" s="96">
        <v>0.1</v>
      </c>
      <c r="E75" s="97">
        <v>0.4</v>
      </c>
      <c r="F75" s="98">
        <v>0.45</v>
      </c>
      <c r="G75" s="38" t="s">
        <v>184</v>
      </c>
      <c r="H75" s="38" t="s">
        <v>183</v>
      </c>
    </row>
    <row r="76" spans="1:9" ht="14.1" customHeight="1" x14ac:dyDescent="0.2">
      <c r="A76" s="194"/>
      <c r="B76" s="206"/>
      <c r="C76" s="25" t="s">
        <v>20</v>
      </c>
      <c r="D76" s="205">
        <v>0.7</v>
      </c>
      <c r="E76" s="205">
        <v>0.7</v>
      </c>
      <c r="F76" s="205">
        <v>0.7</v>
      </c>
      <c r="G76" s="37" t="s">
        <v>236</v>
      </c>
      <c r="H76" s="35" t="s">
        <v>293</v>
      </c>
    </row>
    <row r="77" spans="1:9" ht="14.1" customHeight="1" x14ac:dyDescent="0.2">
      <c r="A77" s="194"/>
      <c r="B77" s="206"/>
      <c r="C77" s="25" t="s">
        <v>19</v>
      </c>
      <c r="D77" s="205">
        <v>0.25</v>
      </c>
      <c r="E77" s="205">
        <v>0.25</v>
      </c>
      <c r="F77" s="205">
        <v>0.25</v>
      </c>
      <c r="G77" s="37" t="s">
        <v>63</v>
      </c>
      <c r="H77" s="35" t="s">
        <v>294</v>
      </c>
    </row>
    <row r="78" spans="1:9" ht="14.1" customHeight="1" x14ac:dyDescent="0.2">
      <c r="A78" s="30"/>
      <c r="B78" s="206"/>
      <c r="C78" s="62" t="s">
        <v>140</v>
      </c>
      <c r="D78" s="91">
        <f>D74/(1-D$71*D75)</f>
        <v>4.0414507772020727E-2</v>
      </c>
      <c r="E78" s="91">
        <f>E74/(1-E$71*E75)</f>
        <v>4.3721973094170405E-2</v>
      </c>
      <c r="F78" s="91">
        <f>F74/(1-F$71*F75)</f>
        <v>4.2857142857142858E-2</v>
      </c>
      <c r="G78" s="37" t="s">
        <v>12</v>
      </c>
      <c r="H78" s="110" t="s">
        <v>237</v>
      </c>
    </row>
    <row r="79" spans="1:9" ht="14.1" customHeight="1" x14ac:dyDescent="0.2">
      <c r="A79" s="30"/>
      <c r="B79" s="206"/>
      <c r="C79" s="62" t="s">
        <v>141</v>
      </c>
      <c r="D79" s="91">
        <f>D78*(1-D75)</f>
        <v>3.6373056994818659E-2</v>
      </c>
      <c r="E79" s="91">
        <f>E78*(1-E75)</f>
        <v>2.6233183856502241E-2</v>
      </c>
      <c r="F79" s="91">
        <f>F78*(1-F75)</f>
        <v>2.3571428571428573E-2</v>
      </c>
      <c r="G79" s="37" t="s">
        <v>12</v>
      </c>
      <c r="H79" s="37"/>
    </row>
    <row r="80" spans="1:9" ht="14.1" customHeight="1" x14ac:dyDescent="0.2">
      <c r="A80" s="30"/>
      <c r="B80" s="206"/>
      <c r="C80" s="62" t="s">
        <v>62</v>
      </c>
      <c r="D80" s="93">
        <f>(D$69*D79)+(1-D$69)*D78</f>
        <v>3.8058341968911918E-2</v>
      </c>
      <c r="E80" s="93">
        <f>(E$69*E79)+(1-E$69)*E78</f>
        <v>3.2942582959641253E-2</v>
      </c>
      <c r="F80" s="93">
        <f>(F$69*F79)+(1-F$69)*F78</f>
        <v>2.8489285714285717E-2</v>
      </c>
      <c r="G80" s="37" t="s">
        <v>12</v>
      </c>
      <c r="H80" s="37"/>
    </row>
    <row r="81" spans="1:8" ht="14.1" customHeight="1" x14ac:dyDescent="0.2">
      <c r="A81" s="30"/>
      <c r="B81" s="206"/>
      <c r="C81" s="62" t="s">
        <v>143</v>
      </c>
      <c r="D81" s="66">
        <f>((D74*1000)-(D80*1000))*D76*D77</f>
        <v>0.16479015544041431</v>
      </c>
      <c r="E81" s="66">
        <f>((E74*1000)-(E80*1000))*E76*E77</f>
        <v>1.0600479820627799</v>
      </c>
      <c r="F81" s="66">
        <f>((F74*1000)-(F80*1000))*F76*F77</f>
        <v>1.8393749999999993</v>
      </c>
      <c r="G81" s="38" t="s">
        <v>12</v>
      </c>
      <c r="H81" s="38" t="s">
        <v>144</v>
      </c>
    </row>
    <row r="82" spans="1:8" ht="14.1" customHeight="1" x14ac:dyDescent="0.2">
      <c r="A82" s="30"/>
      <c r="B82" s="206"/>
      <c r="C82" s="196" t="s">
        <v>142</v>
      </c>
      <c r="D82" s="161">
        <f>D20/D81</f>
        <v>225213.93414854689</v>
      </c>
      <c r="E82" s="161">
        <f>E20/E81</f>
        <v>29955.79810598867</v>
      </c>
      <c r="F82" s="161">
        <f>F20/F81</f>
        <v>17779.353612354549</v>
      </c>
      <c r="G82" s="162"/>
      <c r="H82" s="38"/>
    </row>
    <row r="83" spans="1:8" ht="14.1" customHeight="1" x14ac:dyDescent="0.2">
      <c r="A83" s="30"/>
      <c r="C83" s="194"/>
      <c r="D83" s="94"/>
      <c r="E83" s="94"/>
      <c r="F83" s="95"/>
      <c r="G83" s="103"/>
      <c r="H83" s="37"/>
    </row>
    <row r="84" spans="1:8" ht="14.1" customHeight="1" x14ac:dyDescent="0.2">
      <c r="A84" s="30"/>
      <c r="B84" s="224" t="s">
        <v>147</v>
      </c>
      <c r="C84" s="62" t="s">
        <v>148</v>
      </c>
      <c r="D84" s="167">
        <f t="shared" ref="D84:E84" si="5">58/6059</f>
        <v>9.5725367222313906E-3</v>
      </c>
      <c r="E84" s="167">
        <f t="shared" si="5"/>
        <v>9.5725367222313906E-3</v>
      </c>
      <c r="F84" s="167">
        <f>58/6059</f>
        <v>9.5725367222313906E-3</v>
      </c>
      <c r="G84" s="38" t="s">
        <v>243</v>
      </c>
      <c r="H84" s="35" t="s">
        <v>282</v>
      </c>
    </row>
    <row r="85" spans="1:8" ht="14.1" customHeight="1" x14ac:dyDescent="0.2">
      <c r="A85" s="30"/>
      <c r="B85" s="224"/>
      <c r="C85" s="38" t="s">
        <v>238</v>
      </c>
      <c r="D85" s="96">
        <v>0.1</v>
      </c>
      <c r="E85" s="97">
        <v>0.31</v>
      </c>
      <c r="F85" s="98">
        <v>0.45</v>
      </c>
      <c r="G85" s="38" t="s">
        <v>155</v>
      </c>
      <c r="H85" s="38" t="s">
        <v>156</v>
      </c>
    </row>
    <row r="86" spans="1:8" ht="14.1" customHeight="1" x14ac:dyDescent="0.2">
      <c r="A86" s="30"/>
      <c r="B86" s="224"/>
      <c r="C86" s="62" t="s">
        <v>20</v>
      </c>
      <c r="D86" s="96">
        <v>0.5</v>
      </c>
      <c r="E86" s="97">
        <v>0.6</v>
      </c>
      <c r="F86" s="98">
        <v>0.6</v>
      </c>
      <c r="G86" s="38" t="s">
        <v>152</v>
      </c>
      <c r="H86" s="38" t="s">
        <v>134</v>
      </c>
    </row>
    <row r="87" spans="1:8" ht="14.1" customHeight="1" x14ac:dyDescent="0.2">
      <c r="A87" s="30"/>
      <c r="B87" s="224"/>
      <c r="C87" s="62" t="s">
        <v>19</v>
      </c>
      <c r="D87" s="96">
        <v>0.5</v>
      </c>
      <c r="E87" s="97">
        <v>0.7</v>
      </c>
      <c r="F87" s="98">
        <v>0.7</v>
      </c>
      <c r="G87" s="38" t="s">
        <v>153</v>
      </c>
      <c r="H87" s="38" t="s">
        <v>135</v>
      </c>
    </row>
    <row r="88" spans="1:8" ht="14.1" customHeight="1" x14ac:dyDescent="0.2">
      <c r="A88" s="30"/>
      <c r="B88" s="224"/>
      <c r="C88" s="62" t="s">
        <v>157</v>
      </c>
      <c r="D88" s="91">
        <f>D84/(1-D$71*D85)</f>
        <v>9.9197271732967777E-3</v>
      </c>
      <c r="E88" s="91">
        <f>E84/(1-E$71*E85)</f>
        <v>1.044694611178805E-2</v>
      </c>
      <c r="F88" s="91">
        <f>F84/(1-F$71*F85)</f>
        <v>1.0519271123331198E-2</v>
      </c>
      <c r="G88" s="38" t="s">
        <v>12</v>
      </c>
      <c r="H88" s="38" t="s">
        <v>248</v>
      </c>
    </row>
    <row r="89" spans="1:8" ht="14.1" customHeight="1" x14ac:dyDescent="0.2">
      <c r="A89" s="30"/>
      <c r="B89" s="224"/>
      <c r="C89" s="62" t="s">
        <v>158</v>
      </c>
      <c r="D89" s="91">
        <f>D88*(1-D85)</f>
        <v>8.9277544559671004E-3</v>
      </c>
      <c r="E89" s="91">
        <f>E88*(1-E85)</f>
        <v>7.208392817133754E-3</v>
      </c>
      <c r="F89" s="91">
        <f>F88*(1-F85)</f>
        <v>5.7855991178321596E-3</v>
      </c>
      <c r="G89" s="38" t="s">
        <v>12</v>
      </c>
      <c r="H89" s="38"/>
    </row>
    <row r="90" spans="1:8" ht="14.1" customHeight="1" x14ac:dyDescent="0.2">
      <c r="A90" s="30"/>
      <c r="B90" s="224"/>
      <c r="C90" s="62" t="s">
        <v>159</v>
      </c>
      <c r="D90" s="163">
        <f>(D$69*D89)+(1-D$69)*D88</f>
        <v>9.3414070790935767E-3</v>
      </c>
      <c r="E90" s="163">
        <f>(E$69*E89)+(1-E$69)*E88</f>
        <v>8.4508314030949279E-3</v>
      </c>
      <c r="F90" s="163">
        <f>(F$69*F89)+(1-F$69)*F88</f>
        <v>6.9926854792344145E-3</v>
      </c>
      <c r="G90" s="38" t="s">
        <v>12</v>
      </c>
      <c r="H90" s="188"/>
    </row>
    <row r="91" spans="1:8" ht="14.1" customHeight="1" x14ac:dyDescent="0.2">
      <c r="A91" s="30"/>
      <c r="B91" s="224"/>
      <c r="C91" s="62" t="s">
        <v>160</v>
      </c>
      <c r="D91" s="164">
        <f>((D84*D23)-(D90*D23))*D86*D87</f>
        <v>5.7782410784453564E-2</v>
      </c>
      <c r="E91" s="164">
        <f>((E84*E23)-(E90*E23))*E86*E87</f>
        <v>0.47111623403731462</v>
      </c>
      <c r="F91" s="164">
        <f>((F84*F23)-(F90*F23))*F86*F87</f>
        <v>1.0835375220587298</v>
      </c>
      <c r="G91" s="38" t="s">
        <v>12</v>
      </c>
      <c r="H91" s="38" t="s">
        <v>144</v>
      </c>
    </row>
    <row r="92" spans="1:8" ht="14.1" customHeight="1" x14ac:dyDescent="0.2">
      <c r="A92" s="30"/>
      <c r="B92" s="224"/>
      <c r="C92" s="196" t="s">
        <v>161</v>
      </c>
      <c r="D92" s="165">
        <f>D20/D91</f>
        <v>642289.56029767427</v>
      </c>
      <c r="E92" s="165">
        <f>E20/E91</f>
        <v>67402.86375021885</v>
      </c>
      <c r="F92" s="165">
        <f>F20/F91</f>
        <v>30181.602284145061</v>
      </c>
      <c r="G92" s="162"/>
      <c r="H92" s="38"/>
    </row>
    <row r="93" spans="1:8" ht="14.1" customHeight="1" x14ac:dyDescent="0.2">
      <c r="C93" s="33"/>
      <c r="D93" s="61"/>
      <c r="E93" s="61"/>
      <c r="F93" s="61"/>
      <c r="G93" s="48"/>
    </row>
    <row r="94" spans="1:8" ht="14.1" customHeight="1" x14ac:dyDescent="0.2">
      <c r="A94" s="30"/>
      <c r="B94" s="226" t="s">
        <v>40</v>
      </c>
      <c r="C94" s="62" t="s">
        <v>71</v>
      </c>
      <c r="D94" s="91">
        <f>576/100000</f>
        <v>5.7600000000000004E-3</v>
      </c>
      <c r="E94" s="91">
        <f>576/100000</f>
        <v>5.7600000000000004E-3</v>
      </c>
      <c r="F94" s="91">
        <f>576/100000</f>
        <v>5.7600000000000004E-3</v>
      </c>
      <c r="G94" s="38" t="s">
        <v>162</v>
      </c>
      <c r="H94" s="37" t="s">
        <v>283</v>
      </c>
    </row>
    <row r="95" spans="1:8" ht="14.1" customHeight="1" x14ac:dyDescent="0.2">
      <c r="A95" s="30"/>
      <c r="B95" s="226"/>
      <c r="C95" s="37" t="s">
        <v>46</v>
      </c>
      <c r="D95" s="166">
        <v>0.01</v>
      </c>
      <c r="E95" s="97">
        <v>0.1</v>
      </c>
      <c r="F95" s="98">
        <v>0.3</v>
      </c>
      <c r="G95" s="104" t="s">
        <v>68</v>
      </c>
      <c r="H95" s="38" t="s">
        <v>251</v>
      </c>
    </row>
    <row r="96" spans="1:8" ht="14.1" customHeight="1" x14ac:dyDescent="0.2">
      <c r="B96" s="226"/>
      <c r="C96" s="25" t="s">
        <v>20</v>
      </c>
      <c r="D96" s="99">
        <v>0.5</v>
      </c>
      <c r="E96" s="100">
        <v>0.6</v>
      </c>
      <c r="F96" s="101">
        <v>0.7</v>
      </c>
      <c r="G96" s="37" t="s">
        <v>69</v>
      </c>
      <c r="H96" s="38" t="s">
        <v>134</v>
      </c>
    </row>
    <row r="97" spans="1:12" ht="14.1" customHeight="1" x14ac:dyDescent="0.2">
      <c r="A97" s="30"/>
      <c r="B97" s="226"/>
      <c r="C97" s="25" t="s">
        <v>19</v>
      </c>
      <c r="D97" s="99">
        <v>0.5</v>
      </c>
      <c r="E97" s="100">
        <v>0.6</v>
      </c>
      <c r="F97" s="101">
        <v>0.7</v>
      </c>
      <c r="G97" s="37" t="s">
        <v>69</v>
      </c>
      <c r="H97" s="38" t="s">
        <v>135</v>
      </c>
    </row>
    <row r="98" spans="1:12" ht="14.1" customHeight="1" x14ac:dyDescent="0.2">
      <c r="A98" s="30"/>
      <c r="B98" s="226"/>
      <c r="C98" s="38" t="s">
        <v>252</v>
      </c>
      <c r="D98" s="91">
        <f>D94/(1-D$71*D95)</f>
        <v>5.780230807827396E-3</v>
      </c>
      <c r="E98" s="91">
        <f>E94/(1-E$71*E95)</f>
        <v>5.9198355601233306E-3</v>
      </c>
      <c r="F98" s="91">
        <f>F94/(1-F$71*F95)</f>
        <v>6.1276595744680857E-3</v>
      </c>
      <c r="G98" s="38" t="s">
        <v>12</v>
      </c>
      <c r="H98" s="38" t="s">
        <v>248</v>
      </c>
    </row>
    <row r="99" spans="1:12" ht="14.1" customHeight="1" x14ac:dyDescent="0.2">
      <c r="A99" s="30"/>
      <c r="B99" s="226"/>
      <c r="C99" s="38" t="s">
        <v>253</v>
      </c>
      <c r="D99" s="91">
        <f>D98*(1-D95)</f>
        <v>5.7224284997491222E-3</v>
      </c>
      <c r="E99" s="91">
        <f>E98*(1-E95)</f>
        <v>5.3278520041109972E-3</v>
      </c>
      <c r="F99" s="91">
        <f>F98*(1-F95)</f>
        <v>4.28936170212766E-3</v>
      </c>
      <c r="G99" s="38" t="s">
        <v>12</v>
      </c>
      <c r="H99" s="188"/>
    </row>
    <row r="100" spans="1:12" ht="14.1" customHeight="1" x14ac:dyDescent="0.2">
      <c r="A100" s="30"/>
      <c r="B100" s="226"/>
      <c r="C100" s="62" t="s">
        <v>70</v>
      </c>
      <c r="D100" s="93">
        <f>(D$69*D99)+(1-D$69)*D98</f>
        <v>5.7465320622177626E-3</v>
      </c>
      <c r="E100" s="93">
        <f>(E$69*E99)+(1-E$69)*E98</f>
        <v>5.5549605755395685E-3</v>
      </c>
      <c r="F100" s="93">
        <f>(F$69*F99)+(1-F$69)*F98</f>
        <v>4.7581276595744688E-3</v>
      </c>
      <c r="G100" s="38" t="s">
        <v>12</v>
      </c>
      <c r="H100" s="38"/>
    </row>
    <row r="101" spans="1:12" ht="14.1" customHeight="1" x14ac:dyDescent="0.2">
      <c r="A101" s="30"/>
      <c r="B101" s="226"/>
      <c r="C101" s="62" t="s">
        <v>145</v>
      </c>
      <c r="D101" s="102">
        <f>((D94*D23)-(D100*D23))*D96*D97</f>
        <v>3.3669844455594955E-3</v>
      </c>
      <c r="E101" s="102">
        <f>((E94*E23)-(E100*E23))*E96*E97</f>
        <v>7.381419280575563E-2</v>
      </c>
      <c r="F101" s="102">
        <f>((F94*F23)-(F100*F23))*F96*F97</f>
        <v>0.49091744680851052</v>
      </c>
      <c r="G101" s="37"/>
      <c r="H101" s="38" t="s">
        <v>144</v>
      </c>
    </row>
    <row r="102" spans="1:12" ht="14.1" customHeight="1" x14ac:dyDescent="0.2">
      <c r="A102" s="11"/>
      <c r="B102" s="226"/>
      <c r="C102" s="196" t="s">
        <v>146</v>
      </c>
      <c r="D102" s="111">
        <f>D20/D101</f>
        <v>11022634.590614855</v>
      </c>
      <c r="E102" s="111">
        <f>E20/E101</f>
        <v>430196.17401895218</v>
      </c>
      <c r="F102" s="111">
        <f>F20/F101</f>
        <v>66615.881678943217</v>
      </c>
      <c r="G102" s="37"/>
      <c r="H102" s="37"/>
    </row>
    <row r="103" spans="1:12" ht="14.1" customHeight="1" x14ac:dyDescent="0.2">
      <c r="A103" s="11"/>
      <c r="B103" s="12"/>
      <c r="C103" s="33"/>
      <c r="D103" s="61"/>
      <c r="E103" s="61"/>
      <c r="F103" s="61"/>
      <c r="G103" s="48"/>
    </row>
    <row r="104" spans="1:12" ht="14.1" customHeight="1" x14ac:dyDescent="0.2">
      <c r="A104" s="208" t="s">
        <v>14</v>
      </c>
      <c r="B104" s="208"/>
      <c r="C104" s="25"/>
      <c r="D104" s="61"/>
      <c r="E104" s="61"/>
      <c r="F104" s="61"/>
      <c r="G104" s="37"/>
      <c r="H104" s="37"/>
    </row>
    <row r="105" spans="1:12" ht="14.1" customHeight="1" x14ac:dyDescent="0.25">
      <c r="B105" s="206" t="s">
        <v>254</v>
      </c>
      <c r="C105" s="114" t="s">
        <v>6</v>
      </c>
      <c r="D105" s="169">
        <f>2*E105</f>
        <v>1314.9</v>
      </c>
      <c r="E105" s="170">
        <f>1.8*365.25</f>
        <v>657.45</v>
      </c>
      <c r="F105" s="171">
        <v>500</v>
      </c>
      <c r="G105" s="188" t="s">
        <v>184</v>
      </c>
      <c r="H105" s="188" t="s">
        <v>257</v>
      </c>
      <c r="I105" s="29"/>
      <c r="K105" s="50"/>
      <c r="L105" s="50"/>
    </row>
    <row r="106" spans="1:12" ht="14.1" customHeight="1" x14ac:dyDescent="0.25">
      <c r="B106" s="206"/>
      <c r="C106" s="114" t="s">
        <v>164</v>
      </c>
      <c r="D106" s="168">
        <f>(1500-1000)/D15</f>
        <v>1.6666666666666667</v>
      </c>
      <c r="E106" s="168">
        <f>(1500-1000)/E15</f>
        <v>1.6666666666666667</v>
      </c>
      <c r="F106" s="168">
        <f>(1500-1000)/F15</f>
        <v>1.6666666666666667</v>
      </c>
      <c r="G106" s="38" t="s">
        <v>270</v>
      </c>
      <c r="H106" s="38" t="s">
        <v>173</v>
      </c>
      <c r="I106" s="29"/>
      <c r="K106" s="50"/>
      <c r="L106" s="50"/>
    </row>
    <row r="107" spans="1:12" ht="14.1" customHeight="1" x14ac:dyDescent="0.25">
      <c r="B107" s="206"/>
      <c r="C107" s="114" t="s">
        <v>266</v>
      </c>
      <c r="D107" s="168">
        <v>1.67</v>
      </c>
      <c r="E107" s="168">
        <v>1.67</v>
      </c>
      <c r="F107" s="168">
        <v>1.67</v>
      </c>
      <c r="G107" s="188" t="s">
        <v>68</v>
      </c>
      <c r="H107" s="188" t="s">
        <v>259</v>
      </c>
      <c r="I107" s="29"/>
      <c r="K107" s="50"/>
      <c r="L107" s="50"/>
    </row>
    <row r="108" spans="1:12" ht="14.1" customHeight="1" x14ac:dyDescent="0.25">
      <c r="C108" s="33"/>
      <c r="D108" s="61"/>
      <c r="E108" s="61"/>
      <c r="F108" s="61"/>
      <c r="G108" s="48"/>
      <c r="K108" s="50"/>
      <c r="L108" s="50"/>
    </row>
    <row r="109" spans="1:12" ht="14.1" customHeight="1" x14ac:dyDescent="0.25">
      <c r="B109" s="224" t="s">
        <v>163</v>
      </c>
      <c r="C109" s="33" t="s">
        <v>291</v>
      </c>
      <c r="D109" s="186">
        <f>LN(D105+D16)-LN(D105)</f>
        <v>2.5318392135709189E-3</v>
      </c>
      <c r="E109" s="186">
        <f>LN(E105+E16)-LN(E105)</f>
        <v>5.0572844025733588E-3</v>
      </c>
      <c r="F109" s="186">
        <f>LN(F105+F16)-LN(F105)</f>
        <v>6.6445427186687667E-3</v>
      </c>
      <c r="G109" s="188" t="s">
        <v>12</v>
      </c>
      <c r="K109" s="50"/>
      <c r="L109" s="50"/>
    </row>
    <row r="110" spans="1:12" ht="14.1" customHeight="1" x14ac:dyDescent="0.25">
      <c r="B110" s="224"/>
      <c r="C110" s="188" t="s">
        <v>289</v>
      </c>
      <c r="D110" s="172">
        <f>LN(D105+D16+D17-D106-D107)-LN(D105)</f>
        <v>2.5032003970306249E-2</v>
      </c>
      <c r="E110" s="172">
        <f>LN(E105+E16+E17-E106-E107)-LN(E105)</f>
        <v>4.9452678380699666E-2</v>
      </c>
      <c r="F110" s="172">
        <f>LN(F105+F16+F17-F106-F107)-LN(F105)</f>
        <v>6.453227111803983E-2</v>
      </c>
      <c r="G110" s="188" t="s">
        <v>12</v>
      </c>
      <c r="H110" s="207" t="s">
        <v>263</v>
      </c>
      <c r="K110" s="50"/>
      <c r="L110" s="50"/>
    </row>
    <row r="111" spans="1:12" ht="14.1" customHeight="1" x14ac:dyDescent="0.25">
      <c r="B111" s="224"/>
      <c r="C111" s="114" t="s">
        <v>290</v>
      </c>
      <c r="D111" s="129">
        <f>LN(D105+D16+D17-D106)-LN(D105)</f>
        <v>2.626989852190853E-2</v>
      </c>
      <c r="E111" s="129">
        <f>LN(E105+E16+E17-E106)-LN(E105)</f>
        <v>5.1867317755798226E-2</v>
      </c>
      <c r="F111" s="129">
        <f>LN(F105+F16+F17-F106)-LN(F105)</f>
        <v>6.7658648473814864E-2</v>
      </c>
      <c r="G111" s="188" t="s">
        <v>12</v>
      </c>
      <c r="H111" s="207"/>
      <c r="K111" s="50"/>
      <c r="L111" s="50"/>
    </row>
    <row r="112" spans="1:12" ht="14.1" customHeight="1" x14ac:dyDescent="0.25">
      <c r="B112" s="224"/>
      <c r="C112" s="114" t="s">
        <v>167</v>
      </c>
      <c r="D112" s="32">
        <f>1000*(D109*(1-D27)+D110*D27*D47+D111*D27*(1-D47))</f>
        <v>16.335043164152538</v>
      </c>
      <c r="E112" s="32">
        <f>1000*(E109*(1-E27)+E110*E27*E47+E111*E27*(1-E47))</f>
        <v>32.27714710971933</v>
      </c>
      <c r="F112" s="32">
        <f>1000*(F109*(1-F27)+F110*F27*F47+F111*F27*(1-F47))</f>
        <v>49.135570332366783</v>
      </c>
      <c r="G112" s="188" t="s">
        <v>12</v>
      </c>
      <c r="H112" s="207"/>
      <c r="K112" s="50"/>
      <c r="L112" s="50"/>
    </row>
    <row r="113" spans="1:12" ht="14.1" customHeight="1" x14ac:dyDescent="0.25">
      <c r="B113" s="224"/>
      <c r="C113" s="116" t="s">
        <v>265</v>
      </c>
      <c r="D113" s="173">
        <f>D20/D112</f>
        <v>2271.9890509460861</v>
      </c>
      <c r="E113" s="173">
        <f>E20/E112</f>
        <v>983.81010023563579</v>
      </c>
      <c r="F113" s="173">
        <f>F20/F112</f>
        <v>665.56464755599779</v>
      </c>
      <c r="G113" s="188"/>
      <c r="H113" s="207"/>
      <c r="K113" s="50"/>
      <c r="L113" s="50"/>
    </row>
    <row r="114" spans="1:12" ht="14.1" customHeight="1" x14ac:dyDescent="0.25">
      <c r="C114" s="33"/>
      <c r="D114" s="61"/>
      <c r="E114" s="61"/>
      <c r="F114" s="61"/>
      <c r="K114" s="50"/>
      <c r="L114" s="50"/>
    </row>
    <row r="115" spans="1:12" ht="14.1" customHeight="1" x14ac:dyDescent="0.25">
      <c r="A115" s="227" t="s">
        <v>165</v>
      </c>
      <c r="B115" s="227"/>
      <c r="C115" s="196"/>
      <c r="D115" s="140"/>
      <c r="E115" s="140"/>
      <c r="F115" s="140"/>
      <c r="G115" s="222" t="s">
        <v>185</v>
      </c>
      <c r="H115" s="223"/>
      <c r="I115" s="141"/>
      <c r="J115" s="219"/>
      <c r="K115" s="219"/>
      <c r="L115" s="50"/>
    </row>
    <row r="116" spans="1:12" ht="14.1" customHeight="1" x14ac:dyDescent="0.25">
      <c r="A116" s="196"/>
      <c r="B116" s="221" t="s">
        <v>170</v>
      </c>
      <c r="C116" s="62" t="str">
        <f>C55</f>
        <v>Under-5 HIV deaths averted /1,000 enrollees</v>
      </c>
      <c r="D116" s="67">
        <f>D55</f>
        <v>0.22080959999999999</v>
      </c>
      <c r="E116" s="67">
        <f>E55</f>
        <v>0.51701759999999997</v>
      </c>
      <c r="F116" s="67">
        <f>F55</f>
        <v>4.1385056603773593</v>
      </c>
      <c r="G116" s="197">
        <v>10</v>
      </c>
      <c r="H116" s="198" t="s">
        <v>298</v>
      </c>
      <c r="I116" s="228" t="s">
        <v>299</v>
      </c>
      <c r="J116" s="181"/>
      <c r="K116" s="50"/>
      <c r="L116" s="50"/>
    </row>
    <row r="117" spans="1:12" ht="14.1" customHeight="1" x14ac:dyDescent="0.25">
      <c r="A117" s="196"/>
      <c r="B117" s="221"/>
      <c r="C117" s="62" t="str">
        <f>C63</f>
        <v>DALYs averted per 1,000 enrollees</v>
      </c>
      <c r="D117" s="67">
        <f>D63</f>
        <v>9.1787519999999984E-2</v>
      </c>
      <c r="E117" s="67">
        <f>E63</f>
        <v>0.21491711999999999</v>
      </c>
      <c r="F117" s="67">
        <f>F63</f>
        <v>7.1734098113207558</v>
      </c>
      <c r="G117" s="174">
        <v>1</v>
      </c>
      <c r="H117" s="175" t="s">
        <v>168</v>
      </c>
      <c r="I117" s="228"/>
      <c r="J117" s="181"/>
      <c r="K117" s="50"/>
      <c r="L117" s="50"/>
    </row>
    <row r="118" spans="1:12" ht="14.1" customHeight="1" x14ac:dyDescent="0.25">
      <c r="A118" s="196"/>
      <c r="B118" s="221"/>
      <c r="C118" s="62" t="str">
        <f>C81</f>
        <v>Neonatal deaths averted per 1,000 enrollees</v>
      </c>
      <c r="D118" s="67">
        <f>D81</f>
        <v>0.16479015544041431</v>
      </c>
      <c r="E118" s="67">
        <f>E81</f>
        <v>1.0600479820627799</v>
      </c>
      <c r="F118" s="67">
        <f>F81</f>
        <v>1.8393749999999993</v>
      </c>
      <c r="G118" s="197">
        <v>5</v>
      </c>
      <c r="H118" s="175" t="s">
        <v>296</v>
      </c>
      <c r="I118" s="228"/>
      <c r="J118" s="181"/>
      <c r="K118" s="50"/>
      <c r="L118" s="50"/>
    </row>
    <row r="119" spans="1:12" ht="14.1" customHeight="1" x14ac:dyDescent="0.25">
      <c r="A119" s="196"/>
      <c r="B119" s="221"/>
      <c r="C119" s="62" t="str">
        <f>C91</f>
        <v>Stillbirths averted per 1,000 enrollees</v>
      </c>
      <c r="D119" s="67">
        <f>D91</f>
        <v>5.7782410784453564E-2</v>
      </c>
      <c r="E119" s="67">
        <f>E91</f>
        <v>0.47111623403731462</v>
      </c>
      <c r="F119" s="67">
        <f>F91</f>
        <v>1.0835375220587298</v>
      </c>
      <c r="G119" s="197">
        <v>2</v>
      </c>
      <c r="H119" s="198" t="s">
        <v>295</v>
      </c>
      <c r="I119" s="228"/>
      <c r="J119" s="181"/>
      <c r="K119" s="50"/>
      <c r="L119" s="50"/>
    </row>
    <row r="120" spans="1:12" ht="14.1" customHeight="1" x14ac:dyDescent="0.2">
      <c r="A120" s="196"/>
      <c r="B120" s="221"/>
      <c r="C120" s="62" t="str">
        <f>C101</f>
        <v>Maternal deaths averted per 1,000 enrollees</v>
      </c>
      <c r="D120" s="67">
        <f>D101</f>
        <v>3.3669844455594955E-3</v>
      </c>
      <c r="E120" s="67">
        <f>E101</f>
        <v>7.381419280575563E-2</v>
      </c>
      <c r="F120" s="67">
        <f>F101</f>
        <v>0.49091744680851052</v>
      </c>
      <c r="G120" s="197">
        <f>G116*4</f>
        <v>40</v>
      </c>
      <c r="H120" s="175" t="s">
        <v>268</v>
      </c>
      <c r="I120" s="228"/>
      <c r="J120" s="181"/>
    </row>
    <row r="121" spans="1:12" ht="14.1" customHeight="1" x14ac:dyDescent="0.2">
      <c r="A121" s="196"/>
      <c r="B121" s="221"/>
      <c r="C121" s="62" t="str">
        <f>C112</f>
        <v>Consumption benefit per 1,000 enrollees</v>
      </c>
      <c r="D121" s="67">
        <f t="shared" ref="D121:F121" si="6">D112</f>
        <v>16.335043164152538</v>
      </c>
      <c r="E121" s="67">
        <f t="shared" si="6"/>
        <v>32.27714710971933</v>
      </c>
      <c r="F121" s="67">
        <f t="shared" si="6"/>
        <v>49.135570332366783</v>
      </c>
      <c r="G121" s="197">
        <f>1/2.5</f>
        <v>0.4</v>
      </c>
      <c r="H121" s="176" t="s">
        <v>169</v>
      </c>
      <c r="I121" s="228"/>
      <c r="J121" s="181"/>
    </row>
    <row r="122" spans="1:12" ht="14.1" customHeight="1" x14ac:dyDescent="0.2">
      <c r="A122" s="196"/>
      <c r="B122" s="193"/>
      <c r="C122" s="114"/>
      <c r="D122" s="114"/>
      <c r="E122" s="114"/>
      <c r="F122" s="114"/>
      <c r="G122" s="177">
        <f>G116</f>
        <v>10</v>
      </c>
      <c r="H122" s="178" t="s">
        <v>272</v>
      </c>
      <c r="I122" s="228"/>
      <c r="J122" s="181"/>
    </row>
    <row r="123" spans="1:12" ht="14.1" customHeight="1" x14ac:dyDescent="0.2">
      <c r="A123" s="141"/>
      <c r="B123" s="220" t="s">
        <v>178</v>
      </c>
      <c r="C123" s="126" t="s">
        <v>171</v>
      </c>
      <c r="D123" s="144">
        <f>SUMPRODUCT(D116:D121,$G116:$G121)</f>
        <v>9.9080957622543728</v>
      </c>
      <c r="E123" s="144">
        <f>SUMPRODUCT(E116:E121,$G116:$G121)</f>
        <v>27.490992054506485</v>
      </c>
      <c r="F123" s="145">
        <f>SUMPRODUCT(F116:F121,$G116:$G121)</f>
        <v>99.213342464498936</v>
      </c>
      <c r="G123" s="146"/>
      <c r="H123" s="141"/>
      <c r="I123" s="141"/>
    </row>
    <row r="124" spans="1:12" ht="14.1" customHeight="1" x14ac:dyDescent="0.2">
      <c r="A124" s="141"/>
      <c r="B124" s="220"/>
      <c r="C124" s="127" t="s">
        <v>172</v>
      </c>
      <c r="D124" s="147">
        <f>D123/$G$116</f>
        <v>0.99080957622543731</v>
      </c>
      <c r="E124" s="147">
        <f t="shared" ref="E124:F124" si="7">E123/$G$116</f>
        <v>2.7490992054506487</v>
      </c>
      <c r="F124" s="148">
        <f t="shared" si="7"/>
        <v>9.9213342464498933</v>
      </c>
      <c r="G124" s="141"/>
      <c r="H124" s="149" t="s">
        <v>193</v>
      </c>
      <c r="I124" s="150"/>
    </row>
    <row r="125" spans="1:12" ht="14.1" customHeight="1" x14ac:dyDescent="0.2">
      <c r="A125" s="141"/>
      <c r="B125" s="220"/>
      <c r="C125" s="65" t="s">
        <v>17</v>
      </c>
      <c r="D125" s="151">
        <f>D20/D124</f>
        <v>37457.287561825098</v>
      </c>
      <c r="E125" s="151">
        <f>E20/E124</f>
        <v>11550.904845621217</v>
      </c>
      <c r="F125" s="152">
        <f>F20/F124</f>
        <v>3296.2198166467956</v>
      </c>
      <c r="G125" s="141"/>
      <c r="H125" s="153" t="s">
        <v>187</v>
      </c>
      <c r="I125" s="154">
        <f t="shared" ref="I125:I130" si="8">(E116*G116)/$E$123</f>
        <v>0.18806800386646921</v>
      </c>
    </row>
    <row r="126" spans="1:12" ht="14.1" customHeight="1" x14ac:dyDescent="0.2">
      <c r="A126" s="141"/>
      <c r="B126" s="155"/>
      <c r="C126" s="62"/>
      <c r="D126" s="156"/>
      <c r="E126" s="156"/>
      <c r="F126" s="156"/>
      <c r="G126" s="141"/>
      <c r="H126" s="153" t="s">
        <v>188</v>
      </c>
      <c r="I126" s="154">
        <f t="shared" si="8"/>
        <v>7.8177287881747975E-3</v>
      </c>
    </row>
    <row r="127" spans="1:12" ht="14.1" customHeight="1" x14ac:dyDescent="0.2">
      <c r="A127" s="141"/>
      <c r="B127" s="220" t="s">
        <v>179</v>
      </c>
      <c r="C127" s="126" t="s">
        <v>176</v>
      </c>
      <c r="D127" s="199">
        <v>1308</v>
      </c>
      <c r="E127" s="199">
        <v>1308</v>
      </c>
      <c r="F127" s="199">
        <v>1308</v>
      </c>
      <c r="G127" s="200" t="s">
        <v>297</v>
      </c>
      <c r="H127" s="153" t="s">
        <v>189</v>
      </c>
      <c r="I127" s="154">
        <f t="shared" si="8"/>
        <v>0.19279915034732453</v>
      </c>
    </row>
    <row r="128" spans="1:12" ht="14.1" customHeight="1" x14ac:dyDescent="0.2">
      <c r="A128" s="141"/>
      <c r="B128" s="220"/>
      <c r="C128" s="64" t="s">
        <v>175</v>
      </c>
      <c r="D128" s="157">
        <f>D127/D125</f>
        <v>3.4919773564518829E-2</v>
      </c>
      <c r="E128" s="157">
        <f>E127/E125</f>
        <v>0.11323788200851158</v>
      </c>
      <c r="F128" s="158">
        <f>F127/F125</f>
        <v>0.39681819561737014</v>
      </c>
      <c r="G128" s="141"/>
      <c r="H128" s="153" t="s">
        <v>190</v>
      </c>
      <c r="I128" s="154">
        <f t="shared" si="8"/>
        <v>3.427422576116794E-2</v>
      </c>
    </row>
    <row r="129" spans="1:9" ht="14.1" customHeight="1" x14ac:dyDescent="0.2">
      <c r="A129" s="141"/>
      <c r="B129" s="220"/>
      <c r="C129" s="127" t="s">
        <v>177</v>
      </c>
      <c r="D129" s="202">
        <v>7.2</v>
      </c>
      <c r="E129" s="202">
        <v>7.2</v>
      </c>
      <c r="F129" s="202">
        <v>7.2</v>
      </c>
      <c r="G129" s="200" t="s">
        <v>297</v>
      </c>
      <c r="H129" s="153" t="s">
        <v>191</v>
      </c>
      <c r="I129" s="154">
        <f t="shared" si="8"/>
        <v>0.10740127916723263</v>
      </c>
    </row>
    <row r="130" spans="1:9" ht="14.1" customHeight="1" x14ac:dyDescent="0.2">
      <c r="A130" s="141"/>
      <c r="B130" s="220"/>
      <c r="C130" s="65" t="s">
        <v>174</v>
      </c>
      <c r="D130" s="159">
        <f>(D127*D129)/D125</f>
        <v>0.25142236966453557</v>
      </c>
      <c r="E130" s="159">
        <f t="shared" ref="E130:F130" si="9">(E127*E129)/E125</f>
        <v>0.81531275046128338</v>
      </c>
      <c r="F130" s="160">
        <f t="shared" si="9"/>
        <v>2.8570910084450651</v>
      </c>
      <c r="G130" s="141"/>
      <c r="H130" s="153" t="s">
        <v>192</v>
      </c>
      <c r="I130" s="154">
        <f t="shared" si="8"/>
        <v>0.46963961206963095</v>
      </c>
    </row>
    <row r="131" spans="1:9" ht="14.1" customHeight="1" x14ac:dyDescent="0.2">
      <c r="H131" s="39"/>
    </row>
    <row r="132" spans="1:9" ht="14.1" customHeight="1" x14ac:dyDescent="0.2">
      <c r="D132" s="48"/>
      <c r="E132" s="48"/>
      <c r="F132" s="48"/>
    </row>
    <row r="133" spans="1:9" ht="14.1" customHeight="1" x14ac:dyDescent="0.2">
      <c r="C133" s="189"/>
      <c r="D133" s="48"/>
      <c r="E133" s="48"/>
      <c r="F133" s="48"/>
    </row>
    <row r="134" spans="1:9" ht="14.1" customHeight="1" x14ac:dyDescent="0.2">
      <c r="C134" s="48"/>
      <c r="D134" s="48"/>
      <c r="E134" s="48"/>
      <c r="F134" s="48"/>
    </row>
    <row r="135" spans="1:9" ht="14.1" customHeight="1" x14ac:dyDescent="0.2">
      <c r="C135" s="48"/>
      <c r="D135" s="48"/>
      <c r="E135" s="48"/>
      <c r="F135" s="48"/>
    </row>
    <row r="136" spans="1:9" ht="14.1" customHeight="1" x14ac:dyDescent="0.2">
      <c r="C136" s="48"/>
      <c r="D136" s="48"/>
      <c r="E136" s="48"/>
      <c r="F136" s="48"/>
    </row>
    <row r="137" spans="1:9" ht="14.1" customHeight="1" x14ac:dyDescent="0.2">
      <c r="C137" s="48"/>
      <c r="D137" s="48"/>
      <c r="E137" s="48"/>
      <c r="F137" s="48"/>
    </row>
    <row r="138" spans="1:9" ht="14.1" customHeight="1" x14ac:dyDescent="0.2">
      <c r="C138" s="48"/>
      <c r="D138" s="48"/>
      <c r="E138" s="48"/>
      <c r="F138" s="48"/>
    </row>
    <row r="139" spans="1:9" ht="14.1" customHeight="1" x14ac:dyDescent="0.2">
      <c r="A139" s="48"/>
      <c r="C139" s="48"/>
      <c r="D139" s="48"/>
      <c r="E139" s="48"/>
      <c r="F139" s="48"/>
    </row>
    <row r="140" spans="1:9" ht="14.1" customHeight="1" x14ac:dyDescent="0.2">
      <c r="A140" s="48"/>
      <c r="B140" s="48"/>
      <c r="C140" s="48"/>
      <c r="D140" s="48"/>
      <c r="E140" s="48"/>
      <c r="F140" s="48"/>
      <c r="G140" s="48"/>
    </row>
    <row r="141" spans="1:9" ht="14.1" customHeight="1" x14ac:dyDescent="0.2">
      <c r="A141" s="48"/>
      <c r="B141" s="48"/>
      <c r="C141" s="48"/>
      <c r="D141" s="48"/>
      <c r="E141" s="48"/>
      <c r="F141" s="48"/>
      <c r="G141" s="48"/>
    </row>
    <row r="142" spans="1:9" ht="14.1" customHeight="1" x14ac:dyDescent="0.2">
      <c r="A142" s="48"/>
      <c r="B142" s="48"/>
      <c r="C142" s="48"/>
      <c r="D142" s="48"/>
      <c r="E142" s="48"/>
      <c r="F142" s="48"/>
      <c r="G142" s="48"/>
    </row>
    <row r="143" spans="1:9" ht="14.1" customHeight="1" x14ac:dyDescent="0.2">
      <c r="A143" s="48"/>
      <c r="B143" s="48"/>
      <c r="C143" s="48"/>
      <c r="D143" s="48"/>
      <c r="E143" s="48"/>
      <c r="F143" s="48"/>
      <c r="G143" s="48"/>
    </row>
    <row r="144" spans="1:9" ht="14.1" customHeight="1" x14ac:dyDescent="0.2">
      <c r="A144" s="48"/>
      <c r="B144" s="48"/>
      <c r="C144" s="48"/>
      <c r="D144" s="48"/>
      <c r="E144" s="48"/>
      <c r="F144" s="48"/>
      <c r="G144" s="48"/>
    </row>
    <row r="145" spans="1:7" ht="14.1" customHeight="1" x14ac:dyDescent="0.2">
      <c r="A145" s="48"/>
      <c r="B145" s="48"/>
      <c r="C145" s="48"/>
      <c r="D145" s="48"/>
      <c r="E145" s="48"/>
      <c r="F145" s="48"/>
      <c r="G145" s="48"/>
    </row>
    <row r="146" spans="1:7" ht="14.1" customHeight="1" x14ac:dyDescent="0.2">
      <c r="A146" s="48"/>
      <c r="B146" s="48"/>
      <c r="C146" s="48"/>
      <c r="D146" s="48"/>
      <c r="E146" s="48"/>
      <c r="F146" s="48"/>
      <c r="G146" s="48"/>
    </row>
    <row r="147" spans="1:7" ht="14.1" customHeight="1" x14ac:dyDescent="0.2">
      <c r="A147" s="48"/>
      <c r="B147" s="48"/>
      <c r="C147" s="48"/>
      <c r="D147" s="48"/>
      <c r="E147" s="48"/>
      <c r="F147" s="48"/>
      <c r="G147" s="48"/>
    </row>
    <row r="148" spans="1:7" ht="14.1" customHeight="1" x14ac:dyDescent="0.2">
      <c r="A148" s="48"/>
      <c r="B148" s="48"/>
      <c r="C148" s="48"/>
      <c r="D148" s="48"/>
      <c r="E148" s="48"/>
      <c r="F148" s="48"/>
      <c r="G148" s="48"/>
    </row>
    <row r="149" spans="1:7" ht="14.1" customHeight="1" x14ac:dyDescent="0.2">
      <c r="A149" s="48"/>
      <c r="B149" s="48"/>
      <c r="C149" s="48"/>
      <c r="D149" s="48"/>
      <c r="E149" s="48"/>
      <c r="F149" s="48"/>
      <c r="G149" s="48"/>
    </row>
    <row r="150" spans="1:7" ht="14.1" customHeight="1" x14ac:dyDescent="0.2">
      <c r="A150" s="48"/>
      <c r="B150" s="48"/>
      <c r="C150" s="48"/>
      <c r="D150" s="48"/>
      <c r="E150" s="48"/>
      <c r="F150" s="48"/>
      <c r="G150" s="48"/>
    </row>
    <row r="151" spans="1:7" ht="14.1" customHeight="1" x14ac:dyDescent="0.2">
      <c r="A151" s="48"/>
      <c r="B151" s="48"/>
      <c r="C151" s="48"/>
      <c r="D151" s="48"/>
      <c r="E151" s="48"/>
      <c r="F151" s="48"/>
      <c r="G151" s="48"/>
    </row>
    <row r="152" spans="1:7" ht="14.1" customHeight="1" x14ac:dyDescent="0.2">
      <c r="A152" s="48"/>
      <c r="B152" s="48"/>
      <c r="C152" s="48"/>
      <c r="D152" s="48"/>
      <c r="E152" s="48"/>
      <c r="F152" s="48"/>
      <c r="G152" s="48"/>
    </row>
    <row r="153" spans="1:7" ht="14.1" customHeight="1" x14ac:dyDescent="0.2">
      <c r="A153" s="48"/>
      <c r="B153" s="48"/>
      <c r="C153" s="48"/>
      <c r="D153" s="48"/>
      <c r="E153" s="48"/>
      <c r="F153" s="48"/>
      <c r="G153" s="48"/>
    </row>
    <row r="154" spans="1:7" ht="14.1" customHeight="1" x14ac:dyDescent="0.2">
      <c r="A154" s="48"/>
      <c r="B154" s="48"/>
      <c r="C154" s="48"/>
      <c r="D154" s="48"/>
      <c r="E154" s="48"/>
      <c r="F154" s="48"/>
      <c r="G154" s="48"/>
    </row>
    <row r="155" spans="1:7" ht="14.1" customHeight="1" x14ac:dyDescent="0.2">
      <c r="A155" s="48"/>
      <c r="B155" s="48"/>
      <c r="C155" s="48"/>
      <c r="D155" s="48"/>
      <c r="E155" s="48"/>
      <c r="F155" s="48"/>
      <c r="G155" s="48"/>
    </row>
    <row r="156" spans="1:7" ht="14.1" customHeight="1" x14ac:dyDescent="0.2">
      <c r="A156" s="48"/>
      <c r="B156" s="48"/>
      <c r="C156" s="48"/>
      <c r="D156" s="48"/>
      <c r="E156" s="48"/>
      <c r="F156" s="48"/>
      <c r="G156" s="48"/>
    </row>
    <row r="157" spans="1:7" ht="14.1" customHeight="1" x14ac:dyDescent="0.2">
      <c r="A157" s="48"/>
      <c r="B157" s="48"/>
      <c r="C157" s="48"/>
      <c r="D157" s="48"/>
      <c r="E157" s="48"/>
      <c r="F157" s="48"/>
      <c r="G157" s="48"/>
    </row>
    <row r="158" spans="1:7" ht="14.1" customHeight="1" x14ac:dyDescent="0.2">
      <c r="A158" s="48"/>
      <c r="B158" s="48"/>
      <c r="C158" s="48"/>
      <c r="D158" s="48"/>
      <c r="E158" s="48"/>
      <c r="F158" s="48"/>
      <c r="G158" s="48"/>
    </row>
    <row r="159" spans="1:7" ht="14.1" customHeight="1" x14ac:dyDescent="0.2">
      <c r="A159" s="48"/>
      <c r="B159" s="48"/>
      <c r="C159" s="48"/>
      <c r="D159" s="48"/>
      <c r="E159" s="48"/>
      <c r="F159" s="48"/>
      <c r="G159" s="48"/>
    </row>
    <row r="160" spans="1:7" ht="14.1" customHeight="1" x14ac:dyDescent="0.2">
      <c r="A160" s="48"/>
      <c r="B160" s="48"/>
      <c r="C160" s="48"/>
      <c r="D160" s="48"/>
      <c r="E160" s="48"/>
      <c r="F160" s="48"/>
      <c r="G160" s="48"/>
    </row>
    <row r="161" spans="1:11" ht="14.1" customHeight="1" x14ac:dyDescent="0.2">
      <c r="A161" s="48"/>
      <c r="B161" s="48"/>
      <c r="C161" s="48"/>
      <c r="D161" s="48"/>
      <c r="E161" s="48"/>
      <c r="F161" s="48"/>
      <c r="G161" s="48"/>
    </row>
    <row r="162" spans="1:11" ht="14.1" customHeight="1" x14ac:dyDescent="0.2">
      <c r="A162" s="48"/>
      <c r="B162" s="48"/>
      <c r="C162" s="48"/>
      <c r="D162" s="48"/>
      <c r="E162" s="48"/>
      <c r="F162" s="48"/>
      <c r="G162" s="48"/>
    </row>
    <row r="163" spans="1:11" ht="14.1" customHeight="1" x14ac:dyDescent="0.2">
      <c r="A163" s="48"/>
      <c r="B163" s="48"/>
      <c r="C163" s="48"/>
      <c r="D163" s="48"/>
      <c r="E163" s="48"/>
      <c r="F163" s="48"/>
      <c r="G163" s="48"/>
      <c r="J163" s="6"/>
      <c r="K163" s="6"/>
    </row>
    <row r="164" spans="1:11" ht="14.1" customHeight="1" x14ac:dyDescent="0.2">
      <c r="A164" s="48"/>
      <c r="B164" s="48"/>
      <c r="C164" s="48"/>
      <c r="D164" s="48"/>
      <c r="E164" s="48"/>
      <c r="F164" s="48"/>
      <c r="G164" s="48"/>
      <c r="J164" s="6"/>
      <c r="K164" s="6"/>
    </row>
    <row r="165" spans="1:11" ht="14.1" customHeight="1" x14ac:dyDescent="0.2">
      <c r="A165" s="48"/>
      <c r="B165" s="48"/>
      <c r="C165" s="48"/>
      <c r="D165" s="48"/>
      <c r="E165" s="48"/>
      <c r="F165" s="48"/>
      <c r="G165" s="48"/>
      <c r="J165" s="6"/>
      <c r="K165" s="6"/>
    </row>
    <row r="166" spans="1:11" ht="14.1" customHeight="1" x14ac:dyDescent="0.2">
      <c r="A166" s="48"/>
      <c r="B166" s="48"/>
      <c r="C166" s="48"/>
      <c r="D166" s="48"/>
      <c r="E166" s="48"/>
      <c r="F166" s="48"/>
      <c r="G166" s="48"/>
      <c r="J166" s="6"/>
      <c r="K166" s="6"/>
    </row>
    <row r="167" spans="1:11" ht="14.1" customHeight="1" x14ac:dyDescent="0.2">
      <c r="J167" s="6"/>
      <c r="K167" s="6"/>
    </row>
    <row r="168" spans="1:11" ht="14.1" customHeight="1" x14ac:dyDescent="0.2">
      <c r="J168" s="6"/>
      <c r="K168" s="6"/>
    </row>
    <row r="169" spans="1:11" ht="14.1" customHeight="1" x14ac:dyDescent="0.2">
      <c r="B169" s="4"/>
      <c r="J169" s="6"/>
      <c r="K169" s="6"/>
    </row>
    <row r="170" spans="1:11" ht="14.1" customHeight="1" x14ac:dyDescent="0.2">
      <c r="D170" s="15"/>
      <c r="E170" s="15"/>
      <c r="F170" s="15"/>
      <c r="G170" s="8"/>
      <c r="J170" s="6"/>
      <c r="K170" s="6"/>
    </row>
    <row r="171" spans="1:11" ht="14.1" customHeight="1" x14ac:dyDescent="0.2">
      <c r="D171" s="9"/>
      <c r="E171" s="9"/>
      <c r="F171" s="9"/>
      <c r="G171" s="8"/>
      <c r="K171" s="6"/>
    </row>
    <row r="172" spans="1:11" ht="14.1" customHeight="1" x14ac:dyDescent="0.2">
      <c r="D172" s="15"/>
      <c r="E172" s="15"/>
      <c r="F172" s="15"/>
      <c r="G172" s="8"/>
      <c r="K172" s="6"/>
    </row>
    <row r="173" spans="1:11" ht="14.1" customHeight="1" x14ac:dyDescent="0.2">
      <c r="D173" s="15"/>
      <c r="E173" s="15"/>
      <c r="F173" s="15"/>
      <c r="G173" s="8"/>
      <c r="K173" s="6"/>
    </row>
    <row r="175" spans="1:11" ht="14.1" customHeight="1" x14ac:dyDescent="0.2">
      <c r="B175" s="4"/>
    </row>
    <row r="179" spans="4:6" ht="14.1" customHeight="1" x14ac:dyDescent="0.2">
      <c r="D179" s="9"/>
      <c r="E179" s="9"/>
      <c r="F179" s="9"/>
    </row>
    <row r="180" spans="4:6" ht="14.1" customHeight="1" x14ac:dyDescent="0.2">
      <c r="D180" s="9"/>
      <c r="E180" s="9"/>
      <c r="F180" s="9"/>
    </row>
    <row r="182" spans="4:6" ht="14.1" customHeight="1" x14ac:dyDescent="0.2">
      <c r="D182" s="10"/>
      <c r="E182" s="10"/>
      <c r="F182" s="10"/>
    </row>
    <row r="185" spans="4:6" ht="14.1" customHeight="1" x14ac:dyDescent="0.2">
      <c r="D185" s="10"/>
      <c r="E185" s="10"/>
      <c r="F185" s="10"/>
    </row>
    <row r="193" spans="4:6" ht="14.1" customHeight="1" x14ac:dyDescent="0.2">
      <c r="D193" s="16"/>
      <c r="E193" s="16"/>
      <c r="F193" s="16"/>
    </row>
    <row r="194" spans="4:6" ht="14.1" customHeight="1" x14ac:dyDescent="0.2">
      <c r="D194" s="10"/>
      <c r="E194" s="10"/>
      <c r="F194" s="10"/>
    </row>
    <row r="195" spans="4:6" ht="14.1" customHeight="1" x14ac:dyDescent="0.2">
      <c r="D195" s="6"/>
      <c r="E195" s="6"/>
      <c r="F195" s="6"/>
    </row>
    <row r="210" spans="4:5" ht="14.1" customHeight="1" x14ac:dyDescent="0.2">
      <c r="D210" s="6"/>
      <c r="E210" s="6"/>
    </row>
    <row r="211" spans="4:5" ht="14.1" customHeight="1" x14ac:dyDescent="0.2">
      <c r="D211" s="6"/>
      <c r="E211" s="6"/>
    </row>
    <row r="229" spans="4:8" ht="14.1" customHeight="1" x14ac:dyDescent="0.2">
      <c r="H229" s="39"/>
    </row>
    <row r="230" spans="4:8" ht="14.1" customHeight="1" x14ac:dyDescent="0.2">
      <c r="H230" s="39"/>
    </row>
    <row r="231" spans="4:8" ht="14.1" customHeight="1" x14ac:dyDescent="0.2">
      <c r="H231" s="39"/>
    </row>
    <row r="232" spans="4:8" ht="14.1" customHeight="1" x14ac:dyDescent="0.2">
      <c r="H232" s="39"/>
    </row>
    <row r="237" spans="4:8" ht="14.1" customHeight="1" x14ac:dyDescent="0.2">
      <c r="G237" s="8"/>
    </row>
    <row r="238" spans="4:8" ht="14.1" customHeight="1" x14ac:dyDescent="0.2">
      <c r="D238" s="8"/>
      <c r="E238" s="8"/>
      <c r="G238" s="6"/>
    </row>
    <row r="239" spans="4:8" ht="14.1" customHeight="1" x14ac:dyDescent="0.2">
      <c r="D239" s="8"/>
      <c r="E239" s="8"/>
      <c r="G239" s="6"/>
    </row>
    <row r="240" spans="4:8" ht="14.1" customHeight="1" x14ac:dyDescent="0.2">
      <c r="D240" s="6"/>
      <c r="E240" s="6"/>
      <c r="G240" s="5"/>
    </row>
    <row r="241" spans="4:5" ht="14.1" customHeight="1" x14ac:dyDescent="0.2">
      <c r="D241" s="6"/>
      <c r="E241" s="6"/>
    </row>
    <row r="289" spans="10:14" ht="14.1" customHeight="1" x14ac:dyDescent="0.2">
      <c r="J289" s="17"/>
    </row>
    <row r="290" spans="10:14" ht="14.1" customHeight="1" x14ac:dyDescent="0.2">
      <c r="J290" s="18"/>
    </row>
    <row r="291" spans="10:14" ht="14.1" customHeight="1" x14ac:dyDescent="0.2">
      <c r="J291" s="18"/>
    </row>
    <row r="292" spans="10:14" ht="14.1" customHeight="1" x14ac:dyDescent="0.2">
      <c r="J292" s="18"/>
      <c r="K292" s="17"/>
      <c r="L292" s="8"/>
      <c r="M292" s="5"/>
    </row>
    <row r="293" spans="10:14" ht="14.1" customHeight="1" x14ac:dyDescent="0.2">
      <c r="J293" s="18"/>
      <c r="K293" s="18"/>
      <c r="L293" s="8"/>
      <c r="M293" s="5"/>
    </row>
    <row r="294" spans="10:14" ht="14.1" customHeight="1" x14ac:dyDescent="0.2">
      <c r="J294" s="18"/>
      <c r="K294" s="18"/>
      <c r="L294" s="18"/>
      <c r="M294" s="18"/>
    </row>
    <row r="295" spans="10:14" ht="14.1" customHeight="1" x14ac:dyDescent="0.2">
      <c r="J295" s="18"/>
      <c r="K295" s="18"/>
      <c r="L295" s="18"/>
      <c r="M295" s="18"/>
    </row>
    <row r="296" spans="10:14" ht="14.1" customHeight="1" x14ac:dyDescent="0.2">
      <c r="J296" s="18"/>
      <c r="K296" s="18"/>
      <c r="L296" s="18"/>
      <c r="M296" s="18"/>
    </row>
    <row r="297" spans="10:14" ht="14.1" customHeight="1" x14ac:dyDescent="0.2">
      <c r="J297" s="18"/>
      <c r="K297" s="18"/>
      <c r="L297" s="18"/>
      <c r="M297" s="18"/>
      <c r="N297" s="5"/>
    </row>
    <row r="298" spans="10:14" ht="14.1" customHeight="1" x14ac:dyDescent="0.2">
      <c r="J298" s="18"/>
      <c r="K298" s="18"/>
      <c r="L298" s="18"/>
      <c r="M298" s="18"/>
      <c r="N298" s="5"/>
    </row>
    <row r="299" spans="10:14" ht="14.1" customHeight="1" x14ac:dyDescent="0.2">
      <c r="J299" s="18"/>
      <c r="K299" s="18"/>
      <c r="L299" s="18"/>
      <c r="M299" s="18"/>
      <c r="N299" s="18"/>
    </row>
    <row r="300" spans="10:14" ht="14.1" customHeight="1" x14ac:dyDescent="0.2">
      <c r="J300" s="18"/>
      <c r="K300" s="18"/>
      <c r="L300" s="18"/>
      <c r="M300" s="18"/>
      <c r="N300" s="18"/>
    </row>
    <row r="301" spans="10:14" ht="14.1" customHeight="1" x14ac:dyDescent="0.2">
      <c r="J301" s="18"/>
      <c r="K301" s="18"/>
      <c r="L301" s="18"/>
      <c r="M301" s="18"/>
      <c r="N301" s="18"/>
    </row>
    <row r="302" spans="10:14" ht="14.1" customHeight="1" x14ac:dyDescent="0.2">
      <c r="J302" s="18"/>
      <c r="K302" s="18"/>
      <c r="L302" s="18"/>
      <c r="M302" s="18"/>
      <c r="N302" s="18"/>
    </row>
    <row r="303" spans="10:14" ht="14.1" customHeight="1" x14ac:dyDescent="0.2">
      <c r="J303" s="18"/>
      <c r="K303" s="18"/>
      <c r="L303" s="18"/>
      <c r="M303" s="18"/>
      <c r="N303" s="18"/>
    </row>
    <row r="304" spans="10:14" ht="14.1" customHeight="1" x14ac:dyDescent="0.2">
      <c r="J304" s="18"/>
      <c r="K304" s="18"/>
      <c r="L304" s="18"/>
      <c r="M304" s="18"/>
      <c r="N304" s="18"/>
    </row>
    <row r="305" spans="8:14" ht="14.1" customHeight="1" x14ac:dyDescent="0.2">
      <c r="J305" s="18"/>
      <c r="K305" s="18"/>
      <c r="L305" s="18"/>
      <c r="M305" s="18"/>
      <c r="N305" s="18"/>
    </row>
    <row r="306" spans="8:14" ht="14.1" customHeight="1" x14ac:dyDescent="0.2">
      <c r="J306" s="18"/>
      <c r="K306" s="18"/>
      <c r="L306" s="18"/>
      <c r="M306" s="18"/>
      <c r="N306" s="18"/>
    </row>
    <row r="307" spans="8:14" ht="14.1" customHeight="1" x14ac:dyDescent="0.2">
      <c r="J307" s="18"/>
      <c r="K307" s="18"/>
      <c r="L307" s="18"/>
      <c r="M307" s="18"/>
      <c r="N307" s="18"/>
    </row>
    <row r="308" spans="8:14" ht="14.1" customHeight="1" x14ac:dyDescent="0.2">
      <c r="J308" s="18"/>
      <c r="K308" s="18"/>
      <c r="L308" s="18"/>
      <c r="M308" s="18"/>
      <c r="N308" s="18"/>
    </row>
    <row r="309" spans="8:14" ht="14.1" customHeight="1" x14ac:dyDescent="0.2">
      <c r="J309" s="18"/>
      <c r="K309" s="18"/>
      <c r="L309" s="18"/>
      <c r="M309" s="18"/>
      <c r="N309" s="18"/>
    </row>
    <row r="310" spans="8:14" ht="14.1" customHeight="1" x14ac:dyDescent="0.2">
      <c r="J310" s="18"/>
      <c r="K310" s="18"/>
      <c r="L310" s="18"/>
      <c r="M310" s="18"/>
      <c r="N310" s="18"/>
    </row>
    <row r="311" spans="8:14" ht="14.1" customHeight="1" x14ac:dyDescent="0.2">
      <c r="J311" s="18"/>
      <c r="K311" s="18"/>
      <c r="L311" s="18"/>
      <c r="M311" s="18"/>
      <c r="N311" s="18"/>
    </row>
    <row r="312" spans="8:14" ht="14.1" customHeight="1" x14ac:dyDescent="0.2">
      <c r="J312" s="18"/>
      <c r="K312" s="18"/>
      <c r="L312" s="18"/>
      <c r="M312" s="18"/>
      <c r="N312" s="18"/>
    </row>
    <row r="313" spans="8:14" ht="14.1" customHeight="1" x14ac:dyDescent="0.2">
      <c r="J313" s="18"/>
      <c r="K313" s="18"/>
      <c r="L313" s="18"/>
      <c r="M313" s="18"/>
      <c r="N313" s="18"/>
    </row>
    <row r="314" spans="8:14" ht="14.1" customHeight="1" x14ac:dyDescent="0.2">
      <c r="J314" s="18"/>
      <c r="K314" s="18"/>
      <c r="L314" s="18"/>
      <c r="M314" s="18"/>
      <c r="N314" s="18"/>
    </row>
    <row r="315" spans="8:14" ht="14.1" customHeight="1" x14ac:dyDescent="0.2">
      <c r="J315" s="18"/>
      <c r="K315" s="18"/>
      <c r="L315" s="18"/>
      <c r="M315" s="18"/>
      <c r="N315" s="18"/>
    </row>
    <row r="316" spans="8:14" ht="14.1" customHeight="1" x14ac:dyDescent="0.2">
      <c r="H316" s="40"/>
      <c r="J316" s="18"/>
      <c r="K316" s="18"/>
      <c r="L316" s="18"/>
      <c r="M316" s="18"/>
      <c r="N316" s="18"/>
    </row>
    <row r="317" spans="8:14" ht="14.1" customHeight="1" x14ac:dyDescent="0.2">
      <c r="H317" s="41"/>
      <c r="J317" s="18"/>
      <c r="K317" s="18"/>
      <c r="L317" s="18"/>
      <c r="M317" s="18"/>
      <c r="N317" s="18"/>
    </row>
    <row r="318" spans="8:14" ht="14.1" customHeight="1" x14ac:dyDescent="0.2">
      <c r="H318" s="41"/>
      <c r="J318" s="18"/>
      <c r="K318" s="18"/>
      <c r="L318" s="18"/>
      <c r="M318" s="18"/>
      <c r="N318" s="18"/>
    </row>
    <row r="319" spans="8:14" ht="14.1" customHeight="1" x14ac:dyDescent="0.2">
      <c r="H319" s="41"/>
      <c r="J319" s="18"/>
      <c r="K319" s="18"/>
      <c r="L319" s="18"/>
      <c r="M319" s="18"/>
      <c r="N319" s="18"/>
    </row>
    <row r="320" spans="8:14" ht="14.1" customHeight="1" x14ac:dyDescent="0.2">
      <c r="H320" s="41"/>
      <c r="J320" s="18"/>
      <c r="K320" s="18"/>
      <c r="L320" s="18"/>
      <c r="M320" s="18"/>
      <c r="N320" s="18"/>
    </row>
    <row r="321" spans="4:14" ht="14.1" customHeight="1" x14ac:dyDescent="0.2">
      <c r="H321" s="41"/>
      <c r="J321" s="18"/>
      <c r="K321" s="18"/>
      <c r="L321" s="18"/>
      <c r="M321" s="18"/>
      <c r="N321" s="18"/>
    </row>
    <row r="322" spans="4:14" ht="14.1" customHeight="1" x14ac:dyDescent="0.2">
      <c r="H322" s="41"/>
      <c r="J322" s="18"/>
      <c r="K322" s="18"/>
      <c r="L322" s="18"/>
      <c r="M322" s="18"/>
      <c r="N322" s="18"/>
    </row>
    <row r="323" spans="4:14" ht="14.1" customHeight="1" x14ac:dyDescent="0.2">
      <c r="H323" s="41"/>
      <c r="J323" s="18"/>
      <c r="K323" s="18"/>
      <c r="L323" s="18"/>
      <c r="M323" s="18"/>
      <c r="N323" s="18"/>
    </row>
    <row r="324" spans="4:14" ht="14.1" customHeight="1" x14ac:dyDescent="0.2">
      <c r="G324" s="18"/>
      <c r="H324" s="41"/>
      <c r="J324" s="18"/>
      <c r="K324" s="18"/>
      <c r="L324" s="18"/>
      <c r="M324" s="18"/>
      <c r="N324" s="18"/>
    </row>
    <row r="325" spans="4:14" ht="14.1" customHeight="1" x14ac:dyDescent="0.2">
      <c r="D325" s="18"/>
      <c r="E325" s="18"/>
      <c r="G325" s="18"/>
      <c r="H325" s="41"/>
      <c r="J325" s="18"/>
      <c r="K325" s="18"/>
      <c r="L325" s="18"/>
      <c r="M325" s="18"/>
      <c r="N325" s="18"/>
    </row>
    <row r="326" spans="4:14" ht="14.1" customHeight="1" x14ac:dyDescent="0.2">
      <c r="D326" s="18"/>
      <c r="E326" s="18"/>
      <c r="G326" s="18"/>
      <c r="H326" s="41"/>
      <c r="J326" s="18"/>
      <c r="K326" s="18"/>
      <c r="L326" s="18"/>
      <c r="M326" s="18"/>
      <c r="N326" s="18"/>
    </row>
    <row r="327" spans="4:14" ht="14.1" customHeight="1" x14ac:dyDescent="0.2">
      <c r="D327" s="18"/>
      <c r="E327" s="18"/>
      <c r="G327" s="18"/>
      <c r="H327" s="41"/>
      <c r="J327" s="18"/>
      <c r="K327" s="18"/>
      <c r="L327" s="18"/>
      <c r="M327" s="18"/>
      <c r="N327" s="18"/>
    </row>
    <row r="328" spans="4:14" ht="14.1" customHeight="1" x14ac:dyDescent="0.2">
      <c r="D328" s="18"/>
      <c r="E328" s="18"/>
      <c r="G328" s="18"/>
      <c r="H328" s="41"/>
      <c r="J328" s="18"/>
      <c r="K328" s="18"/>
      <c r="L328" s="18"/>
      <c r="M328" s="18"/>
      <c r="N328" s="18"/>
    </row>
    <row r="329" spans="4:14" ht="14.1" customHeight="1" x14ac:dyDescent="0.2">
      <c r="D329" s="18"/>
      <c r="E329" s="18"/>
      <c r="G329" s="18"/>
      <c r="H329" s="41"/>
      <c r="J329" s="18"/>
      <c r="K329" s="18"/>
      <c r="L329" s="18"/>
      <c r="M329" s="18"/>
      <c r="N329" s="18"/>
    </row>
    <row r="330" spans="4:14" ht="14.1" customHeight="1" x14ac:dyDescent="0.2">
      <c r="D330" s="18"/>
      <c r="E330" s="18"/>
      <c r="G330" s="18"/>
      <c r="H330" s="41"/>
      <c r="J330" s="18"/>
      <c r="K330" s="18"/>
      <c r="L330" s="18"/>
      <c r="M330" s="18"/>
      <c r="N330" s="18"/>
    </row>
    <row r="331" spans="4:14" ht="14.1" customHeight="1" x14ac:dyDescent="0.2">
      <c r="D331" s="18"/>
      <c r="E331" s="18"/>
      <c r="G331" s="18"/>
      <c r="H331" s="41"/>
      <c r="J331" s="18"/>
      <c r="K331" s="18"/>
      <c r="L331" s="18"/>
      <c r="M331" s="18"/>
      <c r="N331" s="18"/>
    </row>
    <row r="332" spans="4:14" ht="14.1" customHeight="1" x14ac:dyDescent="0.2">
      <c r="D332" s="18"/>
      <c r="E332" s="18"/>
      <c r="G332" s="18"/>
      <c r="H332" s="41"/>
      <c r="J332" s="18"/>
      <c r="K332" s="18"/>
      <c r="L332" s="18"/>
      <c r="M332" s="18"/>
      <c r="N332" s="18"/>
    </row>
    <row r="333" spans="4:14" ht="14.1" customHeight="1" x14ac:dyDescent="0.2">
      <c r="D333" s="18"/>
      <c r="E333" s="18"/>
      <c r="G333" s="18"/>
      <c r="H333" s="41"/>
      <c r="J333" s="18"/>
      <c r="K333" s="18"/>
      <c r="L333" s="18"/>
      <c r="M333" s="18"/>
      <c r="N333" s="18"/>
    </row>
    <row r="334" spans="4:14" ht="14.1" customHeight="1" x14ac:dyDescent="0.2">
      <c r="D334" s="18"/>
      <c r="E334" s="18"/>
      <c r="G334" s="18"/>
      <c r="H334" s="41"/>
      <c r="J334" s="18"/>
      <c r="K334" s="18"/>
      <c r="L334" s="18"/>
      <c r="M334" s="18"/>
      <c r="N334" s="18"/>
    </row>
    <row r="335" spans="4:14" ht="14.1" customHeight="1" x14ac:dyDescent="0.2">
      <c r="D335" s="18"/>
      <c r="E335" s="18"/>
      <c r="G335" s="18"/>
      <c r="H335" s="41"/>
      <c r="J335" s="18"/>
      <c r="K335" s="18"/>
      <c r="L335" s="18"/>
      <c r="M335" s="18"/>
      <c r="N335" s="18"/>
    </row>
    <row r="336" spans="4:14" ht="14.1" customHeight="1" x14ac:dyDescent="0.2">
      <c r="D336" s="18"/>
      <c r="E336" s="18"/>
      <c r="G336" s="18"/>
      <c r="H336" s="41"/>
      <c r="J336" s="18"/>
      <c r="K336" s="18"/>
      <c r="L336" s="18"/>
      <c r="M336" s="18"/>
      <c r="N336" s="18"/>
    </row>
    <row r="337" spans="4:14" ht="14.1" customHeight="1" x14ac:dyDescent="0.2">
      <c r="D337" s="18"/>
      <c r="E337" s="18"/>
      <c r="G337" s="18"/>
      <c r="H337" s="41"/>
      <c r="J337" s="18"/>
      <c r="K337" s="18"/>
      <c r="L337" s="18"/>
      <c r="M337" s="18"/>
      <c r="N337" s="18"/>
    </row>
    <row r="338" spans="4:14" ht="14.1" customHeight="1" x14ac:dyDescent="0.2">
      <c r="D338" s="18"/>
      <c r="E338" s="18"/>
      <c r="G338" s="18"/>
      <c r="H338" s="41"/>
      <c r="J338" s="18"/>
      <c r="K338" s="18"/>
      <c r="L338" s="18"/>
      <c r="M338" s="18"/>
      <c r="N338" s="18"/>
    </row>
    <row r="339" spans="4:14" ht="14.1" customHeight="1" x14ac:dyDescent="0.2">
      <c r="D339" s="18"/>
      <c r="E339" s="18"/>
      <c r="G339" s="18"/>
      <c r="H339" s="41"/>
      <c r="J339" s="18"/>
      <c r="K339" s="18"/>
      <c r="L339" s="18"/>
      <c r="M339" s="18"/>
      <c r="N339" s="18"/>
    </row>
    <row r="340" spans="4:14" ht="14.1" customHeight="1" x14ac:dyDescent="0.2">
      <c r="D340" s="18"/>
      <c r="E340" s="18"/>
      <c r="G340" s="18"/>
      <c r="H340" s="41"/>
      <c r="J340" s="18"/>
      <c r="K340" s="18"/>
      <c r="L340" s="18"/>
      <c r="M340" s="18"/>
      <c r="N340" s="18"/>
    </row>
    <row r="341" spans="4:14" ht="14.1" customHeight="1" x14ac:dyDescent="0.2">
      <c r="D341" s="18"/>
      <c r="E341" s="18"/>
      <c r="G341" s="18"/>
      <c r="H341" s="41"/>
      <c r="J341" s="18"/>
      <c r="K341" s="18"/>
      <c r="L341" s="18"/>
      <c r="M341" s="18"/>
      <c r="N341" s="18"/>
    </row>
    <row r="342" spans="4:14" ht="14.1" customHeight="1" x14ac:dyDescent="0.2">
      <c r="D342" s="18"/>
      <c r="E342" s="18"/>
      <c r="G342" s="18"/>
      <c r="H342" s="41"/>
      <c r="J342" s="18"/>
      <c r="K342" s="18"/>
      <c r="L342" s="18"/>
      <c r="M342" s="18"/>
      <c r="N342" s="18"/>
    </row>
    <row r="343" spans="4:14" ht="14.1" customHeight="1" x14ac:dyDescent="0.2">
      <c r="D343" s="18"/>
      <c r="E343" s="18"/>
      <c r="G343" s="18"/>
      <c r="H343" s="41"/>
      <c r="J343" s="18"/>
      <c r="K343" s="18"/>
      <c r="L343" s="18"/>
      <c r="M343" s="18"/>
      <c r="N343" s="18"/>
    </row>
    <row r="344" spans="4:14" ht="14.1" customHeight="1" x14ac:dyDescent="0.2">
      <c r="D344" s="18"/>
      <c r="E344" s="18"/>
      <c r="G344" s="18"/>
      <c r="H344" s="41"/>
      <c r="J344" s="18"/>
      <c r="K344" s="18"/>
      <c r="L344" s="18"/>
      <c r="M344" s="18"/>
      <c r="N344" s="18"/>
    </row>
    <row r="345" spans="4:14" ht="14.1" customHeight="1" x14ac:dyDescent="0.2">
      <c r="D345" s="18"/>
      <c r="E345" s="18"/>
      <c r="G345" s="18"/>
      <c r="H345" s="41"/>
      <c r="K345" s="18"/>
      <c r="L345" s="18"/>
      <c r="M345" s="18"/>
      <c r="N345" s="18"/>
    </row>
    <row r="346" spans="4:14" ht="14.1" customHeight="1" x14ac:dyDescent="0.2">
      <c r="D346" s="18"/>
      <c r="E346" s="18"/>
      <c r="G346" s="18"/>
      <c r="H346" s="41"/>
      <c r="K346" s="18"/>
      <c r="L346" s="18"/>
      <c r="M346" s="18"/>
      <c r="N346" s="18"/>
    </row>
    <row r="347" spans="4:14" ht="14.1" customHeight="1" x14ac:dyDescent="0.2">
      <c r="D347" s="18"/>
      <c r="E347" s="18"/>
      <c r="G347" s="18"/>
      <c r="H347" s="41"/>
      <c r="K347" s="18"/>
      <c r="L347" s="18"/>
      <c r="M347" s="18"/>
      <c r="N347" s="18"/>
    </row>
    <row r="348" spans="4:14" ht="14.1" customHeight="1" x14ac:dyDescent="0.2">
      <c r="D348" s="18"/>
      <c r="E348" s="18"/>
      <c r="G348" s="18"/>
      <c r="H348" s="41"/>
      <c r="N348" s="18"/>
    </row>
    <row r="349" spans="4:14" ht="14.1" customHeight="1" x14ac:dyDescent="0.2">
      <c r="D349" s="18"/>
      <c r="E349" s="18"/>
      <c r="G349" s="18"/>
      <c r="H349" s="41"/>
      <c r="N349" s="18"/>
    </row>
    <row r="350" spans="4:14" ht="14.1" customHeight="1" x14ac:dyDescent="0.2">
      <c r="D350" s="18"/>
      <c r="E350" s="18"/>
      <c r="G350" s="18"/>
      <c r="H350" s="41"/>
      <c r="N350" s="18"/>
    </row>
    <row r="351" spans="4:14" ht="14.1" customHeight="1" x14ac:dyDescent="0.2">
      <c r="D351" s="18"/>
      <c r="E351" s="18"/>
      <c r="G351" s="18"/>
      <c r="H351" s="41"/>
      <c r="N351" s="18"/>
    </row>
    <row r="352" spans="4:14" ht="14.1" customHeight="1" x14ac:dyDescent="0.2">
      <c r="D352" s="18"/>
      <c r="E352" s="18"/>
      <c r="G352" s="18"/>
      <c r="H352" s="41"/>
      <c r="N352" s="18"/>
    </row>
    <row r="353" spans="4:8" ht="14.1" customHeight="1" x14ac:dyDescent="0.2">
      <c r="D353" s="18"/>
      <c r="E353" s="18"/>
      <c r="G353" s="18"/>
      <c r="H353" s="41"/>
    </row>
    <row r="354" spans="4:8" ht="14.1" customHeight="1" x14ac:dyDescent="0.2">
      <c r="D354" s="18"/>
      <c r="E354" s="18"/>
      <c r="G354" s="18"/>
      <c r="H354" s="41"/>
    </row>
    <row r="355" spans="4:8" ht="14.1" customHeight="1" x14ac:dyDescent="0.2">
      <c r="D355" s="18"/>
      <c r="E355" s="18"/>
      <c r="G355" s="18"/>
      <c r="H355" s="41"/>
    </row>
    <row r="356" spans="4:8" ht="14.1" customHeight="1" x14ac:dyDescent="0.2">
      <c r="D356" s="18"/>
      <c r="E356" s="18"/>
      <c r="G356" s="18"/>
      <c r="H356" s="41"/>
    </row>
    <row r="357" spans="4:8" ht="14.1" customHeight="1" x14ac:dyDescent="0.2">
      <c r="D357" s="18"/>
      <c r="E357" s="18"/>
      <c r="G357" s="18"/>
      <c r="H357" s="41"/>
    </row>
    <row r="358" spans="4:8" ht="14.1" customHeight="1" x14ac:dyDescent="0.2">
      <c r="D358" s="18"/>
      <c r="E358" s="18"/>
      <c r="G358" s="18"/>
      <c r="H358" s="41"/>
    </row>
    <row r="359" spans="4:8" ht="14.1" customHeight="1" x14ac:dyDescent="0.2">
      <c r="D359" s="18"/>
      <c r="E359" s="18"/>
      <c r="G359" s="18"/>
      <c r="H359" s="41"/>
    </row>
    <row r="360" spans="4:8" ht="14.1" customHeight="1" x14ac:dyDescent="0.2">
      <c r="D360" s="18"/>
      <c r="E360" s="18"/>
      <c r="G360" s="18"/>
      <c r="H360" s="41"/>
    </row>
    <row r="361" spans="4:8" ht="14.1" customHeight="1" x14ac:dyDescent="0.2">
      <c r="D361" s="18"/>
      <c r="E361" s="18"/>
      <c r="G361" s="18"/>
      <c r="H361" s="41"/>
    </row>
    <row r="362" spans="4:8" ht="14.1" customHeight="1" x14ac:dyDescent="0.2">
      <c r="D362" s="18"/>
      <c r="E362" s="18"/>
      <c r="G362" s="18"/>
      <c r="H362" s="41"/>
    </row>
    <row r="363" spans="4:8" ht="14.1" customHeight="1" x14ac:dyDescent="0.2">
      <c r="D363" s="18"/>
      <c r="E363" s="18"/>
      <c r="G363" s="18"/>
      <c r="H363" s="41"/>
    </row>
    <row r="364" spans="4:8" ht="14.1" customHeight="1" x14ac:dyDescent="0.2">
      <c r="D364" s="18"/>
      <c r="E364" s="18"/>
      <c r="G364" s="18"/>
      <c r="H364" s="41"/>
    </row>
    <row r="365" spans="4:8" ht="14.1" customHeight="1" x14ac:dyDescent="0.2">
      <c r="D365" s="18"/>
      <c r="E365" s="18"/>
      <c r="G365" s="18"/>
      <c r="H365" s="41"/>
    </row>
    <row r="366" spans="4:8" ht="14.1" customHeight="1" x14ac:dyDescent="0.2">
      <c r="D366" s="18"/>
      <c r="E366" s="18"/>
      <c r="G366" s="18"/>
      <c r="H366" s="41"/>
    </row>
    <row r="367" spans="4:8" ht="14.1" customHeight="1" x14ac:dyDescent="0.2">
      <c r="D367" s="18"/>
      <c r="E367" s="18"/>
      <c r="G367" s="18"/>
      <c r="H367" s="41"/>
    </row>
    <row r="368" spans="4:8" ht="14.1" customHeight="1" x14ac:dyDescent="0.2">
      <c r="D368" s="18"/>
      <c r="E368" s="18"/>
      <c r="G368" s="18"/>
      <c r="H368" s="41"/>
    </row>
    <row r="369" spans="4:8" ht="14.1" customHeight="1" x14ac:dyDescent="0.2">
      <c r="D369" s="18"/>
      <c r="E369" s="18"/>
      <c r="G369" s="18"/>
      <c r="H369" s="41"/>
    </row>
    <row r="370" spans="4:8" ht="14.1" customHeight="1" x14ac:dyDescent="0.2">
      <c r="D370" s="18"/>
      <c r="E370" s="18"/>
      <c r="G370" s="18"/>
      <c r="H370" s="41"/>
    </row>
    <row r="371" spans="4:8" ht="14.1" customHeight="1" x14ac:dyDescent="0.2">
      <c r="D371" s="18"/>
      <c r="E371" s="18"/>
      <c r="G371" s="18"/>
      <c r="H371" s="41"/>
    </row>
    <row r="372" spans="4:8" ht="14.1" customHeight="1" x14ac:dyDescent="0.2">
      <c r="D372" s="18"/>
      <c r="E372" s="18"/>
      <c r="G372" s="18"/>
    </row>
    <row r="373" spans="4:8" ht="14.1" customHeight="1" x14ac:dyDescent="0.2">
      <c r="D373" s="18"/>
      <c r="E373" s="18"/>
      <c r="G373" s="18"/>
    </row>
    <row r="374" spans="4:8" ht="14.1" customHeight="1" x14ac:dyDescent="0.2">
      <c r="D374" s="18"/>
      <c r="E374" s="18"/>
      <c r="G374" s="18"/>
    </row>
    <row r="375" spans="4:8" ht="14.1" customHeight="1" x14ac:dyDescent="0.2">
      <c r="D375" s="18"/>
      <c r="E375" s="18"/>
      <c r="G375" s="18"/>
    </row>
    <row r="376" spans="4:8" ht="14.1" customHeight="1" x14ac:dyDescent="0.2">
      <c r="D376" s="18"/>
      <c r="E376" s="18"/>
      <c r="G376" s="18"/>
    </row>
    <row r="377" spans="4:8" ht="14.1" customHeight="1" x14ac:dyDescent="0.2">
      <c r="D377" s="18"/>
      <c r="E377" s="18"/>
    </row>
    <row r="378" spans="4:8" ht="14.1" customHeight="1" x14ac:dyDescent="0.2">
      <c r="D378" s="18"/>
      <c r="E378" s="18"/>
    </row>
  </sheetData>
  <mergeCells count="30">
    <mergeCell ref="H8:H9"/>
    <mergeCell ref="B2:B3"/>
    <mergeCell ref="D5:D6"/>
    <mergeCell ref="C8:C9"/>
    <mergeCell ref="D8:F8"/>
    <mergeCell ref="G8:G9"/>
    <mergeCell ref="B84:B92"/>
    <mergeCell ref="A10:B10"/>
    <mergeCell ref="B14:B20"/>
    <mergeCell ref="A22:C22"/>
    <mergeCell ref="B42:B44"/>
    <mergeCell ref="B46:B48"/>
    <mergeCell ref="B50:B56"/>
    <mergeCell ref="B58:B64"/>
    <mergeCell ref="A66:C66"/>
    <mergeCell ref="B67:B69"/>
    <mergeCell ref="B71:B72"/>
    <mergeCell ref="B74:B82"/>
    <mergeCell ref="B94:B102"/>
    <mergeCell ref="A104:B104"/>
    <mergeCell ref="B105:B107"/>
    <mergeCell ref="B109:B113"/>
    <mergeCell ref="H110:H113"/>
    <mergeCell ref="J115:K115"/>
    <mergeCell ref="B116:B121"/>
    <mergeCell ref="I116:I122"/>
    <mergeCell ref="B123:B125"/>
    <mergeCell ref="B127:B130"/>
    <mergeCell ref="A115:B115"/>
    <mergeCell ref="G115:H115"/>
  </mergeCell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8"/>
  <sheetViews>
    <sheetView workbookViewId="0"/>
  </sheetViews>
  <sheetFormatPr defaultColWidth="10.85546875" defaultRowHeight="14.1" customHeight="1" x14ac:dyDescent="0.2"/>
  <cols>
    <col min="1" max="1" width="12.28515625" style="1" customWidth="1"/>
    <col min="2" max="2" width="18.85546875" style="1" customWidth="1"/>
    <col min="3" max="3" width="36.28515625" style="1" customWidth="1"/>
    <col min="4" max="4" width="16.28515625" style="1" customWidth="1"/>
    <col min="5" max="5" width="15.7109375" style="1" customWidth="1"/>
    <col min="6" max="6" width="14.28515625" style="1" customWidth="1"/>
    <col min="7" max="7" width="16" style="1" customWidth="1"/>
    <col min="8" max="8" width="60" style="48" customWidth="1"/>
    <col min="9" max="9" width="11.42578125" style="1" customWidth="1"/>
    <col min="10" max="12" width="10.85546875" style="1"/>
    <col min="13" max="14" width="10.85546875" style="1" customWidth="1"/>
    <col min="15" max="16384" width="10.85546875" style="1"/>
  </cols>
  <sheetData>
    <row r="1" spans="1:14" ht="14.1" customHeight="1" x14ac:dyDescent="0.2">
      <c r="K1" s="3"/>
    </row>
    <row r="2" spans="1:14" ht="14.1" customHeight="1" x14ac:dyDescent="0.2">
      <c r="B2" s="209" t="s">
        <v>101</v>
      </c>
      <c r="C2" s="63" t="s">
        <v>17</v>
      </c>
      <c r="D2" s="72">
        <f>D125</f>
        <v>55021.960281832056</v>
      </c>
      <c r="E2" s="72">
        <f>E125</f>
        <v>15808.490836357161</v>
      </c>
      <c r="F2" s="73">
        <f>F125</f>
        <v>3733.7325559739202</v>
      </c>
      <c r="K2" s="3"/>
    </row>
    <row r="3" spans="1:14" ht="14.1" customHeight="1" x14ac:dyDescent="0.2">
      <c r="B3" s="209"/>
      <c r="C3" s="64" t="s">
        <v>180</v>
      </c>
      <c r="D3" s="67">
        <f>D130</f>
        <v>0.37308012827703807</v>
      </c>
      <c r="E3" s="68">
        <f>E130</f>
        <v>1.2985173735110498</v>
      </c>
      <c r="F3" s="69">
        <f>F130</f>
        <v>5.4978763723063464</v>
      </c>
      <c r="K3" s="27"/>
      <c r="L3" s="27"/>
      <c r="M3" s="27"/>
      <c r="N3" s="27"/>
    </row>
    <row r="4" spans="1:14" ht="14.1" customHeight="1" x14ac:dyDescent="0.2">
      <c r="B4" s="190"/>
      <c r="C4" s="65" t="s">
        <v>182</v>
      </c>
      <c r="D4" s="70">
        <f>D128</f>
        <v>5.1106866887265498E-2</v>
      </c>
      <c r="E4" s="70">
        <f>E128</f>
        <v>0.17787909226178764</v>
      </c>
      <c r="F4" s="71">
        <f>F128</f>
        <v>0.75313374963100643</v>
      </c>
      <c r="K4" s="27"/>
      <c r="L4" s="27"/>
      <c r="M4" s="27"/>
      <c r="N4" s="27"/>
    </row>
    <row r="5" spans="1:14" ht="14.1" customHeight="1" x14ac:dyDescent="0.2">
      <c r="C5" s="24"/>
      <c r="D5" s="210" t="s">
        <v>102</v>
      </c>
      <c r="E5" s="52"/>
      <c r="F5" s="53"/>
      <c r="G5" s="2"/>
      <c r="H5" s="22" t="s">
        <v>100</v>
      </c>
      <c r="I5" s="25"/>
      <c r="J5" s="25"/>
      <c r="K5" s="5"/>
      <c r="L5" s="7"/>
      <c r="M5" s="7"/>
      <c r="N5" s="7"/>
    </row>
    <row r="6" spans="1:14" ht="14.1" customHeight="1" x14ac:dyDescent="0.2">
      <c r="C6" s="24"/>
      <c r="D6" s="210"/>
      <c r="E6" s="13"/>
      <c r="F6" s="14"/>
      <c r="G6" s="21"/>
      <c r="H6" s="23" t="s">
        <v>271</v>
      </c>
      <c r="I6" s="25"/>
      <c r="J6" s="25"/>
      <c r="K6" s="28"/>
      <c r="L6" s="7"/>
      <c r="M6" s="7"/>
      <c r="N6" s="7"/>
    </row>
    <row r="7" spans="1:14" ht="14.1" customHeight="1" x14ac:dyDescent="0.2">
      <c r="I7" s="25"/>
      <c r="K7" s="28"/>
      <c r="L7" s="7"/>
      <c r="M7" s="7"/>
      <c r="N7" s="7"/>
    </row>
    <row r="8" spans="1:14" ht="14.1" customHeight="1" x14ac:dyDescent="0.2">
      <c r="B8" s="3"/>
      <c r="C8" s="213" t="s">
        <v>7</v>
      </c>
      <c r="D8" s="213" t="s">
        <v>9</v>
      </c>
      <c r="E8" s="214"/>
      <c r="F8" s="215"/>
      <c r="G8" s="215" t="s">
        <v>1</v>
      </c>
      <c r="H8" s="211" t="s">
        <v>0</v>
      </c>
      <c r="K8" s="28"/>
      <c r="L8" s="7"/>
      <c r="M8" s="7"/>
      <c r="N8" s="7"/>
    </row>
    <row r="9" spans="1:14" ht="14.1" customHeight="1" x14ac:dyDescent="0.2">
      <c r="A9" s="46"/>
      <c r="B9" s="46"/>
      <c r="C9" s="216"/>
      <c r="D9" s="74" t="s">
        <v>80</v>
      </c>
      <c r="E9" s="75" t="s">
        <v>98</v>
      </c>
      <c r="F9" s="76" t="s">
        <v>99</v>
      </c>
      <c r="G9" s="217"/>
      <c r="H9" s="212"/>
      <c r="K9" s="28"/>
      <c r="L9" s="7"/>
      <c r="M9" s="7"/>
      <c r="N9" s="7"/>
    </row>
    <row r="10" spans="1:14" ht="14.1" customHeight="1" x14ac:dyDescent="0.2">
      <c r="A10" s="218" t="s">
        <v>194</v>
      </c>
      <c r="B10" s="218"/>
      <c r="C10" s="43"/>
      <c r="D10" s="44"/>
      <c r="E10" s="44"/>
      <c r="F10" s="44"/>
      <c r="G10" s="43"/>
      <c r="H10" s="45"/>
      <c r="K10" s="28"/>
      <c r="L10" s="7"/>
      <c r="M10" s="7"/>
      <c r="N10" s="7"/>
    </row>
    <row r="11" spans="1:14" ht="14.1" customHeight="1" x14ac:dyDescent="0.2">
      <c r="A11" s="191"/>
      <c r="B11" s="191"/>
      <c r="C11" s="25" t="s">
        <v>128</v>
      </c>
      <c r="D11" s="77">
        <v>4.2500000000000003E-2</v>
      </c>
      <c r="E11" s="77">
        <v>4.2500000000000003E-2</v>
      </c>
      <c r="F11" s="77">
        <v>4.2500000000000003E-2</v>
      </c>
      <c r="G11" s="37" t="s">
        <v>129</v>
      </c>
      <c r="H11" s="37" t="s">
        <v>181</v>
      </c>
      <c r="K11" s="28"/>
      <c r="L11" s="7"/>
      <c r="M11" s="7"/>
      <c r="N11" s="7"/>
    </row>
    <row r="12" spans="1:14" ht="14.1" customHeight="1" x14ac:dyDescent="0.2">
      <c r="A12" s="191"/>
      <c r="B12" s="191"/>
      <c r="C12" s="43"/>
      <c r="D12" s="195"/>
      <c r="E12" s="195"/>
      <c r="F12" s="195"/>
      <c r="G12" s="103"/>
      <c r="H12" s="103"/>
      <c r="I12" s="1" t="s">
        <v>92</v>
      </c>
      <c r="K12" s="28"/>
      <c r="L12" s="7"/>
      <c r="M12" s="7"/>
      <c r="N12" s="7"/>
    </row>
    <row r="13" spans="1:14" ht="14.1" customHeight="1" x14ac:dyDescent="0.2">
      <c r="A13" s="191" t="s">
        <v>210</v>
      </c>
      <c r="B13" s="191"/>
      <c r="C13" s="43"/>
      <c r="D13" s="195"/>
      <c r="E13" s="195"/>
      <c r="F13" s="195"/>
      <c r="G13" s="103"/>
      <c r="H13" s="103"/>
      <c r="K13" s="28"/>
      <c r="L13" s="7"/>
      <c r="M13" s="7"/>
      <c r="N13" s="7"/>
    </row>
    <row r="14" spans="1:14" ht="14.1" customHeight="1" x14ac:dyDescent="0.2">
      <c r="B14" s="206" t="s">
        <v>118</v>
      </c>
      <c r="C14" s="33" t="s">
        <v>18</v>
      </c>
      <c r="D14" s="81">
        <f>0.85*E14</f>
        <v>0.54400000000000004</v>
      </c>
      <c r="E14" s="82">
        <v>0.64</v>
      </c>
      <c r="F14" s="83">
        <f>1.15*E14</f>
        <v>0.73599999999999999</v>
      </c>
      <c r="G14" s="48" t="s">
        <v>138</v>
      </c>
      <c r="H14" s="188" t="s">
        <v>279</v>
      </c>
      <c r="K14" s="28"/>
      <c r="L14" s="7"/>
      <c r="M14" s="7"/>
      <c r="N14" s="7"/>
    </row>
    <row r="15" spans="1:14" ht="14.1" customHeight="1" x14ac:dyDescent="0.2">
      <c r="B15" s="206"/>
      <c r="C15" s="59" t="s">
        <v>273</v>
      </c>
      <c r="D15" s="32">
        <v>300</v>
      </c>
      <c r="E15" s="32">
        <f>D15</f>
        <v>300</v>
      </c>
      <c r="F15" s="32">
        <f>D15</f>
        <v>300</v>
      </c>
      <c r="G15" s="112" t="s">
        <v>276</v>
      </c>
      <c r="H15" s="112" t="s">
        <v>275</v>
      </c>
      <c r="K15" s="28"/>
      <c r="L15" s="7"/>
      <c r="M15" s="7"/>
      <c r="N15" s="7"/>
    </row>
    <row r="16" spans="1:14" ht="14.1" customHeight="1" x14ac:dyDescent="0.2">
      <c r="B16" s="206"/>
      <c r="C16" s="59" t="s">
        <v>284</v>
      </c>
      <c r="D16" s="184">
        <f>1000/D15</f>
        <v>3.3333333333333335</v>
      </c>
      <c r="E16" s="184">
        <f t="shared" ref="E16:F16" si="0">1000/E15</f>
        <v>3.3333333333333335</v>
      </c>
      <c r="F16" s="184">
        <f t="shared" si="0"/>
        <v>3.3333333333333335</v>
      </c>
      <c r="G16" s="112" t="s">
        <v>138</v>
      </c>
      <c r="H16" s="112" t="s">
        <v>286</v>
      </c>
      <c r="K16" s="28"/>
      <c r="L16" s="7"/>
      <c r="M16" s="7"/>
      <c r="N16" s="7"/>
    </row>
    <row r="17" spans="1:14" ht="14.1" customHeight="1" x14ac:dyDescent="0.2">
      <c r="B17" s="206"/>
      <c r="C17" s="59" t="s">
        <v>285</v>
      </c>
      <c r="D17" s="107">
        <f>10000/D15</f>
        <v>33.333333333333336</v>
      </c>
      <c r="E17" s="107">
        <f t="shared" ref="E17:F17" si="1">10000/E15</f>
        <v>33.333333333333336</v>
      </c>
      <c r="F17" s="107">
        <f t="shared" si="1"/>
        <v>33.333333333333336</v>
      </c>
      <c r="G17" s="112" t="s">
        <v>138</v>
      </c>
      <c r="H17" s="112" t="s">
        <v>274</v>
      </c>
      <c r="K17" s="28"/>
      <c r="L17" s="7"/>
      <c r="M17" s="7"/>
      <c r="N17" s="7"/>
    </row>
    <row r="18" spans="1:14" ht="14.1" customHeight="1" x14ac:dyDescent="0.2">
      <c r="B18" s="206"/>
      <c r="C18" s="59" t="s">
        <v>287</v>
      </c>
      <c r="D18" s="107">
        <f>D16/D14</f>
        <v>6.1274509803921564</v>
      </c>
      <c r="E18" s="107">
        <f t="shared" ref="E18:F18" si="2">E16/E14</f>
        <v>5.208333333333333</v>
      </c>
      <c r="F18" s="107">
        <f t="shared" si="2"/>
        <v>4.5289855072463769</v>
      </c>
      <c r="G18" s="48" t="s">
        <v>12</v>
      </c>
      <c r="K18" s="28"/>
      <c r="L18" s="7"/>
      <c r="M18" s="7"/>
      <c r="N18" s="7"/>
    </row>
    <row r="19" spans="1:14" ht="14.1" customHeight="1" x14ac:dyDescent="0.2">
      <c r="B19" s="206"/>
      <c r="C19" s="59" t="s">
        <v>288</v>
      </c>
      <c r="D19" s="185">
        <f>D17/D14</f>
        <v>61.274509803921568</v>
      </c>
      <c r="E19" s="185">
        <f t="shared" ref="E19:F19" si="3">E17/E14</f>
        <v>52.083333333333336</v>
      </c>
      <c r="F19" s="185">
        <f t="shared" si="3"/>
        <v>45.289855072463773</v>
      </c>
      <c r="G19" s="48" t="s">
        <v>12</v>
      </c>
      <c r="K19" s="28"/>
      <c r="L19" s="7"/>
      <c r="M19" s="7"/>
      <c r="N19" s="7"/>
    </row>
    <row r="20" spans="1:14" ht="14.1" customHeight="1" x14ac:dyDescent="0.2">
      <c r="B20" s="206"/>
      <c r="C20" s="196" t="s">
        <v>119</v>
      </c>
      <c r="D20" s="108">
        <f>D28*D19+D29*D16</f>
        <v>37113.039215686273</v>
      </c>
      <c r="E20" s="108">
        <f>E28*E19+E29*E16</f>
        <v>31754.583333333336</v>
      </c>
      <c r="F20" s="108">
        <f>F28*F19+F29*F16</f>
        <v>32702.89855072464</v>
      </c>
      <c r="G20" s="116" t="s">
        <v>12</v>
      </c>
      <c r="H20" s="48" t="s">
        <v>211</v>
      </c>
      <c r="K20" s="28"/>
      <c r="L20" s="7"/>
      <c r="M20" s="7"/>
      <c r="N20" s="7"/>
    </row>
    <row r="21" spans="1:14" ht="14.1" customHeight="1" x14ac:dyDescent="0.2">
      <c r="B21" s="187"/>
      <c r="C21" s="187"/>
      <c r="D21" s="187"/>
      <c r="E21" s="187"/>
      <c r="F21" s="187"/>
      <c r="G21" s="187"/>
      <c r="K21" s="28"/>
      <c r="L21" s="7"/>
      <c r="M21" s="7"/>
      <c r="N21" s="7"/>
    </row>
    <row r="22" spans="1:14" ht="14.1" customHeight="1" x14ac:dyDescent="0.2">
      <c r="A22" s="218" t="s">
        <v>151</v>
      </c>
      <c r="B22" s="218"/>
      <c r="C22" s="218"/>
      <c r="D22" s="61"/>
      <c r="E22" s="61"/>
      <c r="F22" s="61"/>
      <c r="G22" s="48"/>
      <c r="K22" s="28"/>
      <c r="L22" s="7"/>
      <c r="M22" s="7"/>
      <c r="N22" s="7"/>
    </row>
    <row r="23" spans="1:14" ht="14.1" customHeight="1" x14ac:dyDescent="0.2">
      <c r="B23" s="187" t="s">
        <v>5</v>
      </c>
      <c r="C23" s="33" t="s">
        <v>10</v>
      </c>
      <c r="D23" s="60">
        <v>1000</v>
      </c>
      <c r="E23" s="60">
        <v>1000</v>
      </c>
      <c r="F23" s="60">
        <v>1000</v>
      </c>
      <c r="G23" s="192" t="s">
        <v>11</v>
      </c>
      <c r="H23" s="48" t="s">
        <v>195</v>
      </c>
      <c r="K23" s="28"/>
      <c r="L23" s="7"/>
      <c r="M23" s="7"/>
      <c r="N23" s="7"/>
    </row>
    <row r="24" spans="1:14" ht="14.1" customHeight="1" x14ac:dyDescent="0.2">
      <c r="B24" s="187"/>
      <c r="C24" s="33" t="s">
        <v>300</v>
      </c>
      <c r="D24" s="81">
        <f>E24</f>
        <v>0.58299999999999996</v>
      </c>
      <c r="E24" s="179">
        <v>0.58299999999999996</v>
      </c>
      <c r="F24" s="83">
        <v>0.7</v>
      </c>
      <c r="G24" s="192"/>
      <c r="K24" s="28"/>
      <c r="L24" s="7"/>
      <c r="M24" s="7"/>
      <c r="N24" s="7"/>
    </row>
    <row r="25" spans="1:14" ht="14.1" customHeight="1" x14ac:dyDescent="0.2">
      <c r="B25" s="187"/>
      <c r="C25" s="59" t="s">
        <v>20</v>
      </c>
      <c r="D25" s="204">
        <v>1</v>
      </c>
      <c r="E25" s="204">
        <v>1</v>
      </c>
      <c r="F25" s="204">
        <v>1</v>
      </c>
      <c r="G25" s="48" t="s">
        <v>302</v>
      </c>
      <c r="H25" s="112" t="s">
        <v>134</v>
      </c>
      <c r="K25" s="28"/>
      <c r="L25" s="7"/>
      <c r="M25" s="7"/>
      <c r="N25" s="7"/>
    </row>
    <row r="26" spans="1:14" ht="14.1" customHeight="1" x14ac:dyDescent="0.2">
      <c r="B26" s="187"/>
      <c r="C26" s="59" t="s">
        <v>19</v>
      </c>
      <c r="D26" s="204">
        <v>1</v>
      </c>
      <c r="E26" s="204">
        <v>1</v>
      </c>
      <c r="F26" s="204">
        <v>1</v>
      </c>
      <c r="G26" s="48" t="s">
        <v>302</v>
      </c>
      <c r="H26" s="112" t="s">
        <v>303</v>
      </c>
      <c r="K26" s="28"/>
      <c r="L26" s="7"/>
      <c r="M26" s="7"/>
      <c r="N26" s="7"/>
    </row>
    <row r="27" spans="1:14" ht="14.1" customHeight="1" x14ac:dyDescent="0.2">
      <c r="B27" s="187"/>
      <c r="C27" s="33" t="s">
        <v>301</v>
      </c>
      <c r="D27" s="81">
        <f>D24*D25*D26</f>
        <v>0.58299999999999996</v>
      </c>
      <c r="E27" s="179">
        <f>E24*E25*E26</f>
        <v>0.58299999999999996</v>
      </c>
      <c r="F27" s="83">
        <f>F24*F25*F26</f>
        <v>0.7</v>
      </c>
      <c r="G27" s="188" t="s">
        <v>196</v>
      </c>
      <c r="H27" s="112" t="s">
        <v>278</v>
      </c>
      <c r="K27" s="28"/>
      <c r="L27" s="7"/>
      <c r="M27" s="7"/>
      <c r="N27" s="7"/>
    </row>
    <row r="28" spans="1:14" ht="14.1" customHeight="1" x14ac:dyDescent="0.2">
      <c r="B28" s="187"/>
      <c r="C28" s="33" t="s">
        <v>2</v>
      </c>
      <c r="D28" s="78">
        <f>D23*D27</f>
        <v>583</v>
      </c>
      <c r="E28" s="78">
        <f>E23*E27</f>
        <v>583</v>
      </c>
      <c r="F28" s="78">
        <f>F23*F27</f>
        <v>700</v>
      </c>
      <c r="G28" s="48" t="s">
        <v>12</v>
      </c>
      <c r="K28" s="28"/>
      <c r="L28" s="7"/>
      <c r="M28" s="7"/>
      <c r="N28" s="7"/>
    </row>
    <row r="29" spans="1:14" ht="14.1" customHeight="1" x14ac:dyDescent="0.2">
      <c r="B29" s="187"/>
      <c r="C29" s="33" t="s">
        <v>3</v>
      </c>
      <c r="D29" s="60">
        <f>D23-(D23*D27)</f>
        <v>417</v>
      </c>
      <c r="E29" s="60">
        <f>E23-(E23*E27)</f>
        <v>417</v>
      </c>
      <c r="F29" s="60">
        <f>F23-(F23*F27)</f>
        <v>300</v>
      </c>
      <c r="G29" s="48" t="s">
        <v>12</v>
      </c>
      <c r="K29" s="28"/>
      <c r="L29" s="7"/>
      <c r="M29" s="7"/>
      <c r="N29" s="7"/>
    </row>
    <row r="30" spans="1:14" ht="14.1" customHeight="1" x14ac:dyDescent="0.2">
      <c r="B30" s="187"/>
      <c r="C30" s="33"/>
      <c r="D30" s="60"/>
      <c r="E30" s="60"/>
      <c r="F30" s="60"/>
      <c r="G30" s="48"/>
      <c r="K30" s="28"/>
      <c r="L30" s="7"/>
      <c r="M30" s="7"/>
      <c r="N30" s="7"/>
    </row>
    <row r="31" spans="1:14" ht="14.1" customHeight="1" x14ac:dyDescent="0.2">
      <c r="B31" s="187"/>
      <c r="C31" s="33" t="s">
        <v>4</v>
      </c>
      <c r="D31" s="81">
        <v>4.1000000000000002E-2</v>
      </c>
      <c r="E31" s="82">
        <v>0.08</v>
      </c>
      <c r="F31" s="83">
        <v>0.18</v>
      </c>
      <c r="G31" s="48" t="s">
        <v>203</v>
      </c>
      <c r="H31" s="38" t="s">
        <v>202</v>
      </c>
      <c r="I31" s="1" t="s">
        <v>92</v>
      </c>
      <c r="K31" s="28"/>
      <c r="L31" s="7"/>
      <c r="M31" s="7"/>
      <c r="N31" s="7"/>
    </row>
    <row r="32" spans="1:14" ht="14.1" customHeight="1" x14ac:dyDescent="0.2">
      <c r="B32" s="187"/>
      <c r="C32" s="33" t="s">
        <v>91</v>
      </c>
      <c r="D32" s="80">
        <f>E32</f>
        <v>0.80503144654088055</v>
      </c>
      <c r="E32" s="80">
        <f>1-(4/318)/(20/310)</f>
        <v>0.80503144654088055</v>
      </c>
      <c r="F32" s="80">
        <f>E32</f>
        <v>0.80503144654088055</v>
      </c>
      <c r="G32" s="48" t="s">
        <v>88</v>
      </c>
      <c r="H32" s="38" t="s">
        <v>104</v>
      </c>
      <c r="K32" s="28"/>
      <c r="L32" s="7"/>
      <c r="M32" s="7"/>
      <c r="N32" s="7"/>
    </row>
    <row r="33" spans="2:14" ht="14.1" customHeight="1" x14ac:dyDescent="0.2">
      <c r="B33" s="187"/>
      <c r="C33" s="60" t="s">
        <v>20</v>
      </c>
      <c r="D33" s="81">
        <v>0.9</v>
      </c>
      <c r="E33" s="82">
        <v>0.9</v>
      </c>
      <c r="F33" s="83">
        <v>1</v>
      </c>
      <c r="G33" s="48" t="s">
        <v>89</v>
      </c>
      <c r="H33" s="188" t="s">
        <v>87</v>
      </c>
      <c r="I33" s="1" t="s">
        <v>92</v>
      </c>
      <c r="K33" s="28"/>
      <c r="L33" s="7"/>
      <c r="M33" s="7"/>
      <c r="N33" s="7"/>
    </row>
    <row r="34" spans="2:14" ht="14.1" customHeight="1" x14ac:dyDescent="0.2">
      <c r="B34" s="187"/>
      <c r="C34" s="60" t="s">
        <v>19</v>
      </c>
      <c r="D34" s="81">
        <v>0.5</v>
      </c>
      <c r="E34" s="82">
        <v>0.6</v>
      </c>
      <c r="F34" s="83">
        <v>0.8</v>
      </c>
      <c r="G34" s="48" t="s">
        <v>89</v>
      </c>
      <c r="H34" s="188" t="s">
        <v>90</v>
      </c>
      <c r="K34" s="28"/>
      <c r="L34" s="7"/>
      <c r="M34" s="7"/>
      <c r="N34" s="7"/>
    </row>
    <row r="35" spans="2:14" ht="14.1" customHeight="1" x14ac:dyDescent="0.2">
      <c r="B35" s="187"/>
      <c r="C35" s="33" t="s">
        <v>15</v>
      </c>
      <c r="D35" s="84">
        <f>D32*D34*D33</f>
        <v>0.36226415094339626</v>
      </c>
      <c r="E35" s="84">
        <f>E32*E34*E33</f>
        <v>0.43471698113207546</v>
      </c>
      <c r="F35" s="84">
        <f>F32*F34*F33</f>
        <v>0.64402515723270448</v>
      </c>
      <c r="G35" s="48" t="s">
        <v>12</v>
      </c>
      <c r="H35" s="188"/>
      <c r="K35" s="28"/>
      <c r="L35" s="7"/>
      <c r="M35" s="7"/>
      <c r="N35" s="7"/>
    </row>
    <row r="36" spans="2:14" ht="14.1" customHeight="1" x14ac:dyDescent="0.2">
      <c r="B36" s="187"/>
      <c r="C36" s="33" t="s">
        <v>93</v>
      </c>
      <c r="D36" s="84">
        <f>(1-D35)*D31</f>
        <v>2.6147169811320755E-2</v>
      </c>
      <c r="E36" s="84">
        <f>(1-E35)*E31</f>
        <v>4.5222641509433961E-2</v>
      </c>
      <c r="F36" s="84">
        <f>(1-F35)*F31</f>
        <v>6.4075471698113187E-2</v>
      </c>
      <c r="G36" s="48" t="s">
        <v>12</v>
      </c>
      <c r="H36" s="188" t="s">
        <v>94</v>
      </c>
      <c r="K36" s="28"/>
      <c r="L36" s="7"/>
      <c r="M36" s="7"/>
      <c r="N36" s="7"/>
    </row>
    <row r="37" spans="2:14" ht="14.1" customHeight="1" x14ac:dyDescent="0.2">
      <c r="B37" s="187"/>
      <c r="C37" s="33"/>
      <c r="D37" s="60"/>
      <c r="E37" s="60"/>
      <c r="F37" s="60"/>
      <c r="G37" s="48"/>
      <c r="K37" s="28"/>
      <c r="L37" s="7"/>
      <c r="M37" s="7"/>
      <c r="N37" s="7"/>
    </row>
    <row r="38" spans="2:14" ht="14.1" customHeight="1" x14ac:dyDescent="0.2">
      <c r="B38" s="187"/>
      <c r="C38" s="33" t="s">
        <v>95</v>
      </c>
      <c r="D38" s="85">
        <f>D28*D36</f>
        <v>15.2438</v>
      </c>
      <c r="E38" s="85">
        <f>E28*E36</f>
        <v>26.364799999999999</v>
      </c>
      <c r="F38" s="85">
        <f>F28*F36</f>
        <v>44.852830188679228</v>
      </c>
      <c r="G38" s="48" t="s">
        <v>12</v>
      </c>
      <c r="K38" s="28"/>
      <c r="L38" s="7"/>
      <c r="M38" s="7"/>
      <c r="N38" s="7"/>
    </row>
    <row r="39" spans="2:14" ht="14.1" customHeight="1" x14ac:dyDescent="0.2">
      <c r="B39" s="187"/>
      <c r="C39" s="33" t="s">
        <v>96</v>
      </c>
      <c r="D39" s="85">
        <f>D29*D31</f>
        <v>17.097000000000001</v>
      </c>
      <c r="E39" s="85">
        <f>E29*E31</f>
        <v>33.36</v>
      </c>
      <c r="F39" s="85">
        <f>F29*F31</f>
        <v>54</v>
      </c>
      <c r="G39" s="48" t="s">
        <v>12</v>
      </c>
      <c r="K39" s="28"/>
      <c r="L39" s="7"/>
      <c r="M39" s="7"/>
      <c r="N39" s="7"/>
    </row>
    <row r="40" spans="2:14" ht="14.1" customHeight="1" x14ac:dyDescent="0.2">
      <c r="B40" s="187"/>
      <c r="C40" s="33" t="s">
        <v>97</v>
      </c>
      <c r="D40" s="85">
        <f>D38+D39</f>
        <v>32.340800000000002</v>
      </c>
      <c r="E40" s="85">
        <f>E38+E39</f>
        <v>59.724800000000002</v>
      </c>
      <c r="F40" s="85">
        <f>F38+F39</f>
        <v>98.852830188679235</v>
      </c>
      <c r="G40" s="48" t="s">
        <v>12</v>
      </c>
      <c r="K40" s="28"/>
      <c r="L40" s="7"/>
      <c r="M40" s="7"/>
      <c r="N40" s="7"/>
    </row>
    <row r="41" spans="2:14" ht="14.1" customHeight="1" x14ac:dyDescent="0.2">
      <c r="C41" s="33"/>
      <c r="D41" s="60"/>
      <c r="E41" s="60"/>
      <c r="F41" s="60"/>
      <c r="G41" s="48"/>
      <c r="K41" s="28"/>
      <c r="L41" s="7"/>
      <c r="M41" s="7"/>
      <c r="N41" s="7"/>
    </row>
    <row r="42" spans="2:14" ht="14.1" customHeight="1" x14ac:dyDescent="0.2">
      <c r="B42" s="206" t="s">
        <v>8</v>
      </c>
      <c r="C42" s="33" t="s">
        <v>10</v>
      </c>
      <c r="D42" s="60">
        <f>D23</f>
        <v>1000</v>
      </c>
      <c r="E42" s="60">
        <f>E23</f>
        <v>1000</v>
      </c>
      <c r="F42" s="60">
        <f>F23</f>
        <v>1000</v>
      </c>
      <c r="G42" s="192" t="str">
        <f>G23</f>
        <v>-</v>
      </c>
      <c r="H42" s="48" t="str">
        <f>H23</f>
        <v>Cancels out later in the logic. Do not change.</v>
      </c>
      <c r="K42" s="28"/>
      <c r="L42" s="7"/>
      <c r="M42" s="7"/>
      <c r="N42" s="7"/>
    </row>
    <row r="43" spans="2:14" ht="14.1" customHeight="1" x14ac:dyDescent="0.2">
      <c r="B43" s="206"/>
      <c r="C43" s="33" t="s">
        <v>4</v>
      </c>
      <c r="D43" s="60">
        <f>D31</f>
        <v>4.1000000000000002E-2</v>
      </c>
      <c r="E43" s="60">
        <f>E31</f>
        <v>0.08</v>
      </c>
      <c r="F43" s="60">
        <f>F31</f>
        <v>0.18</v>
      </c>
      <c r="G43" s="48" t="s">
        <v>21</v>
      </c>
      <c r="H43" s="188"/>
      <c r="K43" s="28"/>
      <c r="L43" s="7"/>
      <c r="M43" s="7"/>
      <c r="N43" s="7"/>
    </row>
    <row r="44" spans="2:14" ht="14.1" customHeight="1" x14ac:dyDescent="0.2">
      <c r="B44" s="206"/>
      <c r="C44" s="33" t="s">
        <v>205</v>
      </c>
      <c r="D44" s="60">
        <f>D43*D42</f>
        <v>41</v>
      </c>
      <c r="E44" s="60">
        <f>E43*E42</f>
        <v>80</v>
      </c>
      <c r="F44" s="60">
        <f>F43*F42</f>
        <v>180</v>
      </c>
      <c r="G44" s="48" t="s">
        <v>12</v>
      </c>
      <c r="K44" s="28"/>
      <c r="L44" s="7"/>
      <c r="M44" s="7"/>
      <c r="N44" s="7"/>
    </row>
    <row r="45" spans="2:14" ht="14.1" customHeight="1" x14ac:dyDescent="0.2">
      <c r="C45" s="61"/>
      <c r="D45" s="60"/>
      <c r="E45" s="60"/>
      <c r="F45" s="60"/>
      <c r="G45" s="48"/>
      <c r="K45" s="28"/>
      <c r="L45" s="7"/>
      <c r="M45" s="7"/>
      <c r="N45" s="7"/>
    </row>
    <row r="46" spans="2:14" ht="14.1" customHeight="1" x14ac:dyDescent="0.2">
      <c r="B46" s="206" t="s">
        <v>13</v>
      </c>
      <c r="C46" s="61" t="s">
        <v>206</v>
      </c>
      <c r="D46" s="85">
        <f>D44-D40</f>
        <v>8.6591999999999985</v>
      </c>
      <c r="E46" s="85">
        <f>E44-E40</f>
        <v>20.275199999999998</v>
      </c>
      <c r="F46" s="85">
        <f>F44-F40</f>
        <v>81.147169811320765</v>
      </c>
      <c r="G46" s="48" t="s">
        <v>12</v>
      </c>
      <c r="H46" s="48" t="s">
        <v>213</v>
      </c>
      <c r="K46" s="28"/>
      <c r="L46" s="7"/>
      <c r="M46" s="7"/>
      <c r="N46" s="7"/>
    </row>
    <row r="47" spans="2:14" ht="14.1" customHeight="1" x14ac:dyDescent="0.2">
      <c r="B47" s="206"/>
      <c r="C47" s="33" t="s">
        <v>16</v>
      </c>
      <c r="D47" s="86">
        <v>0.05</v>
      </c>
      <c r="E47" s="86">
        <v>0.05</v>
      </c>
      <c r="F47" s="79">
        <v>0.1</v>
      </c>
      <c r="G47" s="48" t="s">
        <v>209</v>
      </c>
      <c r="H47" s="112" t="s">
        <v>292</v>
      </c>
      <c r="K47" s="28"/>
      <c r="L47" s="7"/>
      <c r="M47" s="7"/>
      <c r="N47" s="7"/>
    </row>
    <row r="48" spans="2:14" ht="14.1" customHeight="1" x14ac:dyDescent="0.2">
      <c r="B48" s="206"/>
      <c r="C48" s="124" t="s">
        <v>120</v>
      </c>
      <c r="D48" s="125">
        <f>D46*D47</f>
        <v>0.43295999999999996</v>
      </c>
      <c r="E48" s="125">
        <f t="shared" ref="E48:F48" si="4">E46*E47</f>
        <v>1.01376</v>
      </c>
      <c r="F48" s="125">
        <f t="shared" si="4"/>
        <v>8.1147169811320765</v>
      </c>
      <c r="G48" s="188" t="s">
        <v>12</v>
      </c>
      <c r="K48" s="28"/>
      <c r="L48" s="7"/>
      <c r="M48" s="7"/>
      <c r="N48" s="7"/>
    </row>
    <row r="49" spans="2:14" ht="14.1" customHeight="1" x14ac:dyDescent="0.2">
      <c r="C49" s="61"/>
      <c r="D49" s="87"/>
      <c r="E49" s="87"/>
      <c r="F49" s="61"/>
      <c r="G49" s="48"/>
      <c r="K49" s="28"/>
      <c r="L49" s="7"/>
      <c r="M49" s="7"/>
      <c r="N49" s="7"/>
    </row>
    <row r="50" spans="2:14" ht="14.1" customHeight="1" x14ac:dyDescent="0.2">
      <c r="B50" s="206" t="s">
        <v>219</v>
      </c>
      <c r="C50" s="45" t="s">
        <v>103</v>
      </c>
      <c r="D50" s="109">
        <f>D20/D48</f>
        <v>85719.325609031497</v>
      </c>
      <c r="E50" s="109">
        <f>E20/E48</f>
        <v>31323.570996422561</v>
      </c>
      <c r="F50" s="109">
        <f>F20/F48</f>
        <v>4030.0725985593508</v>
      </c>
      <c r="G50" s="37" t="s">
        <v>12</v>
      </c>
      <c r="H50" s="37" t="s">
        <v>212</v>
      </c>
      <c r="K50" s="28"/>
      <c r="L50" s="7"/>
      <c r="M50" s="7"/>
      <c r="N50" s="7"/>
    </row>
    <row r="51" spans="2:14" ht="14.1" customHeight="1" x14ac:dyDescent="0.2">
      <c r="B51" s="206"/>
      <c r="C51" s="61"/>
      <c r="D51" s="88"/>
      <c r="E51" s="61"/>
      <c r="F51" s="61"/>
      <c r="G51" s="48"/>
    </row>
    <row r="52" spans="2:14" ht="14.1" customHeight="1" x14ac:dyDescent="0.2">
      <c r="B52" s="206"/>
      <c r="C52" s="62" t="s">
        <v>108</v>
      </c>
      <c r="D52" s="67">
        <v>0.6</v>
      </c>
      <c r="E52" s="67">
        <v>0.6</v>
      </c>
      <c r="F52" s="67">
        <v>0.6</v>
      </c>
      <c r="G52" s="38" t="s">
        <v>110</v>
      </c>
      <c r="H52" s="131" t="s">
        <v>124</v>
      </c>
    </row>
    <row r="53" spans="2:14" ht="14.1" customHeight="1" x14ac:dyDescent="0.2">
      <c r="B53" s="206"/>
      <c r="C53" s="62" t="s">
        <v>109</v>
      </c>
      <c r="D53" s="67">
        <v>0.09</v>
      </c>
      <c r="E53" s="67">
        <v>0.09</v>
      </c>
      <c r="F53" s="67">
        <v>0.09</v>
      </c>
      <c r="G53" s="38" t="s">
        <v>110</v>
      </c>
      <c r="H53" s="137"/>
    </row>
    <row r="54" spans="2:14" ht="14.1" customHeight="1" x14ac:dyDescent="0.2">
      <c r="B54" s="206"/>
      <c r="C54" s="62" t="s">
        <v>111</v>
      </c>
      <c r="D54" s="67">
        <f>D52-D53</f>
        <v>0.51</v>
      </c>
      <c r="E54" s="67">
        <f>E52-E53</f>
        <v>0.51</v>
      </c>
      <c r="F54" s="67">
        <f>F52-F53</f>
        <v>0.51</v>
      </c>
      <c r="G54" s="38" t="s">
        <v>12</v>
      </c>
      <c r="H54" s="137"/>
    </row>
    <row r="55" spans="2:14" ht="14.1" customHeight="1" x14ac:dyDescent="0.2">
      <c r="B55" s="206"/>
      <c r="C55" s="38" t="s">
        <v>218</v>
      </c>
      <c r="D55" s="67">
        <f>D48*D54</f>
        <v>0.22080959999999999</v>
      </c>
      <c r="E55" s="67">
        <f>E48*E54</f>
        <v>0.51701759999999997</v>
      </c>
      <c r="F55" s="67">
        <f>F48*F54</f>
        <v>4.1385056603773593</v>
      </c>
      <c r="G55" s="38" t="s">
        <v>12</v>
      </c>
      <c r="H55" s="137"/>
    </row>
    <row r="56" spans="2:14" ht="14.1" customHeight="1" x14ac:dyDescent="0.2">
      <c r="B56" s="206"/>
      <c r="C56" s="138" t="s">
        <v>112</v>
      </c>
      <c r="D56" s="139">
        <f>D20/D55</f>
        <v>168077.10903731664</v>
      </c>
      <c r="E56" s="139">
        <f>E20/E55</f>
        <v>61418.766659652087</v>
      </c>
      <c r="F56" s="139">
        <f>F20/F55</f>
        <v>7902.1031344300991</v>
      </c>
      <c r="G56" s="38" t="s">
        <v>12</v>
      </c>
      <c r="H56" s="131" t="s">
        <v>123</v>
      </c>
      <c r="I56" s="34"/>
    </row>
    <row r="57" spans="2:14" ht="14.1" customHeight="1" x14ac:dyDescent="0.2">
      <c r="B57" s="187"/>
      <c r="C57" s="61"/>
      <c r="D57" s="61"/>
      <c r="E57" s="61"/>
      <c r="F57" s="61"/>
      <c r="G57" s="48"/>
      <c r="H57" s="20"/>
      <c r="I57" s="42"/>
    </row>
    <row r="58" spans="2:14" ht="14.1" customHeight="1" x14ac:dyDescent="0.2">
      <c r="B58" s="224" t="s">
        <v>186</v>
      </c>
      <c r="C58" s="128" t="s">
        <v>113</v>
      </c>
      <c r="D58" s="129">
        <f>1-D52</f>
        <v>0.4</v>
      </c>
      <c r="E58" s="129">
        <f>1-E52</f>
        <v>0.4</v>
      </c>
      <c r="F58" s="129">
        <f>1-F52</f>
        <v>0.4</v>
      </c>
      <c r="G58" s="188" t="s">
        <v>114</v>
      </c>
      <c r="H58" s="130" t="s">
        <v>131</v>
      </c>
    </row>
    <row r="59" spans="2:14" ht="14.1" customHeight="1" x14ac:dyDescent="0.2">
      <c r="B59" s="224"/>
      <c r="C59" s="131" t="s">
        <v>132</v>
      </c>
      <c r="D59" s="49">
        <f>$G$122</f>
        <v>15</v>
      </c>
      <c r="E59" s="49">
        <f>$G$122</f>
        <v>15</v>
      </c>
      <c r="F59" s="49">
        <f>$G$122</f>
        <v>15</v>
      </c>
      <c r="G59" s="130" t="s">
        <v>221</v>
      </c>
      <c r="H59" s="130" t="s">
        <v>222</v>
      </c>
    </row>
    <row r="60" spans="2:14" ht="14.1" customHeight="1" x14ac:dyDescent="0.2">
      <c r="B60" s="224"/>
      <c r="C60" s="133" t="s">
        <v>116</v>
      </c>
      <c r="D60" s="81">
        <v>5.2999999999999999E-2</v>
      </c>
      <c r="E60" s="82">
        <v>5.2999999999999999E-2</v>
      </c>
      <c r="F60" s="83">
        <v>0.221</v>
      </c>
      <c r="G60" s="130" t="s">
        <v>117</v>
      </c>
      <c r="H60" s="130" t="s">
        <v>127</v>
      </c>
    </row>
    <row r="61" spans="2:14" ht="14.1" customHeight="1" x14ac:dyDescent="0.2">
      <c r="B61" s="224"/>
      <c r="C61" s="131" t="s">
        <v>220</v>
      </c>
      <c r="D61" s="134">
        <f>D58*D59*D60</f>
        <v>0.318</v>
      </c>
      <c r="E61" s="134">
        <f>E58*E59*E60</f>
        <v>0.318</v>
      </c>
      <c r="F61" s="134">
        <f>F58*F59*F60</f>
        <v>1.3260000000000001</v>
      </c>
      <c r="G61" s="188" t="s">
        <v>12</v>
      </c>
      <c r="H61" s="188" t="s">
        <v>226</v>
      </c>
    </row>
    <row r="62" spans="2:14" ht="14.1" customHeight="1" x14ac:dyDescent="0.2">
      <c r="B62" s="224"/>
      <c r="C62" s="131" t="s">
        <v>130</v>
      </c>
      <c r="D62" s="134" t="s">
        <v>125</v>
      </c>
      <c r="E62" s="134" t="s">
        <v>125</v>
      </c>
      <c r="F62" s="134" t="s">
        <v>125</v>
      </c>
      <c r="G62" s="188" t="s">
        <v>12</v>
      </c>
      <c r="H62" s="188" t="s">
        <v>126</v>
      </c>
    </row>
    <row r="63" spans="2:14" ht="14.1" customHeight="1" x14ac:dyDescent="0.2">
      <c r="B63" s="224"/>
      <c r="C63" s="133" t="s">
        <v>166</v>
      </c>
      <c r="D63" s="132">
        <f>D48*D61</f>
        <v>0.13768127999999999</v>
      </c>
      <c r="E63" s="132">
        <f>E48*E61</f>
        <v>0.32237568</v>
      </c>
      <c r="F63" s="132">
        <f>F48*F61</f>
        <v>10.760114716981134</v>
      </c>
      <c r="G63" s="188" t="s">
        <v>12</v>
      </c>
      <c r="H63" s="188"/>
    </row>
    <row r="64" spans="2:14" ht="14.1" customHeight="1" x14ac:dyDescent="0.2">
      <c r="B64" s="224"/>
      <c r="C64" s="135" t="s">
        <v>115</v>
      </c>
      <c r="D64" s="136">
        <f>D50/D61</f>
        <v>269557.62770135689</v>
      </c>
      <c r="E64" s="136">
        <f>E50/E61</f>
        <v>98501.795586234468</v>
      </c>
      <c r="F64" s="136">
        <f>F50/F61</f>
        <v>3039.2704363192688</v>
      </c>
      <c r="G64" s="188" t="s">
        <v>12</v>
      </c>
      <c r="H64" s="188" t="s">
        <v>133</v>
      </c>
    </row>
    <row r="65" spans="1:9" ht="14.1" customHeight="1" x14ac:dyDescent="0.2">
      <c r="D65" s="61"/>
      <c r="E65" s="61"/>
      <c r="F65" s="61"/>
      <c r="G65" s="48"/>
    </row>
    <row r="66" spans="1:9" ht="14.1" customHeight="1" x14ac:dyDescent="0.2">
      <c r="A66" s="225" t="s">
        <v>150</v>
      </c>
      <c r="B66" s="225"/>
      <c r="C66" s="225"/>
      <c r="D66" s="61"/>
      <c r="E66" s="61"/>
      <c r="F66" s="61"/>
      <c r="G66" s="48"/>
    </row>
    <row r="67" spans="1:9" ht="14.1" customHeight="1" x14ac:dyDescent="0.2">
      <c r="A67" s="30"/>
      <c r="B67" s="226" t="s">
        <v>5</v>
      </c>
      <c r="C67" s="25" t="str">
        <f>C27</f>
        <v>Retention rate to delivery (adjusted)</v>
      </c>
      <c r="D67" s="89">
        <f>D27</f>
        <v>0.58299999999999996</v>
      </c>
      <c r="E67" s="89">
        <f>E27</f>
        <v>0.58299999999999996</v>
      </c>
      <c r="F67" s="89">
        <f>F27</f>
        <v>0.7</v>
      </c>
      <c r="G67" s="37" t="str">
        <f>G27</f>
        <v>"Summary of Key Program Statistics" New Incentives workbook, accessed 2016-23-08.</v>
      </c>
      <c r="H67" s="37" t="s">
        <v>137</v>
      </c>
    </row>
    <row r="68" spans="1:9" ht="14.1" customHeight="1" x14ac:dyDescent="0.2">
      <c r="A68" s="30"/>
      <c r="B68" s="226"/>
      <c r="C68" s="38" t="s">
        <v>227</v>
      </c>
      <c r="D68" s="96">
        <v>0</v>
      </c>
      <c r="E68" s="97">
        <v>0.08</v>
      </c>
      <c r="F68" s="98">
        <v>0.15</v>
      </c>
      <c r="G68" s="188" t="s">
        <v>138</v>
      </c>
      <c r="H68" s="38" t="s">
        <v>139</v>
      </c>
    </row>
    <row r="69" spans="1:9" ht="14.1" customHeight="1" x14ac:dyDescent="0.2">
      <c r="A69" s="30"/>
      <c r="B69" s="226"/>
      <c r="C69" s="62" t="s">
        <v>73</v>
      </c>
      <c r="D69" s="92">
        <f>(D67*1)+(1-D67)*D68</f>
        <v>0.58299999999999996</v>
      </c>
      <c r="E69" s="92">
        <f>(E67*1)+(1-E67)*E68</f>
        <v>0.61636000000000002</v>
      </c>
      <c r="F69" s="92">
        <f>(F67*1)+(1-F67)*F68</f>
        <v>0.745</v>
      </c>
      <c r="G69" s="38" t="s">
        <v>12</v>
      </c>
      <c r="H69" s="141"/>
    </row>
    <row r="70" spans="1:9" ht="14.1" customHeight="1" x14ac:dyDescent="0.2">
      <c r="C70" s="33"/>
      <c r="D70" s="61"/>
      <c r="E70" s="61"/>
      <c r="F70" s="61"/>
      <c r="G70" s="48"/>
    </row>
    <row r="71" spans="1:9" ht="14.1" customHeight="1" x14ac:dyDescent="0.2">
      <c r="A71" s="30"/>
      <c r="B71" s="226" t="s">
        <v>8</v>
      </c>
      <c r="C71" s="25" t="s">
        <v>72</v>
      </c>
      <c r="D71" s="90">
        <v>0.35</v>
      </c>
      <c r="E71" s="180">
        <v>0.27</v>
      </c>
      <c r="F71" s="90">
        <v>0.2</v>
      </c>
      <c r="G71" s="37" t="s">
        <v>229</v>
      </c>
      <c r="H71" s="35" t="s">
        <v>281</v>
      </c>
    </row>
    <row r="72" spans="1:9" ht="14.1" customHeight="1" x14ac:dyDescent="0.2">
      <c r="A72" s="30"/>
      <c r="B72" s="226"/>
      <c r="C72" s="38" t="s">
        <v>136</v>
      </c>
      <c r="D72" s="92">
        <f>(D71-(1-D67)*D68)/D67</f>
        <v>0.60034305317324188</v>
      </c>
      <c r="E72" s="92">
        <f>(E71-(1-E67)*E68)/E67</f>
        <v>0.4059005145797599</v>
      </c>
      <c r="F72" s="92">
        <f>(F71-(1-F67)*F68)/F67</f>
        <v>0.22142857142857145</v>
      </c>
      <c r="G72" s="38" t="s">
        <v>74</v>
      </c>
      <c r="H72" s="154" t="str">
        <f>CONCATENATE("This implies that the program increases FD by ",TEXT((E69-E72)/E72,"0%")," (",TEXT((E69-E72)*100,"0")," percentage points) for women retained.")</f>
        <v>This implies that the program increases FD by 52% (21 percentage points) for women retained.</v>
      </c>
    </row>
    <row r="73" spans="1:9" ht="14.1" customHeight="1" x14ac:dyDescent="0.2">
      <c r="C73" s="33"/>
      <c r="D73" s="61"/>
      <c r="E73" s="61"/>
      <c r="F73" s="61"/>
      <c r="G73" s="48"/>
    </row>
    <row r="74" spans="1:9" ht="14.1" customHeight="1" x14ac:dyDescent="0.2">
      <c r="B74" s="206" t="s">
        <v>39</v>
      </c>
      <c r="C74" s="62" t="s">
        <v>149</v>
      </c>
      <c r="D74" s="167">
        <v>3.9E-2</v>
      </c>
      <c r="E74" s="167">
        <v>3.9E-2</v>
      </c>
      <c r="F74" s="167">
        <v>3.9E-2</v>
      </c>
      <c r="G74" s="38" t="s">
        <v>45</v>
      </c>
      <c r="H74" s="35" t="s">
        <v>280</v>
      </c>
      <c r="I74" s="29"/>
    </row>
    <row r="75" spans="1:9" ht="14.1" customHeight="1" x14ac:dyDescent="0.2">
      <c r="B75" s="206"/>
      <c r="C75" s="37" t="s">
        <v>230</v>
      </c>
      <c r="D75" s="96">
        <v>0.1</v>
      </c>
      <c r="E75" s="97">
        <v>0.4</v>
      </c>
      <c r="F75" s="98">
        <v>0.45</v>
      </c>
      <c r="G75" s="38" t="s">
        <v>184</v>
      </c>
      <c r="H75" s="38" t="s">
        <v>183</v>
      </c>
    </row>
    <row r="76" spans="1:9" ht="14.1" customHeight="1" x14ac:dyDescent="0.2">
      <c r="A76" s="194"/>
      <c r="B76" s="206"/>
      <c r="C76" s="25" t="s">
        <v>20</v>
      </c>
      <c r="D76" s="205">
        <v>0.8</v>
      </c>
      <c r="E76" s="205">
        <v>0.8</v>
      </c>
      <c r="F76" s="205">
        <v>0.8</v>
      </c>
      <c r="G76" s="37" t="s">
        <v>236</v>
      </c>
      <c r="H76" s="35" t="s">
        <v>293</v>
      </c>
    </row>
    <row r="77" spans="1:9" ht="14.1" customHeight="1" x14ac:dyDescent="0.2">
      <c r="A77" s="194"/>
      <c r="B77" s="206"/>
      <c r="C77" s="25" t="s">
        <v>19</v>
      </c>
      <c r="D77" s="205">
        <v>0.15</v>
      </c>
      <c r="E77" s="205">
        <v>0.15</v>
      </c>
      <c r="F77" s="205">
        <v>0.15</v>
      </c>
      <c r="G77" s="37" t="s">
        <v>63</v>
      </c>
      <c r="H77" s="35" t="s">
        <v>294</v>
      </c>
    </row>
    <row r="78" spans="1:9" ht="14.1" customHeight="1" x14ac:dyDescent="0.2">
      <c r="A78" s="30"/>
      <c r="B78" s="206"/>
      <c r="C78" s="62" t="s">
        <v>140</v>
      </c>
      <c r="D78" s="91">
        <f>D74/(1-D$71*D75)</f>
        <v>4.0414507772020727E-2</v>
      </c>
      <c r="E78" s="91">
        <f>E74/(1-E$71*E75)</f>
        <v>4.3721973094170405E-2</v>
      </c>
      <c r="F78" s="91">
        <f>F74/(1-F$71*F75)</f>
        <v>4.2857142857142858E-2</v>
      </c>
      <c r="G78" s="37" t="s">
        <v>12</v>
      </c>
      <c r="H78" s="110" t="s">
        <v>237</v>
      </c>
    </row>
    <row r="79" spans="1:9" ht="14.1" customHeight="1" x14ac:dyDescent="0.2">
      <c r="A79" s="30"/>
      <c r="B79" s="206"/>
      <c r="C79" s="62" t="s">
        <v>141</v>
      </c>
      <c r="D79" s="91">
        <f>D78*(1-D75)</f>
        <v>3.6373056994818659E-2</v>
      </c>
      <c r="E79" s="91">
        <f>E78*(1-E75)</f>
        <v>2.6233183856502241E-2</v>
      </c>
      <c r="F79" s="91">
        <f>F78*(1-F75)</f>
        <v>2.3571428571428573E-2</v>
      </c>
      <c r="G79" s="37" t="s">
        <v>12</v>
      </c>
      <c r="H79" s="37"/>
    </row>
    <row r="80" spans="1:9" ht="14.1" customHeight="1" x14ac:dyDescent="0.2">
      <c r="A80" s="30"/>
      <c r="B80" s="206"/>
      <c r="C80" s="62" t="s">
        <v>62</v>
      </c>
      <c r="D80" s="93">
        <f>(D$69*D79)+(1-D$69)*D78</f>
        <v>3.8058341968911918E-2</v>
      </c>
      <c r="E80" s="93">
        <f>(E$69*E79)+(1-E$69)*E78</f>
        <v>3.2942582959641253E-2</v>
      </c>
      <c r="F80" s="93">
        <f>(F$69*F79)+(1-F$69)*F78</f>
        <v>2.8489285714285717E-2</v>
      </c>
      <c r="G80" s="37" t="s">
        <v>12</v>
      </c>
      <c r="H80" s="37"/>
    </row>
    <row r="81" spans="1:8" ht="14.1" customHeight="1" x14ac:dyDescent="0.2">
      <c r="A81" s="30"/>
      <c r="B81" s="206"/>
      <c r="C81" s="62" t="s">
        <v>143</v>
      </c>
      <c r="D81" s="66">
        <f>((D74*1000)-(D80*1000))*D76*D77</f>
        <v>0.11299896373056981</v>
      </c>
      <c r="E81" s="66">
        <f>((E74*1000)-(E80*1000))*E76*E77</f>
        <v>0.7268900448430492</v>
      </c>
      <c r="F81" s="66">
        <f>((F74*1000)-(F80*1000))*F76*F77</f>
        <v>1.2612857142857139</v>
      </c>
      <c r="G81" s="38" t="s">
        <v>12</v>
      </c>
      <c r="H81" s="38" t="s">
        <v>144</v>
      </c>
    </row>
    <row r="82" spans="1:8" ht="14.1" customHeight="1" x14ac:dyDescent="0.2">
      <c r="A82" s="30"/>
      <c r="B82" s="206"/>
      <c r="C82" s="196" t="s">
        <v>142</v>
      </c>
      <c r="D82" s="161">
        <f>D20/D81</f>
        <v>328436.98729996424</v>
      </c>
      <c r="E82" s="161">
        <f>E20/E81</f>
        <v>43685.538904566805</v>
      </c>
      <c r="F82" s="161">
        <f>F20/F81</f>
        <v>25928.224018017052</v>
      </c>
      <c r="G82" s="162"/>
      <c r="H82" s="38"/>
    </row>
    <row r="83" spans="1:8" ht="14.1" customHeight="1" x14ac:dyDescent="0.2">
      <c r="A83" s="30"/>
      <c r="C83" s="194"/>
      <c r="D83" s="94"/>
      <c r="E83" s="94"/>
      <c r="F83" s="95"/>
      <c r="G83" s="103"/>
      <c r="H83" s="37"/>
    </row>
    <row r="84" spans="1:8" ht="14.1" customHeight="1" x14ac:dyDescent="0.2">
      <c r="A84" s="30"/>
      <c r="B84" s="224" t="s">
        <v>147</v>
      </c>
      <c r="C84" s="62" t="s">
        <v>148</v>
      </c>
      <c r="D84" s="167">
        <f t="shared" ref="D84:E84" si="5">58/6059</f>
        <v>9.5725367222313906E-3</v>
      </c>
      <c r="E84" s="167">
        <f t="shared" si="5"/>
        <v>9.5725367222313906E-3</v>
      </c>
      <c r="F84" s="167">
        <f>58/6059</f>
        <v>9.5725367222313906E-3</v>
      </c>
      <c r="G84" s="38" t="s">
        <v>243</v>
      </c>
      <c r="H84" s="35" t="s">
        <v>282</v>
      </c>
    </row>
    <row r="85" spans="1:8" ht="14.1" customHeight="1" x14ac:dyDescent="0.2">
      <c r="A85" s="30"/>
      <c r="B85" s="224"/>
      <c r="C85" s="38" t="s">
        <v>238</v>
      </c>
      <c r="D85" s="96">
        <v>0.1</v>
      </c>
      <c r="E85" s="97">
        <v>0.31</v>
      </c>
      <c r="F85" s="98">
        <v>0.45</v>
      </c>
      <c r="G85" s="38" t="s">
        <v>155</v>
      </c>
      <c r="H85" s="38" t="s">
        <v>156</v>
      </c>
    </row>
    <row r="86" spans="1:8" ht="14.1" customHeight="1" x14ac:dyDescent="0.2">
      <c r="A86" s="30"/>
      <c r="B86" s="224"/>
      <c r="C86" s="62" t="s">
        <v>20</v>
      </c>
      <c r="D86" s="96">
        <v>0.5</v>
      </c>
      <c r="E86" s="97">
        <v>0.6</v>
      </c>
      <c r="F86" s="98">
        <v>0.6</v>
      </c>
      <c r="G86" s="38" t="s">
        <v>152</v>
      </c>
      <c r="H86" s="38" t="s">
        <v>134</v>
      </c>
    </row>
    <row r="87" spans="1:8" ht="14.1" customHeight="1" x14ac:dyDescent="0.2">
      <c r="A87" s="30"/>
      <c r="B87" s="224"/>
      <c r="C87" s="62" t="s">
        <v>19</v>
      </c>
      <c r="D87" s="96">
        <v>0.5</v>
      </c>
      <c r="E87" s="97">
        <v>0.7</v>
      </c>
      <c r="F87" s="98">
        <v>0.7</v>
      </c>
      <c r="G87" s="38" t="s">
        <v>153</v>
      </c>
      <c r="H87" s="38" t="s">
        <v>135</v>
      </c>
    </row>
    <row r="88" spans="1:8" ht="14.1" customHeight="1" x14ac:dyDescent="0.2">
      <c r="A88" s="30"/>
      <c r="B88" s="224"/>
      <c r="C88" s="62" t="s">
        <v>157</v>
      </c>
      <c r="D88" s="91">
        <f>D84/(1-D$71*D85)</f>
        <v>9.9197271732967777E-3</v>
      </c>
      <c r="E88" s="91">
        <f>E84/(1-E$71*E85)</f>
        <v>1.044694611178805E-2</v>
      </c>
      <c r="F88" s="91">
        <f>F84/(1-F$71*F85)</f>
        <v>1.0519271123331198E-2</v>
      </c>
      <c r="G88" s="38" t="s">
        <v>12</v>
      </c>
      <c r="H88" s="38" t="s">
        <v>248</v>
      </c>
    </row>
    <row r="89" spans="1:8" ht="14.1" customHeight="1" x14ac:dyDescent="0.2">
      <c r="A89" s="30"/>
      <c r="B89" s="224"/>
      <c r="C89" s="62" t="s">
        <v>158</v>
      </c>
      <c r="D89" s="91">
        <f>D88*(1-D85)</f>
        <v>8.9277544559671004E-3</v>
      </c>
      <c r="E89" s="91">
        <f>E88*(1-E85)</f>
        <v>7.208392817133754E-3</v>
      </c>
      <c r="F89" s="91">
        <f>F88*(1-F85)</f>
        <v>5.7855991178321596E-3</v>
      </c>
      <c r="G89" s="38" t="s">
        <v>12</v>
      </c>
      <c r="H89" s="38"/>
    </row>
    <row r="90" spans="1:8" ht="14.1" customHeight="1" x14ac:dyDescent="0.2">
      <c r="A90" s="30"/>
      <c r="B90" s="224"/>
      <c r="C90" s="62" t="s">
        <v>159</v>
      </c>
      <c r="D90" s="163">
        <f>(D$69*D89)+(1-D$69)*D88</f>
        <v>9.3414070790935767E-3</v>
      </c>
      <c r="E90" s="163">
        <f>(E$69*E89)+(1-E$69)*E88</f>
        <v>8.4508314030949279E-3</v>
      </c>
      <c r="F90" s="163">
        <f>(F$69*F89)+(1-F$69)*F88</f>
        <v>6.9926854792344145E-3</v>
      </c>
      <c r="G90" s="38" t="s">
        <v>12</v>
      </c>
      <c r="H90" s="188"/>
    </row>
    <row r="91" spans="1:8" ht="14.1" customHeight="1" x14ac:dyDescent="0.2">
      <c r="A91" s="30"/>
      <c r="B91" s="224"/>
      <c r="C91" s="62" t="s">
        <v>160</v>
      </c>
      <c r="D91" s="164">
        <f>((D84*D23)-(D90*D23))*D86*D87</f>
        <v>5.7782410784453564E-2</v>
      </c>
      <c r="E91" s="164">
        <f>((E84*E23)-(E90*E23))*E86*E87</f>
        <v>0.47111623403731462</v>
      </c>
      <c r="F91" s="164">
        <f>((F84*F23)-(F90*F23))*F86*F87</f>
        <v>1.0835375220587298</v>
      </c>
      <c r="G91" s="38" t="s">
        <v>12</v>
      </c>
      <c r="H91" s="38" t="s">
        <v>144</v>
      </c>
    </row>
    <row r="92" spans="1:8" ht="14.1" customHeight="1" x14ac:dyDescent="0.2">
      <c r="A92" s="30"/>
      <c r="B92" s="224"/>
      <c r="C92" s="196" t="s">
        <v>161</v>
      </c>
      <c r="D92" s="165">
        <f>D20/D91</f>
        <v>642289.56029767427</v>
      </c>
      <c r="E92" s="165">
        <f>E20/E91</f>
        <v>67402.86375021885</v>
      </c>
      <c r="F92" s="165">
        <f>F20/F91</f>
        <v>30181.602284145061</v>
      </c>
      <c r="G92" s="162"/>
      <c r="H92" s="38"/>
    </row>
    <row r="93" spans="1:8" ht="14.1" customHeight="1" x14ac:dyDescent="0.2">
      <c r="C93" s="33"/>
      <c r="D93" s="61"/>
      <c r="E93" s="61"/>
      <c r="F93" s="61"/>
      <c r="G93" s="48"/>
    </row>
    <row r="94" spans="1:8" ht="14.1" customHeight="1" x14ac:dyDescent="0.2">
      <c r="A94" s="30"/>
      <c r="B94" s="226" t="s">
        <v>40</v>
      </c>
      <c r="C94" s="62" t="s">
        <v>71</v>
      </c>
      <c r="D94" s="91">
        <f>576/100000</f>
        <v>5.7600000000000004E-3</v>
      </c>
      <c r="E94" s="91">
        <f>576/100000</f>
        <v>5.7600000000000004E-3</v>
      </c>
      <c r="F94" s="91">
        <f>576/100000</f>
        <v>5.7600000000000004E-3</v>
      </c>
      <c r="G94" s="38" t="s">
        <v>162</v>
      </c>
      <c r="H94" s="37" t="s">
        <v>283</v>
      </c>
    </row>
    <row r="95" spans="1:8" ht="14.1" customHeight="1" x14ac:dyDescent="0.2">
      <c r="A95" s="30"/>
      <c r="B95" s="226"/>
      <c r="C95" s="37" t="s">
        <v>46</v>
      </c>
      <c r="D95" s="166">
        <v>0.01</v>
      </c>
      <c r="E95" s="97">
        <v>0.1</v>
      </c>
      <c r="F95" s="98">
        <v>0.3</v>
      </c>
      <c r="G95" s="104" t="s">
        <v>68</v>
      </c>
      <c r="H95" s="38" t="s">
        <v>251</v>
      </c>
    </row>
    <row r="96" spans="1:8" ht="14.1" customHeight="1" x14ac:dyDescent="0.2">
      <c r="B96" s="226"/>
      <c r="C96" s="25" t="s">
        <v>20</v>
      </c>
      <c r="D96" s="99">
        <v>0.5</v>
      </c>
      <c r="E96" s="100">
        <v>0.6</v>
      </c>
      <c r="F96" s="101">
        <v>0.7</v>
      </c>
      <c r="G96" s="37" t="s">
        <v>69</v>
      </c>
      <c r="H96" s="38" t="s">
        <v>134</v>
      </c>
    </row>
    <row r="97" spans="1:12" ht="14.1" customHeight="1" x14ac:dyDescent="0.2">
      <c r="A97" s="30"/>
      <c r="B97" s="226"/>
      <c r="C97" s="25" t="s">
        <v>19</v>
      </c>
      <c r="D97" s="99">
        <v>0.5</v>
      </c>
      <c r="E97" s="100">
        <v>0.6</v>
      </c>
      <c r="F97" s="101">
        <v>0.7</v>
      </c>
      <c r="G97" s="37" t="s">
        <v>69</v>
      </c>
      <c r="H97" s="38" t="s">
        <v>135</v>
      </c>
    </row>
    <row r="98" spans="1:12" ht="14.1" customHeight="1" x14ac:dyDescent="0.2">
      <c r="A98" s="30"/>
      <c r="B98" s="226"/>
      <c r="C98" s="38" t="s">
        <v>252</v>
      </c>
      <c r="D98" s="91">
        <f>D94/(1-D$71*D95)</f>
        <v>5.780230807827396E-3</v>
      </c>
      <c r="E98" s="91">
        <f>E94/(1-E$71*E95)</f>
        <v>5.9198355601233306E-3</v>
      </c>
      <c r="F98" s="91">
        <f>F94/(1-F$71*F95)</f>
        <v>6.1276595744680857E-3</v>
      </c>
      <c r="G98" s="38" t="s">
        <v>12</v>
      </c>
      <c r="H98" s="38" t="s">
        <v>248</v>
      </c>
    </row>
    <row r="99" spans="1:12" ht="14.1" customHeight="1" x14ac:dyDescent="0.2">
      <c r="A99" s="30"/>
      <c r="B99" s="226"/>
      <c r="C99" s="38" t="s">
        <v>253</v>
      </c>
      <c r="D99" s="91">
        <f>D98*(1-D95)</f>
        <v>5.7224284997491222E-3</v>
      </c>
      <c r="E99" s="91">
        <f>E98*(1-E95)</f>
        <v>5.3278520041109972E-3</v>
      </c>
      <c r="F99" s="91">
        <f>F98*(1-F95)</f>
        <v>4.28936170212766E-3</v>
      </c>
      <c r="G99" s="38" t="s">
        <v>12</v>
      </c>
      <c r="H99" s="188"/>
    </row>
    <row r="100" spans="1:12" ht="14.1" customHeight="1" x14ac:dyDescent="0.2">
      <c r="A100" s="30"/>
      <c r="B100" s="226"/>
      <c r="C100" s="62" t="s">
        <v>70</v>
      </c>
      <c r="D100" s="93">
        <f>(D$69*D99)+(1-D$69)*D98</f>
        <v>5.7465320622177626E-3</v>
      </c>
      <c r="E100" s="93">
        <f>(E$69*E99)+(1-E$69)*E98</f>
        <v>5.5549605755395685E-3</v>
      </c>
      <c r="F100" s="93">
        <f>(F$69*F99)+(1-F$69)*F98</f>
        <v>4.7581276595744688E-3</v>
      </c>
      <c r="G100" s="38" t="s">
        <v>12</v>
      </c>
      <c r="H100" s="38"/>
    </row>
    <row r="101" spans="1:12" ht="14.1" customHeight="1" x14ac:dyDescent="0.2">
      <c r="A101" s="30"/>
      <c r="B101" s="226"/>
      <c r="C101" s="62" t="s">
        <v>145</v>
      </c>
      <c r="D101" s="102">
        <f>((D94*D23)-(D100*D23))*D96*D97</f>
        <v>3.3669844455594955E-3</v>
      </c>
      <c r="E101" s="102">
        <f>((E94*E23)-(E100*E23))*E96*E97</f>
        <v>7.381419280575563E-2</v>
      </c>
      <c r="F101" s="102">
        <f>((F94*F23)-(F100*F23))*F96*F97</f>
        <v>0.49091744680851052</v>
      </c>
      <c r="G101" s="37"/>
      <c r="H101" s="38" t="s">
        <v>144</v>
      </c>
    </row>
    <row r="102" spans="1:12" ht="14.1" customHeight="1" x14ac:dyDescent="0.2">
      <c r="A102" s="11"/>
      <c r="B102" s="226"/>
      <c r="C102" s="196" t="s">
        <v>146</v>
      </c>
      <c r="D102" s="111">
        <f>D20/D101</f>
        <v>11022634.590614855</v>
      </c>
      <c r="E102" s="111">
        <f>E20/E101</f>
        <v>430196.17401895218</v>
      </c>
      <c r="F102" s="111">
        <f>F20/F101</f>
        <v>66615.881678943217</v>
      </c>
      <c r="G102" s="37"/>
      <c r="H102" s="37"/>
    </row>
    <row r="103" spans="1:12" ht="14.1" customHeight="1" x14ac:dyDescent="0.2">
      <c r="A103" s="11"/>
      <c r="B103" s="12"/>
      <c r="C103" s="33"/>
      <c r="D103" s="61"/>
      <c r="E103" s="61"/>
      <c r="F103" s="61"/>
      <c r="G103" s="48"/>
    </row>
    <row r="104" spans="1:12" ht="14.1" customHeight="1" x14ac:dyDescent="0.2">
      <c r="A104" s="208" t="s">
        <v>14</v>
      </c>
      <c r="B104" s="208"/>
      <c r="C104" s="25"/>
      <c r="D104" s="61"/>
      <c r="E104" s="61"/>
      <c r="F104" s="61"/>
      <c r="G104" s="37"/>
      <c r="H104" s="37"/>
    </row>
    <row r="105" spans="1:12" ht="14.1" customHeight="1" x14ac:dyDescent="0.25">
      <c r="B105" s="206" t="s">
        <v>254</v>
      </c>
      <c r="C105" s="114" t="s">
        <v>6</v>
      </c>
      <c r="D105" s="169">
        <f>2*E105</f>
        <v>1314.9</v>
      </c>
      <c r="E105" s="170">
        <f>1.8*365.25</f>
        <v>657.45</v>
      </c>
      <c r="F105" s="171">
        <v>500</v>
      </c>
      <c r="G105" s="188" t="s">
        <v>184</v>
      </c>
      <c r="H105" s="188" t="s">
        <v>257</v>
      </c>
      <c r="I105" s="29"/>
      <c r="K105" s="50"/>
      <c r="L105" s="50"/>
    </row>
    <row r="106" spans="1:12" ht="14.1" customHeight="1" x14ac:dyDescent="0.25">
      <c r="B106" s="206"/>
      <c r="C106" s="114" t="s">
        <v>164</v>
      </c>
      <c r="D106" s="168">
        <f>(1500-1000)/D15</f>
        <v>1.6666666666666667</v>
      </c>
      <c r="E106" s="168">
        <f>(1500-1000)/E15</f>
        <v>1.6666666666666667</v>
      </c>
      <c r="F106" s="168">
        <f>(1500-1000)/F15</f>
        <v>1.6666666666666667</v>
      </c>
      <c r="G106" s="38" t="s">
        <v>270</v>
      </c>
      <c r="H106" s="38" t="s">
        <v>173</v>
      </c>
      <c r="I106" s="29"/>
      <c r="K106" s="50"/>
      <c r="L106" s="50"/>
    </row>
    <row r="107" spans="1:12" ht="14.1" customHeight="1" x14ac:dyDescent="0.25">
      <c r="B107" s="206"/>
      <c r="C107" s="114" t="s">
        <v>266</v>
      </c>
      <c r="D107" s="168">
        <v>1.67</v>
      </c>
      <c r="E107" s="168">
        <v>1.67</v>
      </c>
      <c r="F107" s="168">
        <v>1.67</v>
      </c>
      <c r="G107" s="188" t="s">
        <v>68</v>
      </c>
      <c r="H107" s="188" t="s">
        <v>259</v>
      </c>
      <c r="I107" s="29"/>
      <c r="K107" s="50"/>
      <c r="L107" s="50"/>
    </row>
    <row r="108" spans="1:12" ht="14.1" customHeight="1" x14ac:dyDescent="0.25">
      <c r="C108" s="33"/>
      <c r="D108" s="61"/>
      <c r="E108" s="61"/>
      <c r="F108" s="61"/>
      <c r="G108" s="48"/>
      <c r="K108" s="50"/>
      <c r="L108" s="50"/>
    </row>
    <row r="109" spans="1:12" ht="14.1" customHeight="1" x14ac:dyDescent="0.25">
      <c r="B109" s="224" t="s">
        <v>163</v>
      </c>
      <c r="C109" s="33" t="s">
        <v>291</v>
      </c>
      <c r="D109" s="186">
        <f>LN(D105+D16)-LN(D105)</f>
        <v>2.5318392135709189E-3</v>
      </c>
      <c r="E109" s="186">
        <f>LN(E105+E16)-LN(E105)</f>
        <v>5.0572844025733588E-3</v>
      </c>
      <c r="F109" s="186">
        <f>LN(F105+F16)-LN(F105)</f>
        <v>6.6445427186687667E-3</v>
      </c>
      <c r="G109" s="188" t="s">
        <v>12</v>
      </c>
      <c r="K109" s="50"/>
      <c r="L109" s="50"/>
    </row>
    <row r="110" spans="1:12" ht="14.1" customHeight="1" x14ac:dyDescent="0.25">
      <c r="B110" s="224"/>
      <c r="C110" s="188" t="s">
        <v>289</v>
      </c>
      <c r="D110" s="172">
        <f>LN(D105+D16+D17-D106-D107)-LN(D105)</f>
        <v>2.5032003970306249E-2</v>
      </c>
      <c r="E110" s="172">
        <f>LN(E105+E16+E17-E106-E107)-LN(E105)</f>
        <v>4.9452678380699666E-2</v>
      </c>
      <c r="F110" s="172">
        <f>LN(F105+F16+F17-F106-F107)-LN(F105)</f>
        <v>6.453227111803983E-2</v>
      </c>
      <c r="G110" s="188" t="s">
        <v>12</v>
      </c>
      <c r="H110" s="207" t="s">
        <v>263</v>
      </c>
      <c r="K110" s="50"/>
      <c r="L110" s="50"/>
    </row>
    <row r="111" spans="1:12" ht="14.1" customHeight="1" x14ac:dyDescent="0.25">
      <c r="B111" s="224"/>
      <c r="C111" s="114" t="s">
        <v>290</v>
      </c>
      <c r="D111" s="129">
        <f>LN(D105+D16+D17-D106)-LN(D105)</f>
        <v>2.626989852190853E-2</v>
      </c>
      <c r="E111" s="129">
        <f>LN(E105+E16+E17-E106)-LN(E105)</f>
        <v>5.1867317755798226E-2</v>
      </c>
      <c r="F111" s="129">
        <f>LN(F105+F16+F17-F106)-LN(F105)</f>
        <v>6.7658648473814864E-2</v>
      </c>
      <c r="G111" s="188" t="s">
        <v>12</v>
      </c>
      <c r="H111" s="207"/>
      <c r="K111" s="50"/>
      <c r="L111" s="50"/>
    </row>
    <row r="112" spans="1:12" ht="14.1" customHeight="1" x14ac:dyDescent="0.25">
      <c r="B112" s="224"/>
      <c r="C112" s="114" t="s">
        <v>167</v>
      </c>
      <c r="D112" s="32">
        <f>1000*(D109*(1-D27)+D110*D27*D47+D111*D27*(1-D47))</f>
        <v>16.335043164152538</v>
      </c>
      <c r="E112" s="32">
        <f>1000*(E109*(1-E27)+E110*E27*E47+E111*E27*(1-E47))</f>
        <v>32.27714710971933</v>
      </c>
      <c r="F112" s="32">
        <f>1000*(F109*(1-F27)+F110*F27*F47+F111*F27*(1-F47))</f>
        <v>49.135570332366783</v>
      </c>
      <c r="G112" s="188" t="s">
        <v>12</v>
      </c>
      <c r="H112" s="207"/>
      <c r="K112" s="50"/>
      <c r="L112" s="50"/>
    </row>
    <row r="113" spans="1:12" ht="14.1" customHeight="1" x14ac:dyDescent="0.25">
      <c r="B113" s="224"/>
      <c r="C113" s="116" t="s">
        <v>265</v>
      </c>
      <c r="D113" s="173">
        <f>D20/D112</f>
        <v>2271.9890509460861</v>
      </c>
      <c r="E113" s="173">
        <f>E20/E112</f>
        <v>983.81010023563579</v>
      </c>
      <c r="F113" s="173">
        <f>F20/F112</f>
        <v>665.56464755599779</v>
      </c>
      <c r="G113" s="188"/>
      <c r="H113" s="207"/>
      <c r="K113" s="50"/>
      <c r="L113" s="50"/>
    </row>
    <row r="114" spans="1:12" ht="14.1" customHeight="1" x14ac:dyDescent="0.25">
      <c r="C114" s="33"/>
      <c r="D114" s="61"/>
      <c r="E114" s="61"/>
      <c r="F114" s="61"/>
      <c r="K114" s="50"/>
      <c r="L114" s="50"/>
    </row>
    <row r="115" spans="1:12" ht="14.1" customHeight="1" x14ac:dyDescent="0.25">
      <c r="A115" s="227" t="s">
        <v>165</v>
      </c>
      <c r="B115" s="227"/>
      <c r="C115" s="196"/>
      <c r="D115" s="140"/>
      <c r="E115" s="140"/>
      <c r="F115" s="140"/>
      <c r="G115" s="222" t="s">
        <v>185</v>
      </c>
      <c r="H115" s="223"/>
      <c r="I115" s="141"/>
      <c r="J115" s="219"/>
      <c r="K115" s="219"/>
      <c r="L115" s="50"/>
    </row>
    <row r="116" spans="1:12" ht="14.1" customHeight="1" x14ac:dyDescent="0.25">
      <c r="A116" s="196"/>
      <c r="B116" s="221" t="s">
        <v>170</v>
      </c>
      <c r="C116" s="62" t="str">
        <f>C55</f>
        <v>Under-5 HIV deaths averted /1,000 enrollees</v>
      </c>
      <c r="D116" s="67">
        <f>D55</f>
        <v>0.22080959999999999</v>
      </c>
      <c r="E116" s="67">
        <f>E55</f>
        <v>0.51701759999999997</v>
      </c>
      <c r="F116" s="67">
        <f>F55</f>
        <v>4.1385056603773593</v>
      </c>
      <c r="G116" s="197">
        <v>15</v>
      </c>
      <c r="H116" s="198" t="s">
        <v>298</v>
      </c>
      <c r="I116" s="228" t="s">
        <v>299</v>
      </c>
      <c r="J116" s="181"/>
      <c r="K116" s="50"/>
      <c r="L116" s="50"/>
    </row>
    <row r="117" spans="1:12" ht="14.1" customHeight="1" x14ac:dyDescent="0.25">
      <c r="A117" s="196"/>
      <c r="B117" s="221"/>
      <c r="C117" s="62" t="str">
        <f>C63</f>
        <v>DALYs averted per 1,000 enrollees</v>
      </c>
      <c r="D117" s="67">
        <f>D63</f>
        <v>0.13768127999999999</v>
      </c>
      <c r="E117" s="67">
        <f>E63</f>
        <v>0.32237568</v>
      </c>
      <c r="F117" s="67">
        <f>F63</f>
        <v>10.760114716981134</v>
      </c>
      <c r="G117" s="174">
        <v>1</v>
      </c>
      <c r="H117" s="175" t="s">
        <v>168</v>
      </c>
      <c r="I117" s="228"/>
      <c r="J117" s="181"/>
      <c r="K117" s="50"/>
      <c r="L117" s="50"/>
    </row>
    <row r="118" spans="1:12" ht="14.1" customHeight="1" x14ac:dyDescent="0.25">
      <c r="A118" s="196"/>
      <c r="B118" s="221"/>
      <c r="C118" s="62" t="str">
        <f>C81</f>
        <v>Neonatal deaths averted per 1,000 enrollees</v>
      </c>
      <c r="D118" s="67">
        <f>D81</f>
        <v>0.11299896373056981</v>
      </c>
      <c r="E118" s="67">
        <f>E81</f>
        <v>0.7268900448430492</v>
      </c>
      <c r="F118" s="67">
        <f>F81</f>
        <v>1.2612857142857139</v>
      </c>
      <c r="G118" s="197">
        <f>G116*0.5</f>
        <v>7.5</v>
      </c>
      <c r="H118" s="175" t="s">
        <v>296</v>
      </c>
      <c r="I118" s="228"/>
      <c r="J118" s="181"/>
      <c r="K118" s="50"/>
      <c r="L118" s="50"/>
    </row>
    <row r="119" spans="1:12" ht="14.1" customHeight="1" x14ac:dyDescent="0.25">
      <c r="A119" s="196"/>
      <c r="B119" s="221"/>
      <c r="C119" s="62" t="str">
        <f>C91</f>
        <v>Stillbirths averted per 1,000 enrollees</v>
      </c>
      <c r="D119" s="67">
        <f>D91</f>
        <v>5.7782410784453564E-2</v>
      </c>
      <c r="E119" s="67">
        <f>E91</f>
        <v>0.47111623403731462</v>
      </c>
      <c r="F119" s="67">
        <f>F91</f>
        <v>1.0835375220587298</v>
      </c>
      <c r="G119" s="197">
        <f>G116*0.2</f>
        <v>3</v>
      </c>
      <c r="H119" s="198" t="s">
        <v>295</v>
      </c>
      <c r="I119" s="228"/>
      <c r="J119" s="181"/>
      <c r="K119" s="50"/>
      <c r="L119" s="50"/>
    </row>
    <row r="120" spans="1:12" ht="14.1" customHeight="1" x14ac:dyDescent="0.2">
      <c r="A120" s="196"/>
      <c r="B120" s="221"/>
      <c r="C120" s="62" t="str">
        <f>C101</f>
        <v>Maternal deaths averted per 1,000 enrollees</v>
      </c>
      <c r="D120" s="67">
        <f>D101</f>
        <v>3.3669844455594955E-3</v>
      </c>
      <c r="E120" s="67">
        <f>E101</f>
        <v>7.381419280575563E-2</v>
      </c>
      <c r="F120" s="67">
        <f>F101</f>
        <v>0.49091744680851052</v>
      </c>
      <c r="G120" s="197">
        <f>G116*4</f>
        <v>60</v>
      </c>
      <c r="H120" s="175" t="s">
        <v>268</v>
      </c>
      <c r="I120" s="228"/>
      <c r="J120" s="181"/>
    </row>
    <row r="121" spans="1:12" ht="14.1" customHeight="1" x14ac:dyDescent="0.2">
      <c r="A121" s="196"/>
      <c r="B121" s="221"/>
      <c r="C121" s="62" t="str">
        <f>C112</f>
        <v>Consumption benefit per 1,000 enrollees</v>
      </c>
      <c r="D121" s="67">
        <f t="shared" ref="D121:F121" si="6">D112</f>
        <v>16.335043164152538</v>
      </c>
      <c r="E121" s="67">
        <f t="shared" si="6"/>
        <v>32.27714710971933</v>
      </c>
      <c r="F121" s="67">
        <f t="shared" si="6"/>
        <v>49.135570332366783</v>
      </c>
      <c r="G121" s="197">
        <f>1/3</f>
        <v>0.33333333333333331</v>
      </c>
      <c r="H121" s="176" t="s">
        <v>169</v>
      </c>
      <c r="I121" s="228"/>
      <c r="J121" s="181"/>
    </row>
    <row r="122" spans="1:12" ht="14.1" customHeight="1" x14ac:dyDescent="0.2">
      <c r="A122" s="196"/>
      <c r="B122" s="193"/>
      <c r="C122" s="114"/>
      <c r="D122" s="114"/>
      <c r="E122" s="114"/>
      <c r="F122" s="114"/>
      <c r="G122" s="177">
        <f>G116</f>
        <v>15</v>
      </c>
      <c r="H122" s="178" t="s">
        <v>272</v>
      </c>
      <c r="I122" s="228"/>
      <c r="J122" s="181"/>
    </row>
    <row r="123" spans="1:12" ht="14.1" customHeight="1" x14ac:dyDescent="0.2">
      <c r="A123" s="141"/>
      <c r="B123" s="220" t="s">
        <v>178</v>
      </c>
      <c r="C123" s="126" t="s">
        <v>171</v>
      </c>
      <c r="D123" s="144">
        <f>SUMPRODUCT(D116:D121,$G116:$G121)</f>
        <v>10.117698195117049</v>
      </c>
      <c r="E123" s="144">
        <f>SUMPRODUCT(E116:E121,$G116:$G121)</f>
        <v>30.130564323353259</v>
      </c>
      <c r="F123" s="145">
        <f>SUMPRODUCT(F116:F121,$G116:$G121)</f>
        <v>131.38152529859346</v>
      </c>
      <c r="G123" s="146"/>
      <c r="H123" s="141"/>
      <c r="I123" s="141"/>
    </row>
    <row r="124" spans="1:12" ht="14.1" customHeight="1" x14ac:dyDescent="0.2">
      <c r="A124" s="141"/>
      <c r="B124" s="220"/>
      <c r="C124" s="127" t="s">
        <v>172</v>
      </c>
      <c r="D124" s="147">
        <f>D123/$G$116</f>
        <v>0.6745132130078032</v>
      </c>
      <c r="E124" s="147">
        <f t="shared" ref="E124:F124" si="7">E123/$G$116</f>
        <v>2.0087042882235506</v>
      </c>
      <c r="F124" s="148">
        <f t="shared" si="7"/>
        <v>8.7587683532395637</v>
      </c>
      <c r="G124" s="141"/>
      <c r="H124" s="149" t="s">
        <v>193</v>
      </c>
      <c r="I124" s="150"/>
    </row>
    <row r="125" spans="1:12" ht="14.1" customHeight="1" x14ac:dyDescent="0.2">
      <c r="A125" s="141"/>
      <c r="B125" s="220"/>
      <c r="C125" s="65" t="s">
        <v>17</v>
      </c>
      <c r="D125" s="151">
        <f>D20/D124</f>
        <v>55021.960281832056</v>
      </c>
      <c r="E125" s="151">
        <f>E20/E124</f>
        <v>15808.490836357161</v>
      </c>
      <c r="F125" s="152">
        <f>F20/F124</f>
        <v>3733.7325559739202</v>
      </c>
      <c r="G125" s="141"/>
      <c r="H125" s="153" t="s">
        <v>187</v>
      </c>
      <c r="I125" s="154">
        <f t="shared" ref="I125:I130" si="8">(E116*G116)/$E$123</f>
        <v>0.25738860768661864</v>
      </c>
    </row>
    <row r="126" spans="1:12" ht="14.1" customHeight="1" x14ac:dyDescent="0.2">
      <c r="A126" s="141"/>
      <c r="B126" s="155"/>
      <c r="C126" s="62"/>
      <c r="D126" s="156"/>
      <c r="E126" s="156"/>
      <c r="F126" s="156"/>
      <c r="G126" s="141"/>
      <c r="H126" s="153" t="s">
        <v>188</v>
      </c>
      <c r="I126" s="154">
        <f t="shared" si="8"/>
        <v>1.0699291143051598E-2</v>
      </c>
    </row>
    <row r="127" spans="1:12" ht="14.1" customHeight="1" x14ac:dyDescent="0.2">
      <c r="A127" s="141"/>
      <c r="B127" s="220" t="s">
        <v>179</v>
      </c>
      <c r="C127" s="126" t="s">
        <v>176</v>
      </c>
      <c r="D127" s="199">
        <v>2812</v>
      </c>
      <c r="E127" s="199">
        <v>2812</v>
      </c>
      <c r="F127" s="199">
        <v>2812</v>
      </c>
      <c r="G127" s="200" t="s">
        <v>297</v>
      </c>
      <c r="H127" s="153" t="s">
        <v>189</v>
      </c>
      <c r="I127" s="154">
        <f t="shared" si="8"/>
        <v>0.18093505577316538</v>
      </c>
    </row>
    <row r="128" spans="1:12" ht="14.1" customHeight="1" x14ac:dyDescent="0.2">
      <c r="A128" s="141"/>
      <c r="B128" s="220"/>
      <c r="C128" s="64" t="s">
        <v>175</v>
      </c>
      <c r="D128" s="157">
        <f>D127/D125</f>
        <v>5.1106866887265498E-2</v>
      </c>
      <c r="E128" s="157">
        <f>E127/E125</f>
        <v>0.17787909226178764</v>
      </c>
      <c r="F128" s="158">
        <f>F127/F125</f>
        <v>0.75313374963100643</v>
      </c>
      <c r="G128" s="141"/>
      <c r="H128" s="153" t="s">
        <v>190</v>
      </c>
      <c r="I128" s="154">
        <f t="shared" si="8"/>
        <v>4.6907475311257323E-2</v>
      </c>
    </row>
    <row r="129" spans="1:9" ht="14.1" customHeight="1" x14ac:dyDescent="0.2">
      <c r="A129" s="141"/>
      <c r="B129" s="220"/>
      <c r="C129" s="127" t="s">
        <v>177</v>
      </c>
      <c r="D129" s="202">
        <v>7.3</v>
      </c>
      <c r="E129" s="202">
        <v>7.3</v>
      </c>
      <c r="F129" s="202">
        <v>7.3</v>
      </c>
      <c r="G129" s="200" t="s">
        <v>297</v>
      </c>
      <c r="H129" s="153" t="s">
        <v>191</v>
      </c>
      <c r="I129" s="154">
        <f t="shared" si="8"/>
        <v>0.14698866973801328</v>
      </c>
    </row>
    <row r="130" spans="1:9" ht="14.1" customHeight="1" x14ac:dyDescent="0.2">
      <c r="A130" s="141"/>
      <c r="B130" s="220"/>
      <c r="C130" s="65" t="s">
        <v>174</v>
      </c>
      <c r="D130" s="159">
        <f>(D127*D129)/D125</f>
        <v>0.37308012827703807</v>
      </c>
      <c r="E130" s="159">
        <f t="shared" ref="E130:F130" si="9">(E127*E129)/E125</f>
        <v>1.2985173735110498</v>
      </c>
      <c r="F130" s="160">
        <f t="shared" si="9"/>
        <v>5.4978763723063464</v>
      </c>
      <c r="G130" s="141"/>
      <c r="H130" s="153" t="s">
        <v>192</v>
      </c>
      <c r="I130" s="154">
        <f t="shared" si="8"/>
        <v>0.3570809003478938</v>
      </c>
    </row>
    <row r="131" spans="1:9" ht="14.1" customHeight="1" x14ac:dyDescent="0.2">
      <c r="H131" s="39"/>
    </row>
    <row r="132" spans="1:9" ht="14.1" customHeight="1" x14ac:dyDescent="0.2">
      <c r="D132" s="48"/>
      <c r="E132" s="48"/>
      <c r="F132" s="48"/>
    </row>
    <row r="133" spans="1:9" ht="14.1" customHeight="1" x14ac:dyDescent="0.2">
      <c r="C133" s="189"/>
      <c r="D133" s="48"/>
      <c r="E133" s="48"/>
      <c r="F133" s="48"/>
    </row>
    <row r="134" spans="1:9" ht="14.1" customHeight="1" x14ac:dyDescent="0.2">
      <c r="C134" s="48"/>
      <c r="D134" s="48"/>
      <c r="E134" s="48"/>
      <c r="F134" s="48"/>
    </row>
    <row r="135" spans="1:9" ht="14.1" customHeight="1" x14ac:dyDescent="0.2">
      <c r="C135" s="48"/>
      <c r="D135" s="48"/>
      <c r="E135" s="48"/>
      <c r="F135" s="48"/>
    </row>
    <row r="136" spans="1:9" ht="14.1" customHeight="1" x14ac:dyDescent="0.2">
      <c r="C136" s="48"/>
      <c r="D136" s="48"/>
      <c r="E136" s="48"/>
      <c r="F136" s="48"/>
    </row>
    <row r="137" spans="1:9" ht="14.1" customHeight="1" x14ac:dyDescent="0.2">
      <c r="C137" s="48"/>
      <c r="D137" s="48"/>
      <c r="E137" s="48"/>
      <c r="F137" s="48"/>
    </row>
    <row r="138" spans="1:9" ht="14.1" customHeight="1" x14ac:dyDescent="0.2">
      <c r="C138" s="48"/>
      <c r="D138" s="48"/>
      <c r="E138" s="48"/>
      <c r="F138" s="48"/>
    </row>
    <row r="139" spans="1:9" ht="14.1" customHeight="1" x14ac:dyDescent="0.2">
      <c r="A139" s="48"/>
      <c r="C139" s="48"/>
      <c r="D139" s="48"/>
      <c r="E139" s="48"/>
      <c r="F139" s="48"/>
    </row>
    <row r="140" spans="1:9" ht="14.1" customHeight="1" x14ac:dyDescent="0.2">
      <c r="A140" s="48"/>
      <c r="B140" s="48"/>
      <c r="C140" s="48"/>
      <c r="D140" s="48"/>
      <c r="E140" s="48"/>
      <c r="F140" s="48"/>
      <c r="G140" s="48"/>
    </row>
    <row r="141" spans="1:9" ht="14.1" customHeight="1" x14ac:dyDescent="0.2">
      <c r="A141" s="48"/>
      <c r="B141" s="48"/>
      <c r="C141" s="48"/>
      <c r="D141" s="48"/>
      <c r="E141" s="48"/>
      <c r="F141" s="48"/>
      <c r="G141" s="48"/>
    </row>
    <row r="142" spans="1:9" ht="14.1" customHeight="1" x14ac:dyDescent="0.2">
      <c r="A142" s="48"/>
      <c r="B142" s="48"/>
      <c r="C142" s="48"/>
      <c r="D142" s="48"/>
      <c r="E142" s="48"/>
      <c r="F142" s="48"/>
      <c r="G142" s="48"/>
    </row>
    <row r="143" spans="1:9" ht="14.1" customHeight="1" x14ac:dyDescent="0.2">
      <c r="A143" s="48"/>
      <c r="B143" s="48"/>
      <c r="C143" s="48"/>
      <c r="D143" s="48"/>
      <c r="E143" s="48"/>
      <c r="F143" s="48"/>
      <c r="G143" s="48"/>
    </row>
    <row r="144" spans="1:9" ht="14.1" customHeight="1" x14ac:dyDescent="0.2">
      <c r="A144" s="48"/>
      <c r="B144" s="48"/>
      <c r="C144" s="48"/>
      <c r="D144" s="48"/>
      <c r="E144" s="48"/>
      <c r="F144" s="48"/>
      <c r="G144" s="48"/>
    </row>
    <row r="145" spans="1:7" ht="14.1" customHeight="1" x14ac:dyDescent="0.2">
      <c r="A145" s="48"/>
      <c r="B145" s="48"/>
      <c r="C145" s="48"/>
      <c r="D145" s="48"/>
      <c r="E145" s="48"/>
      <c r="F145" s="48"/>
      <c r="G145" s="48"/>
    </row>
    <row r="146" spans="1:7" ht="14.1" customHeight="1" x14ac:dyDescent="0.2">
      <c r="A146" s="48"/>
      <c r="B146" s="48"/>
      <c r="C146" s="48"/>
      <c r="D146" s="48"/>
      <c r="E146" s="48"/>
      <c r="F146" s="48"/>
      <c r="G146" s="48"/>
    </row>
    <row r="147" spans="1:7" ht="14.1" customHeight="1" x14ac:dyDescent="0.2">
      <c r="A147" s="48"/>
      <c r="B147" s="48"/>
      <c r="C147" s="48"/>
      <c r="D147" s="48"/>
      <c r="E147" s="48"/>
      <c r="F147" s="48"/>
      <c r="G147" s="48"/>
    </row>
    <row r="148" spans="1:7" ht="14.1" customHeight="1" x14ac:dyDescent="0.2">
      <c r="A148" s="48"/>
      <c r="B148" s="48"/>
      <c r="C148" s="48"/>
      <c r="D148" s="48"/>
      <c r="E148" s="48"/>
      <c r="F148" s="48"/>
      <c r="G148" s="48"/>
    </row>
    <row r="149" spans="1:7" ht="14.1" customHeight="1" x14ac:dyDescent="0.2">
      <c r="A149" s="48"/>
      <c r="B149" s="48"/>
      <c r="C149" s="48"/>
      <c r="D149" s="48"/>
      <c r="E149" s="48"/>
      <c r="F149" s="48"/>
      <c r="G149" s="48"/>
    </row>
    <row r="150" spans="1:7" ht="14.1" customHeight="1" x14ac:dyDescent="0.2">
      <c r="A150" s="48"/>
      <c r="B150" s="48"/>
      <c r="C150" s="48"/>
      <c r="D150" s="48"/>
      <c r="E150" s="48"/>
      <c r="F150" s="48"/>
      <c r="G150" s="48"/>
    </row>
    <row r="151" spans="1:7" ht="14.1" customHeight="1" x14ac:dyDescent="0.2">
      <c r="A151" s="48"/>
      <c r="B151" s="48"/>
      <c r="C151" s="48"/>
      <c r="D151" s="48"/>
      <c r="E151" s="48"/>
      <c r="F151" s="48"/>
      <c r="G151" s="48"/>
    </row>
    <row r="152" spans="1:7" ht="14.1" customHeight="1" x14ac:dyDescent="0.2">
      <c r="A152" s="48"/>
      <c r="B152" s="48"/>
      <c r="C152" s="48"/>
      <c r="D152" s="48"/>
      <c r="E152" s="48"/>
      <c r="F152" s="48"/>
      <c r="G152" s="48"/>
    </row>
    <row r="153" spans="1:7" ht="14.1" customHeight="1" x14ac:dyDescent="0.2">
      <c r="A153" s="48"/>
      <c r="B153" s="48"/>
      <c r="C153" s="48"/>
      <c r="D153" s="48"/>
      <c r="E153" s="48"/>
      <c r="F153" s="48"/>
      <c r="G153" s="48"/>
    </row>
    <row r="154" spans="1:7" ht="14.1" customHeight="1" x14ac:dyDescent="0.2">
      <c r="A154" s="48"/>
      <c r="B154" s="48"/>
      <c r="C154" s="48"/>
      <c r="D154" s="48"/>
      <c r="E154" s="48"/>
      <c r="F154" s="48"/>
      <c r="G154" s="48"/>
    </row>
    <row r="155" spans="1:7" ht="14.1" customHeight="1" x14ac:dyDescent="0.2">
      <c r="A155" s="48"/>
      <c r="B155" s="48"/>
      <c r="C155" s="48"/>
      <c r="D155" s="48"/>
      <c r="E155" s="48"/>
      <c r="F155" s="48"/>
      <c r="G155" s="48"/>
    </row>
    <row r="156" spans="1:7" ht="14.1" customHeight="1" x14ac:dyDescent="0.2">
      <c r="A156" s="48"/>
      <c r="B156" s="48"/>
      <c r="C156" s="48"/>
      <c r="D156" s="48"/>
      <c r="E156" s="48"/>
      <c r="F156" s="48"/>
      <c r="G156" s="48"/>
    </row>
    <row r="157" spans="1:7" ht="14.1" customHeight="1" x14ac:dyDescent="0.2">
      <c r="A157" s="48"/>
      <c r="B157" s="48"/>
      <c r="C157" s="48"/>
      <c r="D157" s="48"/>
      <c r="E157" s="48"/>
      <c r="F157" s="48"/>
      <c r="G157" s="48"/>
    </row>
    <row r="158" spans="1:7" ht="14.1" customHeight="1" x14ac:dyDescent="0.2">
      <c r="A158" s="48"/>
      <c r="B158" s="48"/>
      <c r="C158" s="48"/>
      <c r="D158" s="48"/>
      <c r="E158" s="48"/>
      <c r="F158" s="48"/>
      <c r="G158" s="48"/>
    </row>
    <row r="159" spans="1:7" ht="14.1" customHeight="1" x14ac:dyDescent="0.2">
      <c r="A159" s="48"/>
      <c r="B159" s="48"/>
      <c r="C159" s="48"/>
      <c r="D159" s="48"/>
      <c r="E159" s="48"/>
      <c r="F159" s="48"/>
      <c r="G159" s="48"/>
    </row>
    <row r="160" spans="1:7" ht="14.1" customHeight="1" x14ac:dyDescent="0.2">
      <c r="A160" s="48"/>
      <c r="B160" s="48"/>
      <c r="C160" s="48"/>
      <c r="D160" s="48"/>
      <c r="E160" s="48"/>
      <c r="F160" s="48"/>
      <c r="G160" s="48"/>
    </row>
    <row r="161" spans="1:11" ht="14.1" customHeight="1" x14ac:dyDescent="0.2">
      <c r="A161" s="48"/>
      <c r="B161" s="48"/>
      <c r="C161" s="48"/>
      <c r="D161" s="48"/>
      <c r="E161" s="48"/>
      <c r="F161" s="48"/>
      <c r="G161" s="48"/>
    </row>
    <row r="162" spans="1:11" ht="14.1" customHeight="1" x14ac:dyDescent="0.2">
      <c r="A162" s="48"/>
      <c r="B162" s="48"/>
      <c r="C162" s="48"/>
      <c r="D162" s="48"/>
      <c r="E162" s="48"/>
      <c r="F162" s="48"/>
      <c r="G162" s="48"/>
    </row>
    <row r="163" spans="1:11" ht="14.1" customHeight="1" x14ac:dyDescent="0.2">
      <c r="A163" s="48"/>
      <c r="B163" s="48"/>
      <c r="C163" s="48"/>
      <c r="D163" s="48"/>
      <c r="E163" s="48"/>
      <c r="F163" s="48"/>
      <c r="G163" s="48"/>
      <c r="J163" s="6"/>
      <c r="K163" s="6"/>
    </row>
    <row r="164" spans="1:11" ht="14.1" customHeight="1" x14ac:dyDescent="0.2">
      <c r="A164" s="48"/>
      <c r="B164" s="48"/>
      <c r="C164" s="48"/>
      <c r="D164" s="48"/>
      <c r="E164" s="48"/>
      <c r="F164" s="48"/>
      <c r="G164" s="48"/>
      <c r="J164" s="6"/>
      <c r="K164" s="6"/>
    </row>
    <row r="165" spans="1:11" ht="14.1" customHeight="1" x14ac:dyDescent="0.2">
      <c r="A165" s="48"/>
      <c r="B165" s="48"/>
      <c r="C165" s="48"/>
      <c r="D165" s="48"/>
      <c r="E165" s="48"/>
      <c r="F165" s="48"/>
      <c r="G165" s="48"/>
      <c r="J165" s="6"/>
      <c r="K165" s="6"/>
    </row>
    <row r="166" spans="1:11" ht="14.1" customHeight="1" x14ac:dyDescent="0.2">
      <c r="A166" s="48"/>
      <c r="B166" s="48"/>
      <c r="C166" s="48"/>
      <c r="D166" s="48"/>
      <c r="E166" s="48"/>
      <c r="F166" s="48"/>
      <c r="G166" s="48"/>
      <c r="J166" s="6"/>
      <c r="K166" s="6"/>
    </row>
    <row r="167" spans="1:11" ht="14.1" customHeight="1" x14ac:dyDescent="0.2">
      <c r="J167" s="6"/>
      <c r="K167" s="6"/>
    </row>
    <row r="168" spans="1:11" ht="14.1" customHeight="1" x14ac:dyDescent="0.2">
      <c r="J168" s="6"/>
      <c r="K168" s="6"/>
    </row>
    <row r="169" spans="1:11" ht="14.1" customHeight="1" x14ac:dyDescent="0.2">
      <c r="B169" s="4"/>
      <c r="J169" s="6"/>
      <c r="K169" s="6"/>
    </row>
    <row r="170" spans="1:11" ht="14.1" customHeight="1" x14ac:dyDescent="0.2">
      <c r="D170" s="15"/>
      <c r="E170" s="15"/>
      <c r="F170" s="15"/>
      <c r="G170" s="8"/>
      <c r="J170" s="6"/>
      <c r="K170" s="6"/>
    </row>
    <row r="171" spans="1:11" ht="14.1" customHeight="1" x14ac:dyDescent="0.2">
      <c r="D171" s="9"/>
      <c r="E171" s="9"/>
      <c r="F171" s="9"/>
      <c r="G171" s="8"/>
      <c r="K171" s="6"/>
    </row>
    <row r="172" spans="1:11" ht="14.1" customHeight="1" x14ac:dyDescent="0.2">
      <c r="D172" s="15"/>
      <c r="E172" s="15"/>
      <c r="F172" s="15"/>
      <c r="G172" s="8"/>
      <c r="K172" s="6"/>
    </row>
    <row r="173" spans="1:11" ht="14.1" customHeight="1" x14ac:dyDescent="0.2">
      <c r="D173" s="15"/>
      <c r="E173" s="15"/>
      <c r="F173" s="15"/>
      <c r="G173" s="8"/>
      <c r="K173" s="6"/>
    </row>
    <row r="175" spans="1:11" ht="14.1" customHeight="1" x14ac:dyDescent="0.2">
      <c r="B175" s="4"/>
    </row>
    <row r="179" spans="4:6" ht="14.1" customHeight="1" x14ac:dyDescent="0.2">
      <c r="D179" s="9"/>
      <c r="E179" s="9"/>
      <c r="F179" s="9"/>
    </row>
    <row r="180" spans="4:6" ht="14.1" customHeight="1" x14ac:dyDescent="0.2">
      <c r="D180" s="9"/>
      <c r="E180" s="9"/>
      <c r="F180" s="9"/>
    </row>
    <row r="182" spans="4:6" ht="14.1" customHeight="1" x14ac:dyDescent="0.2">
      <c r="D182" s="10"/>
      <c r="E182" s="10"/>
      <c r="F182" s="10"/>
    </row>
    <row r="185" spans="4:6" ht="14.1" customHeight="1" x14ac:dyDescent="0.2">
      <c r="D185" s="10"/>
      <c r="E185" s="10"/>
      <c r="F185" s="10"/>
    </row>
    <row r="193" spans="4:6" ht="14.1" customHeight="1" x14ac:dyDescent="0.2">
      <c r="D193" s="16"/>
      <c r="E193" s="16"/>
      <c r="F193" s="16"/>
    </row>
    <row r="194" spans="4:6" ht="14.1" customHeight="1" x14ac:dyDescent="0.2">
      <c r="D194" s="10"/>
      <c r="E194" s="10"/>
      <c r="F194" s="10"/>
    </row>
    <row r="195" spans="4:6" ht="14.1" customHeight="1" x14ac:dyDescent="0.2">
      <c r="D195" s="6"/>
      <c r="E195" s="6"/>
      <c r="F195" s="6"/>
    </row>
    <row r="210" spans="4:5" ht="14.1" customHeight="1" x14ac:dyDescent="0.2">
      <c r="D210" s="6"/>
      <c r="E210" s="6"/>
    </row>
    <row r="211" spans="4:5" ht="14.1" customHeight="1" x14ac:dyDescent="0.2">
      <c r="D211" s="6"/>
      <c r="E211" s="6"/>
    </row>
    <row r="229" spans="4:8" ht="14.1" customHeight="1" x14ac:dyDescent="0.2">
      <c r="H229" s="39"/>
    </row>
    <row r="230" spans="4:8" ht="14.1" customHeight="1" x14ac:dyDescent="0.2">
      <c r="H230" s="39"/>
    </row>
    <row r="231" spans="4:8" ht="14.1" customHeight="1" x14ac:dyDescent="0.2">
      <c r="H231" s="39"/>
    </row>
    <row r="232" spans="4:8" ht="14.1" customHeight="1" x14ac:dyDescent="0.2">
      <c r="H232" s="39"/>
    </row>
    <row r="237" spans="4:8" ht="14.1" customHeight="1" x14ac:dyDescent="0.2">
      <c r="G237" s="8"/>
    </row>
    <row r="238" spans="4:8" ht="14.1" customHeight="1" x14ac:dyDescent="0.2">
      <c r="D238" s="8"/>
      <c r="E238" s="8"/>
      <c r="G238" s="6"/>
    </row>
    <row r="239" spans="4:8" ht="14.1" customHeight="1" x14ac:dyDescent="0.2">
      <c r="D239" s="8"/>
      <c r="E239" s="8"/>
      <c r="G239" s="6"/>
    </row>
    <row r="240" spans="4:8" ht="14.1" customHeight="1" x14ac:dyDescent="0.2">
      <c r="D240" s="6"/>
      <c r="E240" s="6"/>
      <c r="G240" s="5"/>
    </row>
    <row r="241" spans="4:5" ht="14.1" customHeight="1" x14ac:dyDescent="0.2">
      <c r="D241" s="6"/>
      <c r="E241" s="6"/>
    </row>
    <row r="289" spans="10:14" ht="14.1" customHeight="1" x14ac:dyDescent="0.2">
      <c r="J289" s="17"/>
    </row>
    <row r="290" spans="10:14" ht="14.1" customHeight="1" x14ac:dyDescent="0.2">
      <c r="J290" s="18"/>
    </row>
    <row r="291" spans="10:14" ht="14.1" customHeight="1" x14ac:dyDescent="0.2">
      <c r="J291" s="18"/>
    </row>
    <row r="292" spans="10:14" ht="14.1" customHeight="1" x14ac:dyDescent="0.2">
      <c r="J292" s="18"/>
      <c r="K292" s="17"/>
      <c r="L292" s="8"/>
      <c r="M292" s="5"/>
    </row>
    <row r="293" spans="10:14" ht="14.1" customHeight="1" x14ac:dyDescent="0.2">
      <c r="J293" s="18"/>
      <c r="K293" s="18"/>
      <c r="L293" s="8"/>
      <c r="M293" s="5"/>
    </row>
    <row r="294" spans="10:14" ht="14.1" customHeight="1" x14ac:dyDescent="0.2">
      <c r="J294" s="18"/>
      <c r="K294" s="18"/>
      <c r="L294" s="18"/>
      <c r="M294" s="18"/>
    </row>
    <row r="295" spans="10:14" ht="14.1" customHeight="1" x14ac:dyDescent="0.2">
      <c r="J295" s="18"/>
      <c r="K295" s="18"/>
      <c r="L295" s="18"/>
      <c r="M295" s="18"/>
    </row>
    <row r="296" spans="10:14" ht="14.1" customHeight="1" x14ac:dyDescent="0.2">
      <c r="J296" s="18"/>
      <c r="K296" s="18"/>
      <c r="L296" s="18"/>
      <c r="M296" s="18"/>
    </row>
    <row r="297" spans="10:14" ht="14.1" customHeight="1" x14ac:dyDescent="0.2">
      <c r="J297" s="18"/>
      <c r="K297" s="18"/>
      <c r="L297" s="18"/>
      <c r="M297" s="18"/>
      <c r="N297" s="5"/>
    </row>
    <row r="298" spans="10:14" ht="14.1" customHeight="1" x14ac:dyDescent="0.2">
      <c r="J298" s="18"/>
      <c r="K298" s="18"/>
      <c r="L298" s="18"/>
      <c r="M298" s="18"/>
      <c r="N298" s="5"/>
    </row>
    <row r="299" spans="10:14" ht="14.1" customHeight="1" x14ac:dyDescent="0.2">
      <c r="J299" s="18"/>
      <c r="K299" s="18"/>
      <c r="L299" s="18"/>
      <c r="M299" s="18"/>
      <c r="N299" s="18"/>
    </row>
    <row r="300" spans="10:14" ht="14.1" customHeight="1" x14ac:dyDescent="0.2">
      <c r="J300" s="18"/>
      <c r="K300" s="18"/>
      <c r="L300" s="18"/>
      <c r="M300" s="18"/>
      <c r="N300" s="18"/>
    </row>
    <row r="301" spans="10:14" ht="14.1" customHeight="1" x14ac:dyDescent="0.2">
      <c r="J301" s="18"/>
      <c r="K301" s="18"/>
      <c r="L301" s="18"/>
      <c r="M301" s="18"/>
      <c r="N301" s="18"/>
    </row>
    <row r="302" spans="10:14" ht="14.1" customHeight="1" x14ac:dyDescent="0.2">
      <c r="J302" s="18"/>
      <c r="K302" s="18"/>
      <c r="L302" s="18"/>
      <c r="M302" s="18"/>
      <c r="N302" s="18"/>
    </row>
    <row r="303" spans="10:14" ht="14.1" customHeight="1" x14ac:dyDescent="0.2">
      <c r="J303" s="18"/>
      <c r="K303" s="18"/>
      <c r="L303" s="18"/>
      <c r="M303" s="18"/>
      <c r="N303" s="18"/>
    </row>
    <row r="304" spans="10:14" ht="14.1" customHeight="1" x14ac:dyDescent="0.2">
      <c r="J304" s="18"/>
      <c r="K304" s="18"/>
      <c r="L304" s="18"/>
      <c r="M304" s="18"/>
      <c r="N304" s="18"/>
    </row>
    <row r="305" spans="8:14" ht="14.1" customHeight="1" x14ac:dyDescent="0.2">
      <c r="J305" s="18"/>
      <c r="K305" s="18"/>
      <c r="L305" s="18"/>
      <c r="M305" s="18"/>
      <c r="N305" s="18"/>
    </row>
    <row r="306" spans="8:14" ht="14.1" customHeight="1" x14ac:dyDescent="0.2">
      <c r="J306" s="18"/>
      <c r="K306" s="18"/>
      <c r="L306" s="18"/>
      <c r="M306" s="18"/>
      <c r="N306" s="18"/>
    </row>
    <row r="307" spans="8:14" ht="14.1" customHeight="1" x14ac:dyDescent="0.2">
      <c r="J307" s="18"/>
      <c r="K307" s="18"/>
      <c r="L307" s="18"/>
      <c r="M307" s="18"/>
      <c r="N307" s="18"/>
    </row>
    <row r="308" spans="8:14" ht="14.1" customHeight="1" x14ac:dyDescent="0.2">
      <c r="J308" s="18"/>
      <c r="K308" s="18"/>
      <c r="L308" s="18"/>
      <c r="M308" s="18"/>
      <c r="N308" s="18"/>
    </row>
    <row r="309" spans="8:14" ht="14.1" customHeight="1" x14ac:dyDescent="0.2">
      <c r="J309" s="18"/>
      <c r="K309" s="18"/>
      <c r="L309" s="18"/>
      <c r="M309" s="18"/>
      <c r="N309" s="18"/>
    </row>
    <row r="310" spans="8:14" ht="14.1" customHeight="1" x14ac:dyDescent="0.2">
      <c r="J310" s="18"/>
      <c r="K310" s="18"/>
      <c r="L310" s="18"/>
      <c r="M310" s="18"/>
      <c r="N310" s="18"/>
    </row>
    <row r="311" spans="8:14" ht="14.1" customHeight="1" x14ac:dyDescent="0.2">
      <c r="J311" s="18"/>
      <c r="K311" s="18"/>
      <c r="L311" s="18"/>
      <c r="M311" s="18"/>
      <c r="N311" s="18"/>
    </row>
    <row r="312" spans="8:14" ht="14.1" customHeight="1" x14ac:dyDescent="0.2">
      <c r="J312" s="18"/>
      <c r="K312" s="18"/>
      <c r="L312" s="18"/>
      <c r="M312" s="18"/>
      <c r="N312" s="18"/>
    </row>
    <row r="313" spans="8:14" ht="14.1" customHeight="1" x14ac:dyDescent="0.2">
      <c r="J313" s="18"/>
      <c r="K313" s="18"/>
      <c r="L313" s="18"/>
      <c r="M313" s="18"/>
      <c r="N313" s="18"/>
    </row>
    <row r="314" spans="8:14" ht="14.1" customHeight="1" x14ac:dyDescent="0.2">
      <c r="J314" s="18"/>
      <c r="K314" s="18"/>
      <c r="L314" s="18"/>
      <c r="M314" s="18"/>
      <c r="N314" s="18"/>
    </row>
    <row r="315" spans="8:14" ht="14.1" customHeight="1" x14ac:dyDescent="0.2">
      <c r="J315" s="18"/>
      <c r="K315" s="18"/>
      <c r="L315" s="18"/>
      <c r="M315" s="18"/>
      <c r="N315" s="18"/>
    </row>
    <row r="316" spans="8:14" ht="14.1" customHeight="1" x14ac:dyDescent="0.2">
      <c r="H316" s="40"/>
      <c r="J316" s="18"/>
      <c r="K316" s="18"/>
      <c r="L316" s="18"/>
      <c r="M316" s="18"/>
      <c r="N316" s="18"/>
    </row>
    <row r="317" spans="8:14" ht="14.1" customHeight="1" x14ac:dyDescent="0.2">
      <c r="H317" s="41"/>
      <c r="J317" s="18"/>
      <c r="K317" s="18"/>
      <c r="L317" s="18"/>
      <c r="M317" s="18"/>
      <c r="N317" s="18"/>
    </row>
    <row r="318" spans="8:14" ht="14.1" customHeight="1" x14ac:dyDescent="0.2">
      <c r="H318" s="41"/>
      <c r="J318" s="18"/>
      <c r="K318" s="18"/>
      <c r="L318" s="18"/>
      <c r="M318" s="18"/>
      <c r="N318" s="18"/>
    </row>
    <row r="319" spans="8:14" ht="14.1" customHeight="1" x14ac:dyDescent="0.2">
      <c r="H319" s="41"/>
      <c r="J319" s="18"/>
      <c r="K319" s="18"/>
      <c r="L319" s="18"/>
      <c r="M319" s="18"/>
      <c r="N319" s="18"/>
    </row>
    <row r="320" spans="8:14" ht="14.1" customHeight="1" x14ac:dyDescent="0.2">
      <c r="H320" s="41"/>
      <c r="J320" s="18"/>
      <c r="K320" s="18"/>
      <c r="L320" s="18"/>
      <c r="M320" s="18"/>
      <c r="N320" s="18"/>
    </row>
    <row r="321" spans="4:14" ht="14.1" customHeight="1" x14ac:dyDescent="0.2">
      <c r="H321" s="41"/>
      <c r="J321" s="18"/>
      <c r="K321" s="18"/>
      <c r="L321" s="18"/>
      <c r="M321" s="18"/>
      <c r="N321" s="18"/>
    </row>
    <row r="322" spans="4:14" ht="14.1" customHeight="1" x14ac:dyDescent="0.2">
      <c r="H322" s="41"/>
      <c r="J322" s="18"/>
      <c r="K322" s="18"/>
      <c r="L322" s="18"/>
      <c r="M322" s="18"/>
      <c r="N322" s="18"/>
    </row>
    <row r="323" spans="4:14" ht="14.1" customHeight="1" x14ac:dyDescent="0.2">
      <c r="H323" s="41"/>
      <c r="J323" s="18"/>
      <c r="K323" s="18"/>
      <c r="L323" s="18"/>
      <c r="M323" s="18"/>
      <c r="N323" s="18"/>
    </row>
    <row r="324" spans="4:14" ht="14.1" customHeight="1" x14ac:dyDescent="0.2">
      <c r="G324" s="18"/>
      <c r="H324" s="41"/>
      <c r="J324" s="18"/>
      <c r="K324" s="18"/>
      <c r="L324" s="18"/>
      <c r="M324" s="18"/>
      <c r="N324" s="18"/>
    </row>
    <row r="325" spans="4:14" ht="14.1" customHeight="1" x14ac:dyDescent="0.2">
      <c r="D325" s="18"/>
      <c r="E325" s="18"/>
      <c r="G325" s="18"/>
      <c r="H325" s="41"/>
      <c r="J325" s="18"/>
      <c r="K325" s="18"/>
      <c r="L325" s="18"/>
      <c r="M325" s="18"/>
      <c r="N325" s="18"/>
    </row>
    <row r="326" spans="4:14" ht="14.1" customHeight="1" x14ac:dyDescent="0.2">
      <c r="D326" s="18"/>
      <c r="E326" s="18"/>
      <c r="G326" s="18"/>
      <c r="H326" s="41"/>
      <c r="J326" s="18"/>
      <c r="K326" s="18"/>
      <c r="L326" s="18"/>
      <c r="M326" s="18"/>
      <c r="N326" s="18"/>
    </row>
    <row r="327" spans="4:14" ht="14.1" customHeight="1" x14ac:dyDescent="0.2">
      <c r="D327" s="18"/>
      <c r="E327" s="18"/>
      <c r="G327" s="18"/>
      <c r="H327" s="41"/>
      <c r="J327" s="18"/>
      <c r="K327" s="18"/>
      <c r="L327" s="18"/>
      <c r="M327" s="18"/>
      <c r="N327" s="18"/>
    </row>
    <row r="328" spans="4:14" ht="14.1" customHeight="1" x14ac:dyDescent="0.2">
      <c r="D328" s="18"/>
      <c r="E328" s="18"/>
      <c r="G328" s="18"/>
      <c r="H328" s="41"/>
      <c r="J328" s="18"/>
      <c r="K328" s="18"/>
      <c r="L328" s="18"/>
      <c r="M328" s="18"/>
      <c r="N328" s="18"/>
    </row>
    <row r="329" spans="4:14" ht="14.1" customHeight="1" x14ac:dyDescent="0.2">
      <c r="D329" s="18"/>
      <c r="E329" s="18"/>
      <c r="G329" s="18"/>
      <c r="H329" s="41"/>
      <c r="J329" s="18"/>
      <c r="K329" s="18"/>
      <c r="L329" s="18"/>
      <c r="M329" s="18"/>
      <c r="N329" s="18"/>
    </row>
    <row r="330" spans="4:14" ht="14.1" customHeight="1" x14ac:dyDescent="0.2">
      <c r="D330" s="18"/>
      <c r="E330" s="18"/>
      <c r="G330" s="18"/>
      <c r="H330" s="41"/>
      <c r="J330" s="18"/>
      <c r="K330" s="18"/>
      <c r="L330" s="18"/>
      <c r="M330" s="18"/>
      <c r="N330" s="18"/>
    </row>
    <row r="331" spans="4:14" ht="14.1" customHeight="1" x14ac:dyDescent="0.2">
      <c r="D331" s="18"/>
      <c r="E331" s="18"/>
      <c r="G331" s="18"/>
      <c r="H331" s="41"/>
      <c r="J331" s="18"/>
      <c r="K331" s="18"/>
      <c r="L331" s="18"/>
      <c r="M331" s="18"/>
      <c r="N331" s="18"/>
    </row>
    <row r="332" spans="4:14" ht="14.1" customHeight="1" x14ac:dyDescent="0.2">
      <c r="D332" s="18"/>
      <c r="E332" s="18"/>
      <c r="G332" s="18"/>
      <c r="H332" s="41"/>
      <c r="J332" s="18"/>
      <c r="K332" s="18"/>
      <c r="L332" s="18"/>
      <c r="M332" s="18"/>
      <c r="N332" s="18"/>
    </row>
    <row r="333" spans="4:14" ht="14.1" customHeight="1" x14ac:dyDescent="0.2">
      <c r="D333" s="18"/>
      <c r="E333" s="18"/>
      <c r="G333" s="18"/>
      <c r="H333" s="41"/>
      <c r="J333" s="18"/>
      <c r="K333" s="18"/>
      <c r="L333" s="18"/>
      <c r="M333" s="18"/>
      <c r="N333" s="18"/>
    </row>
    <row r="334" spans="4:14" ht="14.1" customHeight="1" x14ac:dyDescent="0.2">
      <c r="D334" s="18"/>
      <c r="E334" s="18"/>
      <c r="G334" s="18"/>
      <c r="H334" s="41"/>
      <c r="J334" s="18"/>
      <c r="K334" s="18"/>
      <c r="L334" s="18"/>
      <c r="M334" s="18"/>
      <c r="N334" s="18"/>
    </row>
    <row r="335" spans="4:14" ht="14.1" customHeight="1" x14ac:dyDescent="0.2">
      <c r="D335" s="18"/>
      <c r="E335" s="18"/>
      <c r="G335" s="18"/>
      <c r="H335" s="41"/>
      <c r="J335" s="18"/>
      <c r="K335" s="18"/>
      <c r="L335" s="18"/>
      <c r="M335" s="18"/>
      <c r="N335" s="18"/>
    </row>
    <row r="336" spans="4:14" ht="14.1" customHeight="1" x14ac:dyDescent="0.2">
      <c r="D336" s="18"/>
      <c r="E336" s="18"/>
      <c r="G336" s="18"/>
      <c r="H336" s="41"/>
      <c r="J336" s="18"/>
      <c r="K336" s="18"/>
      <c r="L336" s="18"/>
      <c r="M336" s="18"/>
      <c r="N336" s="18"/>
    </row>
    <row r="337" spans="4:14" ht="14.1" customHeight="1" x14ac:dyDescent="0.2">
      <c r="D337" s="18"/>
      <c r="E337" s="18"/>
      <c r="G337" s="18"/>
      <c r="H337" s="41"/>
      <c r="J337" s="18"/>
      <c r="K337" s="18"/>
      <c r="L337" s="18"/>
      <c r="M337" s="18"/>
      <c r="N337" s="18"/>
    </row>
    <row r="338" spans="4:14" ht="14.1" customHeight="1" x14ac:dyDescent="0.2">
      <c r="D338" s="18"/>
      <c r="E338" s="18"/>
      <c r="G338" s="18"/>
      <c r="H338" s="41"/>
      <c r="J338" s="18"/>
      <c r="K338" s="18"/>
      <c r="L338" s="18"/>
      <c r="M338" s="18"/>
      <c r="N338" s="18"/>
    </row>
    <row r="339" spans="4:14" ht="14.1" customHeight="1" x14ac:dyDescent="0.2">
      <c r="D339" s="18"/>
      <c r="E339" s="18"/>
      <c r="G339" s="18"/>
      <c r="H339" s="41"/>
      <c r="J339" s="18"/>
      <c r="K339" s="18"/>
      <c r="L339" s="18"/>
      <c r="M339" s="18"/>
      <c r="N339" s="18"/>
    </row>
    <row r="340" spans="4:14" ht="14.1" customHeight="1" x14ac:dyDescent="0.2">
      <c r="D340" s="18"/>
      <c r="E340" s="18"/>
      <c r="G340" s="18"/>
      <c r="H340" s="41"/>
      <c r="J340" s="18"/>
      <c r="K340" s="18"/>
      <c r="L340" s="18"/>
      <c r="M340" s="18"/>
      <c r="N340" s="18"/>
    </row>
    <row r="341" spans="4:14" ht="14.1" customHeight="1" x14ac:dyDescent="0.2">
      <c r="D341" s="18"/>
      <c r="E341" s="18"/>
      <c r="G341" s="18"/>
      <c r="H341" s="41"/>
      <c r="J341" s="18"/>
      <c r="K341" s="18"/>
      <c r="L341" s="18"/>
      <c r="M341" s="18"/>
      <c r="N341" s="18"/>
    </row>
    <row r="342" spans="4:14" ht="14.1" customHeight="1" x14ac:dyDescent="0.2">
      <c r="D342" s="18"/>
      <c r="E342" s="18"/>
      <c r="G342" s="18"/>
      <c r="H342" s="41"/>
      <c r="J342" s="18"/>
      <c r="K342" s="18"/>
      <c r="L342" s="18"/>
      <c r="M342" s="18"/>
      <c r="N342" s="18"/>
    </row>
    <row r="343" spans="4:14" ht="14.1" customHeight="1" x14ac:dyDescent="0.2">
      <c r="D343" s="18"/>
      <c r="E343" s="18"/>
      <c r="G343" s="18"/>
      <c r="H343" s="41"/>
      <c r="J343" s="18"/>
      <c r="K343" s="18"/>
      <c r="L343" s="18"/>
      <c r="M343" s="18"/>
      <c r="N343" s="18"/>
    </row>
    <row r="344" spans="4:14" ht="14.1" customHeight="1" x14ac:dyDescent="0.2">
      <c r="D344" s="18"/>
      <c r="E344" s="18"/>
      <c r="G344" s="18"/>
      <c r="H344" s="41"/>
      <c r="J344" s="18"/>
      <c r="K344" s="18"/>
      <c r="L344" s="18"/>
      <c r="M344" s="18"/>
      <c r="N344" s="18"/>
    </row>
    <row r="345" spans="4:14" ht="14.1" customHeight="1" x14ac:dyDescent="0.2">
      <c r="D345" s="18"/>
      <c r="E345" s="18"/>
      <c r="G345" s="18"/>
      <c r="H345" s="41"/>
      <c r="K345" s="18"/>
      <c r="L345" s="18"/>
      <c r="M345" s="18"/>
      <c r="N345" s="18"/>
    </row>
    <row r="346" spans="4:14" ht="14.1" customHeight="1" x14ac:dyDescent="0.2">
      <c r="D346" s="18"/>
      <c r="E346" s="18"/>
      <c r="G346" s="18"/>
      <c r="H346" s="41"/>
      <c r="K346" s="18"/>
      <c r="L346" s="18"/>
      <c r="M346" s="18"/>
      <c r="N346" s="18"/>
    </row>
    <row r="347" spans="4:14" ht="14.1" customHeight="1" x14ac:dyDescent="0.2">
      <c r="D347" s="18"/>
      <c r="E347" s="18"/>
      <c r="G347" s="18"/>
      <c r="H347" s="41"/>
      <c r="K347" s="18"/>
      <c r="L347" s="18"/>
      <c r="M347" s="18"/>
      <c r="N347" s="18"/>
    </row>
    <row r="348" spans="4:14" ht="14.1" customHeight="1" x14ac:dyDescent="0.2">
      <c r="D348" s="18"/>
      <c r="E348" s="18"/>
      <c r="G348" s="18"/>
      <c r="H348" s="41"/>
      <c r="N348" s="18"/>
    </row>
    <row r="349" spans="4:14" ht="14.1" customHeight="1" x14ac:dyDescent="0.2">
      <c r="D349" s="18"/>
      <c r="E349" s="18"/>
      <c r="G349" s="18"/>
      <c r="H349" s="41"/>
      <c r="N349" s="18"/>
    </row>
    <row r="350" spans="4:14" ht="14.1" customHeight="1" x14ac:dyDescent="0.2">
      <c r="D350" s="18"/>
      <c r="E350" s="18"/>
      <c r="G350" s="18"/>
      <c r="H350" s="41"/>
      <c r="N350" s="18"/>
    </row>
    <row r="351" spans="4:14" ht="14.1" customHeight="1" x14ac:dyDescent="0.2">
      <c r="D351" s="18"/>
      <c r="E351" s="18"/>
      <c r="G351" s="18"/>
      <c r="H351" s="41"/>
      <c r="N351" s="18"/>
    </row>
    <row r="352" spans="4:14" ht="14.1" customHeight="1" x14ac:dyDescent="0.2">
      <c r="D352" s="18"/>
      <c r="E352" s="18"/>
      <c r="G352" s="18"/>
      <c r="H352" s="41"/>
      <c r="N352" s="18"/>
    </row>
    <row r="353" spans="4:8" ht="14.1" customHeight="1" x14ac:dyDescent="0.2">
      <c r="D353" s="18"/>
      <c r="E353" s="18"/>
      <c r="G353" s="18"/>
      <c r="H353" s="41"/>
    </row>
    <row r="354" spans="4:8" ht="14.1" customHeight="1" x14ac:dyDescent="0.2">
      <c r="D354" s="18"/>
      <c r="E354" s="18"/>
      <c r="G354" s="18"/>
      <c r="H354" s="41"/>
    </row>
    <row r="355" spans="4:8" ht="14.1" customHeight="1" x14ac:dyDescent="0.2">
      <c r="D355" s="18"/>
      <c r="E355" s="18"/>
      <c r="G355" s="18"/>
      <c r="H355" s="41"/>
    </row>
    <row r="356" spans="4:8" ht="14.1" customHeight="1" x14ac:dyDescent="0.2">
      <c r="D356" s="18"/>
      <c r="E356" s="18"/>
      <c r="G356" s="18"/>
      <c r="H356" s="41"/>
    </row>
    <row r="357" spans="4:8" ht="14.1" customHeight="1" x14ac:dyDescent="0.2">
      <c r="D357" s="18"/>
      <c r="E357" s="18"/>
      <c r="G357" s="18"/>
      <c r="H357" s="41"/>
    </row>
    <row r="358" spans="4:8" ht="14.1" customHeight="1" x14ac:dyDescent="0.2">
      <c r="D358" s="18"/>
      <c r="E358" s="18"/>
      <c r="G358" s="18"/>
      <c r="H358" s="41"/>
    </row>
    <row r="359" spans="4:8" ht="14.1" customHeight="1" x14ac:dyDescent="0.2">
      <c r="D359" s="18"/>
      <c r="E359" s="18"/>
      <c r="G359" s="18"/>
      <c r="H359" s="41"/>
    </row>
    <row r="360" spans="4:8" ht="14.1" customHeight="1" x14ac:dyDescent="0.2">
      <c r="D360" s="18"/>
      <c r="E360" s="18"/>
      <c r="G360" s="18"/>
      <c r="H360" s="41"/>
    </row>
    <row r="361" spans="4:8" ht="14.1" customHeight="1" x14ac:dyDescent="0.2">
      <c r="D361" s="18"/>
      <c r="E361" s="18"/>
      <c r="G361" s="18"/>
      <c r="H361" s="41"/>
    </row>
    <row r="362" spans="4:8" ht="14.1" customHeight="1" x14ac:dyDescent="0.2">
      <c r="D362" s="18"/>
      <c r="E362" s="18"/>
      <c r="G362" s="18"/>
      <c r="H362" s="41"/>
    </row>
    <row r="363" spans="4:8" ht="14.1" customHeight="1" x14ac:dyDescent="0.2">
      <c r="D363" s="18"/>
      <c r="E363" s="18"/>
      <c r="G363" s="18"/>
      <c r="H363" s="41"/>
    </row>
    <row r="364" spans="4:8" ht="14.1" customHeight="1" x14ac:dyDescent="0.2">
      <c r="D364" s="18"/>
      <c r="E364" s="18"/>
      <c r="G364" s="18"/>
      <c r="H364" s="41"/>
    </row>
    <row r="365" spans="4:8" ht="14.1" customHeight="1" x14ac:dyDescent="0.2">
      <c r="D365" s="18"/>
      <c r="E365" s="18"/>
      <c r="G365" s="18"/>
      <c r="H365" s="41"/>
    </row>
    <row r="366" spans="4:8" ht="14.1" customHeight="1" x14ac:dyDescent="0.2">
      <c r="D366" s="18"/>
      <c r="E366" s="18"/>
      <c r="G366" s="18"/>
      <c r="H366" s="41"/>
    </row>
    <row r="367" spans="4:8" ht="14.1" customHeight="1" x14ac:dyDescent="0.2">
      <c r="D367" s="18"/>
      <c r="E367" s="18"/>
      <c r="G367" s="18"/>
      <c r="H367" s="41"/>
    </row>
    <row r="368" spans="4:8" ht="14.1" customHeight="1" x14ac:dyDescent="0.2">
      <c r="D368" s="18"/>
      <c r="E368" s="18"/>
      <c r="G368" s="18"/>
      <c r="H368" s="41"/>
    </row>
    <row r="369" spans="4:8" ht="14.1" customHeight="1" x14ac:dyDescent="0.2">
      <c r="D369" s="18"/>
      <c r="E369" s="18"/>
      <c r="G369" s="18"/>
      <c r="H369" s="41"/>
    </row>
    <row r="370" spans="4:8" ht="14.1" customHeight="1" x14ac:dyDescent="0.2">
      <c r="D370" s="18"/>
      <c r="E370" s="18"/>
      <c r="G370" s="18"/>
      <c r="H370" s="41"/>
    </row>
    <row r="371" spans="4:8" ht="14.1" customHeight="1" x14ac:dyDescent="0.2">
      <c r="D371" s="18"/>
      <c r="E371" s="18"/>
      <c r="G371" s="18"/>
      <c r="H371" s="41"/>
    </row>
    <row r="372" spans="4:8" ht="14.1" customHeight="1" x14ac:dyDescent="0.2">
      <c r="D372" s="18"/>
      <c r="E372" s="18"/>
      <c r="G372" s="18"/>
    </row>
    <row r="373" spans="4:8" ht="14.1" customHeight="1" x14ac:dyDescent="0.2">
      <c r="D373" s="18"/>
      <c r="E373" s="18"/>
      <c r="G373" s="18"/>
    </row>
    <row r="374" spans="4:8" ht="14.1" customHeight="1" x14ac:dyDescent="0.2">
      <c r="D374" s="18"/>
      <c r="E374" s="18"/>
      <c r="G374" s="18"/>
    </row>
    <row r="375" spans="4:8" ht="14.1" customHeight="1" x14ac:dyDescent="0.2">
      <c r="D375" s="18"/>
      <c r="E375" s="18"/>
      <c r="G375" s="18"/>
    </row>
    <row r="376" spans="4:8" ht="14.1" customHeight="1" x14ac:dyDescent="0.2">
      <c r="D376" s="18"/>
      <c r="E376" s="18"/>
      <c r="G376" s="18"/>
    </row>
    <row r="377" spans="4:8" ht="14.1" customHeight="1" x14ac:dyDescent="0.2">
      <c r="D377" s="18"/>
      <c r="E377" s="18"/>
    </row>
    <row r="378" spans="4:8" ht="14.1" customHeight="1" x14ac:dyDescent="0.2">
      <c r="D378" s="18"/>
      <c r="E378" s="18"/>
    </row>
  </sheetData>
  <mergeCells count="30">
    <mergeCell ref="H8:H9"/>
    <mergeCell ref="B2:B3"/>
    <mergeCell ref="D5:D6"/>
    <mergeCell ref="C8:C9"/>
    <mergeCell ref="D8:F8"/>
    <mergeCell ref="G8:G9"/>
    <mergeCell ref="B84:B92"/>
    <mergeCell ref="A10:B10"/>
    <mergeCell ref="B14:B20"/>
    <mergeCell ref="A22:C22"/>
    <mergeCell ref="B42:B44"/>
    <mergeCell ref="B46:B48"/>
    <mergeCell ref="B50:B56"/>
    <mergeCell ref="B58:B64"/>
    <mergeCell ref="A66:C66"/>
    <mergeCell ref="B67:B69"/>
    <mergeCell ref="B71:B72"/>
    <mergeCell ref="B74:B82"/>
    <mergeCell ref="B94:B102"/>
    <mergeCell ref="A104:B104"/>
    <mergeCell ref="B105:B107"/>
    <mergeCell ref="B109:B113"/>
    <mergeCell ref="H110:H113"/>
    <mergeCell ref="J115:K115"/>
    <mergeCell ref="B116:B121"/>
    <mergeCell ref="I116:I122"/>
    <mergeCell ref="B123:B125"/>
    <mergeCell ref="B127:B130"/>
    <mergeCell ref="A115:B115"/>
    <mergeCell ref="G115:H115"/>
  </mergeCell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8"/>
  <sheetViews>
    <sheetView workbookViewId="0"/>
  </sheetViews>
  <sheetFormatPr defaultColWidth="10.85546875" defaultRowHeight="14.1" customHeight="1" x14ac:dyDescent="0.2"/>
  <cols>
    <col min="1" max="1" width="12.28515625" style="1" customWidth="1"/>
    <col min="2" max="2" width="18.85546875" style="1" customWidth="1"/>
    <col min="3" max="3" width="36.28515625" style="1" customWidth="1"/>
    <col min="4" max="4" width="16.28515625" style="1" customWidth="1"/>
    <col min="5" max="5" width="15.7109375" style="1" customWidth="1"/>
    <col min="6" max="6" width="14.28515625" style="1" customWidth="1"/>
    <col min="7" max="7" width="16" style="1" customWidth="1"/>
    <col min="8" max="8" width="60" style="48" customWidth="1"/>
    <col min="9" max="9" width="11.42578125" style="1" customWidth="1"/>
    <col min="10" max="12" width="10.85546875" style="1"/>
    <col min="13" max="14" width="10.85546875" style="1" customWidth="1"/>
    <col min="15" max="16384" width="10.85546875" style="1"/>
  </cols>
  <sheetData>
    <row r="1" spans="1:14" ht="14.1" customHeight="1" x14ac:dyDescent="0.2">
      <c r="K1" s="3"/>
    </row>
    <row r="2" spans="1:14" ht="14.1" customHeight="1" x14ac:dyDescent="0.2">
      <c r="B2" s="209" t="s">
        <v>101</v>
      </c>
      <c r="C2" s="63" t="s">
        <v>17</v>
      </c>
      <c r="D2" s="72">
        <f>D125</f>
        <v>49777.235448464766</v>
      </c>
      <c r="E2" s="72">
        <f>E125</f>
        <v>8930.5966026736824</v>
      </c>
      <c r="F2" s="73">
        <f>F125</f>
        <v>2966.8839586952431</v>
      </c>
      <c r="K2" s="3"/>
    </row>
    <row r="3" spans="1:14" ht="14.1" customHeight="1" x14ac:dyDescent="0.2">
      <c r="B3" s="209"/>
      <c r="C3" s="64" t="s">
        <v>180</v>
      </c>
      <c r="D3" s="67">
        <f>D130</f>
        <v>0.8590171714994026</v>
      </c>
      <c r="E3" s="68">
        <f>E130</f>
        <v>4.7879779932281865</v>
      </c>
      <c r="F3" s="69">
        <f>F130</f>
        <v>14.41225898798027</v>
      </c>
      <c r="K3" s="27"/>
      <c r="L3" s="27"/>
      <c r="M3" s="27"/>
      <c r="N3" s="27"/>
    </row>
    <row r="4" spans="1:14" ht="14.1" customHeight="1" x14ac:dyDescent="0.2">
      <c r="B4" s="190"/>
      <c r="C4" s="65" t="s">
        <v>182</v>
      </c>
      <c r="D4" s="70">
        <f>D128</f>
        <v>6.458775725559418E-2</v>
      </c>
      <c r="E4" s="70">
        <f>E128</f>
        <v>0.35999834535550279</v>
      </c>
      <c r="F4" s="71">
        <f>F128</f>
        <v>1.0836284953368625</v>
      </c>
      <c r="K4" s="27"/>
      <c r="L4" s="27"/>
      <c r="M4" s="27"/>
      <c r="N4" s="27"/>
    </row>
    <row r="5" spans="1:14" ht="14.1" customHeight="1" x14ac:dyDescent="0.2">
      <c r="C5" s="24"/>
      <c r="D5" s="210" t="s">
        <v>102</v>
      </c>
      <c r="E5" s="52"/>
      <c r="F5" s="53"/>
      <c r="G5" s="2"/>
      <c r="H5" s="22" t="s">
        <v>100</v>
      </c>
      <c r="I5" s="25"/>
      <c r="J5" s="25"/>
      <c r="K5" s="5"/>
      <c r="L5" s="7"/>
      <c r="M5" s="7"/>
      <c r="N5" s="7"/>
    </row>
    <row r="6" spans="1:14" ht="14.1" customHeight="1" x14ac:dyDescent="0.2">
      <c r="C6" s="24"/>
      <c r="D6" s="210"/>
      <c r="E6" s="13"/>
      <c r="F6" s="14"/>
      <c r="G6" s="21"/>
      <c r="H6" s="23" t="s">
        <v>271</v>
      </c>
      <c r="I6" s="25"/>
      <c r="J6" s="25"/>
      <c r="K6" s="28"/>
      <c r="L6" s="7"/>
      <c r="M6" s="7"/>
      <c r="N6" s="7"/>
    </row>
    <row r="7" spans="1:14" ht="14.1" customHeight="1" x14ac:dyDescent="0.2">
      <c r="I7" s="25"/>
      <c r="K7" s="28"/>
      <c r="L7" s="7"/>
      <c r="M7" s="7"/>
      <c r="N7" s="7"/>
    </row>
    <row r="8" spans="1:14" ht="14.1" customHeight="1" x14ac:dyDescent="0.2">
      <c r="B8" s="3"/>
      <c r="C8" s="213" t="s">
        <v>7</v>
      </c>
      <c r="D8" s="213" t="s">
        <v>9</v>
      </c>
      <c r="E8" s="214"/>
      <c r="F8" s="215"/>
      <c r="G8" s="215" t="s">
        <v>1</v>
      </c>
      <c r="H8" s="211" t="s">
        <v>0</v>
      </c>
      <c r="K8" s="28"/>
      <c r="L8" s="7"/>
      <c r="M8" s="7"/>
      <c r="N8" s="7"/>
    </row>
    <row r="9" spans="1:14" ht="14.1" customHeight="1" x14ac:dyDescent="0.2">
      <c r="A9" s="46"/>
      <c r="B9" s="46"/>
      <c r="C9" s="216"/>
      <c r="D9" s="74" t="s">
        <v>80</v>
      </c>
      <c r="E9" s="75" t="s">
        <v>98</v>
      </c>
      <c r="F9" s="76" t="s">
        <v>99</v>
      </c>
      <c r="G9" s="217"/>
      <c r="H9" s="212"/>
      <c r="K9" s="28"/>
      <c r="L9" s="7"/>
      <c r="M9" s="7"/>
      <c r="N9" s="7"/>
    </row>
    <row r="10" spans="1:14" ht="14.1" customHeight="1" x14ac:dyDescent="0.2">
      <c r="A10" s="218" t="s">
        <v>194</v>
      </c>
      <c r="B10" s="218"/>
      <c r="C10" s="43"/>
      <c r="D10" s="44"/>
      <c r="E10" s="44"/>
      <c r="F10" s="44"/>
      <c r="G10" s="43"/>
      <c r="H10" s="45"/>
      <c r="K10" s="28"/>
      <c r="L10" s="7"/>
      <c r="M10" s="7"/>
      <c r="N10" s="7"/>
    </row>
    <row r="11" spans="1:14" ht="14.1" customHeight="1" x14ac:dyDescent="0.2">
      <c r="A11" s="191"/>
      <c r="B11" s="191"/>
      <c r="C11" s="25" t="s">
        <v>128</v>
      </c>
      <c r="D11" s="77">
        <v>4.2500000000000003E-2</v>
      </c>
      <c r="E11" s="77">
        <v>4.2500000000000003E-2</v>
      </c>
      <c r="F11" s="77">
        <v>4.2500000000000003E-2</v>
      </c>
      <c r="G11" s="37" t="s">
        <v>129</v>
      </c>
      <c r="H11" s="37" t="s">
        <v>181</v>
      </c>
      <c r="K11" s="28"/>
      <c r="L11" s="7"/>
      <c r="M11" s="7"/>
      <c r="N11" s="7"/>
    </row>
    <row r="12" spans="1:14" ht="14.1" customHeight="1" x14ac:dyDescent="0.2">
      <c r="A12" s="191"/>
      <c r="B12" s="191"/>
      <c r="C12" s="43"/>
      <c r="D12" s="195"/>
      <c r="E12" s="195"/>
      <c r="F12" s="195"/>
      <c r="G12" s="103"/>
      <c r="H12" s="103"/>
      <c r="I12" s="1" t="s">
        <v>92</v>
      </c>
      <c r="K12" s="28"/>
      <c r="L12" s="7"/>
      <c r="M12" s="7"/>
      <c r="N12" s="7"/>
    </row>
    <row r="13" spans="1:14" ht="14.1" customHeight="1" x14ac:dyDescent="0.2">
      <c r="A13" s="191" t="s">
        <v>210</v>
      </c>
      <c r="B13" s="191"/>
      <c r="C13" s="43"/>
      <c r="D13" s="195"/>
      <c r="E13" s="195"/>
      <c r="F13" s="195"/>
      <c r="G13" s="103"/>
      <c r="H13" s="103"/>
      <c r="K13" s="28"/>
      <c r="L13" s="7"/>
      <c r="M13" s="7"/>
      <c r="N13" s="7"/>
    </row>
    <row r="14" spans="1:14" ht="14.1" customHeight="1" x14ac:dyDescent="0.2">
      <c r="B14" s="206" t="s">
        <v>118</v>
      </c>
      <c r="C14" s="33" t="s">
        <v>18</v>
      </c>
      <c r="D14" s="81">
        <f>0.85*E14</f>
        <v>0.54400000000000004</v>
      </c>
      <c r="E14" s="82">
        <v>0.64</v>
      </c>
      <c r="F14" s="83">
        <f>1.15*E14</f>
        <v>0.73599999999999999</v>
      </c>
      <c r="G14" s="48" t="s">
        <v>138</v>
      </c>
      <c r="H14" s="188" t="s">
        <v>279</v>
      </c>
      <c r="K14" s="28"/>
      <c r="L14" s="7"/>
      <c r="M14" s="7"/>
      <c r="N14" s="7"/>
    </row>
    <row r="15" spans="1:14" ht="14.1" customHeight="1" x14ac:dyDescent="0.2">
      <c r="B15" s="206"/>
      <c r="C15" s="59" t="s">
        <v>273</v>
      </c>
      <c r="D15" s="32">
        <v>300</v>
      </c>
      <c r="E15" s="32">
        <f>D15</f>
        <v>300</v>
      </c>
      <c r="F15" s="32">
        <f>D15</f>
        <v>300</v>
      </c>
      <c r="G15" s="112" t="s">
        <v>276</v>
      </c>
      <c r="H15" s="112" t="s">
        <v>275</v>
      </c>
      <c r="K15" s="28"/>
      <c r="L15" s="7"/>
      <c r="M15" s="7"/>
      <c r="N15" s="7"/>
    </row>
    <row r="16" spans="1:14" ht="14.1" customHeight="1" x14ac:dyDescent="0.2">
      <c r="B16" s="206"/>
      <c r="C16" s="59" t="s">
        <v>284</v>
      </c>
      <c r="D16" s="184">
        <f>1000/D15</f>
        <v>3.3333333333333335</v>
      </c>
      <c r="E16" s="184">
        <f t="shared" ref="E16:F16" si="0">1000/E15</f>
        <v>3.3333333333333335</v>
      </c>
      <c r="F16" s="184">
        <f t="shared" si="0"/>
        <v>3.3333333333333335</v>
      </c>
      <c r="G16" s="112" t="s">
        <v>138</v>
      </c>
      <c r="H16" s="112" t="s">
        <v>286</v>
      </c>
      <c r="K16" s="28"/>
      <c r="L16" s="7"/>
      <c r="M16" s="7"/>
      <c r="N16" s="7"/>
    </row>
    <row r="17" spans="1:14" ht="14.1" customHeight="1" x14ac:dyDescent="0.2">
      <c r="B17" s="206"/>
      <c r="C17" s="59" t="s">
        <v>285</v>
      </c>
      <c r="D17" s="107">
        <f>10000/D15</f>
        <v>33.333333333333336</v>
      </c>
      <c r="E17" s="107">
        <f t="shared" ref="E17:F17" si="1">10000/E15</f>
        <v>33.333333333333336</v>
      </c>
      <c r="F17" s="107">
        <f t="shared" si="1"/>
        <v>33.333333333333336</v>
      </c>
      <c r="G17" s="112" t="s">
        <v>138</v>
      </c>
      <c r="H17" s="112" t="s">
        <v>274</v>
      </c>
      <c r="K17" s="28"/>
      <c r="L17" s="7"/>
      <c r="M17" s="7"/>
      <c r="N17" s="7"/>
    </row>
    <row r="18" spans="1:14" ht="14.1" customHeight="1" x14ac:dyDescent="0.2">
      <c r="B18" s="206"/>
      <c r="C18" s="59" t="s">
        <v>287</v>
      </c>
      <c r="D18" s="107">
        <f>D16/D14</f>
        <v>6.1274509803921564</v>
      </c>
      <c r="E18" s="107">
        <f t="shared" ref="E18:F18" si="2">E16/E14</f>
        <v>5.208333333333333</v>
      </c>
      <c r="F18" s="107">
        <f t="shared" si="2"/>
        <v>4.5289855072463769</v>
      </c>
      <c r="G18" s="48" t="s">
        <v>12</v>
      </c>
      <c r="K18" s="28"/>
      <c r="L18" s="7"/>
      <c r="M18" s="7"/>
      <c r="N18" s="7"/>
    </row>
    <row r="19" spans="1:14" ht="14.1" customHeight="1" x14ac:dyDescent="0.2">
      <c r="B19" s="206"/>
      <c r="C19" s="59" t="s">
        <v>288</v>
      </c>
      <c r="D19" s="185">
        <f>D17/D14</f>
        <v>61.274509803921568</v>
      </c>
      <c r="E19" s="185">
        <f t="shared" ref="E19:F19" si="3">E17/E14</f>
        <v>52.083333333333336</v>
      </c>
      <c r="F19" s="185">
        <f t="shared" si="3"/>
        <v>45.289855072463773</v>
      </c>
      <c r="G19" s="48" t="s">
        <v>12</v>
      </c>
      <c r="K19" s="28"/>
      <c r="L19" s="7"/>
      <c r="M19" s="7"/>
      <c r="N19" s="7"/>
    </row>
    <row r="20" spans="1:14" ht="14.1" customHeight="1" x14ac:dyDescent="0.2">
      <c r="B20" s="206"/>
      <c r="C20" s="196" t="s">
        <v>119</v>
      </c>
      <c r="D20" s="108">
        <f>D28*D19+D29*D16</f>
        <v>37113.039215686273</v>
      </c>
      <c r="E20" s="108">
        <f>E28*E19+E29*E16</f>
        <v>31754.583333333336</v>
      </c>
      <c r="F20" s="108">
        <f>F28*F19+F29*F16</f>
        <v>32702.89855072464</v>
      </c>
      <c r="G20" s="116" t="s">
        <v>12</v>
      </c>
      <c r="H20" s="48" t="s">
        <v>211</v>
      </c>
      <c r="K20" s="28"/>
      <c r="L20" s="7"/>
      <c r="M20" s="7"/>
      <c r="N20" s="7"/>
    </row>
    <row r="21" spans="1:14" ht="14.1" customHeight="1" x14ac:dyDescent="0.2">
      <c r="B21" s="187"/>
      <c r="C21" s="187"/>
      <c r="D21" s="187"/>
      <c r="E21" s="187"/>
      <c r="F21" s="187"/>
      <c r="G21" s="187"/>
      <c r="K21" s="28"/>
      <c r="L21" s="7"/>
      <c r="M21" s="7"/>
      <c r="N21" s="7"/>
    </row>
    <row r="22" spans="1:14" ht="14.1" customHeight="1" x14ac:dyDescent="0.2">
      <c r="A22" s="218" t="s">
        <v>151</v>
      </c>
      <c r="B22" s="218"/>
      <c r="C22" s="218"/>
      <c r="D22" s="61"/>
      <c r="E22" s="61"/>
      <c r="F22" s="61"/>
      <c r="G22" s="48"/>
      <c r="K22" s="28"/>
      <c r="L22" s="7"/>
      <c r="M22" s="7"/>
      <c r="N22" s="7"/>
    </row>
    <row r="23" spans="1:14" ht="14.1" customHeight="1" x14ac:dyDescent="0.2">
      <c r="B23" s="187" t="s">
        <v>5</v>
      </c>
      <c r="C23" s="33" t="s">
        <v>10</v>
      </c>
      <c r="D23" s="60">
        <v>1000</v>
      </c>
      <c r="E23" s="60">
        <v>1000</v>
      </c>
      <c r="F23" s="60">
        <v>1000</v>
      </c>
      <c r="G23" s="192" t="s">
        <v>11</v>
      </c>
      <c r="H23" s="48" t="s">
        <v>195</v>
      </c>
      <c r="K23" s="28"/>
      <c r="L23" s="7"/>
      <c r="M23" s="7"/>
      <c r="N23" s="7"/>
    </row>
    <row r="24" spans="1:14" ht="14.1" customHeight="1" x14ac:dyDescent="0.2">
      <c r="B24" s="187"/>
      <c r="C24" s="33" t="s">
        <v>300</v>
      </c>
      <c r="D24" s="81">
        <f>E24</f>
        <v>0.58299999999999996</v>
      </c>
      <c r="E24" s="179">
        <v>0.58299999999999996</v>
      </c>
      <c r="F24" s="83">
        <v>0.7</v>
      </c>
      <c r="G24" s="192"/>
      <c r="K24" s="28"/>
      <c r="L24" s="7"/>
      <c r="M24" s="7"/>
      <c r="N24" s="7"/>
    </row>
    <row r="25" spans="1:14" ht="14.1" customHeight="1" x14ac:dyDescent="0.2">
      <c r="B25" s="187"/>
      <c r="C25" s="59" t="s">
        <v>20</v>
      </c>
      <c r="D25" s="204">
        <v>1</v>
      </c>
      <c r="E25" s="204">
        <v>1</v>
      </c>
      <c r="F25" s="204">
        <v>1</v>
      </c>
      <c r="G25" s="48" t="s">
        <v>302</v>
      </c>
      <c r="H25" s="112" t="s">
        <v>134</v>
      </c>
      <c r="K25" s="28"/>
      <c r="L25" s="7"/>
      <c r="M25" s="7"/>
      <c r="N25" s="7"/>
    </row>
    <row r="26" spans="1:14" ht="14.1" customHeight="1" x14ac:dyDescent="0.2">
      <c r="B26" s="187"/>
      <c r="C26" s="59" t="s">
        <v>19</v>
      </c>
      <c r="D26" s="204">
        <v>1</v>
      </c>
      <c r="E26" s="204">
        <v>1</v>
      </c>
      <c r="F26" s="204">
        <v>1</v>
      </c>
      <c r="G26" s="48" t="s">
        <v>302</v>
      </c>
      <c r="H26" s="112" t="s">
        <v>303</v>
      </c>
      <c r="K26" s="28"/>
      <c r="L26" s="7"/>
      <c r="M26" s="7"/>
      <c r="N26" s="7"/>
    </row>
    <row r="27" spans="1:14" ht="14.1" customHeight="1" x14ac:dyDescent="0.2">
      <c r="B27" s="187"/>
      <c r="C27" s="33" t="s">
        <v>301</v>
      </c>
      <c r="D27" s="81">
        <f>D24*D25*D26</f>
        <v>0.58299999999999996</v>
      </c>
      <c r="E27" s="179">
        <f>E24*E25*E26</f>
        <v>0.58299999999999996</v>
      </c>
      <c r="F27" s="83">
        <f>F24*F25*F26</f>
        <v>0.7</v>
      </c>
      <c r="G27" s="188" t="s">
        <v>196</v>
      </c>
      <c r="H27" s="112" t="s">
        <v>278</v>
      </c>
      <c r="K27" s="28"/>
      <c r="L27" s="7"/>
      <c r="M27" s="7"/>
      <c r="N27" s="7"/>
    </row>
    <row r="28" spans="1:14" ht="14.1" customHeight="1" x14ac:dyDescent="0.2">
      <c r="B28" s="187"/>
      <c r="C28" s="33" t="s">
        <v>2</v>
      </c>
      <c r="D28" s="78">
        <f>D23*D27</f>
        <v>583</v>
      </c>
      <c r="E28" s="78">
        <f>E23*E27</f>
        <v>583</v>
      </c>
      <c r="F28" s="78">
        <f>F23*F27</f>
        <v>700</v>
      </c>
      <c r="G28" s="48" t="s">
        <v>12</v>
      </c>
      <c r="K28" s="28"/>
      <c r="L28" s="7"/>
      <c r="M28" s="7"/>
      <c r="N28" s="7"/>
    </row>
    <row r="29" spans="1:14" ht="14.1" customHeight="1" x14ac:dyDescent="0.2">
      <c r="B29" s="187"/>
      <c r="C29" s="33" t="s">
        <v>3</v>
      </c>
      <c r="D29" s="60">
        <f>D23-(D23*D27)</f>
        <v>417</v>
      </c>
      <c r="E29" s="60">
        <f>E23-(E23*E27)</f>
        <v>417</v>
      </c>
      <c r="F29" s="60">
        <f>F23-(F23*F27)</f>
        <v>300</v>
      </c>
      <c r="G29" s="48" t="s">
        <v>12</v>
      </c>
      <c r="K29" s="28"/>
      <c r="L29" s="7"/>
      <c r="M29" s="7"/>
      <c r="N29" s="7"/>
    </row>
    <row r="30" spans="1:14" ht="14.1" customHeight="1" x14ac:dyDescent="0.2">
      <c r="B30" s="187"/>
      <c r="C30" s="33"/>
      <c r="D30" s="60"/>
      <c r="E30" s="60"/>
      <c r="F30" s="60"/>
      <c r="G30" s="48"/>
      <c r="K30" s="28"/>
      <c r="L30" s="7"/>
      <c r="M30" s="7"/>
      <c r="N30" s="7"/>
    </row>
    <row r="31" spans="1:14" ht="14.1" customHeight="1" x14ac:dyDescent="0.2">
      <c r="B31" s="187"/>
      <c r="C31" s="33" t="s">
        <v>4</v>
      </c>
      <c r="D31" s="81">
        <v>4.1000000000000002E-2</v>
      </c>
      <c r="E31" s="82">
        <v>0.08</v>
      </c>
      <c r="F31" s="83">
        <v>0.18</v>
      </c>
      <c r="G31" s="48" t="s">
        <v>203</v>
      </c>
      <c r="H31" s="38" t="s">
        <v>202</v>
      </c>
      <c r="I31" s="1" t="s">
        <v>92</v>
      </c>
      <c r="K31" s="28"/>
      <c r="L31" s="7"/>
      <c r="M31" s="7"/>
      <c r="N31" s="7"/>
    </row>
    <row r="32" spans="1:14" ht="14.1" customHeight="1" x14ac:dyDescent="0.2">
      <c r="B32" s="187"/>
      <c r="C32" s="33" t="s">
        <v>91</v>
      </c>
      <c r="D32" s="80">
        <f>E32</f>
        <v>0.80503144654088055</v>
      </c>
      <c r="E32" s="80">
        <f>1-(4/318)/(20/310)</f>
        <v>0.80503144654088055</v>
      </c>
      <c r="F32" s="80">
        <f>E32</f>
        <v>0.80503144654088055</v>
      </c>
      <c r="G32" s="48" t="s">
        <v>88</v>
      </c>
      <c r="H32" s="38" t="s">
        <v>104</v>
      </c>
      <c r="K32" s="28"/>
      <c r="L32" s="7"/>
      <c r="M32" s="7"/>
      <c r="N32" s="7"/>
    </row>
    <row r="33" spans="2:14" ht="14.1" customHeight="1" x14ac:dyDescent="0.2">
      <c r="B33" s="187"/>
      <c r="C33" s="60" t="s">
        <v>20</v>
      </c>
      <c r="D33" s="81">
        <v>0.9</v>
      </c>
      <c r="E33" s="82">
        <v>0.9</v>
      </c>
      <c r="F33" s="83">
        <v>1</v>
      </c>
      <c r="G33" s="48" t="s">
        <v>89</v>
      </c>
      <c r="H33" s="188" t="s">
        <v>87</v>
      </c>
      <c r="I33" s="1" t="s">
        <v>92</v>
      </c>
      <c r="K33" s="28"/>
      <c r="L33" s="7"/>
      <c r="M33" s="7"/>
      <c r="N33" s="7"/>
    </row>
    <row r="34" spans="2:14" ht="14.1" customHeight="1" x14ac:dyDescent="0.2">
      <c r="B34" s="187"/>
      <c r="C34" s="60" t="s">
        <v>19</v>
      </c>
      <c r="D34" s="81">
        <v>0.5</v>
      </c>
      <c r="E34" s="82">
        <v>0.6</v>
      </c>
      <c r="F34" s="83">
        <v>0.8</v>
      </c>
      <c r="G34" s="48" t="s">
        <v>89</v>
      </c>
      <c r="H34" s="188" t="s">
        <v>90</v>
      </c>
      <c r="K34" s="28"/>
      <c r="L34" s="7"/>
      <c r="M34" s="7"/>
      <c r="N34" s="7"/>
    </row>
    <row r="35" spans="2:14" ht="14.1" customHeight="1" x14ac:dyDescent="0.2">
      <c r="B35" s="187"/>
      <c r="C35" s="33" t="s">
        <v>15</v>
      </c>
      <c r="D35" s="84">
        <f>D32*D34*D33</f>
        <v>0.36226415094339626</v>
      </c>
      <c r="E35" s="84">
        <f>E32*E34*E33</f>
        <v>0.43471698113207546</v>
      </c>
      <c r="F35" s="84">
        <f>F32*F34*F33</f>
        <v>0.64402515723270448</v>
      </c>
      <c r="G35" s="48" t="s">
        <v>12</v>
      </c>
      <c r="H35" s="188"/>
      <c r="K35" s="28"/>
      <c r="L35" s="7"/>
      <c r="M35" s="7"/>
      <c r="N35" s="7"/>
    </row>
    <row r="36" spans="2:14" ht="14.1" customHeight="1" x14ac:dyDescent="0.2">
      <c r="B36" s="187"/>
      <c r="C36" s="33" t="s">
        <v>93</v>
      </c>
      <c r="D36" s="84">
        <f>(1-D35)*D31</f>
        <v>2.6147169811320755E-2</v>
      </c>
      <c r="E36" s="84">
        <f>(1-E35)*E31</f>
        <v>4.5222641509433961E-2</v>
      </c>
      <c r="F36" s="84">
        <f>(1-F35)*F31</f>
        <v>6.4075471698113187E-2</v>
      </c>
      <c r="G36" s="48" t="s">
        <v>12</v>
      </c>
      <c r="H36" s="188" t="s">
        <v>94</v>
      </c>
      <c r="K36" s="28"/>
      <c r="L36" s="7"/>
      <c r="M36" s="7"/>
      <c r="N36" s="7"/>
    </row>
    <row r="37" spans="2:14" ht="14.1" customHeight="1" x14ac:dyDescent="0.2">
      <c r="B37" s="187"/>
      <c r="C37" s="33"/>
      <c r="D37" s="60"/>
      <c r="E37" s="60"/>
      <c r="F37" s="60"/>
      <c r="G37" s="48"/>
      <c r="K37" s="28"/>
      <c r="L37" s="7"/>
      <c r="M37" s="7"/>
      <c r="N37" s="7"/>
    </row>
    <row r="38" spans="2:14" ht="14.1" customHeight="1" x14ac:dyDescent="0.2">
      <c r="B38" s="187"/>
      <c r="C38" s="33" t="s">
        <v>95</v>
      </c>
      <c r="D38" s="85">
        <f>D28*D36</f>
        <v>15.2438</v>
      </c>
      <c r="E38" s="85">
        <f>E28*E36</f>
        <v>26.364799999999999</v>
      </c>
      <c r="F38" s="85">
        <f>F28*F36</f>
        <v>44.852830188679228</v>
      </c>
      <c r="G38" s="48" t="s">
        <v>12</v>
      </c>
      <c r="K38" s="28"/>
      <c r="L38" s="7"/>
      <c r="M38" s="7"/>
      <c r="N38" s="7"/>
    </row>
    <row r="39" spans="2:14" ht="14.1" customHeight="1" x14ac:dyDescent="0.2">
      <c r="B39" s="187"/>
      <c r="C39" s="33" t="s">
        <v>96</v>
      </c>
      <c r="D39" s="85">
        <f>D29*D31</f>
        <v>17.097000000000001</v>
      </c>
      <c r="E39" s="85">
        <f>E29*E31</f>
        <v>33.36</v>
      </c>
      <c r="F39" s="85">
        <f>F29*F31</f>
        <v>54</v>
      </c>
      <c r="G39" s="48" t="s">
        <v>12</v>
      </c>
      <c r="K39" s="28"/>
      <c r="L39" s="7"/>
      <c r="M39" s="7"/>
      <c r="N39" s="7"/>
    </row>
    <row r="40" spans="2:14" ht="14.1" customHeight="1" x14ac:dyDescent="0.2">
      <c r="B40" s="187"/>
      <c r="C40" s="33" t="s">
        <v>97</v>
      </c>
      <c r="D40" s="85">
        <f>D38+D39</f>
        <v>32.340800000000002</v>
      </c>
      <c r="E40" s="85">
        <f>E38+E39</f>
        <v>59.724800000000002</v>
      </c>
      <c r="F40" s="85">
        <f>F38+F39</f>
        <v>98.852830188679235</v>
      </c>
      <c r="G40" s="48" t="s">
        <v>12</v>
      </c>
      <c r="K40" s="28"/>
      <c r="L40" s="7"/>
      <c r="M40" s="7"/>
      <c r="N40" s="7"/>
    </row>
    <row r="41" spans="2:14" ht="14.1" customHeight="1" x14ac:dyDescent="0.2">
      <c r="C41" s="33"/>
      <c r="D41" s="60"/>
      <c r="E41" s="60"/>
      <c r="F41" s="60"/>
      <c r="G41" s="48"/>
      <c r="K41" s="28"/>
      <c r="L41" s="7"/>
      <c r="M41" s="7"/>
      <c r="N41" s="7"/>
    </row>
    <row r="42" spans="2:14" ht="14.1" customHeight="1" x14ac:dyDescent="0.2">
      <c r="B42" s="206" t="s">
        <v>8</v>
      </c>
      <c r="C42" s="33" t="s">
        <v>10</v>
      </c>
      <c r="D42" s="60">
        <f>D23</f>
        <v>1000</v>
      </c>
      <c r="E42" s="60">
        <f>E23</f>
        <v>1000</v>
      </c>
      <c r="F42" s="60">
        <f>F23</f>
        <v>1000</v>
      </c>
      <c r="G42" s="192" t="str">
        <f>G23</f>
        <v>-</v>
      </c>
      <c r="H42" s="48" t="str">
        <f>H23</f>
        <v>Cancels out later in the logic. Do not change.</v>
      </c>
      <c r="K42" s="28"/>
      <c r="L42" s="7"/>
      <c r="M42" s="7"/>
      <c r="N42" s="7"/>
    </row>
    <row r="43" spans="2:14" ht="14.1" customHeight="1" x14ac:dyDescent="0.2">
      <c r="B43" s="206"/>
      <c r="C43" s="33" t="s">
        <v>4</v>
      </c>
      <c r="D43" s="60">
        <f>D31</f>
        <v>4.1000000000000002E-2</v>
      </c>
      <c r="E43" s="60">
        <f>E31</f>
        <v>0.08</v>
      </c>
      <c r="F43" s="60">
        <f>F31</f>
        <v>0.18</v>
      </c>
      <c r="G43" s="48" t="s">
        <v>21</v>
      </c>
      <c r="H43" s="188"/>
      <c r="K43" s="28"/>
      <c r="L43" s="7"/>
      <c r="M43" s="7"/>
      <c r="N43" s="7"/>
    </row>
    <row r="44" spans="2:14" ht="14.1" customHeight="1" x14ac:dyDescent="0.2">
      <c r="B44" s="206"/>
      <c r="C44" s="33" t="s">
        <v>205</v>
      </c>
      <c r="D44" s="60">
        <f>D43*D42</f>
        <v>41</v>
      </c>
      <c r="E44" s="60">
        <f>E43*E42</f>
        <v>80</v>
      </c>
      <c r="F44" s="60">
        <f>F43*F42</f>
        <v>180</v>
      </c>
      <c r="G44" s="48" t="s">
        <v>12</v>
      </c>
      <c r="K44" s="28"/>
      <c r="L44" s="7"/>
      <c r="M44" s="7"/>
      <c r="N44" s="7"/>
    </row>
    <row r="45" spans="2:14" ht="14.1" customHeight="1" x14ac:dyDescent="0.2">
      <c r="C45" s="61"/>
      <c r="D45" s="60"/>
      <c r="E45" s="60"/>
      <c r="F45" s="60"/>
      <c r="G45" s="48"/>
      <c r="K45" s="28"/>
      <c r="L45" s="7"/>
      <c r="M45" s="7"/>
      <c r="N45" s="7"/>
    </row>
    <row r="46" spans="2:14" ht="14.1" customHeight="1" x14ac:dyDescent="0.2">
      <c r="B46" s="206" t="s">
        <v>13</v>
      </c>
      <c r="C46" s="61" t="s">
        <v>206</v>
      </c>
      <c r="D46" s="85">
        <f>D44-D40</f>
        <v>8.6591999999999985</v>
      </c>
      <c r="E46" s="85">
        <f>E44-E40</f>
        <v>20.275199999999998</v>
      </c>
      <c r="F46" s="85">
        <f>F44-F40</f>
        <v>81.147169811320765</v>
      </c>
      <c r="G46" s="48" t="s">
        <v>12</v>
      </c>
      <c r="H46" s="48" t="s">
        <v>213</v>
      </c>
      <c r="K46" s="28"/>
      <c r="L46" s="7"/>
      <c r="M46" s="7"/>
      <c r="N46" s="7"/>
    </row>
    <row r="47" spans="2:14" ht="14.1" customHeight="1" x14ac:dyDescent="0.2">
      <c r="B47" s="206"/>
      <c r="C47" s="33" t="s">
        <v>16</v>
      </c>
      <c r="D47" s="86">
        <v>0.05</v>
      </c>
      <c r="E47" s="86">
        <v>0.05</v>
      </c>
      <c r="F47" s="79">
        <v>0.1</v>
      </c>
      <c r="G47" s="48" t="s">
        <v>209</v>
      </c>
      <c r="H47" s="112" t="s">
        <v>292</v>
      </c>
      <c r="K47" s="28"/>
      <c r="L47" s="7"/>
      <c r="M47" s="7"/>
      <c r="N47" s="7"/>
    </row>
    <row r="48" spans="2:14" ht="14.1" customHeight="1" x14ac:dyDescent="0.2">
      <c r="B48" s="206"/>
      <c r="C48" s="124" t="s">
        <v>120</v>
      </c>
      <c r="D48" s="125">
        <f>D46*D47</f>
        <v>0.43295999999999996</v>
      </c>
      <c r="E48" s="125">
        <f t="shared" ref="E48:F48" si="4">E46*E47</f>
        <v>1.01376</v>
      </c>
      <c r="F48" s="125">
        <f t="shared" si="4"/>
        <v>8.1147169811320765</v>
      </c>
      <c r="G48" s="188" t="s">
        <v>12</v>
      </c>
      <c r="K48" s="28"/>
      <c r="L48" s="7"/>
      <c r="M48" s="7"/>
      <c r="N48" s="7"/>
    </row>
    <row r="49" spans="2:14" ht="14.1" customHeight="1" x14ac:dyDescent="0.2">
      <c r="C49" s="61"/>
      <c r="D49" s="87"/>
      <c r="E49" s="87"/>
      <c r="F49" s="61"/>
      <c r="G49" s="48"/>
      <c r="K49" s="28"/>
      <c r="L49" s="7"/>
      <c r="M49" s="7"/>
      <c r="N49" s="7"/>
    </row>
    <row r="50" spans="2:14" ht="14.1" customHeight="1" x14ac:dyDescent="0.2">
      <c r="B50" s="206" t="s">
        <v>219</v>
      </c>
      <c r="C50" s="45" t="s">
        <v>103</v>
      </c>
      <c r="D50" s="109">
        <f>D20/D48</f>
        <v>85719.325609031497</v>
      </c>
      <c r="E50" s="109">
        <f>E20/E48</f>
        <v>31323.570996422561</v>
      </c>
      <c r="F50" s="109">
        <f>F20/F48</f>
        <v>4030.0725985593508</v>
      </c>
      <c r="G50" s="37" t="s">
        <v>12</v>
      </c>
      <c r="H50" s="37" t="s">
        <v>212</v>
      </c>
      <c r="K50" s="28"/>
      <c r="L50" s="7"/>
      <c r="M50" s="7"/>
      <c r="N50" s="7"/>
    </row>
    <row r="51" spans="2:14" ht="14.1" customHeight="1" x14ac:dyDescent="0.2">
      <c r="B51" s="206"/>
      <c r="C51" s="61"/>
      <c r="D51" s="88"/>
      <c r="E51" s="61"/>
      <c r="F51" s="61"/>
      <c r="G51" s="48"/>
    </row>
    <row r="52" spans="2:14" ht="14.1" customHeight="1" x14ac:dyDescent="0.2">
      <c r="B52" s="206"/>
      <c r="C52" s="62" t="s">
        <v>108</v>
      </c>
      <c r="D52" s="67">
        <v>0.6</v>
      </c>
      <c r="E52" s="67">
        <v>0.6</v>
      </c>
      <c r="F52" s="67">
        <v>0.6</v>
      </c>
      <c r="G52" s="38" t="s">
        <v>110</v>
      </c>
      <c r="H52" s="131" t="s">
        <v>124</v>
      </c>
    </row>
    <row r="53" spans="2:14" ht="14.1" customHeight="1" x14ac:dyDescent="0.2">
      <c r="B53" s="206"/>
      <c r="C53" s="62" t="s">
        <v>109</v>
      </c>
      <c r="D53" s="67">
        <v>0.09</v>
      </c>
      <c r="E53" s="67">
        <v>0.09</v>
      </c>
      <c r="F53" s="67">
        <v>0.09</v>
      </c>
      <c r="G53" s="38" t="s">
        <v>110</v>
      </c>
      <c r="H53" s="137"/>
    </row>
    <row r="54" spans="2:14" ht="14.1" customHeight="1" x14ac:dyDescent="0.2">
      <c r="B54" s="206"/>
      <c r="C54" s="62" t="s">
        <v>111</v>
      </c>
      <c r="D54" s="67">
        <f>D52-D53</f>
        <v>0.51</v>
      </c>
      <c r="E54" s="67">
        <f>E52-E53</f>
        <v>0.51</v>
      </c>
      <c r="F54" s="67">
        <f>F52-F53</f>
        <v>0.51</v>
      </c>
      <c r="G54" s="38" t="s">
        <v>12</v>
      </c>
      <c r="H54" s="137"/>
    </row>
    <row r="55" spans="2:14" ht="14.1" customHeight="1" x14ac:dyDescent="0.2">
      <c r="B55" s="206"/>
      <c r="C55" s="38" t="s">
        <v>218</v>
      </c>
      <c r="D55" s="67">
        <f>D48*D54</f>
        <v>0.22080959999999999</v>
      </c>
      <c r="E55" s="67">
        <f>E48*E54</f>
        <v>0.51701759999999997</v>
      </c>
      <c r="F55" s="67">
        <f>F48*F54</f>
        <v>4.1385056603773593</v>
      </c>
      <c r="G55" s="38" t="s">
        <v>12</v>
      </c>
      <c r="H55" s="137"/>
    </row>
    <row r="56" spans="2:14" ht="14.1" customHeight="1" x14ac:dyDescent="0.2">
      <c r="B56" s="206"/>
      <c r="C56" s="138" t="s">
        <v>112</v>
      </c>
      <c r="D56" s="139">
        <f>D20/D55</f>
        <v>168077.10903731664</v>
      </c>
      <c r="E56" s="139">
        <f>E20/E55</f>
        <v>61418.766659652087</v>
      </c>
      <c r="F56" s="139">
        <f>F20/F55</f>
        <v>7902.1031344300991</v>
      </c>
      <c r="G56" s="38" t="s">
        <v>12</v>
      </c>
      <c r="H56" s="131" t="s">
        <v>123</v>
      </c>
      <c r="I56" s="34"/>
    </row>
    <row r="57" spans="2:14" ht="14.1" customHeight="1" x14ac:dyDescent="0.2">
      <c r="B57" s="187"/>
      <c r="C57" s="61"/>
      <c r="D57" s="61"/>
      <c r="E57" s="61"/>
      <c r="F57" s="61"/>
      <c r="G57" s="48"/>
      <c r="H57" s="20"/>
      <c r="I57" s="42"/>
    </row>
    <row r="58" spans="2:14" ht="14.1" customHeight="1" x14ac:dyDescent="0.2">
      <c r="B58" s="224" t="s">
        <v>186</v>
      </c>
      <c r="C58" s="128" t="s">
        <v>113</v>
      </c>
      <c r="D58" s="129">
        <f>1-D52</f>
        <v>0.4</v>
      </c>
      <c r="E58" s="129">
        <f>1-E52</f>
        <v>0.4</v>
      </c>
      <c r="F58" s="129">
        <f>1-F52</f>
        <v>0.4</v>
      </c>
      <c r="G58" s="188" t="s">
        <v>114</v>
      </c>
      <c r="H58" s="130" t="s">
        <v>131</v>
      </c>
    </row>
    <row r="59" spans="2:14" ht="14.1" customHeight="1" x14ac:dyDescent="0.2">
      <c r="B59" s="224"/>
      <c r="C59" s="131" t="s">
        <v>132</v>
      </c>
      <c r="D59" s="49">
        <f>$G$122</f>
        <v>36.53</v>
      </c>
      <c r="E59" s="49">
        <f>$G$122</f>
        <v>36.53</v>
      </c>
      <c r="F59" s="49">
        <f>$G$122</f>
        <v>36.53</v>
      </c>
      <c r="G59" s="130" t="s">
        <v>221</v>
      </c>
      <c r="H59" s="130" t="s">
        <v>222</v>
      </c>
    </row>
    <row r="60" spans="2:14" ht="14.1" customHeight="1" x14ac:dyDescent="0.2">
      <c r="B60" s="224"/>
      <c r="C60" s="133" t="s">
        <v>116</v>
      </c>
      <c r="D60" s="81">
        <v>5.2999999999999999E-2</v>
      </c>
      <c r="E60" s="82">
        <v>5.2999999999999999E-2</v>
      </c>
      <c r="F60" s="83">
        <v>0.221</v>
      </c>
      <c r="G60" s="130" t="s">
        <v>117</v>
      </c>
      <c r="H60" s="130" t="s">
        <v>127</v>
      </c>
    </row>
    <row r="61" spans="2:14" ht="14.1" customHeight="1" x14ac:dyDescent="0.2">
      <c r="B61" s="224"/>
      <c r="C61" s="131" t="s">
        <v>220</v>
      </c>
      <c r="D61" s="134">
        <f>D58*D59*D60</f>
        <v>0.77443600000000012</v>
      </c>
      <c r="E61" s="134">
        <f>E58*E59*E60</f>
        <v>0.77443600000000012</v>
      </c>
      <c r="F61" s="134">
        <f>F58*F59*F60</f>
        <v>3.2292520000000002</v>
      </c>
      <c r="G61" s="188" t="s">
        <v>12</v>
      </c>
      <c r="H61" s="188" t="s">
        <v>226</v>
      </c>
    </row>
    <row r="62" spans="2:14" ht="14.1" customHeight="1" x14ac:dyDescent="0.2">
      <c r="B62" s="224"/>
      <c r="C62" s="131" t="s">
        <v>130</v>
      </c>
      <c r="D62" s="134" t="s">
        <v>125</v>
      </c>
      <c r="E62" s="134" t="s">
        <v>125</v>
      </c>
      <c r="F62" s="134" t="s">
        <v>125</v>
      </c>
      <c r="G62" s="188" t="s">
        <v>12</v>
      </c>
      <c r="H62" s="188" t="s">
        <v>126</v>
      </c>
    </row>
    <row r="63" spans="2:14" ht="14.1" customHeight="1" x14ac:dyDescent="0.2">
      <c r="B63" s="224"/>
      <c r="C63" s="133" t="s">
        <v>166</v>
      </c>
      <c r="D63" s="132">
        <f>D48*D61</f>
        <v>0.33529981056000002</v>
      </c>
      <c r="E63" s="132">
        <f>E48*E61</f>
        <v>0.78509223936000017</v>
      </c>
      <c r="F63" s="132">
        <f>F48*F61</f>
        <v>26.204466040754721</v>
      </c>
      <c r="G63" s="188" t="s">
        <v>12</v>
      </c>
      <c r="H63" s="188"/>
    </row>
    <row r="64" spans="2:14" ht="14.1" customHeight="1" x14ac:dyDescent="0.2">
      <c r="B64" s="224"/>
      <c r="C64" s="135" t="s">
        <v>115</v>
      </c>
      <c r="D64" s="136">
        <f>D50/D61</f>
        <v>110686.13237121141</v>
      </c>
      <c r="E64" s="136">
        <f>E50/E61</f>
        <v>40446.94590182088</v>
      </c>
      <c r="F64" s="136">
        <f>F50/F61</f>
        <v>1247.9895030054486</v>
      </c>
      <c r="G64" s="188" t="s">
        <v>12</v>
      </c>
      <c r="H64" s="188" t="s">
        <v>133</v>
      </c>
    </row>
    <row r="65" spans="1:9" ht="14.1" customHeight="1" x14ac:dyDescent="0.2">
      <c r="D65" s="61"/>
      <c r="E65" s="61"/>
      <c r="F65" s="61"/>
      <c r="G65" s="48"/>
    </row>
    <row r="66" spans="1:9" ht="14.1" customHeight="1" x14ac:dyDescent="0.2">
      <c r="A66" s="225" t="s">
        <v>150</v>
      </c>
      <c r="B66" s="225"/>
      <c r="C66" s="225"/>
      <c r="D66" s="61"/>
      <c r="E66" s="61"/>
      <c r="F66" s="61"/>
      <c r="G66" s="48"/>
    </row>
    <row r="67" spans="1:9" ht="14.1" customHeight="1" x14ac:dyDescent="0.2">
      <c r="A67" s="30"/>
      <c r="B67" s="226" t="s">
        <v>5</v>
      </c>
      <c r="C67" s="25" t="str">
        <f>C27</f>
        <v>Retention rate to delivery (adjusted)</v>
      </c>
      <c r="D67" s="89">
        <f>D27</f>
        <v>0.58299999999999996</v>
      </c>
      <c r="E67" s="89">
        <f>E27</f>
        <v>0.58299999999999996</v>
      </c>
      <c r="F67" s="89">
        <f>F27</f>
        <v>0.7</v>
      </c>
      <c r="G67" s="37" t="str">
        <f>G27</f>
        <v>"Summary of Key Program Statistics" New Incentives workbook, accessed 2016-23-08.</v>
      </c>
      <c r="H67" s="37" t="s">
        <v>137</v>
      </c>
    </row>
    <row r="68" spans="1:9" ht="14.1" customHeight="1" x14ac:dyDescent="0.2">
      <c r="A68" s="30"/>
      <c r="B68" s="226"/>
      <c r="C68" s="38" t="s">
        <v>227</v>
      </c>
      <c r="D68" s="96">
        <v>0</v>
      </c>
      <c r="E68" s="97">
        <v>0.08</v>
      </c>
      <c r="F68" s="98">
        <v>0.15</v>
      </c>
      <c r="G68" s="188" t="s">
        <v>138</v>
      </c>
      <c r="H68" s="38" t="s">
        <v>139</v>
      </c>
    </row>
    <row r="69" spans="1:9" ht="14.1" customHeight="1" x14ac:dyDescent="0.2">
      <c r="A69" s="30"/>
      <c r="B69" s="226"/>
      <c r="C69" s="62" t="s">
        <v>73</v>
      </c>
      <c r="D69" s="92">
        <f>(D67*1)+(1-D67)*D68</f>
        <v>0.58299999999999996</v>
      </c>
      <c r="E69" s="92">
        <f>(E67*1)+(1-E67)*E68</f>
        <v>0.61636000000000002</v>
      </c>
      <c r="F69" s="92">
        <f>(F67*1)+(1-F67)*F68</f>
        <v>0.745</v>
      </c>
      <c r="G69" s="38" t="s">
        <v>12</v>
      </c>
      <c r="H69" s="141"/>
    </row>
    <row r="70" spans="1:9" ht="14.1" customHeight="1" x14ac:dyDescent="0.2">
      <c r="C70" s="33"/>
      <c r="D70" s="61"/>
      <c r="E70" s="61"/>
      <c r="F70" s="61"/>
      <c r="G70" s="48"/>
    </row>
    <row r="71" spans="1:9" ht="14.1" customHeight="1" x14ac:dyDescent="0.2">
      <c r="A71" s="30"/>
      <c r="B71" s="226" t="s">
        <v>8</v>
      </c>
      <c r="C71" s="25" t="s">
        <v>72</v>
      </c>
      <c r="D71" s="90">
        <v>0.35</v>
      </c>
      <c r="E71" s="180">
        <v>0.27</v>
      </c>
      <c r="F71" s="90">
        <v>0.2</v>
      </c>
      <c r="G71" s="37" t="s">
        <v>229</v>
      </c>
      <c r="H71" s="35" t="s">
        <v>281</v>
      </c>
    </row>
    <row r="72" spans="1:9" ht="14.1" customHeight="1" x14ac:dyDescent="0.2">
      <c r="A72" s="30"/>
      <c r="B72" s="226"/>
      <c r="C72" s="38" t="s">
        <v>136</v>
      </c>
      <c r="D72" s="92">
        <f>(D71-(1-D67)*D68)/D67</f>
        <v>0.60034305317324188</v>
      </c>
      <c r="E72" s="92">
        <f>(E71-(1-E67)*E68)/E67</f>
        <v>0.4059005145797599</v>
      </c>
      <c r="F72" s="92">
        <f>(F71-(1-F67)*F68)/F67</f>
        <v>0.22142857142857145</v>
      </c>
      <c r="G72" s="38" t="s">
        <v>74</v>
      </c>
      <c r="H72" s="154" t="str">
        <f>CONCATENATE("This implies that the program increases FD by ",TEXT((E69-E72)/E72,"0%")," (",TEXT((E69-E72)*100,"0")," percentage points) for women retained.")</f>
        <v>This implies that the program increases FD by 52% (21 percentage points) for women retained.</v>
      </c>
    </row>
    <row r="73" spans="1:9" ht="14.1" customHeight="1" x14ac:dyDescent="0.2">
      <c r="C73" s="33"/>
      <c r="D73" s="61"/>
      <c r="E73" s="61"/>
      <c r="F73" s="61"/>
      <c r="G73" s="48"/>
    </row>
    <row r="74" spans="1:9" ht="14.1" customHeight="1" x14ac:dyDescent="0.2">
      <c r="B74" s="206" t="s">
        <v>39</v>
      </c>
      <c r="C74" s="62" t="s">
        <v>149</v>
      </c>
      <c r="D74" s="167">
        <v>3.9E-2</v>
      </c>
      <c r="E74" s="167">
        <v>3.9E-2</v>
      </c>
      <c r="F74" s="167">
        <v>3.9E-2</v>
      </c>
      <c r="G74" s="38" t="s">
        <v>45</v>
      </c>
      <c r="H74" s="35" t="s">
        <v>280</v>
      </c>
      <c r="I74" s="29"/>
    </row>
    <row r="75" spans="1:9" ht="14.1" customHeight="1" x14ac:dyDescent="0.2">
      <c r="B75" s="206"/>
      <c r="C75" s="37" t="s">
        <v>230</v>
      </c>
      <c r="D75" s="96">
        <v>0.1</v>
      </c>
      <c r="E75" s="97">
        <v>0.4</v>
      </c>
      <c r="F75" s="98">
        <v>0.45</v>
      </c>
      <c r="G75" s="38" t="s">
        <v>184</v>
      </c>
      <c r="H75" s="38" t="s">
        <v>183</v>
      </c>
    </row>
    <row r="76" spans="1:9" ht="14.1" customHeight="1" x14ac:dyDescent="0.2">
      <c r="A76" s="194"/>
      <c r="B76" s="206"/>
      <c r="C76" s="25" t="s">
        <v>20</v>
      </c>
      <c r="D76" s="205">
        <v>0.85</v>
      </c>
      <c r="E76" s="205">
        <v>0.85</v>
      </c>
      <c r="F76" s="205">
        <v>0.85</v>
      </c>
      <c r="G76" s="37" t="s">
        <v>236</v>
      </c>
      <c r="H76" s="35" t="s">
        <v>293</v>
      </c>
    </row>
    <row r="77" spans="1:9" ht="14.1" customHeight="1" x14ac:dyDescent="0.2">
      <c r="A77" s="194"/>
      <c r="B77" s="206"/>
      <c r="C77" s="25" t="s">
        <v>19</v>
      </c>
      <c r="D77" s="205">
        <v>0.45</v>
      </c>
      <c r="E77" s="205">
        <v>0.45</v>
      </c>
      <c r="F77" s="205">
        <v>0.45</v>
      </c>
      <c r="G77" s="37" t="s">
        <v>63</v>
      </c>
      <c r="H77" s="35" t="s">
        <v>294</v>
      </c>
    </row>
    <row r="78" spans="1:9" ht="14.1" customHeight="1" x14ac:dyDescent="0.2">
      <c r="A78" s="30"/>
      <c r="B78" s="206"/>
      <c r="C78" s="62" t="s">
        <v>140</v>
      </c>
      <c r="D78" s="91">
        <f>D74/(1-D$71*D75)</f>
        <v>4.0414507772020727E-2</v>
      </c>
      <c r="E78" s="91">
        <f>E74/(1-E$71*E75)</f>
        <v>4.3721973094170405E-2</v>
      </c>
      <c r="F78" s="91">
        <f>F74/(1-F$71*F75)</f>
        <v>4.2857142857142858E-2</v>
      </c>
      <c r="G78" s="37" t="s">
        <v>12</v>
      </c>
      <c r="H78" s="110" t="s">
        <v>237</v>
      </c>
    </row>
    <row r="79" spans="1:9" ht="14.1" customHeight="1" x14ac:dyDescent="0.2">
      <c r="A79" s="30"/>
      <c r="B79" s="206"/>
      <c r="C79" s="62" t="s">
        <v>141</v>
      </c>
      <c r="D79" s="91">
        <f>D78*(1-D75)</f>
        <v>3.6373056994818659E-2</v>
      </c>
      <c r="E79" s="91">
        <f>E78*(1-E75)</f>
        <v>2.6233183856502241E-2</v>
      </c>
      <c r="F79" s="91">
        <f>F78*(1-F75)</f>
        <v>2.3571428571428573E-2</v>
      </c>
      <c r="G79" s="37" t="s">
        <v>12</v>
      </c>
      <c r="H79" s="37"/>
    </row>
    <row r="80" spans="1:9" ht="14.1" customHeight="1" x14ac:dyDescent="0.2">
      <c r="A80" s="30"/>
      <c r="B80" s="206"/>
      <c r="C80" s="62" t="s">
        <v>62</v>
      </c>
      <c r="D80" s="93">
        <f>(D$69*D79)+(1-D$69)*D78</f>
        <v>3.8058341968911918E-2</v>
      </c>
      <c r="E80" s="93">
        <f>(E$69*E79)+(1-E$69)*E78</f>
        <v>3.2942582959641253E-2</v>
      </c>
      <c r="F80" s="93">
        <f>(F$69*F79)+(1-F$69)*F78</f>
        <v>2.8489285714285717E-2</v>
      </c>
      <c r="G80" s="37" t="s">
        <v>12</v>
      </c>
      <c r="H80" s="37"/>
    </row>
    <row r="81" spans="1:8" ht="14.1" customHeight="1" x14ac:dyDescent="0.2">
      <c r="A81" s="30"/>
      <c r="B81" s="206"/>
      <c r="C81" s="62" t="s">
        <v>143</v>
      </c>
      <c r="D81" s="66">
        <f>((D74*1000)-(D80*1000))*D76*D77</f>
        <v>0.3601841968911913</v>
      </c>
      <c r="E81" s="66">
        <f>((E74*1000)-(E80*1000))*E76*E77</f>
        <v>2.316962017937219</v>
      </c>
      <c r="F81" s="66">
        <f>((F74*1000)-(F80*1000))*F76*F77</f>
        <v>4.020348214285713</v>
      </c>
      <c r="G81" s="38" t="s">
        <v>12</v>
      </c>
      <c r="H81" s="38" t="s">
        <v>144</v>
      </c>
    </row>
    <row r="82" spans="1:8" ht="14.1" customHeight="1" x14ac:dyDescent="0.2">
      <c r="A82" s="30"/>
      <c r="B82" s="206"/>
      <c r="C82" s="196" t="s">
        <v>142</v>
      </c>
      <c r="D82" s="161">
        <f>D20/D81</f>
        <v>103039.05483920444</v>
      </c>
      <c r="E82" s="161">
        <f>E20/E81</f>
        <v>13705.267107315078</v>
      </c>
      <c r="F82" s="161">
        <f>F20/F81</f>
        <v>8134.3447899661342</v>
      </c>
      <c r="G82" s="162"/>
      <c r="H82" s="38"/>
    </row>
    <row r="83" spans="1:8" ht="14.1" customHeight="1" x14ac:dyDescent="0.2">
      <c r="A83" s="30"/>
      <c r="C83" s="194"/>
      <c r="D83" s="94"/>
      <c r="E83" s="94"/>
      <c r="F83" s="95"/>
      <c r="G83" s="103"/>
      <c r="H83" s="37"/>
    </row>
    <row r="84" spans="1:8" ht="14.1" customHeight="1" x14ac:dyDescent="0.2">
      <c r="A84" s="30"/>
      <c r="B84" s="224" t="s">
        <v>147</v>
      </c>
      <c r="C84" s="62" t="s">
        <v>148</v>
      </c>
      <c r="D84" s="167">
        <f t="shared" ref="D84:E84" si="5">58/6059</f>
        <v>9.5725367222313906E-3</v>
      </c>
      <c r="E84" s="167">
        <f t="shared" si="5"/>
        <v>9.5725367222313906E-3</v>
      </c>
      <c r="F84" s="167">
        <f>58/6059</f>
        <v>9.5725367222313906E-3</v>
      </c>
      <c r="G84" s="38" t="s">
        <v>243</v>
      </c>
      <c r="H84" s="35" t="s">
        <v>282</v>
      </c>
    </row>
    <row r="85" spans="1:8" ht="14.1" customHeight="1" x14ac:dyDescent="0.2">
      <c r="A85" s="30"/>
      <c r="B85" s="224"/>
      <c r="C85" s="38" t="s">
        <v>238</v>
      </c>
      <c r="D85" s="96">
        <v>0.1</v>
      </c>
      <c r="E85" s="97">
        <v>0.31</v>
      </c>
      <c r="F85" s="98">
        <v>0.45</v>
      </c>
      <c r="G85" s="38" t="s">
        <v>155</v>
      </c>
      <c r="H85" s="38" t="s">
        <v>156</v>
      </c>
    </row>
    <row r="86" spans="1:8" ht="14.1" customHeight="1" x14ac:dyDescent="0.2">
      <c r="A86" s="30"/>
      <c r="B86" s="224"/>
      <c r="C86" s="62" t="s">
        <v>20</v>
      </c>
      <c r="D86" s="96">
        <v>0.5</v>
      </c>
      <c r="E86" s="97">
        <v>0.6</v>
      </c>
      <c r="F86" s="98">
        <v>0.6</v>
      </c>
      <c r="G86" s="38" t="s">
        <v>152</v>
      </c>
      <c r="H86" s="38" t="s">
        <v>134</v>
      </c>
    </row>
    <row r="87" spans="1:8" ht="14.1" customHeight="1" x14ac:dyDescent="0.2">
      <c r="A87" s="30"/>
      <c r="B87" s="224"/>
      <c r="C87" s="62" t="s">
        <v>19</v>
      </c>
      <c r="D87" s="96">
        <v>0.5</v>
      </c>
      <c r="E87" s="97">
        <v>0.7</v>
      </c>
      <c r="F87" s="98">
        <v>0.7</v>
      </c>
      <c r="G87" s="38" t="s">
        <v>153</v>
      </c>
      <c r="H87" s="38" t="s">
        <v>135</v>
      </c>
    </row>
    <row r="88" spans="1:8" ht="14.1" customHeight="1" x14ac:dyDescent="0.2">
      <c r="A88" s="30"/>
      <c r="B88" s="224"/>
      <c r="C88" s="62" t="s">
        <v>157</v>
      </c>
      <c r="D88" s="91">
        <f>D84/(1-D$71*D85)</f>
        <v>9.9197271732967777E-3</v>
      </c>
      <c r="E88" s="91">
        <f>E84/(1-E$71*E85)</f>
        <v>1.044694611178805E-2</v>
      </c>
      <c r="F88" s="91">
        <f>F84/(1-F$71*F85)</f>
        <v>1.0519271123331198E-2</v>
      </c>
      <c r="G88" s="38" t="s">
        <v>12</v>
      </c>
      <c r="H88" s="38" t="s">
        <v>248</v>
      </c>
    </row>
    <row r="89" spans="1:8" ht="14.1" customHeight="1" x14ac:dyDescent="0.2">
      <c r="A89" s="30"/>
      <c r="B89" s="224"/>
      <c r="C89" s="62" t="s">
        <v>158</v>
      </c>
      <c r="D89" s="91">
        <f>D88*(1-D85)</f>
        <v>8.9277544559671004E-3</v>
      </c>
      <c r="E89" s="91">
        <f>E88*(1-E85)</f>
        <v>7.208392817133754E-3</v>
      </c>
      <c r="F89" s="91">
        <f>F88*(1-F85)</f>
        <v>5.7855991178321596E-3</v>
      </c>
      <c r="G89" s="38" t="s">
        <v>12</v>
      </c>
      <c r="H89" s="38"/>
    </row>
    <row r="90" spans="1:8" ht="14.1" customHeight="1" x14ac:dyDescent="0.2">
      <c r="A90" s="30"/>
      <c r="B90" s="224"/>
      <c r="C90" s="62" t="s">
        <v>159</v>
      </c>
      <c r="D90" s="163">
        <f>(D$69*D89)+(1-D$69)*D88</f>
        <v>9.3414070790935767E-3</v>
      </c>
      <c r="E90" s="163">
        <f>(E$69*E89)+(1-E$69)*E88</f>
        <v>8.4508314030949279E-3</v>
      </c>
      <c r="F90" s="163">
        <f>(F$69*F89)+(1-F$69)*F88</f>
        <v>6.9926854792344145E-3</v>
      </c>
      <c r="G90" s="38" t="s">
        <v>12</v>
      </c>
      <c r="H90" s="188"/>
    </row>
    <row r="91" spans="1:8" ht="14.1" customHeight="1" x14ac:dyDescent="0.2">
      <c r="A91" s="30"/>
      <c r="B91" s="224"/>
      <c r="C91" s="62" t="s">
        <v>160</v>
      </c>
      <c r="D91" s="164">
        <f>((D84*D23)-(D90*D23))*D86*D87</f>
        <v>5.7782410784453564E-2</v>
      </c>
      <c r="E91" s="164">
        <f>((E84*E23)-(E90*E23))*E86*E87</f>
        <v>0.47111623403731462</v>
      </c>
      <c r="F91" s="164">
        <f>((F84*F23)-(F90*F23))*F86*F87</f>
        <v>1.0835375220587298</v>
      </c>
      <c r="G91" s="38" t="s">
        <v>12</v>
      </c>
      <c r="H91" s="38" t="s">
        <v>144</v>
      </c>
    </row>
    <row r="92" spans="1:8" ht="14.1" customHeight="1" x14ac:dyDescent="0.2">
      <c r="A92" s="30"/>
      <c r="B92" s="224"/>
      <c r="C92" s="196" t="s">
        <v>161</v>
      </c>
      <c r="D92" s="165">
        <f>D20/D91</f>
        <v>642289.56029767427</v>
      </c>
      <c r="E92" s="165">
        <f>E20/E91</f>
        <v>67402.86375021885</v>
      </c>
      <c r="F92" s="165">
        <f>F20/F91</f>
        <v>30181.602284145061</v>
      </c>
      <c r="G92" s="162"/>
      <c r="H92" s="38"/>
    </row>
    <row r="93" spans="1:8" ht="14.1" customHeight="1" x14ac:dyDescent="0.2">
      <c r="C93" s="33"/>
      <c r="D93" s="61"/>
      <c r="E93" s="61"/>
      <c r="F93" s="61"/>
      <c r="G93" s="48"/>
    </row>
    <row r="94" spans="1:8" ht="14.1" customHeight="1" x14ac:dyDescent="0.2">
      <c r="A94" s="30"/>
      <c r="B94" s="226" t="s">
        <v>40</v>
      </c>
      <c r="C94" s="62" t="s">
        <v>71</v>
      </c>
      <c r="D94" s="91">
        <f>576/100000</f>
        <v>5.7600000000000004E-3</v>
      </c>
      <c r="E94" s="91">
        <f>576/100000</f>
        <v>5.7600000000000004E-3</v>
      </c>
      <c r="F94" s="91">
        <f>576/100000</f>
        <v>5.7600000000000004E-3</v>
      </c>
      <c r="G94" s="38" t="s">
        <v>162</v>
      </c>
      <c r="H94" s="37" t="s">
        <v>283</v>
      </c>
    </row>
    <row r="95" spans="1:8" ht="14.1" customHeight="1" x14ac:dyDescent="0.2">
      <c r="A95" s="30"/>
      <c r="B95" s="226"/>
      <c r="C95" s="37" t="s">
        <v>46</v>
      </c>
      <c r="D95" s="166">
        <v>0.01</v>
      </c>
      <c r="E95" s="97">
        <v>0.1</v>
      </c>
      <c r="F95" s="98">
        <v>0.3</v>
      </c>
      <c r="G95" s="104" t="s">
        <v>68</v>
      </c>
      <c r="H95" s="38" t="s">
        <v>251</v>
      </c>
    </row>
    <row r="96" spans="1:8" ht="14.1" customHeight="1" x14ac:dyDescent="0.2">
      <c r="B96" s="226"/>
      <c r="C96" s="25" t="s">
        <v>20</v>
      </c>
      <c r="D96" s="99">
        <v>0.5</v>
      </c>
      <c r="E96" s="100">
        <v>0.6</v>
      </c>
      <c r="F96" s="101">
        <v>0.7</v>
      </c>
      <c r="G96" s="37" t="s">
        <v>69</v>
      </c>
      <c r="H96" s="38" t="s">
        <v>134</v>
      </c>
    </row>
    <row r="97" spans="1:12" ht="14.1" customHeight="1" x14ac:dyDescent="0.2">
      <c r="A97" s="30"/>
      <c r="B97" s="226"/>
      <c r="C97" s="25" t="s">
        <v>19</v>
      </c>
      <c r="D97" s="99">
        <v>0.5</v>
      </c>
      <c r="E97" s="100">
        <v>0.6</v>
      </c>
      <c r="F97" s="101">
        <v>0.7</v>
      </c>
      <c r="G97" s="37" t="s">
        <v>69</v>
      </c>
      <c r="H97" s="38" t="s">
        <v>135</v>
      </c>
    </row>
    <row r="98" spans="1:12" ht="14.1" customHeight="1" x14ac:dyDescent="0.2">
      <c r="A98" s="30"/>
      <c r="B98" s="226"/>
      <c r="C98" s="38" t="s">
        <v>252</v>
      </c>
      <c r="D98" s="91">
        <f>D94/(1-D$71*D95)</f>
        <v>5.780230807827396E-3</v>
      </c>
      <c r="E98" s="91">
        <f>E94/(1-E$71*E95)</f>
        <v>5.9198355601233306E-3</v>
      </c>
      <c r="F98" s="91">
        <f>F94/(1-F$71*F95)</f>
        <v>6.1276595744680857E-3</v>
      </c>
      <c r="G98" s="38" t="s">
        <v>12</v>
      </c>
      <c r="H98" s="38" t="s">
        <v>248</v>
      </c>
    </row>
    <row r="99" spans="1:12" ht="14.1" customHeight="1" x14ac:dyDescent="0.2">
      <c r="A99" s="30"/>
      <c r="B99" s="226"/>
      <c r="C99" s="38" t="s">
        <v>253</v>
      </c>
      <c r="D99" s="91">
        <f>D98*(1-D95)</f>
        <v>5.7224284997491222E-3</v>
      </c>
      <c r="E99" s="91">
        <f>E98*(1-E95)</f>
        <v>5.3278520041109972E-3</v>
      </c>
      <c r="F99" s="91">
        <f>F98*(1-F95)</f>
        <v>4.28936170212766E-3</v>
      </c>
      <c r="G99" s="38" t="s">
        <v>12</v>
      </c>
      <c r="H99" s="188"/>
    </row>
    <row r="100" spans="1:12" ht="14.1" customHeight="1" x14ac:dyDescent="0.2">
      <c r="A100" s="30"/>
      <c r="B100" s="226"/>
      <c r="C100" s="62" t="s">
        <v>70</v>
      </c>
      <c r="D100" s="93">
        <f>(D$69*D99)+(1-D$69)*D98</f>
        <v>5.7465320622177626E-3</v>
      </c>
      <c r="E100" s="93">
        <f>(E$69*E99)+(1-E$69)*E98</f>
        <v>5.5549605755395685E-3</v>
      </c>
      <c r="F100" s="93">
        <f>(F$69*F99)+(1-F$69)*F98</f>
        <v>4.7581276595744688E-3</v>
      </c>
      <c r="G100" s="38" t="s">
        <v>12</v>
      </c>
      <c r="H100" s="38"/>
    </row>
    <row r="101" spans="1:12" ht="14.1" customHeight="1" x14ac:dyDescent="0.2">
      <c r="A101" s="30"/>
      <c r="B101" s="226"/>
      <c r="C101" s="62" t="s">
        <v>145</v>
      </c>
      <c r="D101" s="102">
        <f>((D94*D23)-(D100*D23))*D96*D97</f>
        <v>3.3669844455594955E-3</v>
      </c>
      <c r="E101" s="102">
        <f>((E94*E23)-(E100*E23))*E96*E97</f>
        <v>7.381419280575563E-2</v>
      </c>
      <c r="F101" s="102">
        <f>((F94*F23)-(F100*F23))*F96*F97</f>
        <v>0.49091744680851052</v>
      </c>
      <c r="G101" s="37"/>
      <c r="H101" s="38" t="s">
        <v>144</v>
      </c>
    </row>
    <row r="102" spans="1:12" ht="14.1" customHeight="1" x14ac:dyDescent="0.2">
      <c r="A102" s="11"/>
      <c r="B102" s="226"/>
      <c r="C102" s="196" t="s">
        <v>146</v>
      </c>
      <c r="D102" s="111">
        <f>D20/D101</f>
        <v>11022634.590614855</v>
      </c>
      <c r="E102" s="111">
        <f>E20/E101</f>
        <v>430196.17401895218</v>
      </c>
      <c r="F102" s="111">
        <f>F20/F101</f>
        <v>66615.881678943217</v>
      </c>
      <c r="G102" s="37"/>
      <c r="H102" s="37"/>
    </row>
    <row r="103" spans="1:12" ht="14.1" customHeight="1" x14ac:dyDescent="0.2">
      <c r="A103" s="11"/>
      <c r="B103" s="12"/>
      <c r="C103" s="33"/>
      <c r="D103" s="61"/>
      <c r="E103" s="61"/>
      <c r="F103" s="61"/>
      <c r="G103" s="48"/>
    </row>
    <row r="104" spans="1:12" ht="14.1" customHeight="1" x14ac:dyDescent="0.2">
      <c r="A104" s="208" t="s">
        <v>14</v>
      </c>
      <c r="B104" s="208"/>
      <c r="C104" s="25"/>
      <c r="D104" s="61"/>
      <c r="E104" s="61"/>
      <c r="F104" s="61"/>
      <c r="G104" s="37"/>
      <c r="H104" s="37"/>
    </row>
    <row r="105" spans="1:12" ht="14.1" customHeight="1" x14ac:dyDescent="0.25">
      <c r="B105" s="206" t="s">
        <v>254</v>
      </c>
      <c r="C105" s="114" t="s">
        <v>6</v>
      </c>
      <c r="D105" s="169">
        <f>2*E105</f>
        <v>1314.9</v>
      </c>
      <c r="E105" s="170">
        <f>1.8*365.25</f>
        <v>657.45</v>
      </c>
      <c r="F105" s="171">
        <v>500</v>
      </c>
      <c r="G105" s="188" t="s">
        <v>184</v>
      </c>
      <c r="H105" s="188" t="s">
        <v>257</v>
      </c>
      <c r="I105" s="29"/>
      <c r="K105" s="50"/>
      <c r="L105" s="50"/>
    </row>
    <row r="106" spans="1:12" ht="14.1" customHeight="1" x14ac:dyDescent="0.25">
      <c r="B106" s="206"/>
      <c r="C106" s="114" t="s">
        <v>164</v>
      </c>
      <c r="D106" s="168">
        <f>(1500-1000)/D15</f>
        <v>1.6666666666666667</v>
      </c>
      <c r="E106" s="168">
        <f>(1500-1000)/E15</f>
        <v>1.6666666666666667</v>
      </c>
      <c r="F106" s="168">
        <f>(1500-1000)/F15</f>
        <v>1.6666666666666667</v>
      </c>
      <c r="G106" s="38" t="s">
        <v>270</v>
      </c>
      <c r="H106" s="38" t="s">
        <v>173</v>
      </c>
      <c r="I106" s="29"/>
      <c r="K106" s="50"/>
      <c r="L106" s="50"/>
    </row>
    <row r="107" spans="1:12" ht="14.1" customHeight="1" x14ac:dyDescent="0.25">
      <c r="B107" s="206"/>
      <c r="C107" s="114" t="s">
        <v>266</v>
      </c>
      <c r="D107" s="168">
        <v>1.67</v>
      </c>
      <c r="E107" s="168">
        <v>1.67</v>
      </c>
      <c r="F107" s="168">
        <v>1.67</v>
      </c>
      <c r="G107" s="188" t="s">
        <v>68</v>
      </c>
      <c r="H107" s="188" t="s">
        <v>259</v>
      </c>
      <c r="I107" s="29"/>
      <c r="K107" s="50"/>
      <c r="L107" s="50"/>
    </row>
    <row r="108" spans="1:12" ht="14.1" customHeight="1" x14ac:dyDescent="0.25">
      <c r="C108" s="33"/>
      <c r="D108" s="61"/>
      <c r="E108" s="61"/>
      <c r="F108" s="61"/>
      <c r="G108" s="48"/>
      <c r="K108" s="50"/>
      <c r="L108" s="50"/>
    </row>
    <row r="109" spans="1:12" ht="14.1" customHeight="1" x14ac:dyDescent="0.25">
      <c r="B109" s="224" t="s">
        <v>163</v>
      </c>
      <c r="C109" s="33" t="s">
        <v>291</v>
      </c>
      <c r="D109" s="186">
        <f>LN(D105+D16)-LN(D105)</f>
        <v>2.5318392135709189E-3</v>
      </c>
      <c r="E109" s="186">
        <f>LN(E105+E16)-LN(E105)</f>
        <v>5.0572844025733588E-3</v>
      </c>
      <c r="F109" s="186">
        <f>LN(F105+F16)-LN(F105)</f>
        <v>6.6445427186687667E-3</v>
      </c>
      <c r="G109" s="188" t="s">
        <v>12</v>
      </c>
      <c r="K109" s="50"/>
      <c r="L109" s="50"/>
    </row>
    <row r="110" spans="1:12" ht="14.1" customHeight="1" x14ac:dyDescent="0.25">
      <c r="B110" s="224"/>
      <c r="C110" s="188" t="s">
        <v>289</v>
      </c>
      <c r="D110" s="172">
        <f>LN(D105+D16+D17-D106-D107)-LN(D105)</f>
        <v>2.5032003970306249E-2</v>
      </c>
      <c r="E110" s="172">
        <f>LN(E105+E16+E17-E106-E107)-LN(E105)</f>
        <v>4.9452678380699666E-2</v>
      </c>
      <c r="F110" s="172">
        <f>LN(F105+F16+F17-F106-F107)-LN(F105)</f>
        <v>6.453227111803983E-2</v>
      </c>
      <c r="G110" s="188" t="s">
        <v>12</v>
      </c>
      <c r="H110" s="207" t="s">
        <v>263</v>
      </c>
      <c r="K110" s="50"/>
      <c r="L110" s="50"/>
    </row>
    <row r="111" spans="1:12" ht="14.1" customHeight="1" x14ac:dyDescent="0.25">
      <c r="B111" s="224"/>
      <c r="C111" s="114" t="s">
        <v>290</v>
      </c>
      <c r="D111" s="129">
        <f>LN(D105+D16+D17-D106)-LN(D105)</f>
        <v>2.626989852190853E-2</v>
      </c>
      <c r="E111" s="129">
        <f>LN(E105+E16+E17-E106)-LN(E105)</f>
        <v>5.1867317755798226E-2</v>
      </c>
      <c r="F111" s="129">
        <f>LN(F105+F16+F17-F106)-LN(F105)</f>
        <v>6.7658648473814864E-2</v>
      </c>
      <c r="G111" s="188" t="s">
        <v>12</v>
      </c>
      <c r="H111" s="207"/>
      <c r="K111" s="50"/>
      <c r="L111" s="50"/>
    </row>
    <row r="112" spans="1:12" ht="14.1" customHeight="1" x14ac:dyDescent="0.25">
      <c r="B112" s="224"/>
      <c r="C112" s="114" t="s">
        <v>167</v>
      </c>
      <c r="D112" s="32">
        <f>1000*(D109*(1-D27)+D110*D27*D47+D111*D27*(1-D47))</f>
        <v>16.335043164152538</v>
      </c>
      <c r="E112" s="32">
        <f>1000*(E109*(1-E27)+E110*E27*E47+E111*E27*(1-E47))</f>
        <v>32.27714710971933</v>
      </c>
      <c r="F112" s="32">
        <f>1000*(F109*(1-F27)+F110*F27*F47+F111*F27*(1-F47))</f>
        <v>49.135570332366783</v>
      </c>
      <c r="G112" s="188" t="s">
        <v>12</v>
      </c>
      <c r="H112" s="207"/>
      <c r="K112" s="50"/>
      <c r="L112" s="50"/>
    </row>
    <row r="113" spans="1:12" ht="14.1" customHeight="1" x14ac:dyDescent="0.25">
      <c r="B113" s="224"/>
      <c r="C113" s="116" t="s">
        <v>265</v>
      </c>
      <c r="D113" s="173">
        <f>D20/D112</f>
        <v>2271.9890509460861</v>
      </c>
      <c r="E113" s="173">
        <f>E20/E112</f>
        <v>983.81010023563579</v>
      </c>
      <c r="F113" s="173">
        <f>F20/F112</f>
        <v>665.56464755599779</v>
      </c>
      <c r="G113" s="188"/>
      <c r="H113" s="207"/>
      <c r="K113" s="50"/>
      <c r="L113" s="50"/>
    </row>
    <row r="114" spans="1:12" ht="14.1" customHeight="1" x14ac:dyDescent="0.25">
      <c r="C114" s="33"/>
      <c r="D114" s="61"/>
      <c r="E114" s="61"/>
      <c r="F114" s="61"/>
      <c r="K114" s="50"/>
      <c r="L114" s="50"/>
    </row>
    <row r="115" spans="1:12" ht="14.1" customHeight="1" x14ac:dyDescent="0.25">
      <c r="A115" s="227" t="s">
        <v>165</v>
      </c>
      <c r="B115" s="227"/>
      <c r="C115" s="196"/>
      <c r="D115" s="140"/>
      <c r="E115" s="140"/>
      <c r="F115" s="140"/>
      <c r="G115" s="222" t="s">
        <v>185</v>
      </c>
      <c r="H115" s="223"/>
      <c r="I115" s="141"/>
      <c r="J115" s="219"/>
      <c r="K115" s="219"/>
      <c r="L115" s="50"/>
    </row>
    <row r="116" spans="1:12" ht="14.1" customHeight="1" x14ac:dyDescent="0.25">
      <c r="A116" s="196"/>
      <c r="B116" s="221" t="s">
        <v>170</v>
      </c>
      <c r="C116" s="62" t="str">
        <f>C55</f>
        <v>Under-5 HIV deaths averted /1,000 enrollees</v>
      </c>
      <c r="D116" s="67">
        <f>D55</f>
        <v>0.22080959999999999</v>
      </c>
      <c r="E116" s="67">
        <f>E55</f>
        <v>0.51701759999999997</v>
      </c>
      <c r="F116" s="67">
        <f>F55</f>
        <v>4.1385056603773593</v>
      </c>
      <c r="G116" s="197">
        <v>36.53</v>
      </c>
      <c r="H116" s="198" t="s">
        <v>298</v>
      </c>
      <c r="I116" s="228" t="s">
        <v>299</v>
      </c>
      <c r="J116" s="181"/>
      <c r="K116" s="50"/>
      <c r="L116" s="50"/>
    </row>
    <row r="117" spans="1:12" ht="14.1" customHeight="1" x14ac:dyDescent="0.25">
      <c r="A117" s="196"/>
      <c r="B117" s="221"/>
      <c r="C117" s="62" t="str">
        <f>C63</f>
        <v>DALYs averted per 1,000 enrollees</v>
      </c>
      <c r="D117" s="67">
        <f>D63</f>
        <v>0.33529981056000002</v>
      </c>
      <c r="E117" s="67">
        <f>E63</f>
        <v>0.78509223936000017</v>
      </c>
      <c r="F117" s="67">
        <f>F63</f>
        <v>26.204466040754721</v>
      </c>
      <c r="G117" s="174">
        <v>1</v>
      </c>
      <c r="H117" s="175" t="s">
        <v>168</v>
      </c>
      <c r="I117" s="228"/>
      <c r="J117" s="181"/>
      <c r="K117" s="50"/>
      <c r="L117" s="50"/>
    </row>
    <row r="118" spans="1:12" ht="14.1" customHeight="1" x14ac:dyDescent="0.25">
      <c r="A118" s="196"/>
      <c r="B118" s="221"/>
      <c r="C118" s="62" t="str">
        <f>C81</f>
        <v>Neonatal deaths averted per 1,000 enrollees</v>
      </c>
      <c r="D118" s="67">
        <f>D81</f>
        <v>0.3601841968911913</v>
      </c>
      <c r="E118" s="67">
        <f>E81</f>
        <v>2.316962017937219</v>
      </c>
      <c r="F118" s="67">
        <f>F81</f>
        <v>4.020348214285713</v>
      </c>
      <c r="G118" s="197">
        <f>G116*0.95</f>
        <v>34.703499999999998</v>
      </c>
      <c r="H118" s="175" t="s">
        <v>296</v>
      </c>
      <c r="I118" s="228"/>
      <c r="J118" s="181"/>
      <c r="K118" s="50"/>
      <c r="L118" s="50"/>
    </row>
    <row r="119" spans="1:12" ht="14.1" customHeight="1" x14ac:dyDescent="0.25">
      <c r="A119" s="196"/>
      <c r="B119" s="221"/>
      <c r="C119" s="62" t="str">
        <f>C91</f>
        <v>Stillbirths averted per 1,000 enrollees</v>
      </c>
      <c r="D119" s="67">
        <f>D91</f>
        <v>5.7782410784453564E-2</v>
      </c>
      <c r="E119" s="67">
        <f>E91</f>
        <v>0.47111623403731462</v>
      </c>
      <c r="F119" s="67">
        <f>F91</f>
        <v>1.0835375220587298</v>
      </c>
      <c r="G119" s="197">
        <f>G116*0.95</f>
        <v>34.703499999999998</v>
      </c>
      <c r="H119" s="198" t="s">
        <v>295</v>
      </c>
      <c r="I119" s="228"/>
      <c r="J119" s="181"/>
      <c r="K119" s="50"/>
      <c r="L119" s="50"/>
    </row>
    <row r="120" spans="1:12" ht="14.1" customHeight="1" x14ac:dyDescent="0.2">
      <c r="A120" s="196"/>
      <c r="B120" s="221"/>
      <c r="C120" s="62" t="str">
        <f>C101</f>
        <v>Maternal deaths averted per 1,000 enrollees</v>
      </c>
      <c r="D120" s="67">
        <f>D101</f>
        <v>3.3669844455594955E-3</v>
      </c>
      <c r="E120" s="67">
        <f>E101</f>
        <v>7.381419280575563E-2</v>
      </c>
      <c r="F120" s="67">
        <f>F101</f>
        <v>0.49091744680851052</v>
      </c>
      <c r="G120" s="197">
        <f>G116*2</f>
        <v>73.06</v>
      </c>
      <c r="H120" s="175" t="s">
        <v>268</v>
      </c>
      <c r="I120" s="228"/>
      <c r="J120" s="181"/>
    </row>
    <row r="121" spans="1:12" ht="14.1" customHeight="1" x14ac:dyDescent="0.2">
      <c r="A121" s="196"/>
      <c r="B121" s="221"/>
      <c r="C121" s="62" t="str">
        <f>C112</f>
        <v>Consumption benefit per 1,000 enrollees</v>
      </c>
      <c r="D121" s="67">
        <f t="shared" ref="D121:F121" si="6">D112</f>
        <v>16.335043164152538</v>
      </c>
      <c r="E121" s="67">
        <f t="shared" si="6"/>
        <v>32.27714710971933</v>
      </c>
      <c r="F121" s="67">
        <f t="shared" si="6"/>
        <v>49.135570332366783</v>
      </c>
      <c r="G121" s="197">
        <f>1/4</f>
        <v>0.25</v>
      </c>
      <c r="H121" s="176" t="s">
        <v>169</v>
      </c>
      <c r="I121" s="228"/>
      <c r="J121" s="181"/>
    </row>
    <row r="122" spans="1:12" ht="14.1" customHeight="1" x14ac:dyDescent="0.2">
      <c r="A122" s="196"/>
      <c r="B122" s="193"/>
      <c r="C122" s="114"/>
      <c r="D122" s="114"/>
      <c r="E122" s="114"/>
      <c r="F122" s="114"/>
      <c r="G122" s="177">
        <f>G116</f>
        <v>36.53</v>
      </c>
      <c r="H122" s="178" t="s">
        <v>272</v>
      </c>
      <c r="I122" s="228"/>
      <c r="J122" s="181"/>
    </row>
    <row r="123" spans="1:12" ht="14.1" customHeight="1" x14ac:dyDescent="0.2">
      <c r="A123" s="141"/>
      <c r="B123" s="220" t="s">
        <v>178</v>
      </c>
      <c r="C123" s="126" t="s">
        <v>171</v>
      </c>
      <c r="D123" s="144">
        <f>SUMPRODUCT(D116:D121,$G116:$G121)</f>
        <v>27.23613134266245</v>
      </c>
      <c r="E123" s="144">
        <f>SUMPRODUCT(E116:E121,$G116:$G121)</f>
        <v>129.88997048857658</v>
      </c>
      <c r="F123" s="145">
        <f>SUMPRODUCT(F116:F121,$G116:$G121)</f>
        <v>402.6570977124905</v>
      </c>
      <c r="G123" s="146"/>
      <c r="H123" s="141"/>
      <c r="I123" s="141"/>
    </row>
    <row r="124" spans="1:12" ht="14.1" customHeight="1" x14ac:dyDescent="0.2">
      <c r="A124" s="141"/>
      <c r="B124" s="220"/>
      <c r="C124" s="127" t="s">
        <v>172</v>
      </c>
      <c r="D124" s="147">
        <f>D123/$G$116</f>
        <v>0.74558257165788255</v>
      </c>
      <c r="E124" s="147">
        <f t="shared" ref="E124:F124" si="7">E123/$G$116</f>
        <v>3.5557068296900241</v>
      </c>
      <c r="F124" s="148">
        <f t="shared" si="7"/>
        <v>11.022641601765411</v>
      </c>
      <c r="G124" s="141"/>
      <c r="H124" s="149" t="s">
        <v>193</v>
      </c>
      <c r="I124" s="150"/>
    </row>
    <row r="125" spans="1:12" ht="14.1" customHeight="1" x14ac:dyDescent="0.2">
      <c r="A125" s="141"/>
      <c r="B125" s="220"/>
      <c r="C125" s="65" t="s">
        <v>17</v>
      </c>
      <c r="D125" s="151">
        <f>D20/D124</f>
        <v>49777.235448464766</v>
      </c>
      <c r="E125" s="151">
        <f>E20/E124</f>
        <v>8930.5966026736824</v>
      </c>
      <c r="F125" s="152">
        <f>F20/F124</f>
        <v>2966.8839586952431</v>
      </c>
      <c r="G125" s="141"/>
      <c r="H125" s="153" t="s">
        <v>187</v>
      </c>
      <c r="I125" s="154">
        <f t="shared" ref="I125:I130" si="8">(E116*G116)/$E$123</f>
        <v>0.14540501362005484</v>
      </c>
    </row>
    <row r="126" spans="1:12" ht="14.1" customHeight="1" x14ac:dyDescent="0.2">
      <c r="A126" s="141"/>
      <c r="B126" s="155"/>
      <c r="C126" s="62"/>
      <c r="D126" s="156"/>
      <c r="E126" s="156"/>
      <c r="F126" s="156"/>
      <c r="G126" s="141"/>
      <c r="H126" s="153" t="s">
        <v>188</v>
      </c>
      <c r="I126" s="154">
        <f t="shared" si="8"/>
        <v>6.0442868406767915E-3</v>
      </c>
    </row>
    <row r="127" spans="1:12" ht="14.1" customHeight="1" x14ac:dyDescent="0.2">
      <c r="A127" s="141"/>
      <c r="B127" s="220" t="s">
        <v>179</v>
      </c>
      <c r="C127" s="126" t="s">
        <v>176</v>
      </c>
      <c r="D127" s="199">
        <v>3215</v>
      </c>
      <c r="E127" s="199">
        <v>3215</v>
      </c>
      <c r="F127" s="199">
        <v>3215</v>
      </c>
      <c r="G127" s="200" t="s">
        <v>297</v>
      </c>
      <c r="H127" s="153" t="s">
        <v>189</v>
      </c>
      <c r="I127" s="154">
        <f t="shared" si="8"/>
        <v>0.61903695171411099</v>
      </c>
    </row>
    <row r="128" spans="1:12" ht="14.1" customHeight="1" x14ac:dyDescent="0.2">
      <c r="A128" s="141"/>
      <c r="B128" s="220"/>
      <c r="C128" s="64" t="s">
        <v>175</v>
      </c>
      <c r="D128" s="157">
        <f>D127/D125</f>
        <v>6.458775725559418E-2</v>
      </c>
      <c r="E128" s="157">
        <f>E127/E125</f>
        <v>0.35999834535550279</v>
      </c>
      <c r="F128" s="158">
        <f>F127/F125</f>
        <v>1.0836284953368625</v>
      </c>
      <c r="G128" s="141"/>
      <c r="H128" s="153" t="s">
        <v>190</v>
      </c>
      <c r="I128" s="154">
        <f t="shared" si="8"/>
        <v>0.1258710134925454</v>
      </c>
    </row>
    <row r="129" spans="1:9" ht="14.1" customHeight="1" x14ac:dyDescent="0.2">
      <c r="A129" s="141"/>
      <c r="B129" s="220"/>
      <c r="C129" s="127" t="s">
        <v>177</v>
      </c>
      <c r="D129" s="202">
        <v>13.3</v>
      </c>
      <c r="E129" s="202">
        <v>13.3</v>
      </c>
      <c r="F129" s="202">
        <v>13.3</v>
      </c>
      <c r="G129" s="200" t="s">
        <v>297</v>
      </c>
      <c r="H129" s="153" t="s">
        <v>191</v>
      </c>
      <c r="I129" s="154">
        <f t="shared" si="8"/>
        <v>4.1518717004118438E-2</v>
      </c>
    </row>
    <row r="130" spans="1:9" ht="14.1" customHeight="1" x14ac:dyDescent="0.2">
      <c r="A130" s="141"/>
      <c r="B130" s="220"/>
      <c r="C130" s="65" t="s">
        <v>174</v>
      </c>
      <c r="D130" s="159">
        <f>(D127*D129)/D125</f>
        <v>0.8590171714994026</v>
      </c>
      <c r="E130" s="159">
        <f t="shared" ref="E130:F130" si="9">(E127*E129)/E125</f>
        <v>4.7879779932281865</v>
      </c>
      <c r="F130" s="160">
        <f t="shared" si="9"/>
        <v>14.41225898798027</v>
      </c>
      <c r="G130" s="141"/>
      <c r="H130" s="153" t="s">
        <v>192</v>
      </c>
      <c r="I130" s="154">
        <f t="shared" si="8"/>
        <v>6.2124017328493437E-2</v>
      </c>
    </row>
    <row r="131" spans="1:9" ht="14.1" customHeight="1" x14ac:dyDescent="0.2">
      <c r="H131" s="39"/>
    </row>
    <row r="132" spans="1:9" ht="14.1" customHeight="1" x14ac:dyDescent="0.2">
      <c r="D132" s="48"/>
      <c r="E132" s="48"/>
      <c r="F132" s="48"/>
    </row>
    <row r="133" spans="1:9" ht="14.1" customHeight="1" x14ac:dyDescent="0.2">
      <c r="C133" s="189"/>
      <c r="D133" s="48"/>
      <c r="E133" s="48"/>
      <c r="F133" s="48"/>
    </row>
    <row r="134" spans="1:9" ht="14.1" customHeight="1" x14ac:dyDescent="0.2">
      <c r="C134" s="48"/>
      <c r="D134" s="48"/>
      <c r="E134" s="48"/>
      <c r="F134" s="48"/>
    </row>
    <row r="135" spans="1:9" ht="14.1" customHeight="1" x14ac:dyDescent="0.2">
      <c r="C135" s="48"/>
      <c r="D135" s="48"/>
      <c r="E135" s="48"/>
      <c r="F135" s="48"/>
    </row>
    <row r="136" spans="1:9" ht="14.1" customHeight="1" x14ac:dyDescent="0.2">
      <c r="C136" s="48"/>
      <c r="D136" s="48"/>
      <c r="E136" s="48"/>
      <c r="F136" s="48"/>
    </row>
    <row r="137" spans="1:9" ht="14.1" customHeight="1" x14ac:dyDescent="0.2">
      <c r="C137" s="48"/>
      <c r="D137" s="48"/>
      <c r="E137" s="48"/>
      <c r="F137" s="48"/>
    </row>
    <row r="138" spans="1:9" ht="14.1" customHeight="1" x14ac:dyDescent="0.2">
      <c r="C138" s="48"/>
      <c r="D138" s="48"/>
      <c r="E138" s="48"/>
      <c r="F138" s="48"/>
    </row>
    <row r="139" spans="1:9" ht="14.1" customHeight="1" x14ac:dyDescent="0.2">
      <c r="A139" s="48"/>
      <c r="C139" s="48"/>
      <c r="D139" s="48"/>
      <c r="E139" s="48"/>
      <c r="F139" s="48"/>
    </row>
    <row r="140" spans="1:9" ht="14.1" customHeight="1" x14ac:dyDescent="0.2">
      <c r="A140" s="48"/>
      <c r="B140" s="48"/>
      <c r="C140" s="48"/>
      <c r="D140" s="48"/>
      <c r="E140" s="48"/>
      <c r="F140" s="48"/>
      <c r="G140" s="48"/>
    </row>
    <row r="141" spans="1:9" ht="14.1" customHeight="1" x14ac:dyDescent="0.2">
      <c r="A141" s="48"/>
      <c r="B141" s="48"/>
      <c r="C141" s="48"/>
      <c r="D141" s="48"/>
      <c r="E141" s="48"/>
      <c r="F141" s="48"/>
      <c r="G141" s="48"/>
    </row>
    <row r="142" spans="1:9" ht="14.1" customHeight="1" x14ac:dyDescent="0.2">
      <c r="A142" s="48"/>
      <c r="B142" s="48"/>
      <c r="C142" s="48"/>
      <c r="D142" s="48"/>
      <c r="E142" s="48"/>
      <c r="F142" s="48"/>
      <c r="G142" s="48"/>
    </row>
    <row r="143" spans="1:9" ht="14.1" customHeight="1" x14ac:dyDescent="0.2">
      <c r="A143" s="48"/>
      <c r="B143" s="48"/>
      <c r="C143" s="48"/>
      <c r="D143" s="48"/>
      <c r="E143" s="48"/>
      <c r="F143" s="48"/>
      <c r="G143" s="48"/>
    </row>
    <row r="144" spans="1:9" ht="14.1" customHeight="1" x14ac:dyDescent="0.2">
      <c r="A144" s="48"/>
      <c r="B144" s="48"/>
      <c r="C144" s="48"/>
      <c r="D144" s="48"/>
      <c r="E144" s="48"/>
      <c r="F144" s="48"/>
      <c r="G144" s="48"/>
    </row>
    <row r="145" spans="1:7" ht="14.1" customHeight="1" x14ac:dyDescent="0.2">
      <c r="A145" s="48"/>
      <c r="B145" s="48"/>
      <c r="C145" s="48"/>
      <c r="D145" s="48"/>
      <c r="E145" s="48"/>
      <c r="F145" s="48"/>
      <c r="G145" s="48"/>
    </row>
    <row r="146" spans="1:7" ht="14.1" customHeight="1" x14ac:dyDescent="0.2">
      <c r="A146" s="48"/>
      <c r="B146" s="48"/>
      <c r="C146" s="48"/>
      <c r="D146" s="48"/>
      <c r="E146" s="48"/>
      <c r="F146" s="48"/>
      <c r="G146" s="48"/>
    </row>
    <row r="147" spans="1:7" ht="14.1" customHeight="1" x14ac:dyDescent="0.2">
      <c r="A147" s="48"/>
      <c r="B147" s="48"/>
      <c r="C147" s="48"/>
      <c r="D147" s="48"/>
      <c r="E147" s="48"/>
      <c r="F147" s="48"/>
      <c r="G147" s="48"/>
    </row>
    <row r="148" spans="1:7" ht="14.1" customHeight="1" x14ac:dyDescent="0.2">
      <c r="A148" s="48"/>
      <c r="B148" s="48"/>
      <c r="C148" s="48"/>
      <c r="D148" s="48"/>
      <c r="E148" s="48"/>
      <c r="F148" s="48"/>
      <c r="G148" s="48"/>
    </row>
    <row r="149" spans="1:7" ht="14.1" customHeight="1" x14ac:dyDescent="0.2">
      <c r="A149" s="48"/>
      <c r="B149" s="48"/>
      <c r="C149" s="48"/>
      <c r="D149" s="48"/>
      <c r="E149" s="48"/>
      <c r="F149" s="48"/>
      <c r="G149" s="48"/>
    </row>
    <row r="150" spans="1:7" ht="14.1" customHeight="1" x14ac:dyDescent="0.2">
      <c r="A150" s="48"/>
      <c r="B150" s="48"/>
      <c r="C150" s="48"/>
      <c r="D150" s="48"/>
      <c r="E150" s="48"/>
      <c r="F150" s="48"/>
      <c r="G150" s="48"/>
    </row>
    <row r="151" spans="1:7" ht="14.1" customHeight="1" x14ac:dyDescent="0.2">
      <c r="A151" s="48"/>
      <c r="B151" s="48"/>
      <c r="C151" s="48"/>
      <c r="D151" s="48"/>
      <c r="E151" s="48"/>
      <c r="F151" s="48"/>
      <c r="G151" s="48"/>
    </row>
    <row r="152" spans="1:7" ht="14.1" customHeight="1" x14ac:dyDescent="0.2">
      <c r="A152" s="48"/>
      <c r="B152" s="48"/>
      <c r="C152" s="48"/>
      <c r="D152" s="48"/>
      <c r="E152" s="48"/>
      <c r="F152" s="48"/>
      <c r="G152" s="48"/>
    </row>
    <row r="153" spans="1:7" ht="14.1" customHeight="1" x14ac:dyDescent="0.2">
      <c r="A153" s="48"/>
      <c r="B153" s="48"/>
      <c r="C153" s="48"/>
      <c r="D153" s="48"/>
      <c r="E153" s="48"/>
      <c r="F153" s="48"/>
      <c r="G153" s="48"/>
    </row>
    <row r="154" spans="1:7" ht="14.1" customHeight="1" x14ac:dyDescent="0.2">
      <c r="A154" s="48"/>
      <c r="B154" s="48"/>
      <c r="C154" s="48"/>
      <c r="D154" s="48"/>
      <c r="E154" s="48"/>
      <c r="F154" s="48"/>
      <c r="G154" s="48"/>
    </row>
    <row r="155" spans="1:7" ht="14.1" customHeight="1" x14ac:dyDescent="0.2">
      <c r="A155" s="48"/>
      <c r="B155" s="48"/>
      <c r="C155" s="48"/>
      <c r="D155" s="48"/>
      <c r="E155" s="48"/>
      <c r="F155" s="48"/>
      <c r="G155" s="48"/>
    </row>
    <row r="156" spans="1:7" ht="14.1" customHeight="1" x14ac:dyDescent="0.2">
      <c r="A156" s="48"/>
      <c r="B156" s="48"/>
      <c r="C156" s="48"/>
      <c r="D156" s="48"/>
      <c r="E156" s="48"/>
      <c r="F156" s="48"/>
      <c r="G156" s="48"/>
    </row>
    <row r="157" spans="1:7" ht="14.1" customHeight="1" x14ac:dyDescent="0.2">
      <c r="A157" s="48"/>
      <c r="B157" s="48"/>
      <c r="C157" s="48"/>
      <c r="D157" s="48"/>
      <c r="E157" s="48"/>
      <c r="F157" s="48"/>
      <c r="G157" s="48"/>
    </row>
    <row r="158" spans="1:7" ht="14.1" customHeight="1" x14ac:dyDescent="0.2">
      <c r="A158" s="48"/>
      <c r="B158" s="48"/>
      <c r="C158" s="48"/>
      <c r="D158" s="48"/>
      <c r="E158" s="48"/>
      <c r="F158" s="48"/>
      <c r="G158" s="48"/>
    </row>
    <row r="159" spans="1:7" ht="14.1" customHeight="1" x14ac:dyDescent="0.2">
      <c r="A159" s="48"/>
      <c r="B159" s="48"/>
      <c r="C159" s="48"/>
      <c r="D159" s="48"/>
      <c r="E159" s="48"/>
      <c r="F159" s="48"/>
      <c r="G159" s="48"/>
    </row>
    <row r="160" spans="1:7" ht="14.1" customHeight="1" x14ac:dyDescent="0.2">
      <c r="A160" s="48"/>
      <c r="B160" s="48"/>
      <c r="C160" s="48"/>
      <c r="D160" s="48"/>
      <c r="E160" s="48"/>
      <c r="F160" s="48"/>
      <c r="G160" s="48"/>
    </row>
    <row r="161" spans="1:11" ht="14.1" customHeight="1" x14ac:dyDescent="0.2">
      <c r="A161" s="48"/>
      <c r="B161" s="48"/>
      <c r="C161" s="48"/>
      <c r="D161" s="48"/>
      <c r="E161" s="48"/>
      <c r="F161" s="48"/>
      <c r="G161" s="48"/>
    </row>
    <row r="162" spans="1:11" ht="14.1" customHeight="1" x14ac:dyDescent="0.2">
      <c r="A162" s="48"/>
      <c r="B162" s="48"/>
      <c r="C162" s="48"/>
      <c r="D162" s="48"/>
      <c r="E162" s="48"/>
      <c r="F162" s="48"/>
      <c r="G162" s="48"/>
    </row>
    <row r="163" spans="1:11" ht="14.1" customHeight="1" x14ac:dyDescent="0.2">
      <c r="A163" s="48"/>
      <c r="B163" s="48"/>
      <c r="C163" s="48"/>
      <c r="D163" s="48"/>
      <c r="E163" s="48"/>
      <c r="F163" s="48"/>
      <c r="G163" s="48"/>
      <c r="J163" s="6"/>
      <c r="K163" s="6"/>
    </row>
    <row r="164" spans="1:11" ht="14.1" customHeight="1" x14ac:dyDescent="0.2">
      <c r="A164" s="48"/>
      <c r="B164" s="48"/>
      <c r="C164" s="48"/>
      <c r="D164" s="48"/>
      <c r="E164" s="48"/>
      <c r="F164" s="48"/>
      <c r="G164" s="48"/>
      <c r="J164" s="6"/>
      <c r="K164" s="6"/>
    </row>
    <row r="165" spans="1:11" ht="14.1" customHeight="1" x14ac:dyDescent="0.2">
      <c r="A165" s="48"/>
      <c r="B165" s="48"/>
      <c r="C165" s="48"/>
      <c r="D165" s="48"/>
      <c r="E165" s="48"/>
      <c r="F165" s="48"/>
      <c r="G165" s="48"/>
      <c r="J165" s="6"/>
      <c r="K165" s="6"/>
    </row>
    <row r="166" spans="1:11" ht="14.1" customHeight="1" x14ac:dyDescent="0.2">
      <c r="A166" s="48"/>
      <c r="B166" s="48"/>
      <c r="C166" s="48"/>
      <c r="D166" s="48"/>
      <c r="E166" s="48"/>
      <c r="F166" s="48"/>
      <c r="G166" s="48"/>
      <c r="J166" s="6"/>
      <c r="K166" s="6"/>
    </row>
    <row r="167" spans="1:11" ht="14.1" customHeight="1" x14ac:dyDescent="0.2">
      <c r="J167" s="6"/>
      <c r="K167" s="6"/>
    </row>
    <row r="168" spans="1:11" ht="14.1" customHeight="1" x14ac:dyDescent="0.2">
      <c r="J168" s="6"/>
      <c r="K168" s="6"/>
    </row>
    <row r="169" spans="1:11" ht="14.1" customHeight="1" x14ac:dyDescent="0.2">
      <c r="B169" s="4"/>
      <c r="J169" s="6"/>
      <c r="K169" s="6"/>
    </row>
    <row r="170" spans="1:11" ht="14.1" customHeight="1" x14ac:dyDescent="0.2">
      <c r="D170" s="15"/>
      <c r="E170" s="15"/>
      <c r="F170" s="15"/>
      <c r="G170" s="8"/>
      <c r="J170" s="6"/>
      <c r="K170" s="6"/>
    </row>
    <row r="171" spans="1:11" ht="14.1" customHeight="1" x14ac:dyDescent="0.2">
      <c r="D171" s="9"/>
      <c r="E171" s="9"/>
      <c r="F171" s="9"/>
      <c r="G171" s="8"/>
      <c r="K171" s="6"/>
    </row>
    <row r="172" spans="1:11" ht="14.1" customHeight="1" x14ac:dyDescent="0.2">
      <c r="D172" s="15"/>
      <c r="E172" s="15"/>
      <c r="F172" s="15"/>
      <c r="G172" s="8"/>
      <c r="K172" s="6"/>
    </row>
    <row r="173" spans="1:11" ht="14.1" customHeight="1" x14ac:dyDescent="0.2">
      <c r="D173" s="15"/>
      <c r="E173" s="15"/>
      <c r="F173" s="15"/>
      <c r="G173" s="8"/>
      <c r="K173" s="6"/>
    </row>
    <row r="175" spans="1:11" ht="14.1" customHeight="1" x14ac:dyDescent="0.2">
      <c r="B175" s="4"/>
    </row>
    <row r="179" spans="4:6" ht="14.1" customHeight="1" x14ac:dyDescent="0.2">
      <c r="D179" s="9"/>
      <c r="E179" s="9"/>
      <c r="F179" s="9"/>
    </row>
    <row r="180" spans="4:6" ht="14.1" customHeight="1" x14ac:dyDescent="0.2">
      <c r="D180" s="9"/>
      <c r="E180" s="9"/>
      <c r="F180" s="9"/>
    </row>
    <row r="182" spans="4:6" ht="14.1" customHeight="1" x14ac:dyDescent="0.2">
      <c r="D182" s="10"/>
      <c r="E182" s="10"/>
      <c r="F182" s="10"/>
    </row>
    <row r="185" spans="4:6" ht="14.1" customHeight="1" x14ac:dyDescent="0.2">
      <c r="D185" s="10"/>
      <c r="E185" s="10"/>
      <c r="F185" s="10"/>
    </row>
    <row r="193" spans="4:6" ht="14.1" customHeight="1" x14ac:dyDescent="0.2">
      <c r="D193" s="16"/>
      <c r="E193" s="16"/>
      <c r="F193" s="16"/>
    </row>
    <row r="194" spans="4:6" ht="14.1" customHeight="1" x14ac:dyDescent="0.2">
      <c r="D194" s="10"/>
      <c r="E194" s="10"/>
      <c r="F194" s="10"/>
    </row>
    <row r="195" spans="4:6" ht="14.1" customHeight="1" x14ac:dyDescent="0.2">
      <c r="D195" s="6"/>
      <c r="E195" s="6"/>
      <c r="F195" s="6"/>
    </row>
    <row r="210" spans="4:5" ht="14.1" customHeight="1" x14ac:dyDescent="0.2">
      <c r="D210" s="6"/>
      <c r="E210" s="6"/>
    </row>
    <row r="211" spans="4:5" ht="14.1" customHeight="1" x14ac:dyDescent="0.2">
      <c r="D211" s="6"/>
      <c r="E211" s="6"/>
    </row>
    <row r="229" spans="4:8" ht="14.1" customHeight="1" x14ac:dyDescent="0.2">
      <c r="H229" s="39"/>
    </row>
    <row r="230" spans="4:8" ht="14.1" customHeight="1" x14ac:dyDescent="0.2">
      <c r="H230" s="39"/>
    </row>
    <row r="231" spans="4:8" ht="14.1" customHeight="1" x14ac:dyDescent="0.2">
      <c r="H231" s="39"/>
    </row>
    <row r="232" spans="4:8" ht="14.1" customHeight="1" x14ac:dyDescent="0.2">
      <c r="H232" s="39"/>
    </row>
    <row r="237" spans="4:8" ht="14.1" customHeight="1" x14ac:dyDescent="0.2">
      <c r="G237" s="8"/>
    </row>
    <row r="238" spans="4:8" ht="14.1" customHeight="1" x14ac:dyDescent="0.2">
      <c r="D238" s="8"/>
      <c r="E238" s="8"/>
      <c r="G238" s="6"/>
    </row>
    <row r="239" spans="4:8" ht="14.1" customHeight="1" x14ac:dyDescent="0.2">
      <c r="D239" s="8"/>
      <c r="E239" s="8"/>
      <c r="G239" s="6"/>
    </row>
    <row r="240" spans="4:8" ht="14.1" customHeight="1" x14ac:dyDescent="0.2">
      <c r="D240" s="6"/>
      <c r="E240" s="6"/>
      <c r="G240" s="5"/>
    </row>
    <row r="241" spans="4:5" ht="14.1" customHeight="1" x14ac:dyDescent="0.2">
      <c r="D241" s="6"/>
      <c r="E241" s="6"/>
    </row>
    <row r="289" spans="10:14" ht="14.1" customHeight="1" x14ac:dyDescent="0.2">
      <c r="J289" s="17"/>
    </row>
    <row r="290" spans="10:14" ht="14.1" customHeight="1" x14ac:dyDescent="0.2">
      <c r="J290" s="18"/>
    </row>
    <row r="291" spans="10:14" ht="14.1" customHeight="1" x14ac:dyDescent="0.2">
      <c r="J291" s="18"/>
    </row>
    <row r="292" spans="10:14" ht="14.1" customHeight="1" x14ac:dyDescent="0.2">
      <c r="J292" s="18"/>
      <c r="K292" s="17"/>
      <c r="L292" s="8"/>
      <c r="M292" s="5"/>
    </row>
    <row r="293" spans="10:14" ht="14.1" customHeight="1" x14ac:dyDescent="0.2">
      <c r="J293" s="18"/>
      <c r="K293" s="18"/>
      <c r="L293" s="8"/>
      <c r="M293" s="5"/>
    </row>
    <row r="294" spans="10:14" ht="14.1" customHeight="1" x14ac:dyDescent="0.2">
      <c r="J294" s="18"/>
      <c r="K294" s="18"/>
      <c r="L294" s="18"/>
      <c r="M294" s="18"/>
    </row>
    <row r="295" spans="10:14" ht="14.1" customHeight="1" x14ac:dyDescent="0.2">
      <c r="J295" s="18"/>
      <c r="K295" s="18"/>
      <c r="L295" s="18"/>
      <c r="M295" s="18"/>
    </row>
    <row r="296" spans="10:14" ht="14.1" customHeight="1" x14ac:dyDescent="0.2">
      <c r="J296" s="18"/>
      <c r="K296" s="18"/>
      <c r="L296" s="18"/>
      <c r="M296" s="18"/>
    </row>
    <row r="297" spans="10:14" ht="14.1" customHeight="1" x14ac:dyDescent="0.2">
      <c r="J297" s="18"/>
      <c r="K297" s="18"/>
      <c r="L297" s="18"/>
      <c r="M297" s="18"/>
      <c r="N297" s="5"/>
    </row>
    <row r="298" spans="10:14" ht="14.1" customHeight="1" x14ac:dyDescent="0.2">
      <c r="J298" s="18"/>
      <c r="K298" s="18"/>
      <c r="L298" s="18"/>
      <c r="M298" s="18"/>
      <c r="N298" s="5"/>
    </row>
    <row r="299" spans="10:14" ht="14.1" customHeight="1" x14ac:dyDescent="0.2">
      <c r="J299" s="18"/>
      <c r="K299" s="18"/>
      <c r="L299" s="18"/>
      <c r="M299" s="18"/>
      <c r="N299" s="18"/>
    </row>
    <row r="300" spans="10:14" ht="14.1" customHeight="1" x14ac:dyDescent="0.2">
      <c r="J300" s="18"/>
      <c r="K300" s="18"/>
      <c r="L300" s="18"/>
      <c r="M300" s="18"/>
      <c r="N300" s="18"/>
    </row>
    <row r="301" spans="10:14" ht="14.1" customHeight="1" x14ac:dyDescent="0.2">
      <c r="J301" s="18"/>
      <c r="K301" s="18"/>
      <c r="L301" s="18"/>
      <c r="M301" s="18"/>
      <c r="N301" s="18"/>
    </row>
    <row r="302" spans="10:14" ht="14.1" customHeight="1" x14ac:dyDescent="0.2">
      <c r="J302" s="18"/>
      <c r="K302" s="18"/>
      <c r="L302" s="18"/>
      <c r="M302" s="18"/>
      <c r="N302" s="18"/>
    </row>
    <row r="303" spans="10:14" ht="14.1" customHeight="1" x14ac:dyDescent="0.2">
      <c r="J303" s="18"/>
      <c r="K303" s="18"/>
      <c r="L303" s="18"/>
      <c r="M303" s="18"/>
      <c r="N303" s="18"/>
    </row>
    <row r="304" spans="10:14" ht="14.1" customHeight="1" x14ac:dyDescent="0.2">
      <c r="J304" s="18"/>
      <c r="K304" s="18"/>
      <c r="L304" s="18"/>
      <c r="M304" s="18"/>
      <c r="N304" s="18"/>
    </row>
    <row r="305" spans="8:14" ht="14.1" customHeight="1" x14ac:dyDescent="0.2">
      <c r="J305" s="18"/>
      <c r="K305" s="18"/>
      <c r="L305" s="18"/>
      <c r="M305" s="18"/>
      <c r="N305" s="18"/>
    </row>
    <row r="306" spans="8:14" ht="14.1" customHeight="1" x14ac:dyDescent="0.2">
      <c r="J306" s="18"/>
      <c r="K306" s="18"/>
      <c r="L306" s="18"/>
      <c r="M306" s="18"/>
      <c r="N306" s="18"/>
    </row>
    <row r="307" spans="8:14" ht="14.1" customHeight="1" x14ac:dyDescent="0.2">
      <c r="J307" s="18"/>
      <c r="K307" s="18"/>
      <c r="L307" s="18"/>
      <c r="M307" s="18"/>
      <c r="N307" s="18"/>
    </row>
    <row r="308" spans="8:14" ht="14.1" customHeight="1" x14ac:dyDescent="0.2">
      <c r="J308" s="18"/>
      <c r="K308" s="18"/>
      <c r="L308" s="18"/>
      <c r="M308" s="18"/>
      <c r="N308" s="18"/>
    </row>
    <row r="309" spans="8:14" ht="14.1" customHeight="1" x14ac:dyDescent="0.2">
      <c r="J309" s="18"/>
      <c r="K309" s="18"/>
      <c r="L309" s="18"/>
      <c r="M309" s="18"/>
      <c r="N309" s="18"/>
    </row>
    <row r="310" spans="8:14" ht="14.1" customHeight="1" x14ac:dyDescent="0.2">
      <c r="J310" s="18"/>
      <c r="K310" s="18"/>
      <c r="L310" s="18"/>
      <c r="M310" s="18"/>
      <c r="N310" s="18"/>
    </row>
    <row r="311" spans="8:14" ht="14.1" customHeight="1" x14ac:dyDescent="0.2">
      <c r="J311" s="18"/>
      <c r="K311" s="18"/>
      <c r="L311" s="18"/>
      <c r="M311" s="18"/>
      <c r="N311" s="18"/>
    </row>
    <row r="312" spans="8:14" ht="14.1" customHeight="1" x14ac:dyDescent="0.2">
      <c r="J312" s="18"/>
      <c r="K312" s="18"/>
      <c r="L312" s="18"/>
      <c r="M312" s="18"/>
      <c r="N312" s="18"/>
    </row>
    <row r="313" spans="8:14" ht="14.1" customHeight="1" x14ac:dyDescent="0.2">
      <c r="J313" s="18"/>
      <c r="K313" s="18"/>
      <c r="L313" s="18"/>
      <c r="M313" s="18"/>
      <c r="N313" s="18"/>
    </row>
    <row r="314" spans="8:14" ht="14.1" customHeight="1" x14ac:dyDescent="0.2">
      <c r="J314" s="18"/>
      <c r="K314" s="18"/>
      <c r="L314" s="18"/>
      <c r="M314" s="18"/>
      <c r="N314" s="18"/>
    </row>
    <row r="315" spans="8:14" ht="14.1" customHeight="1" x14ac:dyDescent="0.2">
      <c r="J315" s="18"/>
      <c r="K315" s="18"/>
      <c r="L315" s="18"/>
      <c r="M315" s="18"/>
      <c r="N315" s="18"/>
    </row>
    <row r="316" spans="8:14" ht="14.1" customHeight="1" x14ac:dyDescent="0.2">
      <c r="H316" s="40"/>
      <c r="J316" s="18"/>
      <c r="K316" s="18"/>
      <c r="L316" s="18"/>
      <c r="M316" s="18"/>
      <c r="N316" s="18"/>
    </row>
    <row r="317" spans="8:14" ht="14.1" customHeight="1" x14ac:dyDescent="0.2">
      <c r="H317" s="41"/>
      <c r="J317" s="18"/>
      <c r="K317" s="18"/>
      <c r="L317" s="18"/>
      <c r="M317" s="18"/>
      <c r="N317" s="18"/>
    </row>
    <row r="318" spans="8:14" ht="14.1" customHeight="1" x14ac:dyDescent="0.2">
      <c r="H318" s="41"/>
      <c r="J318" s="18"/>
      <c r="K318" s="18"/>
      <c r="L318" s="18"/>
      <c r="M318" s="18"/>
      <c r="N318" s="18"/>
    </row>
    <row r="319" spans="8:14" ht="14.1" customHeight="1" x14ac:dyDescent="0.2">
      <c r="H319" s="41"/>
      <c r="J319" s="18"/>
      <c r="K319" s="18"/>
      <c r="L319" s="18"/>
      <c r="M319" s="18"/>
      <c r="N319" s="18"/>
    </row>
    <row r="320" spans="8:14" ht="14.1" customHeight="1" x14ac:dyDescent="0.2">
      <c r="H320" s="41"/>
      <c r="J320" s="18"/>
      <c r="K320" s="18"/>
      <c r="L320" s="18"/>
      <c r="M320" s="18"/>
      <c r="N320" s="18"/>
    </row>
    <row r="321" spans="4:14" ht="14.1" customHeight="1" x14ac:dyDescent="0.2">
      <c r="H321" s="41"/>
      <c r="J321" s="18"/>
      <c r="K321" s="18"/>
      <c r="L321" s="18"/>
      <c r="M321" s="18"/>
      <c r="N321" s="18"/>
    </row>
    <row r="322" spans="4:14" ht="14.1" customHeight="1" x14ac:dyDescent="0.2">
      <c r="H322" s="41"/>
      <c r="J322" s="18"/>
      <c r="K322" s="18"/>
      <c r="L322" s="18"/>
      <c r="M322" s="18"/>
      <c r="N322" s="18"/>
    </row>
    <row r="323" spans="4:14" ht="14.1" customHeight="1" x14ac:dyDescent="0.2">
      <c r="H323" s="41"/>
      <c r="J323" s="18"/>
      <c r="K323" s="18"/>
      <c r="L323" s="18"/>
      <c r="M323" s="18"/>
      <c r="N323" s="18"/>
    </row>
    <row r="324" spans="4:14" ht="14.1" customHeight="1" x14ac:dyDescent="0.2">
      <c r="G324" s="18"/>
      <c r="H324" s="41"/>
      <c r="J324" s="18"/>
      <c r="K324" s="18"/>
      <c r="L324" s="18"/>
      <c r="M324" s="18"/>
      <c r="N324" s="18"/>
    </row>
    <row r="325" spans="4:14" ht="14.1" customHeight="1" x14ac:dyDescent="0.2">
      <c r="D325" s="18"/>
      <c r="E325" s="18"/>
      <c r="G325" s="18"/>
      <c r="H325" s="41"/>
      <c r="J325" s="18"/>
      <c r="K325" s="18"/>
      <c r="L325" s="18"/>
      <c r="M325" s="18"/>
      <c r="N325" s="18"/>
    </row>
    <row r="326" spans="4:14" ht="14.1" customHeight="1" x14ac:dyDescent="0.2">
      <c r="D326" s="18"/>
      <c r="E326" s="18"/>
      <c r="G326" s="18"/>
      <c r="H326" s="41"/>
      <c r="J326" s="18"/>
      <c r="K326" s="18"/>
      <c r="L326" s="18"/>
      <c r="M326" s="18"/>
      <c r="N326" s="18"/>
    </row>
    <row r="327" spans="4:14" ht="14.1" customHeight="1" x14ac:dyDescent="0.2">
      <c r="D327" s="18"/>
      <c r="E327" s="18"/>
      <c r="G327" s="18"/>
      <c r="H327" s="41"/>
      <c r="J327" s="18"/>
      <c r="K327" s="18"/>
      <c r="L327" s="18"/>
      <c r="M327" s="18"/>
      <c r="N327" s="18"/>
    </row>
    <row r="328" spans="4:14" ht="14.1" customHeight="1" x14ac:dyDescent="0.2">
      <c r="D328" s="18"/>
      <c r="E328" s="18"/>
      <c r="G328" s="18"/>
      <c r="H328" s="41"/>
      <c r="J328" s="18"/>
      <c r="K328" s="18"/>
      <c r="L328" s="18"/>
      <c r="M328" s="18"/>
      <c r="N328" s="18"/>
    </row>
    <row r="329" spans="4:14" ht="14.1" customHeight="1" x14ac:dyDescent="0.2">
      <c r="D329" s="18"/>
      <c r="E329" s="18"/>
      <c r="G329" s="18"/>
      <c r="H329" s="41"/>
      <c r="J329" s="18"/>
      <c r="K329" s="18"/>
      <c r="L329" s="18"/>
      <c r="M329" s="18"/>
      <c r="N329" s="18"/>
    </row>
    <row r="330" spans="4:14" ht="14.1" customHeight="1" x14ac:dyDescent="0.2">
      <c r="D330" s="18"/>
      <c r="E330" s="18"/>
      <c r="G330" s="18"/>
      <c r="H330" s="41"/>
      <c r="J330" s="18"/>
      <c r="K330" s="18"/>
      <c r="L330" s="18"/>
      <c r="M330" s="18"/>
      <c r="N330" s="18"/>
    </row>
    <row r="331" spans="4:14" ht="14.1" customHeight="1" x14ac:dyDescent="0.2">
      <c r="D331" s="18"/>
      <c r="E331" s="18"/>
      <c r="G331" s="18"/>
      <c r="H331" s="41"/>
      <c r="J331" s="18"/>
      <c r="K331" s="18"/>
      <c r="L331" s="18"/>
      <c r="M331" s="18"/>
      <c r="N331" s="18"/>
    </row>
    <row r="332" spans="4:14" ht="14.1" customHeight="1" x14ac:dyDescent="0.2">
      <c r="D332" s="18"/>
      <c r="E332" s="18"/>
      <c r="G332" s="18"/>
      <c r="H332" s="41"/>
      <c r="J332" s="18"/>
      <c r="K332" s="18"/>
      <c r="L332" s="18"/>
      <c r="M332" s="18"/>
      <c r="N332" s="18"/>
    </row>
    <row r="333" spans="4:14" ht="14.1" customHeight="1" x14ac:dyDescent="0.2">
      <c r="D333" s="18"/>
      <c r="E333" s="18"/>
      <c r="G333" s="18"/>
      <c r="H333" s="41"/>
      <c r="J333" s="18"/>
      <c r="K333" s="18"/>
      <c r="L333" s="18"/>
      <c r="M333" s="18"/>
      <c r="N333" s="18"/>
    </row>
    <row r="334" spans="4:14" ht="14.1" customHeight="1" x14ac:dyDescent="0.2">
      <c r="D334" s="18"/>
      <c r="E334" s="18"/>
      <c r="G334" s="18"/>
      <c r="H334" s="41"/>
      <c r="J334" s="18"/>
      <c r="K334" s="18"/>
      <c r="L334" s="18"/>
      <c r="M334" s="18"/>
      <c r="N334" s="18"/>
    </row>
    <row r="335" spans="4:14" ht="14.1" customHeight="1" x14ac:dyDescent="0.2">
      <c r="D335" s="18"/>
      <c r="E335" s="18"/>
      <c r="G335" s="18"/>
      <c r="H335" s="41"/>
      <c r="J335" s="18"/>
      <c r="K335" s="18"/>
      <c r="L335" s="18"/>
      <c r="M335" s="18"/>
      <c r="N335" s="18"/>
    </row>
    <row r="336" spans="4:14" ht="14.1" customHeight="1" x14ac:dyDescent="0.2">
      <c r="D336" s="18"/>
      <c r="E336" s="18"/>
      <c r="G336" s="18"/>
      <c r="H336" s="41"/>
      <c r="J336" s="18"/>
      <c r="K336" s="18"/>
      <c r="L336" s="18"/>
      <c r="M336" s="18"/>
      <c r="N336" s="18"/>
    </row>
    <row r="337" spans="4:14" ht="14.1" customHeight="1" x14ac:dyDescent="0.2">
      <c r="D337" s="18"/>
      <c r="E337" s="18"/>
      <c r="G337" s="18"/>
      <c r="H337" s="41"/>
      <c r="J337" s="18"/>
      <c r="K337" s="18"/>
      <c r="L337" s="18"/>
      <c r="M337" s="18"/>
      <c r="N337" s="18"/>
    </row>
    <row r="338" spans="4:14" ht="14.1" customHeight="1" x14ac:dyDescent="0.2">
      <c r="D338" s="18"/>
      <c r="E338" s="18"/>
      <c r="G338" s="18"/>
      <c r="H338" s="41"/>
      <c r="J338" s="18"/>
      <c r="K338" s="18"/>
      <c r="L338" s="18"/>
      <c r="M338" s="18"/>
      <c r="N338" s="18"/>
    </row>
    <row r="339" spans="4:14" ht="14.1" customHeight="1" x14ac:dyDescent="0.2">
      <c r="D339" s="18"/>
      <c r="E339" s="18"/>
      <c r="G339" s="18"/>
      <c r="H339" s="41"/>
      <c r="J339" s="18"/>
      <c r="K339" s="18"/>
      <c r="L339" s="18"/>
      <c r="M339" s="18"/>
      <c r="N339" s="18"/>
    </row>
    <row r="340" spans="4:14" ht="14.1" customHeight="1" x14ac:dyDescent="0.2">
      <c r="D340" s="18"/>
      <c r="E340" s="18"/>
      <c r="G340" s="18"/>
      <c r="H340" s="41"/>
      <c r="J340" s="18"/>
      <c r="K340" s="18"/>
      <c r="L340" s="18"/>
      <c r="M340" s="18"/>
      <c r="N340" s="18"/>
    </row>
    <row r="341" spans="4:14" ht="14.1" customHeight="1" x14ac:dyDescent="0.2">
      <c r="D341" s="18"/>
      <c r="E341" s="18"/>
      <c r="G341" s="18"/>
      <c r="H341" s="41"/>
      <c r="J341" s="18"/>
      <c r="K341" s="18"/>
      <c r="L341" s="18"/>
      <c r="M341" s="18"/>
      <c r="N341" s="18"/>
    </row>
    <row r="342" spans="4:14" ht="14.1" customHeight="1" x14ac:dyDescent="0.2">
      <c r="D342" s="18"/>
      <c r="E342" s="18"/>
      <c r="G342" s="18"/>
      <c r="H342" s="41"/>
      <c r="J342" s="18"/>
      <c r="K342" s="18"/>
      <c r="L342" s="18"/>
      <c r="M342" s="18"/>
      <c r="N342" s="18"/>
    </row>
    <row r="343" spans="4:14" ht="14.1" customHeight="1" x14ac:dyDescent="0.2">
      <c r="D343" s="18"/>
      <c r="E343" s="18"/>
      <c r="G343" s="18"/>
      <c r="H343" s="41"/>
      <c r="J343" s="18"/>
      <c r="K343" s="18"/>
      <c r="L343" s="18"/>
      <c r="M343" s="18"/>
      <c r="N343" s="18"/>
    </row>
    <row r="344" spans="4:14" ht="14.1" customHeight="1" x14ac:dyDescent="0.2">
      <c r="D344" s="18"/>
      <c r="E344" s="18"/>
      <c r="G344" s="18"/>
      <c r="H344" s="41"/>
      <c r="J344" s="18"/>
      <c r="K344" s="18"/>
      <c r="L344" s="18"/>
      <c r="M344" s="18"/>
      <c r="N344" s="18"/>
    </row>
    <row r="345" spans="4:14" ht="14.1" customHeight="1" x14ac:dyDescent="0.2">
      <c r="D345" s="18"/>
      <c r="E345" s="18"/>
      <c r="G345" s="18"/>
      <c r="H345" s="41"/>
      <c r="K345" s="18"/>
      <c r="L345" s="18"/>
      <c r="M345" s="18"/>
      <c r="N345" s="18"/>
    </row>
    <row r="346" spans="4:14" ht="14.1" customHeight="1" x14ac:dyDescent="0.2">
      <c r="D346" s="18"/>
      <c r="E346" s="18"/>
      <c r="G346" s="18"/>
      <c r="H346" s="41"/>
      <c r="K346" s="18"/>
      <c r="L346" s="18"/>
      <c r="M346" s="18"/>
      <c r="N346" s="18"/>
    </row>
    <row r="347" spans="4:14" ht="14.1" customHeight="1" x14ac:dyDescent="0.2">
      <c r="D347" s="18"/>
      <c r="E347" s="18"/>
      <c r="G347" s="18"/>
      <c r="H347" s="41"/>
      <c r="K347" s="18"/>
      <c r="L347" s="18"/>
      <c r="M347" s="18"/>
      <c r="N347" s="18"/>
    </row>
    <row r="348" spans="4:14" ht="14.1" customHeight="1" x14ac:dyDescent="0.2">
      <c r="D348" s="18"/>
      <c r="E348" s="18"/>
      <c r="G348" s="18"/>
      <c r="H348" s="41"/>
      <c r="N348" s="18"/>
    </row>
    <row r="349" spans="4:14" ht="14.1" customHeight="1" x14ac:dyDescent="0.2">
      <c r="D349" s="18"/>
      <c r="E349" s="18"/>
      <c r="G349" s="18"/>
      <c r="H349" s="41"/>
      <c r="N349" s="18"/>
    </row>
    <row r="350" spans="4:14" ht="14.1" customHeight="1" x14ac:dyDescent="0.2">
      <c r="D350" s="18"/>
      <c r="E350" s="18"/>
      <c r="G350" s="18"/>
      <c r="H350" s="41"/>
      <c r="N350" s="18"/>
    </row>
    <row r="351" spans="4:14" ht="14.1" customHeight="1" x14ac:dyDescent="0.2">
      <c r="D351" s="18"/>
      <c r="E351" s="18"/>
      <c r="G351" s="18"/>
      <c r="H351" s="41"/>
      <c r="N351" s="18"/>
    </row>
    <row r="352" spans="4:14" ht="14.1" customHeight="1" x14ac:dyDescent="0.2">
      <c r="D352" s="18"/>
      <c r="E352" s="18"/>
      <c r="G352" s="18"/>
      <c r="H352" s="41"/>
      <c r="N352" s="18"/>
    </row>
    <row r="353" spans="4:8" ht="14.1" customHeight="1" x14ac:dyDescent="0.2">
      <c r="D353" s="18"/>
      <c r="E353" s="18"/>
      <c r="G353" s="18"/>
      <c r="H353" s="41"/>
    </row>
    <row r="354" spans="4:8" ht="14.1" customHeight="1" x14ac:dyDescent="0.2">
      <c r="D354" s="18"/>
      <c r="E354" s="18"/>
      <c r="G354" s="18"/>
      <c r="H354" s="41"/>
    </row>
    <row r="355" spans="4:8" ht="14.1" customHeight="1" x14ac:dyDescent="0.2">
      <c r="D355" s="18"/>
      <c r="E355" s="18"/>
      <c r="G355" s="18"/>
      <c r="H355" s="41"/>
    </row>
    <row r="356" spans="4:8" ht="14.1" customHeight="1" x14ac:dyDescent="0.2">
      <c r="D356" s="18"/>
      <c r="E356" s="18"/>
      <c r="G356" s="18"/>
      <c r="H356" s="41"/>
    </row>
    <row r="357" spans="4:8" ht="14.1" customHeight="1" x14ac:dyDescent="0.2">
      <c r="D357" s="18"/>
      <c r="E357" s="18"/>
      <c r="G357" s="18"/>
      <c r="H357" s="41"/>
    </row>
    <row r="358" spans="4:8" ht="14.1" customHeight="1" x14ac:dyDescent="0.2">
      <c r="D358" s="18"/>
      <c r="E358" s="18"/>
      <c r="G358" s="18"/>
      <c r="H358" s="41"/>
    </row>
    <row r="359" spans="4:8" ht="14.1" customHeight="1" x14ac:dyDescent="0.2">
      <c r="D359" s="18"/>
      <c r="E359" s="18"/>
      <c r="G359" s="18"/>
      <c r="H359" s="41"/>
    </row>
    <row r="360" spans="4:8" ht="14.1" customHeight="1" x14ac:dyDescent="0.2">
      <c r="D360" s="18"/>
      <c r="E360" s="18"/>
      <c r="G360" s="18"/>
      <c r="H360" s="41"/>
    </row>
    <row r="361" spans="4:8" ht="14.1" customHeight="1" x14ac:dyDescent="0.2">
      <c r="D361" s="18"/>
      <c r="E361" s="18"/>
      <c r="G361" s="18"/>
      <c r="H361" s="41"/>
    </row>
    <row r="362" spans="4:8" ht="14.1" customHeight="1" x14ac:dyDescent="0.2">
      <c r="D362" s="18"/>
      <c r="E362" s="18"/>
      <c r="G362" s="18"/>
      <c r="H362" s="41"/>
    </row>
    <row r="363" spans="4:8" ht="14.1" customHeight="1" x14ac:dyDescent="0.2">
      <c r="D363" s="18"/>
      <c r="E363" s="18"/>
      <c r="G363" s="18"/>
      <c r="H363" s="41"/>
    </row>
    <row r="364" spans="4:8" ht="14.1" customHeight="1" x14ac:dyDescent="0.2">
      <c r="D364" s="18"/>
      <c r="E364" s="18"/>
      <c r="G364" s="18"/>
      <c r="H364" s="41"/>
    </row>
    <row r="365" spans="4:8" ht="14.1" customHeight="1" x14ac:dyDescent="0.2">
      <c r="D365" s="18"/>
      <c r="E365" s="18"/>
      <c r="G365" s="18"/>
      <c r="H365" s="41"/>
    </row>
    <row r="366" spans="4:8" ht="14.1" customHeight="1" x14ac:dyDescent="0.2">
      <c r="D366" s="18"/>
      <c r="E366" s="18"/>
      <c r="G366" s="18"/>
      <c r="H366" s="41"/>
    </row>
    <row r="367" spans="4:8" ht="14.1" customHeight="1" x14ac:dyDescent="0.2">
      <c r="D367" s="18"/>
      <c r="E367" s="18"/>
      <c r="G367" s="18"/>
      <c r="H367" s="41"/>
    </row>
    <row r="368" spans="4:8" ht="14.1" customHeight="1" x14ac:dyDescent="0.2">
      <c r="D368" s="18"/>
      <c r="E368" s="18"/>
      <c r="G368" s="18"/>
      <c r="H368" s="41"/>
    </row>
    <row r="369" spans="4:8" ht="14.1" customHeight="1" x14ac:dyDescent="0.2">
      <c r="D369" s="18"/>
      <c r="E369" s="18"/>
      <c r="G369" s="18"/>
      <c r="H369" s="41"/>
    </row>
    <row r="370" spans="4:8" ht="14.1" customHeight="1" x14ac:dyDescent="0.2">
      <c r="D370" s="18"/>
      <c r="E370" s="18"/>
      <c r="G370" s="18"/>
      <c r="H370" s="41"/>
    </row>
    <row r="371" spans="4:8" ht="14.1" customHeight="1" x14ac:dyDescent="0.2">
      <c r="D371" s="18"/>
      <c r="E371" s="18"/>
      <c r="G371" s="18"/>
      <c r="H371" s="41"/>
    </row>
    <row r="372" spans="4:8" ht="14.1" customHeight="1" x14ac:dyDescent="0.2">
      <c r="D372" s="18"/>
      <c r="E372" s="18"/>
      <c r="G372" s="18"/>
    </row>
    <row r="373" spans="4:8" ht="14.1" customHeight="1" x14ac:dyDescent="0.2">
      <c r="D373" s="18"/>
      <c r="E373" s="18"/>
      <c r="G373" s="18"/>
    </row>
    <row r="374" spans="4:8" ht="14.1" customHeight="1" x14ac:dyDescent="0.2">
      <c r="D374" s="18"/>
      <c r="E374" s="18"/>
      <c r="G374" s="18"/>
    </row>
    <row r="375" spans="4:8" ht="14.1" customHeight="1" x14ac:dyDescent="0.2">
      <c r="D375" s="18"/>
      <c r="E375" s="18"/>
      <c r="G375" s="18"/>
    </row>
    <row r="376" spans="4:8" ht="14.1" customHeight="1" x14ac:dyDescent="0.2">
      <c r="D376" s="18"/>
      <c r="E376" s="18"/>
      <c r="G376" s="18"/>
    </row>
    <row r="377" spans="4:8" ht="14.1" customHeight="1" x14ac:dyDescent="0.2">
      <c r="D377" s="18"/>
      <c r="E377" s="18"/>
    </row>
    <row r="378" spans="4:8" ht="14.1" customHeight="1" x14ac:dyDescent="0.2">
      <c r="D378" s="18"/>
      <c r="E378" s="18"/>
    </row>
  </sheetData>
  <mergeCells count="30">
    <mergeCell ref="H8:H9"/>
    <mergeCell ref="B2:B3"/>
    <mergeCell ref="D5:D6"/>
    <mergeCell ref="C8:C9"/>
    <mergeCell ref="D8:F8"/>
    <mergeCell ref="G8:G9"/>
    <mergeCell ref="B84:B92"/>
    <mergeCell ref="A10:B10"/>
    <mergeCell ref="B14:B20"/>
    <mergeCell ref="A22:C22"/>
    <mergeCell ref="B42:B44"/>
    <mergeCell ref="B46:B48"/>
    <mergeCell ref="B50:B56"/>
    <mergeCell ref="B58:B64"/>
    <mergeCell ref="A66:C66"/>
    <mergeCell ref="B67:B69"/>
    <mergeCell ref="B71:B72"/>
    <mergeCell ref="B74:B82"/>
    <mergeCell ref="B94:B102"/>
    <mergeCell ref="A104:B104"/>
    <mergeCell ref="B105:B107"/>
    <mergeCell ref="B109:B113"/>
    <mergeCell ref="H110:H113"/>
    <mergeCell ref="J115:K115"/>
    <mergeCell ref="B116:B121"/>
    <mergeCell ref="I116:I122"/>
    <mergeCell ref="B123:B125"/>
    <mergeCell ref="B127:B130"/>
    <mergeCell ref="A115:B115"/>
    <mergeCell ref="G115:H115"/>
  </mergeCell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8"/>
  <sheetViews>
    <sheetView workbookViewId="0"/>
  </sheetViews>
  <sheetFormatPr defaultColWidth="10.85546875" defaultRowHeight="14.1" customHeight="1" x14ac:dyDescent="0.2"/>
  <cols>
    <col min="1" max="1" width="12.28515625" style="1" customWidth="1"/>
    <col min="2" max="2" width="18.85546875" style="1" customWidth="1"/>
    <col min="3" max="3" width="36.28515625" style="1" customWidth="1"/>
    <col min="4" max="4" width="16.28515625" style="1" customWidth="1"/>
    <col min="5" max="5" width="15.7109375" style="1" customWidth="1"/>
    <col min="6" max="6" width="14.28515625" style="1" customWidth="1"/>
    <col min="7" max="7" width="16" style="1" customWidth="1"/>
    <col min="8" max="8" width="60" style="48" customWidth="1"/>
    <col min="9" max="9" width="11.42578125" style="1" customWidth="1"/>
    <col min="10" max="12" width="10.85546875" style="1"/>
    <col min="13" max="14" width="10.85546875" style="1" customWidth="1"/>
    <col min="15" max="16384" width="10.85546875" style="1"/>
  </cols>
  <sheetData>
    <row r="1" spans="1:14" ht="14.1" customHeight="1" x14ac:dyDescent="0.2">
      <c r="K1" s="3"/>
    </row>
    <row r="2" spans="1:14" ht="14.1" customHeight="1" x14ac:dyDescent="0.2">
      <c r="B2" s="209" t="s">
        <v>101</v>
      </c>
      <c r="C2" s="63" t="s">
        <v>17</v>
      </c>
      <c r="D2" s="72">
        <f>D125</f>
        <v>48981.294715453754</v>
      </c>
      <c r="E2" s="72">
        <f>E125</f>
        <v>14871.822702940939</v>
      </c>
      <c r="F2" s="73">
        <f>F125</f>
        <v>3644.3477460425811</v>
      </c>
      <c r="K2" s="3"/>
    </row>
    <row r="3" spans="1:14" ht="14.1" customHeight="1" x14ac:dyDescent="0.2">
      <c r="B3" s="209"/>
      <c r="C3" s="64" t="s">
        <v>180</v>
      </c>
      <c r="D3" s="67">
        <f>D130</f>
        <v>0.31142500598677142</v>
      </c>
      <c r="E3" s="68">
        <f>E130</f>
        <v>1.0256980805038434</v>
      </c>
      <c r="F3" s="69">
        <f>F130</f>
        <v>4.1856598390108104</v>
      </c>
      <c r="K3" s="27"/>
      <c r="L3" s="27"/>
      <c r="M3" s="27"/>
      <c r="N3" s="27"/>
    </row>
    <row r="4" spans="1:14" ht="14.1" customHeight="1" x14ac:dyDescent="0.2">
      <c r="B4" s="190"/>
      <c r="C4" s="65" t="s">
        <v>182</v>
      </c>
      <c r="D4" s="70">
        <f>D128</f>
        <v>2.6846983274721674E-2</v>
      </c>
      <c r="E4" s="70">
        <f>E128</f>
        <v>8.8422248319296834E-2</v>
      </c>
      <c r="F4" s="71">
        <f>F128</f>
        <v>0.36083274474231125</v>
      </c>
      <c r="K4" s="27"/>
      <c r="L4" s="27"/>
      <c r="M4" s="27"/>
      <c r="N4" s="27"/>
    </row>
    <row r="5" spans="1:14" ht="14.1" customHeight="1" x14ac:dyDescent="0.2">
      <c r="C5" s="24"/>
      <c r="D5" s="210" t="s">
        <v>102</v>
      </c>
      <c r="E5" s="52"/>
      <c r="F5" s="53"/>
      <c r="G5" s="2"/>
      <c r="H5" s="22" t="s">
        <v>100</v>
      </c>
      <c r="I5" s="25"/>
      <c r="J5" s="25"/>
      <c r="K5" s="5"/>
      <c r="L5" s="7"/>
      <c r="M5" s="7"/>
      <c r="N5" s="7"/>
    </row>
    <row r="6" spans="1:14" ht="14.1" customHeight="1" x14ac:dyDescent="0.2">
      <c r="C6" s="24"/>
      <c r="D6" s="210"/>
      <c r="E6" s="13"/>
      <c r="F6" s="14"/>
      <c r="G6" s="21"/>
      <c r="H6" s="23" t="s">
        <v>271</v>
      </c>
      <c r="I6" s="25"/>
      <c r="J6" s="25"/>
      <c r="K6" s="28"/>
      <c r="L6" s="7"/>
      <c r="M6" s="7"/>
      <c r="N6" s="7"/>
    </row>
    <row r="7" spans="1:14" ht="14.1" customHeight="1" x14ac:dyDescent="0.2">
      <c r="I7" s="25"/>
      <c r="K7" s="28"/>
      <c r="L7" s="7"/>
      <c r="M7" s="7"/>
      <c r="N7" s="7"/>
    </row>
    <row r="8" spans="1:14" ht="14.1" customHeight="1" x14ac:dyDescent="0.2">
      <c r="B8" s="3"/>
      <c r="C8" s="213" t="s">
        <v>7</v>
      </c>
      <c r="D8" s="213" t="s">
        <v>9</v>
      </c>
      <c r="E8" s="214"/>
      <c r="F8" s="215"/>
      <c r="G8" s="215" t="s">
        <v>1</v>
      </c>
      <c r="H8" s="211" t="s">
        <v>0</v>
      </c>
      <c r="K8" s="28"/>
      <c r="L8" s="7"/>
      <c r="M8" s="7"/>
      <c r="N8" s="7"/>
    </row>
    <row r="9" spans="1:14" ht="14.1" customHeight="1" x14ac:dyDescent="0.2">
      <c r="A9" s="46"/>
      <c r="B9" s="46"/>
      <c r="C9" s="216"/>
      <c r="D9" s="74" t="s">
        <v>80</v>
      </c>
      <c r="E9" s="75" t="s">
        <v>98</v>
      </c>
      <c r="F9" s="76" t="s">
        <v>99</v>
      </c>
      <c r="G9" s="217"/>
      <c r="H9" s="212"/>
      <c r="K9" s="28"/>
      <c r="L9" s="7"/>
      <c r="M9" s="7"/>
      <c r="N9" s="7"/>
    </row>
    <row r="10" spans="1:14" ht="14.1" customHeight="1" x14ac:dyDescent="0.2">
      <c r="A10" s="218" t="s">
        <v>194</v>
      </c>
      <c r="B10" s="218"/>
      <c r="C10" s="43"/>
      <c r="D10" s="44"/>
      <c r="E10" s="44"/>
      <c r="F10" s="44"/>
      <c r="G10" s="43"/>
      <c r="H10" s="45"/>
      <c r="K10" s="28"/>
      <c r="L10" s="7"/>
      <c r="M10" s="7"/>
      <c r="N10" s="7"/>
    </row>
    <row r="11" spans="1:14" ht="14.1" customHeight="1" x14ac:dyDescent="0.2">
      <c r="A11" s="191"/>
      <c r="B11" s="191"/>
      <c r="C11" s="25" t="s">
        <v>128</v>
      </c>
      <c r="D11" s="77">
        <v>4.2500000000000003E-2</v>
      </c>
      <c r="E11" s="77">
        <v>4.2500000000000003E-2</v>
      </c>
      <c r="F11" s="77">
        <v>4.2500000000000003E-2</v>
      </c>
      <c r="G11" s="37" t="s">
        <v>129</v>
      </c>
      <c r="H11" s="37" t="s">
        <v>181</v>
      </c>
      <c r="K11" s="28"/>
      <c r="L11" s="7"/>
      <c r="M11" s="7"/>
      <c r="N11" s="7"/>
    </row>
    <row r="12" spans="1:14" ht="14.1" customHeight="1" x14ac:dyDescent="0.2">
      <c r="A12" s="191"/>
      <c r="B12" s="191"/>
      <c r="C12" s="43"/>
      <c r="D12" s="195"/>
      <c r="E12" s="195"/>
      <c r="F12" s="195"/>
      <c r="G12" s="103"/>
      <c r="H12" s="103"/>
      <c r="I12" s="1" t="s">
        <v>92</v>
      </c>
      <c r="K12" s="28"/>
      <c r="L12" s="7"/>
      <c r="M12" s="7"/>
      <c r="N12" s="7"/>
    </row>
    <row r="13" spans="1:14" ht="14.1" customHeight="1" x14ac:dyDescent="0.2">
      <c r="A13" s="191" t="s">
        <v>210</v>
      </c>
      <c r="B13" s="191"/>
      <c r="C13" s="43"/>
      <c r="D13" s="195"/>
      <c r="E13" s="195"/>
      <c r="F13" s="195"/>
      <c r="G13" s="103"/>
      <c r="H13" s="103"/>
      <c r="K13" s="28"/>
      <c r="L13" s="7"/>
      <c r="M13" s="7"/>
      <c r="N13" s="7"/>
    </row>
    <row r="14" spans="1:14" ht="14.1" customHeight="1" x14ac:dyDescent="0.2">
      <c r="B14" s="206" t="s">
        <v>118</v>
      </c>
      <c r="C14" s="33" t="s">
        <v>18</v>
      </c>
      <c r="D14" s="81">
        <f>0.85*E14</f>
        <v>0.54400000000000004</v>
      </c>
      <c r="E14" s="82">
        <v>0.64</v>
      </c>
      <c r="F14" s="83">
        <f>1.15*E14</f>
        <v>0.73599999999999999</v>
      </c>
      <c r="G14" s="48" t="s">
        <v>138</v>
      </c>
      <c r="H14" s="188" t="s">
        <v>279</v>
      </c>
      <c r="K14" s="28"/>
      <c r="L14" s="7"/>
      <c r="M14" s="7"/>
      <c r="N14" s="7"/>
    </row>
    <row r="15" spans="1:14" ht="14.1" customHeight="1" x14ac:dyDescent="0.2">
      <c r="B15" s="206"/>
      <c r="C15" s="59" t="s">
        <v>273</v>
      </c>
      <c r="D15" s="32">
        <v>300</v>
      </c>
      <c r="E15" s="32">
        <f>D15</f>
        <v>300</v>
      </c>
      <c r="F15" s="32">
        <f>D15</f>
        <v>300</v>
      </c>
      <c r="G15" s="112" t="s">
        <v>276</v>
      </c>
      <c r="H15" s="112" t="s">
        <v>275</v>
      </c>
      <c r="K15" s="28"/>
      <c r="L15" s="7"/>
      <c r="M15" s="7"/>
      <c r="N15" s="7"/>
    </row>
    <row r="16" spans="1:14" ht="14.1" customHeight="1" x14ac:dyDescent="0.2">
      <c r="B16" s="206"/>
      <c r="C16" s="59" t="s">
        <v>284</v>
      </c>
      <c r="D16" s="184">
        <f>1000/D15</f>
        <v>3.3333333333333335</v>
      </c>
      <c r="E16" s="184">
        <f t="shared" ref="E16:F16" si="0">1000/E15</f>
        <v>3.3333333333333335</v>
      </c>
      <c r="F16" s="184">
        <f t="shared" si="0"/>
        <v>3.3333333333333335</v>
      </c>
      <c r="G16" s="112" t="s">
        <v>138</v>
      </c>
      <c r="H16" s="112" t="s">
        <v>286</v>
      </c>
      <c r="K16" s="28"/>
      <c r="L16" s="7"/>
      <c r="M16" s="7"/>
      <c r="N16" s="7"/>
    </row>
    <row r="17" spans="1:14" ht="14.1" customHeight="1" x14ac:dyDescent="0.2">
      <c r="B17" s="206"/>
      <c r="C17" s="59" t="s">
        <v>285</v>
      </c>
      <c r="D17" s="107">
        <f>10000/D15</f>
        <v>33.333333333333336</v>
      </c>
      <c r="E17" s="107">
        <f t="shared" ref="E17:F17" si="1">10000/E15</f>
        <v>33.333333333333336</v>
      </c>
      <c r="F17" s="107">
        <f t="shared" si="1"/>
        <v>33.333333333333336</v>
      </c>
      <c r="G17" s="112" t="s">
        <v>138</v>
      </c>
      <c r="H17" s="112" t="s">
        <v>274</v>
      </c>
      <c r="K17" s="28"/>
      <c r="L17" s="7"/>
      <c r="M17" s="7"/>
      <c r="N17" s="7"/>
    </row>
    <row r="18" spans="1:14" ht="14.1" customHeight="1" x14ac:dyDescent="0.2">
      <c r="B18" s="206"/>
      <c r="C18" s="59" t="s">
        <v>287</v>
      </c>
      <c r="D18" s="107">
        <f>D16/D14</f>
        <v>6.1274509803921564</v>
      </c>
      <c r="E18" s="107">
        <f t="shared" ref="E18:F18" si="2">E16/E14</f>
        <v>5.208333333333333</v>
      </c>
      <c r="F18" s="107">
        <f t="shared" si="2"/>
        <v>4.5289855072463769</v>
      </c>
      <c r="G18" s="48" t="s">
        <v>12</v>
      </c>
      <c r="K18" s="28"/>
      <c r="L18" s="7"/>
      <c r="M18" s="7"/>
      <c r="N18" s="7"/>
    </row>
    <row r="19" spans="1:14" ht="14.1" customHeight="1" x14ac:dyDescent="0.2">
      <c r="B19" s="206"/>
      <c r="C19" s="59" t="s">
        <v>288</v>
      </c>
      <c r="D19" s="185">
        <f>D17/D14</f>
        <v>61.274509803921568</v>
      </c>
      <c r="E19" s="185">
        <f t="shared" ref="E19:F19" si="3">E17/E14</f>
        <v>52.083333333333336</v>
      </c>
      <c r="F19" s="185">
        <f t="shared" si="3"/>
        <v>45.289855072463773</v>
      </c>
      <c r="G19" s="48" t="s">
        <v>12</v>
      </c>
      <c r="K19" s="28"/>
      <c r="L19" s="7"/>
      <c r="M19" s="7"/>
      <c r="N19" s="7"/>
    </row>
    <row r="20" spans="1:14" ht="14.1" customHeight="1" x14ac:dyDescent="0.2">
      <c r="B20" s="206"/>
      <c r="C20" s="196" t="s">
        <v>119</v>
      </c>
      <c r="D20" s="108">
        <f>D28*D19+D29*D16</f>
        <v>37113.039215686273</v>
      </c>
      <c r="E20" s="108">
        <f>E28*E19+E29*E16</f>
        <v>31754.583333333336</v>
      </c>
      <c r="F20" s="108">
        <f>F28*F19+F29*F16</f>
        <v>32702.89855072464</v>
      </c>
      <c r="G20" s="116" t="s">
        <v>12</v>
      </c>
      <c r="H20" s="48" t="s">
        <v>211</v>
      </c>
      <c r="K20" s="28"/>
      <c r="L20" s="7"/>
      <c r="M20" s="7"/>
      <c r="N20" s="7"/>
    </row>
    <row r="21" spans="1:14" ht="14.1" customHeight="1" x14ac:dyDescent="0.2">
      <c r="B21" s="187"/>
      <c r="C21" s="187"/>
      <c r="D21" s="187"/>
      <c r="E21" s="187"/>
      <c r="F21" s="187"/>
      <c r="G21" s="187"/>
      <c r="K21" s="28"/>
      <c r="L21" s="7"/>
      <c r="M21" s="7"/>
      <c r="N21" s="7"/>
    </row>
    <row r="22" spans="1:14" ht="14.1" customHeight="1" x14ac:dyDescent="0.2">
      <c r="A22" s="218" t="s">
        <v>151</v>
      </c>
      <c r="B22" s="218"/>
      <c r="C22" s="218"/>
      <c r="D22" s="61"/>
      <c r="E22" s="61"/>
      <c r="F22" s="61"/>
      <c r="G22" s="48"/>
      <c r="K22" s="28"/>
      <c r="L22" s="7"/>
      <c r="M22" s="7"/>
      <c r="N22" s="7"/>
    </row>
    <row r="23" spans="1:14" ht="14.1" customHeight="1" x14ac:dyDescent="0.2">
      <c r="B23" s="187" t="s">
        <v>5</v>
      </c>
      <c r="C23" s="33" t="s">
        <v>10</v>
      </c>
      <c r="D23" s="60">
        <v>1000</v>
      </c>
      <c r="E23" s="60">
        <v>1000</v>
      </c>
      <c r="F23" s="60">
        <v>1000</v>
      </c>
      <c r="G23" s="192" t="s">
        <v>11</v>
      </c>
      <c r="H23" s="48" t="s">
        <v>195</v>
      </c>
      <c r="K23" s="28"/>
      <c r="L23" s="7"/>
      <c r="M23" s="7"/>
      <c r="N23" s="7"/>
    </row>
    <row r="24" spans="1:14" ht="14.1" customHeight="1" x14ac:dyDescent="0.2">
      <c r="B24" s="187"/>
      <c r="C24" s="33" t="s">
        <v>300</v>
      </c>
      <c r="D24" s="81">
        <f>E24</f>
        <v>0.58299999999999996</v>
      </c>
      <c r="E24" s="179">
        <v>0.58299999999999996</v>
      </c>
      <c r="F24" s="83">
        <v>0.7</v>
      </c>
      <c r="G24" s="192"/>
      <c r="K24" s="28"/>
      <c r="L24" s="7"/>
      <c r="M24" s="7"/>
      <c r="N24" s="7"/>
    </row>
    <row r="25" spans="1:14" ht="14.1" customHeight="1" x14ac:dyDescent="0.2">
      <c r="B25" s="187"/>
      <c r="C25" s="59" t="s">
        <v>20</v>
      </c>
      <c r="D25" s="204">
        <v>1</v>
      </c>
      <c r="E25" s="204">
        <v>1</v>
      </c>
      <c r="F25" s="204">
        <v>1</v>
      </c>
      <c r="G25" s="48" t="s">
        <v>302</v>
      </c>
      <c r="H25" s="112" t="s">
        <v>134</v>
      </c>
      <c r="K25" s="28"/>
      <c r="L25" s="7"/>
      <c r="M25" s="7"/>
      <c r="N25" s="7"/>
    </row>
    <row r="26" spans="1:14" ht="14.1" customHeight="1" x14ac:dyDescent="0.2">
      <c r="B26" s="187"/>
      <c r="C26" s="59" t="s">
        <v>19</v>
      </c>
      <c r="D26" s="204">
        <v>1</v>
      </c>
      <c r="E26" s="204">
        <v>1</v>
      </c>
      <c r="F26" s="204">
        <v>1</v>
      </c>
      <c r="G26" s="48" t="s">
        <v>302</v>
      </c>
      <c r="H26" s="112" t="s">
        <v>303</v>
      </c>
      <c r="K26" s="28"/>
      <c r="L26" s="7"/>
      <c r="M26" s="7"/>
      <c r="N26" s="7"/>
    </row>
    <row r="27" spans="1:14" ht="14.1" customHeight="1" x14ac:dyDescent="0.2">
      <c r="B27" s="187"/>
      <c r="C27" s="33" t="s">
        <v>301</v>
      </c>
      <c r="D27" s="81">
        <f>D24*D25*D26</f>
        <v>0.58299999999999996</v>
      </c>
      <c r="E27" s="179">
        <f>E24*E25*E26</f>
        <v>0.58299999999999996</v>
      </c>
      <c r="F27" s="83">
        <f>F24*F25*F26</f>
        <v>0.7</v>
      </c>
      <c r="G27" s="188" t="s">
        <v>196</v>
      </c>
      <c r="H27" s="112" t="s">
        <v>278</v>
      </c>
      <c r="K27" s="28"/>
      <c r="L27" s="7"/>
      <c r="M27" s="7"/>
      <c r="N27" s="7"/>
    </row>
    <row r="28" spans="1:14" ht="14.1" customHeight="1" x14ac:dyDescent="0.2">
      <c r="B28" s="187"/>
      <c r="C28" s="33" t="s">
        <v>2</v>
      </c>
      <c r="D28" s="78">
        <f>D23*D27</f>
        <v>583</v>
      </c>
      <c r="E28" s="78">
        <f>E23*E27</f>
        <v>583</v>
      </c>
      <c r="F28" s="78">
        <f>F23*F27</f>
        <v>700</v>
      </c>
      <c r="G28" s="48" t="s">
        <v>12</v>
      </c>
      <c r="K28" s="28"/>
      <c r="L28" s="7"/>
      <c r="M28" s="7"/>
      <c r="N28" s="7"/>
    </row>
    <row r="29" spans="1:14" ht="14.1" customHeight="1" x14ac:dyDescent="0.2">
      <c r="B29" s="187"/>
      <c r="C29" s="33" t="s">
        <v>3</v>
      </c>
      <c r="D29" s="60">
        <f>D23-(D23*D27)</f>
        <v>417</v>
      </c>
      <c r="E29" s="60">
        <f>E23-(E23*E27)</f>
        <v>417</v>
      </c>
      <c r="F29" s="60">
        <f>F23-(F23*F27)</f>
        <v>300</v>
      </c>
      <c r="G29" s="48" t="s">
        <v>12</v>
      </c>
      <c r="K29" s="28"/>
      <c r="L29" s="7"/>
      <c r="M29" s="7"/>
      <c r="N29" s="7"/>
    </row>
    <row r="30" spans="1:14" ht="14.1" customHeight="1" x14ac:dyDescent="0.2">
      <c r="B30" s="187"/>
      <c r="C30" s="33"/>
      <c r="D30" s="60"/>
      <c r="E30" s="60"/>
      <c r="F30" s="60"/>
      <c r="G30" s="48"/>
      <c r="K30" s="28"/>
      <c r="L30" s="7"/>
      <c r="M30" s="7"/>
      <c r="N30" s="7"/>
    </row>
    <row r="31" spans="1:14" ht="14.1" customHeight="1" x14ac:dyDescent="0.2">
      <c r="B31" s="187"/>
      <c r="C31" s="33" t="s">
        <v>4</v>
      </c>
      <c r="D31" s="81">
        <v>4.1000000000000002E-2</v>
      </c>
      <c r="E31" s="82">
        <v>0.08</v>
      </c>
      <c r="F31" s="83">
        <v>0.18</v>
      </c>
      <c r="G31" s="48" t="s">
        <v>203</v>
      </c>
      <c r="H31" s="38" t="s">
        <v>202</v>
      </c>
      <c r="I31" s="1" t="s">
        <v>92</v>
      </c>
      <c r="K31" s="28"/>
      <c r="L31" s="7"/>
      <c r="M31" s="7"/>
      <c r="N31" s="7"/>
    </row>
    <row r="32" spans="1:14" ht="14.1" customHeight="1" x14ac:dyDescent="0.2">
      <c r="B32" s="187"/>
      <c r="C32" s="33" t="s">
        <v>91</v>
      </c>
      <c r="D32" s="80">
        <f>E32</f>
        <v>0.80503144654088055</v>
      </c>
      <c r="E32" s="80">
        <f>1-(4/318)/(20/310)</f>
        <v>0.80503144654088055</v>
      </c>
      <c r="F32" s="80">
        <f>E32</f>
        <v>0.80503144654088055</v>
      </c>
      <c r="G32" s="48" t="s">
        <v>88</v>
      </c>
      <c r="H32" s="38" t="s">
        <v>104</v>
      </c>
      <c r="K32" s="28"/>
      <c r="L32" s="7"/>
      <c r="M32" s="7"/>
      <c r="N32" s="7"/>
    </row>
    <row r="33" spans="2:14" ht="14.1" customHeight="1" x14ac:dyDescent="0.2">
      <c r="B33" s="187"/>
      <c r="C33" s="60" t="s">
        <v>20</v>
      </c>
      <c r="D33" s="81">
        <v>0.9</v>
      </c>
      <c r="E33" s="82">
        <v>0.9</v>
      </c>
      <c r="F33" s="83">
        <v>1</v>
      </c>
      <c r="G33" s="48" t="s">
        <v>89</v>
      </c>
      <c r="H33" s="188" t="s">
        <v>87</v>
      </c>
      <c r="I33" s="1" t="s">
        <v>92</v>
      </c>
      <c r="K33" s="28"/>
      <c r="L33" s="7"/>
      <c r="M33" s="7"/>
      <c r="N33" s="7"/>
    </row>
    <row r="34" spans="2:14" ht="14.1" customHeight="1" x14ac:dyDescent="0.2">
      <c r="B34" s="187"/>
      <c r="C34" s="60" t="s">
        <v>19</v>
      </c>
      <c r="D34" s="81">
        <v>0.5</v>
      </c>
      <c r="E34" s="82">
        <v>0.6</v>
      </c>
      <c r="F34" s="83">
        <v>0.8</v>
      </c>
      <c r="G34" s="48" t="s">
        <v>89</v>
      </c>
      <c r="H34" s="188" t="s">
        <v>90</v>
      </c>
      <c r="K34" s="28"/>
      <c r="L34" s="7"/>
      <c r="M34" s="7"/>
      <c r="N34" s="7"/>
    </row>
    <row r="35" spans="2:14" ht="14.1" customHeight="1" x14ac:dyDescent="0.2">
      <c r="B35" s="187"/>
      <c r="C35" s="33" t="s">
        <v>15</v>
      </c>
      <c r="D35" s="84">
        <f>D32*D34*D33</f>
        <v>0.36226415094339626</v>
      </c>
      <c r="E35" s="84">
        <f>E32*E34*E33</f>
        <v>0.43471698113207546</v>
      </c>
      <c r="F35" s="84">
        <f>F32*F34*F33</f>
        <v>0.64402515723270448</v>
      </c>
      <c r="G35" s="48" t="s">
        <v>12</v>
      </c>
      <c r="H35" s="188"/>
      <c r="K35" s="28"/>
      <c r="L35" s="7"/>
      <c r="M35" s="7"/>
      <c r="N35" s="7"/>
    </row>
    <row r="36" spans="2:14" ht="14.1" customHeight="1" x14ac:dyDescent="0.2">
      <c r="B36" s="187"/>
      <c r="C36" s="33" t="s">
        <v>93</v>
      </c>
      <c r="D36" s="84">
        <f>(1-D35)*D31</f>
        <v>2.6147169811320755E-2</v>
      </c>
      <c r="E36" s="84">
        <f>(1-E35)*E31</f>
        <v>4.5222641509433961E-2</v>
      </c>
      <c r="F36" s="84">
        <f>(1-F35)*F31</f>
        <v>6.4075471698113187E-2</v>
      </c>
      <c r="G36" s="48" t="s">
        <v>12</v>
      </c>
      <c r="H36" s="188" t="s">
        <v>94</v>
      </c>
      <c r="K36" s="28"/>
      <c r="L36" s="7"/>
      <c r="M36" s="7"/>
      <c r="N36" s="7"/>
    </row>
    <row r="37" spans="2:14" ht="14.1" customHeight="1" x14ac:dyDescent="0.2">
      <c r="B37" s="187"/>
      <c r="C37" s="33"/>
      <c r="D37" s="60"/>
      <c r="E37" s="60"/>
      <c r="F37" s="60"/>
      <c r="G37" s="48"/>
      <c r="K37" s="28"/>
      <c r="L37" s="7"/>
      <c r="M37" s="7"/>
      <c r="N37" s="7"/>
    </row>
    <row r="38" spans="2:14" ht="14.1" customHeight="1" x14ac:dyDescent="0.2">
      <c r="B38" s="187"/>
      <c r="C38" s="33" t="s">
        <v>95</v>
      </c>
      <c r="D38" s="85">
        <f>D28*D36</f>
        <v>15.2438</v>
      </c>
      <c r="E38" s="85">
        <f>E28*E36</f>
        <v>26.364799999999999</v>
      </c>
      <c r="F38" s="85">
        <f>F28*F36</f>
        <v>44.852830188679228</v>
      </c>
      <c r="G38" s="48" t="s">
        <v>12</v>
      </c>
      <c r="K38" s="28"/>
      <c r="L38" s="7"/>
      <c r="M38" s="7"/>
      <c r="N38" s="7"/>
    </row>
    <row r="39" spans="2:14" ht="14.1" customHeight="1" x14ac:dyDescent="0.2">
      <c r="B39" s="187"/>
      <c r="C39" s="33" t="s">
        <v>96</v>
      </c>
      <c r="D39" s="85">
        <f>D29*D31</f>
        <v>17.097000000000001</v>
      </c>
      <c r="E39" s="85">
        <f>E29*E31</f>
        <v>33.36</v>
      </c>
      <c r="F39" s="85">
        <f>F29*F31</f>
        <v>54</v>
      </c>
      <c r="G39" s="48" t="s">
        <v>12</v>
      </c>
      <c r="K39" s="28"/>
      <c r="L39" s="7"/>
      <c r="M39" s="7"/>
      <c r="N39" s="7"/>
    </row>
    <row r="40" spans="2:14" ht="14.1" customHeight="1" x14ac:dyDescent="0.2">
      <c r="B40" s="187"/>
      <c r="C40" s="33" t="s">
        <v>97</v>
      </c>
      <c r="D40" s="85">
        <f>D38+D39</f>
        <v>32.340800000000002</v>
      </c>
      <c r="E40" s="85">
        <f>E38+E39</f>
        <v>59.724800000000002</v>
      </c>
      <c r="F40" s="85">
        <f>F38+F39</f>
        <v>98.852830188679235</v>
      </c>
      <c r="G40" s="48" t="s">
        <v>12</v>
      </c>
      <c r="K40" s="28"/>
      <c r="L40" s="7"/>
      <c r="M40" s="7"/>
      <c r="N40" s="7"/>
    </row>
    <row r="41" spans="2:14" ht="14.1" customHeight="1" x14ac:dyDescent="0.2">
      <c r="C41" s="33"/>
      <c r="D41" s="60"/>
      <c r="E41" s="60"/>
      <c r="F41" s="60"/>
      <c r="G41" s="48"/>
      <c r="K41" s="28"/>
      <c r="L41" s="7"/>
      <c r="M41" s="7"/>
      <c r="N41" s="7"/>
    </row>
    <row r="42" spans="2:14" ht="14.1" customHeight="1" x14ac:dyDescent="0.2">
      <c r="B42" s="206" t="s">
        <v>8</v>
      </c>
      <c r="C42" s="33" t="s">
        <v>10</v>
      </c>
      <c r="D42" s="60">
        <f>D23</f>
        <v>1000</v>
      </c>
      <c r="E42" s="60">
        <f>E23</f>
        <v>1000</v>
      </c>
      <c r="F42" s="60">
        <f>F23</f>
        <v>1000</v>
      </c>
      <c r="G42" s="192" t="str">
        <f>G23</f>
        <v>-</v>
      </c>
      <c r="H42" s="48" t="str">
        <f>H23</f>
        <v>Cancels out later in the logic. Do not change.</v>
      </c>
      <c r="K42" s="28"/>
      <c r="L42" s="7"/>
      <c r="M42" s="7"/>
      <c r="N42" s="7"/>
    </row>
    <row r="43" spans="2:14" ht="14.1" customHeight="1" x14ac:dyDescent="0.2">
      <c r="B43" s="206"/>
      <c r="C43" s="33" t="s">
        <v>4</v>
      </c>
      <c r="D43" s="60">
        <f>D31</f>
        <v>4.1000000000000002E-2</v>
      </c>
      <c r="E43" s="60">
        <f>E31</f>
        <v>0.08</v>
      </c>
      <c r="F43" s="60">
        <f>F31</f>
        <v>0.18</v>
      </c>
      <c r="G43" s="48" t="s">
        <v>21</v>
      </c>
      <c r="H43" s="188"/>
      <c r="K43" s="28"/>
      <c r="L43" s="7"/>
      <c r="M43" s="7"/>
      <c r="N43" s="7"/>
    </row>
    <row r="44" spans="2:14" ht="14.1" customHeight="1" x14ac:dyDescent="0.2">
      <c r="B44" s="206"/>
      <c r="C44" s="33" t="s">
        <v>205</v>
      </c>
      <c r="D44" s="60">
        <f>D43*D42</f>
        <v>41</v>
      </c>
      <c r="E44" s="60">
        <f>E43*E42</f>
        <v>80</v>
      </c>
      <c r="F44" s="60">
        <f>F43*F42</f>
        <v>180</v>
      </c>
      <c r="G44" s="48" t="s">
        <v>12</v>
      </c>
      <c r="K44" s="28"/>
      <c r="L44" s="7"/>
      <c r="M44" s="7"/>
      <c r="N44" s="7"/>
    </row>
    <row r="45" spans="2:14" ht="14.1" customHeight="1" x14ac:dyDescent="0.2">
      <c r="C45" s="61"/>
      <c r="D45" s="60"/>
      <c r="E45" s="60"/>
      <c r="F45" s="60"/>
      <c r="G45" s="48"/>
      <c r="K45" s="28"/>
      <c r="L45" s="7"/>
      <c r="M45" s="7"/>
      <c r="N45" s="7"/>
    </row>
    <row r="46" spans="2:14" ht="14.1" customHeight="1" x14ac:dyDescent="0.2">
      <c r="B46" s="206" t="s">
        <v>13</v>
      </c>
      <c r="C46" s="61" t="s">
        <v>206</v>
      </c>
      <c r="D46" s="85">
        <f>D44-D40</f>
        <v>8.6591999999999985</v>
      </c>
      <c r="E46" s="85">
        <f>E44-E40</f>
        <v>20.275199999999998</v>
      </c>
      <c r="F46" s="85">
        <f>F44-F40</f>
        <v>81.147169811320765</v>
      </c>
      <c r="G46" s="48" t="s">
        <v>12</v>
      </c>
      <c r="H46" s="48" t="s">
        <v>213</v>
      </c>
      <c r="K46" s="28"/>
      <c r="L46" s="7"/>
      <c r="M46" s="7"/>
      <c r="N46" s="7"/>
    </row>
    <row r="47" spans="2:14" ht="14.1" customHeight="1" x14ac:dyDescent="0.2">
      <c r="B47" s="206"/>
      <c r="C47" s="33" t="s">
        <v>16</v>
      </c>
      <c r="D47" s="86">
        <v>0.05</v>
      </c>
      <c r="E47" s="86">
        <v>0.05</v>
      </c>
      <c r="F47" s="79">
        <v>0.1</v>
      </c>
      <c r="G47" s="48" t="s">
        <v>209</v>
      </c>
      <c r="H47" s="112" t="s">
        <v>292</v>
      </c>
      <c r="K47" s="28"/>
      <c r="L47" s="7"/>
      <c r="M47" s="7"/>
      <c r="N47" s="7"/>
    </row>
    <row r="48" spans="2:14" ht="14.1" customHeight="1" x14ac:dyDescent="0.2">
      <c r="B48" s="206"/>
      <c r="C48" s="124" t="s">
        <v>120</v>
      </c>
      <c r="D48" s="125">
        <f>D46*D47</f>
        <v>0.43295999999999996</v>
      </c>
      <c r="E48" s="125">
        <f t="shared" ref="E48:F48" si="4">E46*E47</f>
        <v>1.01376</v>
      </c>
      <c r="F48" s="125">
        <f t="shared" si="4"/>
        <v>8.1147169811320765</v>
      </c>
      <c r="G48" s="188" t="s">
        <v>12</v>
      </c>
      <c r="K48" s="28"/>
      <c r="L48" s="7"/>
      <c r="M48" s="7"/>
      <c r="N48" s="7"/>
    </row>
    <row r="49" spans="2:14" ht="14.1" customHeight="1" x14ac:dyDescent="0.2">
      <c r="C49" s="61"/>
      <c r="D49" s="87"/>
      <c r="E49" s="87"/>
      <c r="F49" s="61"/>
      <c r="G49" s="48"/>
      <c r="K49" s="28"/>
      <c r="L49" s="7"/>
      <c r="M49" s="7"/>
      <c r="N49" s="7"/>
    </row>
    <row r="50" spans="2:14" ht="14.1" customHeight="1" x14ac:dyDescent="0.2">
      <c r="B50" s="206" t="s">
        <v>219</v>
      </c>
      <c r="C50" s="45" t="s">
        <v>103</v>
      </c>
      <c r="D50" s="109">
        <f>D20/D48</f>
        <v>85719.325609031497</v>
      </c>
      <c r="E50" s="109">
        <f>E20/E48</f>
        <v>31323.570996422561</v>
      </c>
      <c r="F50" s="109">
        <f>F20/F48</f>
        <v>4030.0725985593508</v>
      </c>
      <c r="G50" s="37" t="s">
        <v>12</v>
      </c>
      <c r="H50" s="37" t="s">
        <v>212</v>
      </c>
      <c r="K50" s="28"/>
      <c r="L50" s="7"/>
      <c r="M50" s="7"/>
      <c r="N50" s="7"/>
    </row>
    <row r="51" spans="2:14" ht="14.1" customHeight="1" x14ac:dyDescent="0.2">
      <c r="B51" s="206"/>
      <c r="C51" s="61"/>
      <c r="D51" s="88"/>
      <c r="E51" s="61"/>
      <c r="F51" s="61"/>
      <c r="G51" s="48"/>
    </row>
    <row r="52" spans="2:14" ht="14.1" customHeight="1" x14ac:dyDescent="0.2">
      <c r="B52" s="206"/>
      <c r="C52" s="62" t="s">
        <v>108</v>
      </c>
      <c r="D52" s="67">
        <v>0.6</v>
      </c>
      <c r="E52" s="67">
        <v>0.6</v>
      </c>
      <c r="F52" s="67">
        <v>0.6</v>
      </c>
      <c r="G52" s="38" t="s">
        <v>110</v>
      </c>
      <c r="H52" s="131" t="s">
        <v>124</v>
      </c>
    </row>
    <row r="53" spans="2:14" ht="14.1" customHeight="1" x14ac:dyDescent="0.2">
      <c r="B53" s="206"/>
      <c r="C53" s="62" t="s">
        <v>109</v>
      </c>
      <c r="D53" s="67">
        <v>0.09</v>
      </c>
      <c r="E53" s="67">
        <v>0.09</v>
      </c>
      <c r="F53" s="67">
        <v>0.09</v>
      </c>
      <c r="G53" s="38" t="s">
        <v>110</v>
      </c>
      <c r="H53" s="137"/>
    </row>
    <row r="54" spans="2:14" ht="14.1" customHeight="1" x14ac:dyDescent="0.2">
      <c r="B54" s="206"/>
      <c r="C54" s="62" t="s">
        <v>111</v>
      </c>
      <c r="D54" s="67">
        <f>D52-D53</f>
        <v>0.51</v>
      </c>
      <c r="E54" s="67">
        <f>E52-E53</f>
        <v>0.51</v>
      </c>
      <c r="F54" s="67">
        <f>F52-F53</f>
        <v>0.51</v>
      </c>
      <c r="G54" s="38" t="s">
        <v>12</v>
      </c>
      <c r="H54" s="137"/>
    </row>
    <row r="55" spans="2:14" ht="14.1" customHeight="1" x14ac:dyDescent="0.2">
      <c r="B55" s="206"/>
      <c r="C55" s="38" t="s">
        <v>218</v>
      </c>
      <c r="D55" s="67">
        <f>D48*D54</f>
        <v>0.22080959999999999</v>
      </c>
      <c r="E55" s="67">
        <f>E48*E54</f>
        <v>0.51701759999999997</v>
      </c>
      <c r="F55" s="67">
        <f>F48*F54</f>
        <v>4.1385056603773593</v>
      </c>
      <c r="G55" s="38" t="s">
        <v>12</v>
      </c>
      <c r="H55" s="137"/>
    </row>
    <row r="56" spans="2:14" ht="14.1" customHeight="1" x14ac:dyDescent="0.2">
      <c r="B56" s="206"/>
      <c r="C56" s="138" t="s">
        <v>112</v>
      </c>
      <c r="D56" s="139">
        <f>D20/D55</f>
        <v>168077.10903731664</v>
      </c>
      <c r="E56" s="139">
        <f>E20/E55</f>
        <v>61418.766659652087</v>
      </c>
      <c r="F56" s="139">
        <f>F20/F55</f>
        <v>7902.1031344300991</v>
      </c>
      <c r="G56" s="38" t="s">
        <v>12</v>
      </c>
      <c r="H56" s="131" t="s">
        <v>123</v>
      </c>
      <c r="I56" s="34"/>
    </row>
    <row r="57" spans="2:14" ht="14.1" customHeight="1" x14ac:dyDescent="0.2">
      <c r="B57" s="187"/>
      <c r="C57" s="61"/>
      <c r="D57" s="61"/>
      <c r="E57" s="61"/>
      <c r="F57" s="61"/>
      <c r="G57" s="48"/>
      <c r="H57" s="20"/>
      <c r="I57" s="42"/>
    </row>
    <row r="58" spans="2:14" ht="14.1" customHeight="1" x14ac:dyDescent="0.2">
      <c r="B58" s="224" t="s">
        <v>186</v>
      </c>
      <c r="C58" s="128" t="s">
        <v>113</v>
      </c>
      <c r="D58" s="129">
        <f>1-D52</f>
        <v>0.4</v>
      </c>
      <c r="E58" s="129">
        <f>1-E52</f>
        <v>0.4</v>
      </c>
      <c r="F58" s="129">
        <f>1-F52</f>
        <v>0.4</v>
      </c>
      <c r="G58" s="188" t="s">
        <v>114</v>
      </c>
      <c r="H58" s="130" t="s">
        <v>131</v>
      </c>
    </row>
    <row r="59" spans="2:14" ht="14.1" customHeight="1" x14ac:dyDescent="0.2">
      <c r="B59" s="224"/>
      <c r="C59" s="131" t="s">
        <v>132</v>
      </c>
      <c r="D59" s="49">
        <f>$G$122</f>
        <v>24.16</v>
      </c>
      <c r="E59" s="49">
        <f>$G$122</f>
        <v>24.16</v>
      </c>
      <c r="F59" s="49">
        <f>$G$122</f>
        <v>24.16</v>
      </c>
      <c r="G59" s="130" t="s">
        <v>221</v>
      </c>
      <c r="H59" s="130" t="s">
        <v>222</v>
      </c>
    </row>
    <row r="60" spans="2:14" ht="14.1" customHeight="1" x14ac:dyDescent="0.2">
      <c r="B60" s="224"/>
      <c r="C60" s="133" t="s">
        <v>116</v>
      </c>
      <c r="D60" s="81">
        <v>5.2999999999999999E-2</v>
      </c>
      <c r="E60" s="82">
        <v>5.2999999999999999E-2</v>
      </c>
      <c r="F60" s="83">
        <v>0.221</v>
      </c>
      <c r="G60" s="130" t="s">
        <v>117</v>
      </c>
      <c r="H60" s="130" t="s">
        <v>127</v>
      </c>
    </row>
    <row r="61" spans="2:14" ht="14.1" customHeight="1" x14ac:dyDescent="0.2">
      <c r="B61" s="224"/>
      <c r="C61" s="131" t="s">
        <v>220</v>
      </c>
      <c r="D61" s="134">
        <f>D58*D59*D60</f>
        <v>0.51219200000000009</v>
      </c>
      <c r="E61" s="134">
        <f>E58*E59*E60</f>
        <v>0.51219200000000009</v>
      </c>
      <c r="F61" s="134">
        <f>F58*F59*F60</f>
        <v>2.1357440000000003</v>
      </c>
      <c r="G61" s="188" t="s">
        <v>12</v>
      </c>
      <c r="H61" s="188" t="s">
        <v>226</v>
      </c>
    </row>
    <row r="62" spans="2:14" ht="14.1" customHeight="1" x14ac:dyDescent="0.2">
      <c r="B62" s="224"/>
      <c r="C62" s="131" t="s">
        <v>130</v>
      </c>
      <c r="D62" s="134" t="s">
        <v>125</v>
      </c>
      <c r="E62" s="134" t="s">
        <v>125</v>
      </c>
      <c r="F62" s="134" t="s">
        <v>125</v>
      </c>
      <c r="G62" s="188" t="s">
        <v>12</v>
      </c>
      <c r="H62" s="188" t="s">
        <v>126</v>
      </c>
    </row>
    <row r="63" spans="2:14" ht="14.1" customHeight="1" x14ac:dyDescent="0.2">
      <c r="B63" s="224"/>
      <c r="C63" s="133" t="s">
        <v>166</v>
      </c>
      <c r="D63" s="132">
        <f>D48*D61</f>
        <v>0.22175864832000003</v>
      </c>
      <c r="E63" s="132">
        <f>E48*E61</f>
        <v>0.5192397619200001</v>
      </c>
      <c r="F63" s="132">
        <f>F48*F61</f>
        <v>17.330958104150948</v>
      </c>
      <c r="G63" s="188" t="s">
        <v>12</v>
      </c>
      <c r="H63" s="188"/>
    </row>
    <row r="64" spans="2:14" ht="14.1" customHeight="1" x14ac:dyDescent="0.2">
      <c r="B64" s="224"/>
      <c r="C64" s="135" t="s">
        <v>115</v>
      </c>
      <c r="D64" s="136">
        <f>D50/D61</f>
        <v>167357.79865564374</v>
      </c>
      <c r="E64" s="136">
        <f>E50/E61</f>
        <v>61155.916133837614</v>
      </c>
      <c r="F64" s="136">
        <f>F50/F61</f>
        <v>1886.9642609598109</v>
      </c>
      <c r="G64" s="188" t="s">
        <v>12</v>
      </c>
      <c r="H64" s="188" t="s">
        <v>133</v>
      </c>
    </row>
    <row r="65" spans="1:9" ht="14.1" customHeight="1" x14ac:dyDescent="0.2">
      <c r="D65" s="61"/>
      <c r="E65" s="61"/>
      <c r="F65" s="61"/>
      <c r="G65" s="48"/>
    </row>
    <row r="66" spans="1:9" ht="14.1" customHeight="1" x14ac:dyDescent="0.2">
      <c r="A66" s="225" t="s">
        <v>150</v>
      </c>
      <c r="B66" s="225"/>
      <c r="C66" s="225"/>
      <c r="D66" s="61"/>
      <c r="E66" s="61"/>
      <c r="F66" s="61"/>
      <c r="G66" s="48"/>
    </row>
    <row r="67" spans="1:9" ht="14.1" customHeight="1" x14ac:dyDescent="0.2">
      <c r="A67" s="30"/>
      <c r="B67" s="226" t="s">
        <v>5</v>
      </c>
      <c r="C67" s="25" t="str">
        <f>C27</f>
        <v>Retention rate to delivery (adjusted)</v>
      </c>
      <c r="D67" s="89">
        <f>D27</f>
        <v>0.58299999999999996</v>
      </c>
      <c r="E67" s="89">
        <f>E27</f>
        <v>0.58299999999999996</v>
      </c>
      <c r="F67" s="89">
        <f>F27</f>
        <v>0.7</v>
      </c>
      <c r="G67" s="37" t="str">
        <f>G27</f>
        <v>"Summary of Key Program Statistics" New Incentives workbook, accessed 2016-23-08.</v>
      </c>
      <c r="H67" s="37" t="s">
        <v>137</v>
      </c>
    </row>
    <row r="68" spans="1:9" ht="14.1" customHeight="1" x14ac:dyDescent="0.2">
      <c r="A68" s="30"/>
      <c r="B68" s="226"/>
      <c r="C68" s="38" t="s">
        <v>227</v>
      </c>
      <c r="D68" s="96">
        <v>0</v>
      </c>
      <c r="E68" s="97">
        <v>0.08</v>
      </c>
      <c r="F68" s="98">
        <v>0.15</v>
      </c>
      <c r="G68" s="188" t="s">
        <v>138</v>
      </c>
      <c r="H68" s="38" t="s">
        <v>139</v>
      </c>
    </row>
    <row r="69" spans="1:9" ht="14.1" customHeight="1" x14ac:dyDescent="0.2">
      <c r="A69" s="30"/>
      <c r="B69" s="226"/>
      <c r="C69" s="62" t="s">
        <v>73</v>
      </c>
      <c r="D69" s="92">
        <f>(D67*1)+(1-D67)*D68</f>
        <v>0.58299999999999996</v>
      </c>
      <c r="E69" s="92">
        <f>(E67*1)+(1-E67)*E68</f>
        <v>0.61636000000000002</v>
      </c>
      <c r="F69" s="92">
        <f>(F67*1)+(1-F67)*F68</f>
        <v>0.745</v>
      </c>
      <c r="G69" s="38" t="s">
        <v>12</v>
      </c>
      <c r="H69" s="141"/>
    </row>
    <row r="70" spans="1:9" ht="14.1" customHeight="1" x14ac:dyDescent="0.2">
      <c r="C70" s="33"/>
      <c r="D70" s="61"/>
      <c r="E70" s="61"/>
      <c r="F70" s="61"/>
      <c r="G70" s="48"/>
    </row>
    <row r="71" spans="1:9" ht="14.1" customHeight="1" x14ac:dyDescent="0.2">
      <c r="A71" s="30"/>
      <c r="B71" s="226" t="s">
        <v>8</v>
      </c>
      <c r="C71" s="25" t="s">
        <v>72</v>
      </c>
      <c r="D71" s="90">
        <v>0.35</v>
      </c>
      <c r="E71" s="180">
        <v>0.27</v>
      </c>
      <c r="F71" s="90">
        <v>0.2</v>
      </c>
      <c r="G71" s="37" t="s">
        <v>229</v>
      </c>
      <c r="H71" s="35" t="s">
        <v>281</v>
      </c>
    </row>
    <row r="72" spans="1:9" ht="14.1" customHeight="1" x14ac:dyDescent="0.2">
      <c r="A72" s="30"/>
      <c r="B72" s="226"/>
      <c r="C72" s="38" t="s">
        <v>136</v>
      </c>
      <c r="D72" s="92">
        <f>(D71-(1-D67)*D68)/D67</f>
        <v>0.60034305317324188</v>
      </c>
      <c r="E72" s="92">
        <f>(E71-(1-E67)*E68)/E67</f>
        <v>0.4059005145797599</v>
      </c>
      <c r="F72" s="92">
        <f>(F71-(1-F67)*F68)/F67</f>
        <v>0.22142857142857145</v>
      </c>
      <c r="G72" s="38" t="s">
        <v>74</v>
      </c>
      <c r="H72" s="154" t="str">
        <f>CONCATENATE("This implies that the program increases FD by ",TEXT((E69-E72)/E72,"0%")," (",TEXT((E69-E72)*100,"0")," percentage points) for women retained.")</f>
        <v>This implies that the program increases FD by 52% (21 percentage points) for women retained.</v>
      </c>
    </row>
    <row r="73" spans="1:9" ht="14.1" customHeight="1" x14ac:dyDescent="0.2">
      <c r="C73" s="33"/>
      <c r="D73" s="61"/>
      <c r="E73" s="61"/>
      <c r="F73" s="61"/>
      <c r="G73" s="48"/>
    </row>
    <row r="74" spans="1:9" ht="14.1" customHeight="1" x14ac:dyDescent="0.2">
      <c r="B74" s="206" t="s">
        <v>39</v>
      </c>
      <c r="C74" s="62" t="s">
        <v>149</v>
      </c>
      <c r="D74" s="167">
        <v>3.9E-2</v>
      </c>
      <c r="E74" s="167">
        <v>3.9E-2</v>
      </c>
      <c r="F74" s="167">
        <v>3.9E-2</v>
      </c>
      <c r="G74" s="38" t="s">
        <v>45</v>
      </c>
      <c r="H74" s="35" t="s">
        <v>280</v>
      </c>
      <c r="I74" s="29"/>
    </row>
    <row r="75" spans="1:9" ht="14.1" customHeight="1" x14ac:dyDescent="0.2">
      <c r="B75" s="206"/>
      <c r="C75" s="37" t="s">
        <v>230</v>
      </c>
      <c r="D75" s="96">
        <v>0.1</v>
      </c>
      <c r="E75" s="97">
        <v>0.4</v>
      </c>
      <c r="F75" s="98">
        <v>0.45</v>
      </c>
      <c r="G75" s="38" t="s">
        <v>184</v>
      </c>
      <c r="H75" s="38" t="s">
        <v>183</v>
      </c>
    </row>
    <row r="76" spans="1:9" ht="14.1" customHeight="1" x14ac:dyDescent="0.2">
      <c r="A76" s="194"/>
      <c r="B76" s="206"/>
      <c r="C76" s="25" t="s">
        <v>20</v>
      </c>
      <c r="D76" s="205">
        <v>0.75</v>
      </c>
      <c r="E76" s="205">
        <v>0.75</v>
      </c>
      <c r="F76" s="205">
        <v>0.75</v>
      </c>
      <c r="G76" s="37" t="s">
        <v>236</v>
      </c>
      <c r="H76" s="35" t="s">
        <v>293</v>
      </c>
    </row>
    <row r="77" spans="1:9" ht="14.1" customHeight="1" x14ac:dyDescent="0.2">
      <c r="A77" s="194"/>
      <c r="B77" s="206"/>
      <c r="C77" s="25" t="s">
        <v>19</v>
      </c>
      <c r="D77" s="205">
        <v>0.2</v>
      </c>
      <c r="E77" s="205">
        <v>0.2</v>
      </c>
      <c r="F77" s="205">
        <v>0.2</v>
      </c>
      <c r="G77" s="37" t="s">
        <v>63</v>
      </c>
      <c r="H77" s="35" t="s">
        <v>294</v>
      </c>
    </row>
    <row r="78" spans="1:9" ht="14.1" customHeight="1" x14ac:dyDescent="0.2">
      <c r="A78" s="30"/>
      <c r="B78" s="206"/>
      <c r="C78" s="62" t="s">
        <v>140</v>
      </c>
      <c r="D78" s="91">
        <f>D74/(1-D$71*D75)</f>
        <v>4.0414507772020727E-2</v>
      </c>
      <c r="E78" s="91">
        <f>E74/(1-E$71*E75)</f>
        <v>4.3721973094170405E-2</v>
      </c>
      <c r="F78" s="91">
        <f>F74/(1-F$71*F75)</f>
        <v>4.2857142857142858E-2</v>
      </c>
      <c r="G78" s="37" t="s">
        <v>12</v>
      </c>
      <c r="H78" s="110" t="s">
        <v>237</v>
      </c>
    </row>
    <row r="79" spans="1:9" ht="14.1" customHeight="1" x14ac:dyDescent="0.2">
      <c r="A79" s="30"/>
      <c r="B79" s="206"/>
      <c r="C79" s="62" t="s">
        <v>141</v>
      </c>
      <c r="D79" s="91">
        <f>D78*(1-D75)</f>
        <v>3.6373056994818659E-2</v>
      </c>
      <c r="E79" s="91">
        <f>E78*(1-E75)</f>
        <v>2.6233183856502241E-2</v>
      </c>
      <c r="F79" s="91">
        <f>F78*(1-F75)</f>
        <v>2.3571428571428573E-2</v>
      </c>
      <c r="G79" s="37" t="s">
        <v>12</v>
      </c>
      <c r="H79" s="37"/>
    </row>
    <row r="80" spans="1:9" ht="14.1" customHeight="1" x14ac:dyDescent="0.2">
      <c r="A80" s="30"/>
      <c r="B80" s="206"/>
      <c r="C80" s="62" t="s">
        <v>62</v>
      </c>
      <c r="D80" s="93">
        <f>(D$69*D79)+(1-D$69)*D78</f>
        <v>3.8058341968911918E-2</v>
      </c>
      <c r="E80" s="93">
        <f>(E$69*E79)+(1-E$69)*E78</f>
        <v>3.2942582959641253E-2</v>
      </c>
      <c r="F80" s="93">
        <f>(F$69*F79)+(1-F$69)*F78</f>
        <v>2.8489285714285717E-2</v>
      </c>
      <c r="G80" s="37" t="s">
        <v>12</v>
      </c>
      <c r="H80" s="37"/>
    </row>
    <row r="81" spans="1:8" ht="14.1" customHeight="1" x14ac:dyDescent="0.2">
      <c r="A81" s="30"/>
      <c r="B81" s="206"/>
      <c r="C81" s="62" t="s">
        <v>143</v>
      </c>
      <c r="D81" s="66">
        <f>((D74*1000)-(D80*1000))*D76*D77</f>
        <v>0.14124870466321227</v>
      </c>
      <c r="E81" s="66">
        <f>((E74*1000)-(E80*1000))*E76*E77</f>
        <v>0.90861255605381153</v>
      </c>
      <c r="F81" s="66">
        <f>((F74*1000)-(F80*1000))*F76*F77</f>
        <v>1.5766071428571424</v>
      </c>
      <c r="G81" s="38" t="s">
        <v>12</v>
      </c>
      <c r="H81" s="38" t="s">
        <v>144</v>
      </c>
    </row>
    <row r="82" spans="1:8" ht="14.1" customHeight="1" x14ac:dyDescent="0.2">
      <c r="A82" s="30"/>
      <c r="B82" s="206"/>
      <c r="C82" s="196" t="s">
        <v>142</v>
      </c>
      <c r="D82" s="161">
        <f>D20/D81</f>
        <v>262749.58983997133</v>
      </c>
      <c r="E82" s="161">
        <f>E20/E81</f>
        <v>34948.431123653441</v>
      </c>
      <c r="F82" s="161">
        <f>F20/F81</f>
        <v>20742.579214413639</v>
      </c>
      <c r="G82" s="162"/>
      <c r="H82" s="38"/>
    </row>
    <row r="83" spans="1:8" ht="14.1" customHeight="1" x14ac:dyDescent="0.2">
      <c r="A83" s="30"/>
      <c r="C83" s="194"/>
      <c r="D83" s="94"/>
      <c r="E83" s="94"/>
      <c r="F83" s="95"/>
      <c r="G83" s="103"/>
      <c r="H83" s="37"/>
    </row>
    <row r="84" spans="1:8" ht="14.1" customHeight="1" x14ac:dyDescent="0.2">
      <c r="A84" s="30"/>
      <c r="B84" s="224" t="s">
        <v>147</v>
      </c>
      <c r="C84" s="62" t="s">
        <v>148</v>
      </c>
      <c r="D84" s="167">
        <f t="shared" ref="D84:E84" si="5">58/6059</f>
        <v>9.5725367222313906E-3</v>
      </c>
      <c r="E84" s="167">
        <f t="shared" si="5"/>
        <v>9.5725367222313906E-3</v>
      </c>
      <c r="F84" s="167">
        <f>58/6059</f>
        <v>9.5725367222313906E-3</v>
      </c>
      <c r="G84" s="38" t="s">
        <v>243</v>
      </c>
      <c r="H84" s="35" t="s">
        <v>282</v>
      </c>
    </row>
    <row r="85" spans="1:8" ht="14.1" customHeight="1" x14ac:dyDescent="0.2">
      <c r="A85" s="30"/>
      <c r="B85" s="224"/>
      <c r="C85" s="38" t="s">
        <v>238</v>
      </c>
      <c r="D85" s="96">
        <v>0.1</v>
      </c>
      <c r="E85" s="97">
        <v>0.31</v>
      </c>
      <c r="F85" s="98">
        <v>0.45</v>
      </c>
      <c r="G85" s="38" t="s">
        <v>155</v>
      </c>
      <c r="H85" s="38" t="s">
        <v>156</v>
      </c>
    </row>
    <row r="86" spans="1:8" ht="14.1" customHeight="1" x14ac:dyDescent="0.2">
      <c r="A86" s="30"/>
      <c r="B86" s="224"/>
      <c r="C86" s="62" t="s">
        <v>20</v>
      </c>
      <c r="D86" s="96">
        <v>0.5</v>
      </c>
      <c r="E86" s="97">
        <v>0.6</v>
      </c>
      <c r="F86" s="98">
        <v>0.6</v>
      </c>
      <c r="G86" s="38" t="s">
        <v>152</v>
      </c>
      <c r="H86" s="38" t="s">
        <v>134</v>
      </c>
    </row>
    <row r="87" spans="1:8" ht="14.1" customHeight="1" x14ac:dyDescent="0.2">
      <c r="A87" s="30"/>
      <c r="B87" s="224"/>
      <c r="C87" s="62" t="s">
        <v>19</v>
      </c>
      <c r="D87" s="96">
        <v>0.5</v>
      </c>
      <c r="E87" s="97">
        <v>0.7</v>
      </c>
      <c r="F87" s="98">
        <v>0.7</v>
      </c>
      <c r="G87" s="38" t="s">
        <v>153</v>
      </c>
      <c r="H87" s="38" t="s">
        <v>135</v>
      </c>
    </row>
    <row r="88" spans="1:8" ht="14.1" customHeight="1" x14ac:dyDescent="0.2">
      <c r="A88" s="30"/>
      <c r="B88" s="224"/>
      <c r="C88" s="62" t="s">
        <v>157</v>
      </c>
      <c r="D88" s="91">
        <f>D84/(1-D$71*D85)</f>
        <v>9.9197271732967777E-3</v>
      </c>
      <c r="E88" s="91">
        <f>E84/(1-E$71*E85)</f>
        <v>1.044694611178805E-2</v>
      </c>
      <c r="F88" s="91">
        <f>F84/(1-F$71*F85)</f>
        <v>1.0519271123331198E-2</v>
      </c>
      <c r="G88" s="38" t="s">
        <v>12</v>
      </c>
      <c r="H88" s="38" t="s">
        <v>248</v>
      </c>
    </row>
    <row r="89" spans="1:8" ht="14.1" customHeight="1" x14ac:dyDescent="0.2">
      <c r="A89" s="30"/>
      <c r="B89" s="224"/>
      <c r="C89" s="62" t="s">
        <v>158</v>
      </c>
      <c r="D89" s="91">
        <f>D88*(1-D85)</f>
        <v>8.9277544559671004E-3</v>
      </c>
      <c r="E89" s="91">
        <f>E88*(1-E85)</f>
        <v>7.208392817133754E-3</v>
      </c>
      <c r="F89" s="91">
        <f>F88*(1-F85)</f>
        <v>5.7855991178321596E-3</v>
      </c>
      <c r="G89" s="38" t="s">
        <v>12</v>
      </c>
      <c r="H89" s="38"/>
    </row>
    <row r="90" spans="1:8" ht="14.1" customHeight="1" x14ac:dyDescent="0.2">
      <c r="A90" s="30"/>
      <c r="B90" s="224"/>
      <c r="C90" s="62" t="s">
        <v>159</v>
      </c>
      <c r="D90" s="163">
        <f>(D$69*D89)+(1-D$69)*D88</f>
        <v>9.3414070790935767E-3</v>
      </c>
      <c r="E90" s="163">
        <f>(E$69*E89)+(1-E$69)*E88</f>
        <v>8.4508314030949279E-3</v>
      </c>
      <c r="F90" s="163">
        <f>(F$69*F89)+(1-F$69)*F88</f>
        <v>6.9926854792344145E-3</v>
      </c>
      <c r="G90" s="38" t="s">
        <v>12</v>
      </c>
      <c r="H90" s="188"/>
    </row>
    <row r="91" spans="1:8" ht="14.1" customHeight="1" x14ac:dyDescent="0.2">
      <c r="A91" s="30"/>
      <c r="B91" s="224"/>
      <c r="C91" s="62" t="s">
        <v>160</v>
      </c>
      <c r="D91" s="164">
        <f>((D84*D23)-(D90*D23))*D86*D87</f>
        <v>5.7782410784453564E-2</v>
      </c>
      <c r="E91" s="164">
        <f>((E84*E23)-(E90*E23))*E86*E87</f>
        <v>0.47111623403731462</v>
      </c>
      <c r="F91" s="164">
        <f>((F84*F23)-(F90*F23))*F86*F87</f>
        <v>1.0835375220587298</v>
      </c>
      <c r="G91" s="38" t="s">
        <v>12</v>
      </c>
      <c r="H91" s="38" t="s">
        <v>144</v>
      </c>
    </row>
    <row r="92" spans="1:8" ht="14.1" customHeight="1" x14ac:dyDescent="0.2">
      <c r="A92" s="30"/>
      <c r="B92" s="224"/>
      <c r="C92" s="196" t="s">
        <v>161</v>
      </c>
      <c r="D92" s="165">
        <f>D20/D91</f>
        <v>642289.56029767427</v>
      </c>
      <c r="E92" s="165">
        <f>E20/E91</f>
        <v>67402.86375021885</v>
      </c>
      <c r="F92" s="165">
        <f>F20/F91</f>
        <v>30181.602284145061</v>
      </c>
      <c r="G92" s="162"/>
      <c r="H92" s="38"/>
    </row>
    <row r="93" spans="1:8" ht="14.1" customHeight="1" x14ac:dyDescent="0.2">
      <c r="C93" s="33"/>
      <c r="D93" s="61"/>
      <c r="E93" s="61"/>
      <c r="F93" s="61"/>
      <c r="G93" s="48"/>
    </row>
    <row r="94" spans="1:8" ht="14.1" customHeight="1" x14ac:dyDescent="0.2">
      <c r="A94" s="30"/>
      <c r="B94" s="226" t="s">
        <v>40</v>
      </c>
      <c r="C94" s="62" t="s">
        <v>71</v>
      </c>
      <c r="D94" s="91">
        <f>576/100000</f>
        <v>5.7600000000000004E-3</v>
      </c>
      <c r="E94" s="91">
        <f>576/100000</f>
        <v>5.7600000000000004E-3</v>
      </c>
      <c r="F94" s="91">
        <f>576/100000</f>
        <v>5.7600000000000004E-3</v>
      </c>
      <c r="G94" s="38" t="s">
        <v>162</v>
      </c>
      <c r="H94" s="37" t="s">
        <v>283</v>
      </c>
    </row>
    <row r="95" spans="1:8" ht="14.1" customHeight="1" x14ac:dyDescent="0.2">
      <c r="A95" s="30"/>
      <c r="B95" s="226"/>
      <c r="C95" s="37" t="s">
        <v>46</v>
      </c>
      <c r="D95" s="166">
        <v>0.01</v>
      </c>
      <c r="E95" s="97">
        <v>0.1</v>
      </c>
      <c r="F95" s="98">
        <v>0.3</v>
      </c>
      <c r="G95" s="104" t="s">
        <v>68</v>
      </c>
      <c r="H95" s="38" t="s">
        <v>251</v>
      </c>
    </row>
    <row r="96" spans="1:8" ht="14.1" customHeight="1" x14ac:dyDescent="0.2">
      <c r="B96" s="226"/>
      <c r="C96" s="25" t="s">
        <v>20</v>
      </c>
      <c r="D96" s="99">
        <v>0.5</v>
      </c>
      <c r="E96" s="100">
        <v>0.6</v>
      </c>
      <c r="F96" s="101">
        <v>0.7</v>
      </c>
      <c r="G96" s="37" t="s">
        <v>69</v>
      </c>
      <c r="H96" s="38" t="s">
        <v>134</v>
      </c>
    </row>
    <row r="97" spans="1:12" ht="14.1" customHeight="1" x14ac:dyDescent="0.2">
      <c r="A97" s="30"/>
      <c r="B97" s="226"/>
      <c r="C97" s="25" t="s">
        <v>19</v>
      </c>
      <c r="D97" s="99">
        <v>0.5</v>
      </c>
      <c r="E97" s="100">
        <v>0.6</v>
      </c>
      <c r="F97" s="101">
        <v>0.7</v>
      </c>
      <c r="G97" s="37" t="s">
        <v>69</v>
      </c>
      <c r="H97" s="38" t="s">
        <v>135</v>
      </c>
    </row>
    <row r="98" spans="1:12" ht="14.1" customHeight="1" x14ac:dyDescent="0.2">
      <c r="A98" s="30"/>
      <c r="B98" s="226"/>
      <c r="C98" s="38" t="s">
        <v>252</v>
      </c>
      <c r="D98" s="91">
        <f>D94/(1-D$71*D95)</f>
        <v>5.780230807827396E-3</v>
      </c>
      <c r="E98" s="91">
        <f>E94/(1-E$71*E95)</f>
        <v>5.9198355601233306E-3</v>
      </c>
      <c r="F98" s="91">
        <f>F94/(1-F$71*F95)</f>
        <v>6.1276595744680857E-3</v>
      </c>
      <c r="G98" s="38" t="s">
        <v>12</v>
      </c>
      <c r="H98" s="38" t="s">
        <v>248</v>
      </c>
    </row>
    <row r="99" spans="1:12" ht="14.1" customHeight="1" x14ac:dyDescent="0.2">
      <c r="A99" s="30"/>
      <c r="B99" s="226"/>
      <c r="C99" s="38" t="s">
        <v>253</v>
      </c>
      <c r="D99" s="91">
        <f>D98*(1-D95)</f>
        <v>5.7224284997491222E-3</v>
      </c>
      <c r="E99" s="91">
        <f>E98*(1-E95)</f>
        <v>5.3278520041109972E-3</v>
      </c>
      <c r="F99" s="91">
        <f>F98*(1-F95)</f>
        <v>4.28936170212766E-3</v>
      </c>
      <c r="G99" s="38" t="s">
        <v>12</v>
      </c>
      <c r="H99" s="188"/>
    </row>
    <row r="100" spans="1:12" ht="14.1" customHeight="1" x14ac:dyDescent="0.2">
      <c r="A100" s="30"/>
      <c r="B100" s="226"/>
      <c r="C100" s="62" t="s">
        <v>70</v>
      </c>
      <c r="D100" s="93">
        <f>(D$69*D99)+(1-D$69)*D98</f>
        <v>5.7465320622177626E-3</v>
      </c>
      <c r="E100" s="93">
        <f>(E$69*E99)+(1-E$69)*E98</f>
        <v>5.5549605755395685E-3</v>
      </c>
      <c r="F100" s="93">
        <f>(F$69*F99)+(1-F$69)*F98</f>
        <v>4.7581276595744688E-3</v>
      </c>
      <c r="G100" s="38" t="s">
        <v>12</v>
      </c>
      <c r="H100" s="38"/>
    </row>
    <row r="101" spans="1:12" ht="14.1" customHeight="1" x14ac:dyDescent="0.2">
      <c r="A101" s="30"/>
      <c r="B101" s="226"/>
      <c r="C101" s="62" t="s">
        <v>145</v>
      </c>
      <c r="D101" s="102">
        <f>((D94*D23)-(D100*D23))*D96*D97</f>
        <v>3.3669844455594955E-3</v>
      </c>
      <c r="E101" s="102">
        <f>((E94*E23)-(E100*E23))*E96*E97</f>
        <v>7.381419280575563E-2</v>
      </c>
      <c r="F101" s="102">
        <f>((F94*F23)-(F100*F23))*F96*F97</f>
        <v>0.49091744680851052</v>
      </c>
      <c r="G101" s="37"/>
      <c r="H101" s="38" t="s">
        <v>144</v>
      </c>
    </row>
    <row r="102" spans="1:12" ht="14.1" customHeight="1" x14ac:dyDescent="0.2">
      <c r="A102" s="11"/>
      <c r="B102" s="226"/>
      <c r="C102" s="196" t="s">
        <v>146</v>
      </c>
      <c r="D102" s="111">
        <f>D20/D101</f>
        <v>11022634.590614855</v>
      </c>
      <c r="E102" s="111">
        <f>E20/E101</f>
        <v>430196.17401895218</v>
      </c>
      <c r="F102" s="111">
        <f>F20/F101</f>
        <v>66615.881678943217</v>
      </c>
      <c r="G102" s="37"/>
      <c r="H102" s="37"/>
    </row>
    <row r="103" spans="1:12" ht="14.1" customHeight="1" x14ac:dyDescent="0.2">
      <c r="A103" s="11"/>
      <c r="B103" s="12"/>
      <c r="C103" s="33"/>
      <c r="D103" s="61"/>
      <c r="E103" s="61"/>
      <c r="F103" s="61"/>
      <c r="G103" s="48"/>
    </row>
    <row r="104" spans="1:12" ht="14.1" customHeight="1" x14ac:dyDescent="0.2">
      <c r="A104" s="208" t="s">
        <v>14</v>
      </c>
      <c r="B104" s="208"/>
      <c r="C104" s="25"/>
      <c r="D104" s="61"/>
      <c r="E104" s="61"/>
      <c r="F104" s="61"/>
      <c r="G104" s="37"/>
      <c r="H104" s="37"/>
    </row>
    <row r="105" spans="1:12" ht="14.1" customHeight="1" x14ac:dyDescent="0.25">
      <c r="B105" s="206" t="s">
        <v>254</v>
      </c>
      <c r="C105" s="114" t="s">
        <v>6</v>
      </c>
      <c r="D105" s="169">
        <f>2*E105</f>
        <v>1314.9</v>
      </c>
      <c r="E105" s="170">
        <f>1.8*365.25</f>
        <v>657.45</v>
      </c>
      <c r="F105" s="171">
        <v>500</v>
      </c>
      <c r="G105" s="188" t="s">
        <v>184</v>
      </c>
      <c r="H105" s="188" t="s">
        <v>257</v>
      </c>
      <c r="I105" s="29"/>
      <c r="K105" s="50"/>
      <c r="L105" s="50"/>
    </row>
    <row r="106" spans="1:12" ht="14.1" customHeight="1" x14ac:dyDescent="0.25">
      <c r="B106" s="206"/>
      <c r="C106" s="114" t="s">
        <v>164</v>
      </c>
      <c r="D106" s="168">
        <f>(1500-1000)/D15</f>
        <v>1.6666666666666667</v>
      </c>
      <c r="E106" s="168">
        <f>(1500-1000)/E15</f>
        <v>1.6666666666666667</v>
      </c>
      <c r="F106" s="168">
        <f>(1500-1000)/F15</f>
        <v>1.6666666666666667</v>
      </c>
      <c r="G106" s="38" t="s">
        <v>270</v>
      </c>
      <c r="H106" s="38" t="s">
        <v>173</v>
      </c>
      <c r="I106" s="29"/>
      <c r="K106" s="50"/>
      <c r="L106" s="50"/>
    </row>
    <row r="107" spans="1:12" ht="14.1" customHeight="1" x14ac:dyDescent="0.25">
      <c r="B107" s="206"/>
      <c r="C107" s="114" t="s">
        <v>266</v>
      </c>
      <c r="D107" s="168">
        <v>1.67</v>
      </c>
      <c r="E107" s="168">
        <v>1.67</v>
      </c>
      <c r="F107" s="168">
        <v>1.67</v>
      </c>
      <c r="G107" s="188" t="s">
        <v>68</v>
      </c>
      <c r="H107" s="188" t="s">
        <v>259</v>
      </c>
      <c r="I107" s="29"/>
      <c r="K107" s="50"/>
      <c r="L107" s="50"/>
    </row>
    <row r="108" spans="1:12" ht="14.1" customHeight="1" x14ac:dyDescent="0.25">
      <c r="C108" s="33"/>
      <c r="D108" s="61"/>
      <c r="E108" s="61"/>
      <c r="F108" s="61"/>
      <c r="G108" s="48"/>
      <c r="K108" s="50"/>
      <c r="L108" s="50"/>
    </row>
    <row r="109" spans="1:12" ht="14.1" customHeight="1" x14ac:dyDescent="0.25">
      <c r="B109" s="224" t="s">
        <v>163</v>
      </c>
      <c r="C109" s="33" t="s">
        <v>291</v>
      </c>
      <c r="D109" s="186">
        <f>LN(D105+D16)-LN(D105)</f>
        <v>2.5318392135709189E-3</v>
      </c>
      <c r="E109" s="186">
        <f>LN(E105+E16)-LN(E105)</f>
        <v>5.0572844025733588E-3</v>
      </c>
      <c r="F109" s="186">
        <f>LN(F105+F16)-LN(F105)</f>
        <v>6.6445427186687667E-3</v>
      </c>
      <c r="G109" s="188" t="s">
        <v>12</v>
      </c>
      <c r="K109" s="50"/>
      <c r="L109" s="50"/>
    </row>
    <row r="110" spans="1:12" ht="14.1" customHeight="1" x14ac:dyDescent="0.25">
      <c r="B110" s="224"/>
      <c r="C110" s="188" t="s">
        <v>289</v>
      </c>
      <c r="D110" s="172">
        <f>LN(D105+D16+D17-D106-D107)-LN(D105)</f>
        <v>2.5032003970306249E-2</v>
      </c>
      <c r="E110" s="172">
        <f>LN(E105+E16+E17-E106-E107)-LN(E105)</f>
        <v>4.9452678380699666E-2</v>
      </c>
      <c r="F110" s="172">
        <f>LN(F105+F16+F17-F106-F107)-LN(F105)</f>
        <v>6.453227111803983E-2</v>
      </c>
      <c r="G110" s="188" t="s">
        <v>12</v>
      </c>
      <c r="H110" s="207" t="s">
        <v>263</v>
      </c>
      <c r="K110" s="50"/>
      <c r="L110" s="50"/>
    </row>
    <row r="111" spans="1:12" ht="14.1" customHeight="1" x14ac:dyDescent="0.25">
      <c r="B111" s="224"/>
      <c r="C111" s="114" t="s">
        <v>290</v>
      </c>
      <c r="D111" s="129">
        <f>LN(D105+D16+D17-D106)-LN(D105)</f>
        <v>2.626989852190853E-2</v>
      </c>
      <c r="E111" s="129">
        <f>LN(E105+E16+E17-E106)-LN(E105)</f>
        <v>5.1867317755798226E-2</v>
      </c>
      <c r="F111" s="129">
        <f>LN(F105+F16+F17-F106)-LN(F105)</f>
        <v>6.7658648473814864E-2</v>
      </c>
      <c r="G111" s="188" t="s">
        <v>12</v>
      </c>
      <c r="H111" s="207"/>
      <c r="K111" s="50"/>
      <c r="L111" s="50"/>
    </row>
    <row r="112" spans="1:12" ht="14.1" customHeight="1" x14ac:dyDescent="0.25">
      <c r="B112" s="224"/>
      <c r="C112" s="114" t="s">
        <v>167</v>
      </c>
      <c r="D112" s="32">
        <f>1000*(D109*(1-D27)+D110*D27*D47+D111*D27*(1-D47))</f>
        <v>16.335043164152538</v>
      </c>
      <c r="E112" s="32">
        <f>1000*(E109*(1-E27)+E110*E27*E47+E111*E27*(1-E47))</f>
        <v>32.27714710971933</v>
      </c>
      <c r="F112" s="32">
        <f>1000*(F109*(1-F27)+F110*F27*F47+F111*F27*(1-F47))</f>
        <v>49.135570332366783</v>
      </c>
      <c r="G112" s="188" t="s">
        <v>12</v>
      </c>
      <c r="H112" s="207"/>
      <c r="K112" s="50"/>
      <c r="L112" s="50"/>
    </row>
    <row r="113" spans="1:12" ht="14.1" customHeight="1" x14ac:dyDescent="0.25">
      <c r="B113" s="224"/>
      <c r="C113" s="116" t="s">
        <v>265</v>
      </c>
      <c r="D113" s="173">
        <f>D20/D112</f>
        <v>2271.9890509460861</v>
      </c>
      <c r="E113" s="173">
        <f>E20/E112</f>
        <v>983.81010023563579</v>
      </c>
      <c r="F113" s="173">
        <f>F20/F112</f>
        <v>665.56464755599779</v>
      </c>
      <c r="G113" s="188"/>
      <c r="H113" s="207"/>
      <c r="K113" s="50"/>
      <c r="L113" s="50"/>
    </row>
    <row r="114" spans="1:12" ht="14.1" customHeight="1" x14ac:dyDescent="0.25">
      <c r="C114" s="33"/>
      <c r="D114" s="61"/>
      <c r="E114" s="61"/>
      <c r="F114" s="61"/>
      <c r="K114" s="50"/>
      <c r="L114" s="50"/>
    </row>
    <row r="115" spans="1:12" ht="14.1" customHeight="1" x14ac:dyDescent="0.25">
      <c r="A115" s="227" t="s">
        <v>165</v>
      </c>
      <c r="B115" s="227"/>
      <c r="C115" s="196"/>
      <c r="D115" s="140"/>
      <c r="E115" s="140"/>
      <c r="F115" s="140"/>
      <c r="G115" s="222" t="s">
        <v>185</v>
      </c>
      <c r="H115" s="223"/>
      <c r="I115" s="141"/>
      <c r="J115" s="219"/>
      <c r="K115" s="219"/>
      <c r="L115" s="50"/>
    </row>
    <row r="116" spans="1:12" ht="14.1" customHeight="1" x14ac:dyDescent="0.25">
      <c r="A116" s="196"/>
      <c r="B116" s="221" t="s">
        <v>170</v>
      </c>
      <c r="C116" s="62" t="str">
        <f>C55</f>
        <v>Under-5 HIV deaths averted /1,000 enrollees</v>
      </c>
      <c r="D116" s="67">
        <f>D55</f>
        <v>0.22080959999999999</v>
      </c>
      <c r="E116" s="67">
        <f>E55</f>
        <v>0.51701759999999997</v>
      </c>
      <c r="F116" s="67">
        <f>F55</f>
        <v>4.1385056603773593</v>
      </c>
      <c r="G116" s="197">
        <v>15</v>
      </c>
      <c r="H116" s="198" t="s">
        <v>298</v>
      </c>
      <c r="I116" s="228" t="s">
        <v>299</v>
      </c>
      <c r="J116" s="181"/>
      <c r="K116" s="50"/>
      <c r="L116" s="50"/>
    </row>
    <row r="117" spans="1:12" ht="14.1" customHeight="1" x14ac:dyDescent="0.25">
      <c r="A117" s="196"/>
      <c r="B117" s="221"/>
      <c r="C117" s="62" t="str">
        <f>C63</f>
        <v>DALYs averted per 1,000 enrollees</v>
      </c>
      <c r="D117" s="67">
        <f>D63</f>
        <v>0.22175864832000003</v>
      </c>
      <c r="E117" s="67">
        <f>E63</f>
        <v>0.5192397619200001</v>
      </c>
      <c r="F117" s="67">
        <f>F63</f>
        <v>17.330958104150948</v>
      </c>
      <c r="G117" s="174">
        <v>1</v>
      </c>
      <c r="H117" s="175" t="s">
        <v>168</v>
      </c>
      <c r="I117" s="228"/>
      <c r="J117" s="181"/>
      <c r="K117" s="50"/>
      <c r="L117" s="50"/>
    </row>
    <row r="118" spans="1:12" ht="14.1" customHeight="1" x14ac:dyDescent="0.25">
      <c r="A118" s="196"/>
      <c r="B118" s="221"/>
      <c r="C118" s="62" t="str">
        <f>C81</f>
        <v>Neonatal deaths averted per 1,000 enrollees</v>
      </c>
      <c r="D118" s="67">
        <f>D81</f>
        <v>0.14124870466321227</v>
      </c>
      <c r="E118" s="67">
        <f>E81</f>
        <v>0.90861255605381153</v>
      </c>
      <c r="F118" s="67">
        <f>F81</f>
        <v>1.5766071428571424</v>
      </c>
      <c r="G118" s="197">
        <f>G116*0.5</f>
        <v>7.5</v>
      </c>
      <c r="H118" s="175" t="s">
        <v>296</v>
      </c>
      <c r="I118" s="228"/>
      <c r="J118" s="181"/>
      <c r="K118" s="50"/>
      <c r="L118" s="50"/>
    </row>
    <row r="119" spans="1:12" ht="14.1" customHeight="1" x14ac:dyDescent="0.25">
      <c r="A119" s="196"/>
      <c r="B119" s="221"/>
      <c r="C119" s="62" t="str">
        <f>C91</f>
        <v>Stillbirths averted per 1,000 enrollees</v>
      </c>
      <c r="D119" s="67">
        <f>D91</f>
        <v>5.7782410784453564E-2</v>
      </c>
      <c r="E119" s="67">
        <f>E91</f>
        <v>0.47111623403731462</v>
      </c>
      <c r="F119" s="67">
        <f>F91</f>
        <v>1.0835375220587298</v>
      </c>
      <c r="G119" s="197">
        <f>G116*0.1</f>
        <v>1.5</v>
      </c>
      <c r="H119" s="198" t="s">
        <v>295</v>
      </c>
      <c r="I119" s="228"/>
      <c r="J119" s="181"/>
      <c r="K119" s="50"/>
      <c r="L119" s="50"/>
    </row>
    <row r="120" spans="1:12" ht="14.1" customHeight="1" x14ac:dyDescent="0.2">
      <c r="A120" s="196"/>
      <c r="B120" s="221"/>
      <c r="C120" s="62" t="str">
        <f>C101</f>
        <v>Maternal deaths averted per 1,000 enrollees</v>
      </c>
      <c r="D120" s="67">
        <f>D101</f>
        <v>3.3669844455594955E-3</v>
      </c>
      <c r="E120" s="67">
        <f>E101</f>
        <v>7.381419280575563E-2</v>
      </c>
      <c r="F120" s="67">
        <f>F101</f>
        <v>0.49091744680851052</v>
      </c>
      <c r="G120" s="197">
        <f>G116*3</f>
        <v>45</v>
      </c>
      <c r="H120" s="175" t="s">
        <v>268</v>
      </c>
      <c r="I120" s="228"/>
      <c r="J120" s="181"/>
    </row>
    <row r="121" spans="1:12" ht="14.1" customHeight="1" x14ac:dyDescent="0.2">
      <c r="A121" s="196"/>
      <c r="B121" s="221"/>
      <c r="C121" s="62" t="str">
        <f>C112</f>
        <v>Consumption benefit per 1,000 enrollees</v>
      </c>
      <c r="D121" s="67">
        <f t="shared" ref="D121:F121" si="6">D112</f>
        <v>16.335043164152538</v>
      </c>
      <c r="E121" s="67">
        <f t="shared" si="6"/>
        <v>32.27714710971933</v>
      </c>
      <c r="F121" s="67">
        <f t="shared" si="6"/>
        <v>49.135570332366783</v>
      </c>
      <c r="G121" s="197">
        <f>1/2.5</f>
        <v>0.4</v>
      </c>
      <c r="H121" s="176" t="s">
        <v>169</v>
      </c>
      <c r="I121" s="228"/>
      <c r="J121" s="181"/>
    </row>
    <row r="122" spans="1:12" ht="14.1" customHeight="1" x14ac:dyDescent="0.2">
      <c r="A122" s="196"/>
      <c r="B122" s="193"/>
      <c r="C122" s="114"/>
      <c r="D122" s="114"/>
      <c r="E122" s="114"/>
      <c r="F122" s="114"/>
      <c r="G122" s="177">
        <v>24.16</v>
      </c>
      <c r="H122" s="178" t="s">
        <v>272</v>
      </c>
      <c r="I122" s="228"/>
      <c r="J122" s="181"/>
    </row>
    <row r="123" spans="1:12" ht="14.1" customHeight="1" x14ac:dyDescent="0.2">
      <c r="A123" s="141"/>
      <c r="B123" s="220" t="s">
        <v>178</v>
      </c>
      <c r="C123" s="126" t="s">
        <v>171</v>
      </c>
      <c r="D123" s="144">
        <f>SUMPRODUCT(D116:D121,$G116:$G121)</f>
        <v>11.365473115181965</v>
      </c>
      <c r="E123" s="144">
        <f>SUMPRODUCT(E116:E121,$G116:$G121)</f>
        <v>32.028269803526292</v>
      </c>
      <c r="F123" s="145">
        <f>SUMPRODUCT(F116:F121,$G116:$G121)</f>
        <v>134.6039161036577</v>
      </c>
      <c r="G123" s="146"/>
      <c r="H123" s="141"/>
      <c r="I123" s="141"/>
    </row>
    <row r="124" spans="1:12" ht="14.1" customHeight="1" x14ac:dyDescent="0.2">
      <c r="A124" s="141"/>
      <c r="B124" s="220"/>
      <c r="C124" s="127" t="s">
        <v>172</v>
      </c>
      <c r="D124" s="147">
        <f>D123/$G$116</f>
        <v>0.7576982076787977</v>
      </c>
      <c r="E124" s="147">
        <f t="shared" ref="E124:F124" si="7">E123/$G$116</f>
        <v>2.1352179869017527</v>
      </c>
      <c r="F124" s="148">
        <f t="shared" si="7"/>
        <v>8.9735944069105127</v>
      </c>
      <c r="G124" s="141"/>
      <c r="H124" s="149" t="s">
        <v>193</v>
      </c>
      <c r="I124" s="150"/>
    </row>
    <row r="125" spans="1:12" ht="14.1" customHeight="1" x14ac:dyDescent="0.2">
      <c r="A125" s="141"/>
      <c r="B125" s="220"/>
      <c r="C125" s="65" t="s">
        <v>17</v>
      </c>
      <c r="D125" s="151">
        <f>D20/D124</f>
        <v>48981.294715453754</v>
      </c>
      <c r="E125" s="151">
        <f>E20/E124</f>
        <v>14871.822702940939</v>
      </c>
      <c r="F125" s="152">
        <f>F20/F124</f>
        <v>3644.3477460425811</v>
      </c>
      <c r="G125" s="141"/>
      <c r="H125" s="153" t="s">
        <v>187</v>
      </c>
      <c r="I125" s="154">
        <f t="shared" ref="I125:I130" si="8">(E116*G116)/$E$123</f>
        <v>0.24213808761989852</v>
      </c>
    </row>
    <row r="126" spans="1:12" ht="14.1" customHeight="1" x14ac:dyDescent="0.2">
      <c r="A126" s="141"/>
      <c r="B126" s="155"/>
      <c r="C126" s="62"/>
      <c r="D126" s="156"/>
      <c r="E126" s="156"/>
      <c r="F126" s="156"/>
      <c r="G126" s="141"/>
      <c r="H126" s="153" t="s">
        <v>188</v>
      </c>
      <c r="I126" s="154">
        <f t="shared" si="8"/>
        <v>1.6211920441073346E-2</v>
      </c>
    </row>
    <row r="127" spans="1:12" ht="14.1" customHeight="1" x14ac:dyDescent="0.2">
      <c r="A127" s="141"/>
      <c r="B127" s="220" t="s">
        <v>179</v>
      </c>
      <c r="C127" s="126" t="s">
        <v>176</v>
      </c>
      <c r="D127" s="199">
        <v>1315</v>
      </c>
      <c r="E127" s="199">
        <v>1315</v>
      </c>
      <c r="F127" s="199">
        <v>1315</v>
      </c>
      <c r="G127" s="200" t="s">
        <v>297</v>
      </c>
      <c r="H127" s="153" t="s">
        <v>189</v>
      </c>
      <c r="I127" s="154">
        <f t="shared" si="8"/>
        <v>0.21276810181152228</v>
      </c>
    </row>
    <row r="128" spans="1:12" ht="14.1" customHeight="1" x14ac:dyDescent="0.2">
      <c r="A128" s="141"/>
      <c r="B128" s="220"/>
      <c r="C128" s="64" t="s">
        <v>175</v>
      </c>
      <c r="D128" s="157">
        <f>D127/D125</f>
        <v>2.6846983274721674E-2</v>
      </c>
      <c r="E128" s="157">
        <f>E127/E125</f>
        <v>8.8422248319296834E-2</v>
      </c>
      <c r="F128" s="158">
        <f>F127/F125</f>
        <v>0.36083274474231125</v>
      </c>
      <c r="G128" s="141"/>
      <c r="H128" s="153" t="s">
        <v>190</v>
      </c>
      <c r="I128" s="154">
        <f t="shared" si="8"/>
        <v>2.2064081369083742E-2</v>
      </c>
    </row>
    <row r="129" spans="1:9" ht="14.1" customHeight="1" x14ac:dyDescent="0.2">
      <c r="A129" s="141"/>
      <c r="B129" s="220"/>
      <c r="C129" s="127" t="s">
        <v>177</v>
      </c>
      <c r="D129" s="202">
        <v>11.6</v>
      </c>
      <c r="E129" s="202">
        <v>11.6</v>
      </c>
      <c r="F129" s="202">
        <v>11.6</v>
      </c>
      <c r="G129" s="200" t="s">
        <v>297</v>
      </c>
      <c r="H129" s="153" t="s">
        <v>191</v>
      </c>
      <c r="I129" s="154">
        <f t="shared" si="8"/>
        <v>0.10370958833040969</v>
      </c>
    </row>
    <row r="130" spans="1:9" ht="14.1" customHeight="1" x14ac:dyDescent="0.2">
      <c r="A130" s="141"/>
      <c r="B130" s="220"/>
      <c r="C130" s="65" t="s">
        <v>174</v>
      </c>
      <c r="D130" s="159">
        <f>(D127*D129)/D125</f>
        <v>0.31142500598677142</v>
      </c>
      <c r="E130" s="159">
        <f t="shared" ref="E130:F130" si="9">(E127*E129)/E125</f>
        <v>1.0256980805038434</v>
      </c>
      <c r="F130" s="160">
        <f t="shared" si="9"/>
        <v>4.1856598390108104</v>
      </c>
      <c r="G130" s="141"/>
      <c r="H130" s="153" t="s">
        <v>192</v>
      </c>
      <c r="I130" s="154">
        <f t="shared" si="8"/>
        <v>0.40310822042801248</v>
      </c>
    </row>
    <row r="131" spans="1:9" ht="14.1" customHeight="1" x14ac:dyDescent="0.2">
      <c r="H131" s="39"/>
    </row>
    <row r="132" spans="1:9" ht="14.1" customHeight="1" x14ac:dyDescent="0.2">
      <c r="D132" s="48"/>
      <c r="E132" s="48"/>
      <c r="F132" s="48"/>
    </row>
    <row r="133" spans="1:9" ht="14.1" customHeight="1" x14ac:dyDescent="0.2">
      <c r="C133" s="189"/>
      <c r="D133" s="48"/>
      <c r="E133" s="48"/>
      <c r="F133" s="48"/>
    </row>
    <row r="134" spans="1:9" ht="14.1" customHeight="1" x14ac:dyDescent="0.2">
      <c r="C134" s="48"/>
      <c r="D134" s="48"/>
      <c r="E134" s="48"/>
      <c r="F134" s="48"/>
    </row>
    <row r="135" spans="1:9" ht="14.1" customHeight="1" x14ac:dyDescent="0.2">
      <c r="C135" s="48"/>
      <c r="D135" s="48"/>
      <c r="E135" s="48"/>
      <c r="F135" s="48"/>
    </row>
    <row r="136" spans="1:9" ht="14.1" customHeight="1" x14ac:dyDescent="0.2">
      <c r="C136" s="48"/>
      <c r="D136" s="48"/>
      <c r="E136" s="48"/>
      <c r="F136" s="48"/>
    </row>
    <row r="137" spans="1:9" ht="14.1" customHeight="1" x14ac:dyDescent="0.2">
      <c r="C137" s="48"/>
      <c r="D137" s="48"/>
      <c r="E137" s="48"/>
      <c r="F137" s="48"/>
    </row>
    <row r="138" spans="1:9" ht="14.1" customHeight="1" x14ac:dyDescent="0.2">
      <c r="C138" s="48"/>
      <c r="D138" s="48"/>
      <c r="E138" s="48"/>
      <c r="F138" s="48"/>
    </row>
    <row r="139" spans="1:9" ht="14.1" customHeight="1" x14ac:dyDescent="0.2">
      <c r="A139" s="48"/>
      <c r="C139" s="48"/>
      <c r="D139" s="48"/>
      <c r="E139" s="48"/>
      <c r="F139" s="48"/>
    </row>
    <row r="140" spans="1:9" ht="14.1" customHeight="1" x14ac:dyDescent="0.2">
      <c r="A140" s="48"/>
      <c r="B140" s="48"/>
      <c r="C140" s="48"/>
      <c r="D140" s="48"/>
      <c r="E140" s="48"/>
      <c r="F140" s="48"/>
      <c r="G140" s="48"/>
    </row>
    <row r="141" spans="1:9" ht="14.1" customHeight="1" x14ac:dyDescent="0.2">
      <c r="A141" s="48"/>
      <c r="B141" s="48"/>
      <c r="C141" s="48"/>
      <c r="D141" s="48"/>
      <c r="E141" s="48"/>
      <c r="F141" s="48"/>
      <c r="G141" s="48"/>
    </row>
    <row r="142" spans="1:9" ht="14.1" customHeight="1" x14ac:dyDescent="0.2">
      <c r="A142" s="48"/>
      <c r="B142" s="48"/>
      <c r="C142" s="48"/>
      <c r="D142" s="48"/>
      <c r="E142" s="48"/>
      <c r="F142" s="48"/>
      <c r="G142" s="48"/>
    </row>
    <row r="143" spans="1:9" ht="14.1" customHeight="1" x14ac:dyDescent="0.2">
      <c r="A143" s="48"/>
      <c r="B143" s="48"/>
      <c r="C143" s="48"/>
      <c r="D143" s="48"/>
      <c r="E143" s="48"/>
      <c r="F143" s="48"/>
      <c r="G143" s="48"/>
    </row>
    <row r="144" spans="1:9" ht="14.1" customHeight="1" x14ac:dyDescent="0.2">
      <c r="A144" s="48"/>
      <c r="B144" s="48"/>
      <c r="C144" s="48"/>
      <c r="D144" s="48"/>
      <c r="E144" s="48"/>
      <c r="F144" s="48"/>
      <c r="G144" s="48"/>
    </row>
    <row r="145" spans="1:7" ht="14.1" customHeight="1" x14ac:dyDescent="0.2">
      <c r="A145" s="48"/>
      <c r="B145" s="48"/>
      <c r="C145" s="48"/>
      <c r="D145" s="48"/>
      <c r="E145" s="48"/>
      <c r="F145" s="48"/>
      <c r="G145" s="48"/>
    </row>
    <row r="146" spans="1:7" ht="14.1" customHeight="1" x14ac:dyDescent="0.2">
      <c r="A146" s="48"/>
      <c r="B146" s="48"/>
      <c r="C146" s="48"/>
      <c r="D146" s="48"/>
      <c r="E146" s="48"/>
      <c r="F146" s="48"/>
      <c r="G146" s="48"/>
    </row>
    <row r="147" spans="1:7" ht="14.1" customHeight="1" x14ac:dyDescent="0.2">
      <c r="A147" s="48"/>
      <c r="B147" s="48"/>
      <c r="C147" s="48"/>
      <c r="D147" s="48"/>
      <c r="E147" s="48"/>
      <c r="F147" s="48"/>
      <c r="G147" s="48"/>
    </row>
    <row r="148" spans="1:7" ht="14.1" customHeight="1" x14ac:dyDescent="0.2">
      <c r="A148" s="48"/>
      <c r="B148" s="48"/>
      <c r="C148" s="48"/>
      <c r="D148" s="48"/>
      <c r="E148" s="48"/>
      <c r="F148" s="48"/>
      <c r="G148" s="48"/>
    </row>
    <row r="149" spans="1:7" ht="14.1" customHeight="1" x14ac:dyDescent="0.2">
      <c r="A149" s="48"/>
      <c r="B149" s="48"/>
      <c r="C149" s="48"/>
      <c r="D149" s="48"/>
      <c r="E149" s="48"/>
      <c r="F149" s="48"/>
      <c r="G149" s="48"/>
    </row>
    <row r="150" spans="1:7" ht="14.1" customHeight="1" x14ac:dyDescent="0.2">
      <c r="A150" s="48"/>
      <c r="B150" s="48"/>
      <c r="C150" s="48"/>
      <c r="D150" s="48"/>
      <c r="E150" s="48"/>
      <c r="F150" s="48"/>
      <c r="G150" s="48"/>
    </row>
    <row r="151" spans="1:7" ht="14.1" customHeight="1" x14ac:dyDescent="0.2">
      <c r="A151" s="48"/>
      <c r="B151" s="48"/>
      <c r="C151" s="48"/>
      <c r="D151" s="48"/>
      <c r="E151" s="48"/>
      <c r="F151" s="48"/>
      <c r="G151" s="48"/>
    </row>
    <row r="152" spans="1:7" ht="14.1" customHeight="1" x14ac:dyDescent="0.2">
      <c r="A152" s="48"/>
      <c r="B152" s="48"/>
      <c r="C152" s="48"/>
      <c r="D152" s="48"/>
      <c r="E152" s="48"/>
      <c r="F152" s="48"/>
      <c r="G152" s="48"/>
    </row>
    <row r="153" spans="1:7" ht="14.1" customHeight="1" x14ac:dyDescent="0.2">
      <c r="A153" s="48"/>
      <c r="B153" s="48"/>
      <c r="C153" s="48"/>
      <c r="D153" s="48"/>
      <c r="E153" s="48"/>
      <c r="F153" s="48"/>
      <c r="G153" s="48"/>
    </row>
    <row r="154" spans="1:7" ht="14.1" customHeight="1" x14ac:dyDescent="0.2">
      <c r="A154" s="48"/>
      <c r="B154" s="48"/>
      <c r="C154" s="48"/>
      <c r="D154" s="48"/>
      <c r="E154" s="48"/>
      <c r="F154" s="48"/>
      <c r="G154" s="48"/>
    </row>
    <row r="155" spans="1:7" ht="14.1" customHeight="1" x14ac:dyDescent="0.2">
      <c r="A155" s="48"/>
      <c r="B155" s="48"/>
      <c r="C155" s="48"/>
      <c r="D155" s="48"/>
      <c r="E155" s="48"/>
      <c r="F155" s="48"/>
      <c r="G155" s="48"/>
    </row>
    <row r="156" spans="1:7" ht="14.1" customHeight="1" x14ac:dyDescent="0.2">
      <c r="A156" s="48"/>
      <c r="B156" s="48"/>
      <c r="C156" s="48"/>
      <c r="D156" s="48"/>
      <c r="E156" s="48"/>
      <c r="F156" s="48"/>
      <c r="G156" s="48"/>
    </row>
    <row r="157" spans="1:7" ht="14.1" customHeight="1" x14ac:dyDescent="0.2">
      <c r="A157" s="48"/>
      <c r="B157" s="48"/>
      <c r="C157" s="48"/>
      <c r="D157" s="48"/>
      <c r="E157" s="48"/>
      <c r="F157" s="48"/>
      <c r="G157" s="48"/>
    </row>
    <row r="158" spans="1:7" ht="14.1" customHeight="1" x14ac:dyDescent="0.2">
      <c r="A158" s="48"/>
      <c r="B158" s="48"/>
      <c r="C158" s="48"/>
      <c r="D158" s="48"/>
      <c r="E158" s="48"/>
      <c r="F158" s="48"/>
      <c r="G158" s="48"/>
    </row>
    <row r="159" spans="1:7" ht="14.1" customHeight="1" x14ac:dyDescent="0.2">
      <c r="A159" s="48"/>
      <c r="B159" s="48"/>
      <c r="C159" s="48"/>
      <c r="D159" s="48"/>
      <c r="E159" s="48"/>
      <c r="F159" s="48"/>
      <c r="G159" s="48"/>
    </row>
    <row r="160" spans="1:7" ht="14.1" customHeight="1" x14ac:dyDescent="0.2">
      <c r="A160" s="48"/>
      <c r="B160" s="48"/>
      <c r="C160" s="48"/>
      <c r="D160" s="48"/>
      <c r="E160" s="48"/>
      <c r="F160" s="48"/>
      <c r="G160" s="48"/>
    </row>
    <row r="161" spans="1:11" ht="14.1" customHeight="1" x14ac:dyDescent="0.2">
      <c r="A161" s="48"/>
      <c r="B161" s="48"/>
      <c r="C161" s="48"/>
      <c r="D161" s="48"/>
      <c r="E161" s="48"/>
      <c r="F161" s="48"/>
      <c r="G161" s="48"/>
    </row>
    <row r="162" spans="1:11" ht="14.1" customHeight="1" x14ac:dyDescent="0.2">
      <c r="A162" s="48"/>
      <c r="B162" s="48"/>
      <c r="C162" s="48"/>
      <c r="D162" s="48"/>
      <c r="E162" s="48"/>
      <c r="F162" s="48"/>
      <c r="G162" s="48"/>
    </row>
    <row r="163" spans="1:11" ht="14.1" customHeight="1" x14ac:dyDescent="0.2">
      <c r="A163" s="48"/>
      <c r="B163" s="48"/>
      <c r="C163" s="48"/>
      <c r="D163" s="48"/>
      <c r="E163" s="48"/>
      <c r="F163" s="48"/>
      <c r="G163" s="48"/>
      <c r="J163" s="6"/>
      <c r="K163" s="6"/>
    </row>
    <row r="164" spans="1:11" ht="14.1" customHeight="1" x14ac:dyDescent="0.2">
      <c r="A164" s="48"/>
      <c r="B164" s="48"/>
      <c r="C164" s="48"/>
      <c r="D164" s="48"/>
      <c r="E164" s="48"/>
      <c r="F164" s="48"/>
      <c r="G164" s="48"/>
      <c r="J164" s="6"/>
      <c r="K164" s="6"/>
    </row>
    <row r="165" spans="1:11" ht="14.1" customHeight="1" x14ac:dyDescent="0.2">
      <c r="A165" s="48"/>
      <c r="B165" s="48"/>
      <c r="C165" s="48"/>
      <c r="D165" s="48"/>
      <c r="E165" s="48"/>
      <c r="F165" s="48"/>
      <c r="G165" s="48"/>
      <c r="J165" s="6"/>
      <c r="K165" s="6"/>
    </row>
    <row r="166" spans="1:11" ht="14.1" customHeight="1" x14ac:dyDescent="0.2">
      <c r="A166" s="48"/>
      <c r="B166" s="48"/>
      <c r="C166" s="48"/>
      <c r="D166" s="48"/>
      <c r="E166" s="48"/>
      <c r="F166" s="48"/>
      <c r="G166" s="48"/>
      <c r="J166" s="6"/>
      <c r="K166" s="6"/>
    </row>
    <row r="167" spans="1:11" ht="14.1" customHeight="1" x14ac:dyDescent="0.2">
      <c r="J167" s="6"/>
      <c r="K167" s="6"/>
    </row>
    <row r="168" spans="1:11" ht="14.1" customHeight="1" x14ac:dyDescent="0.2">
      <c r="J168" s="6"/>
      <c r="K168" s="6"/>
    </row>
    <row r="169" spans="1:11" ht="14.1" customHeight="1" x14ac:dyDescent="0.2">
      <c r="B169" s="4"/>
      <c r="J169" s="6"/>
      <c r="K169" s="6"/>
    </row>
    <row r="170" spans="1:11" ht="14.1" customHeight="1" x14ac:dyDescent="0.2">
      <c r="D170" s="15"/>
      <c r="E170" s="15"/>
      <c r="F170" s="15"/>
      <c r="G170" s="8"/>
      <c r="J170" s="6"/>
      <c r="K170" s="6"/>
    </row>
    <row r="171" spans="1:11" ht="14.1" customHeight="1" x14ac:dyDescent="0.2">
      <c r="D171" s="9"/>
      <c r="E171" s="9"/>
      <c r="F171" s="9"/>
      <c r="G171" s="8"/>
      <c r="K171" s="6"/>
    </row>
    <row r="172" spans="1:11" ht="14.1" customHeight="1" x14ac:dyDescent="0.2">
      <c r="D172" s="15"/>
      <c r="E172" s="15"/>
      <c r="F172" s="15"/>
      <c r="G172" s="8"/>
      <c r="K172" s="6"/>
    </row>
    <row r="173" spans="1:11" ht="14.1" customHeight="1" x14ac:dyDescent="0.2">
      <c r="D173" s="15"/>
      <c r="E173" s="15"/>
      <c r="F173" s="15"/>
      <c r="G173" s="8"/>
      <c r="K173" s="6"/>
    </row>
    <row r="175" spans="1:11" ht="14.1" customHeight="1" x14ac:dyDescent="0.2">
      <c r="B175" s="4"/>
    </row>
    <row r="179" spans="4:6" ht="14.1" customHeight="1" x14ac:dyDescent="0.2">
      <c r="D179" s="9"/>
      <c r="E179" s="9"/>
      <c r="F179" s="9"/>
    </row>
    <row r="180" spans="4:6" ht="14.1" customHeight="1" x14ac:dyDescent="0.2">
      <c r="D180" s="9"/>
      <c r="E180" s="9"/>
      <c r="F180" s="9"/>
    </row>
    <row r="182" spans="4:6" ht="14.1" customHeight="1" x14ac:dyDescent="0.2">
      <c r="D182" s="10"/>
      <c r="E182" s="10"/>
      <c r="F182" s="10"/>
    </row>
    <row r="185" spans="4:6" ht="14.1" customHeight="1" x14ac:dyDescent="0.2">
      <c r="D185" s="10"/>
      <c r="E185" s="10"/>
      <c r="F185" s="10"/>
    </row>
    <row r="193" spans="4:6" ht="14.1" customHeight="1" x14ac:dyDescent="0.2">
      <c r="D193" s="16"/>
      <c r="E193" s="16"/>
      <c r="F193" s="16"/>
    </row>
    <row r="194" spans="4:6" ht="14.1" customHeight="1" x14ac:dyDescent="0.2">
      <c r="D194" s="10"/>
      <c r="E194" s="10"/>
      <c r="F194" s="10"/>
    </row>
    <row r="195" spans="4:6" ht="14.1" customHeight="1" x14ac:dyDescent="0.2">
      <c r="D195" s="6"/>
      <c r="E195" s="6"/>
      <c r="F195" s="6"/>
    </row>
    <row r="210" spans="4:5" ht="14.1" customHeight="1" x14ac:dyDescent="0.2">
      <c r="D210" s="6"/>
      <c r="E210" s="6"/>
    </row>
    <row r="211" spans="4:5" ht="14.1" customHeight="1" x14ac:dyDescent="0.2">
      <c r="D211" s="6"/>
      <c r="E211" s="6"/>
    </row>
    <row r="229" spans="4:8" ht="14.1" customHeight="1" x14ac:dyDescent="0.2">
      <c r="H229" s="39"/>
    </row>
    <row r="230" spans="4:8" ht="14.1" customHeight="1" x14ac:dyDescent="0.2">
      <c r="H230" s="39"/>
    </row>
    <row r="231" spans="4:8" ht="14.1" customHeight="1" x14ac:dyDescent="0.2">
      <c r="H231" s="39"/>
    </row>
    <row r="232" spans="4:8" ht="14.1" customHeight="1" x14ac:dyDescent="0.2">
      <c r="H232" s="39"/>
    </row>
    <row r="237" spans="4:8" ht="14.1" customHeight="1" x14ac:dyDescent="0.2">
      <c r="G237" s="8"/>
    </row>
    <row r="238" spans="4:8" ht="14.1" customHeight="1" x14ac:dyDescent="0.2">
      <c r="D238" s="8"/>
      <c r="E238" s="8"/>
      <c r="G238" s="6"/>
    </row>
    <row r="239" spans="4:8" ht="14.1" customHeight="1" x14ac:dyDescent="0.2">
      <c r="D239" s="8"/>
      <c r="E239" s="8"/>
      <c r="G239" s="6"/>
    </row>
    <row r="240" spans="4:8" ht="14.1" customHeight="1" x14ac:dyDescent="0.2">
      <c r="D240" s="6"/>
      <c r="E240" s="6"/>
      <c r="G240" s="5"/>
    </row>
    <row r="241" spans="4:5" ht="14.1" customHeight="1" x14ac:dyDescent="0.2">
      <c r="D241" s="6"/>
      <c r="E241" s="6"/>
    </row>
    <row r="289" spans="10:14" ht="14.1" customHeight="1" x14ac:dyDescent="0.2">
      <c r="J289" s="17"/>
    </row>
    <row r="290" spans="10:14" ht="14.1" customHeight="1" x14ac:dyDescent="0.2">
      <c r="J290" s="18"/>
    </row>
    <row r="291" spans="10:14" ht="14.1" customHeight="1" x14ac:dyDescent="0.2">
      <c r="J291" s="18"/>
    </row>
    <row r="292" spans="10:14" ht="14.1" customHeight="1" x14ac:dyDescent="0.2">
      <c r="J292" s="18"/>
      <c r="K292" s="17"/>
      <c r="L292" s="8"/>
      <c r="M292" s="5"/>
    </row>
    <row r="293" spans="10:14" ht="14.1" customHeight="1" x14ac:dyDescent="0.2">
      <c r="J293" s="18"/>
      <c r="K293" s="18"/>
      <c r="L293" s="8"/>
      <c r="M293" s="5"/>
    </row>
    <row r="294" spans="10:14" ht="14.1" customHeight="1" x14ac:dyDescent="0.2">
      <c r="J294" s="18"/>
      <c r="K294" s="18"/>
      <c r="L294" s="18"/>
      <c r="M294" s="18"/>
    </row>
    <row r="295" spans="10:14" ht="14.1" customHeight="1" x14ac:dyDescent="0.2">
      <c r="J295" s="18"/>
      <c r="K295" s="18"/>
      <c r="L295" s="18"/>
      <c r="M295" s="18"/>
    </row>
    <row r="296" spans="10:14" ht="14.1" customHeight="1" x14ac:dyDescent="0.2">
      <c r="J296" s="18"/>
      <c r="K296" s="18"/>
      <c r="L296" s="18"/>
      <c r="M296" s="18"/>
    </row>
    <row r="297" spans="10:14" ht="14.1" customHeight="1" x14ac:dyDescent="0.2">
      <c r="J297" s="18"/>
      <c r="K297" s="18"/>
      <c r="L297" s="18"/>
      <c r="M297" s="18"/>
      <c r="N297" s="5"/>
    </row>
    <row r="298" spans="10:14" ht="14.1" customHeight="1" x14ac:dyDescent="0.2">
      <c r="J298" s="18"/>
      <c r="K298" s="18"/>
      <c r="L298" s="18"/>
      <c r="M298" s="18"/>
      <c r="N298" s="5"/>
    </row>
    <row r="299" spans="10:14" ht="14.1" customHeight="1" x14ac:dyDescent="0.2">
      <c r="J299" s="18"/>
      <c r="K299" s="18"/>
      <c r="L299" s="18"/>
      <c r="M299" s="18"/>
      <c r="N299" s="18"/>
    </row>
    <row r="300" spans="10:14" ht="14.1" customHeight="1" x14ac:dyDescent="0.2">
      <c r="J300" s="18"/>
      <c r="K300" s="18"/>
      <c r="L300" s="18"/>
      <c r="M300" s="18"/>
      <c r="N300" s="18"/>
    </row>
    <row r="301" spans="10:14" ht="14.1" customHeight="1" x14ac:dyDescent="0.2">
      <c r="J301" s="18"/>
      <c r="K301" s="18"/>
      <c r="L301" s="18"/>
      <c r="M301" s="18"/>
      <c r="N301" s="18"/>
    </row>
    <row r="302" spans="10:14" ht="14.1" customHeight="1" x14ac:dyDescent="0.2">
      <c r="J302" s="18"/>
      <c r="K302" s="18"/>
      <c r="L302" s="18"/>
      <c r="M302" s="18"/>
      <c r="N302" s="18"/>
    </row>
    <row r="303" spans="10:14" ht="14.1" customHeight="1" x14ac:dyDescent="0.2">
      <c r="J303" s="18"/>
      <c r="K303" s="18"/>
      <c r="L303" s="18"/>
      <c r="M303" s="18"/>
      <c r="N303" s="18"/>
    </row>
    <row r="304" spans="10:14" ht="14.1" customHeight="1" x14ac:dyDescent="0.2">
      <c r="J304" s="18"/>
      <c r="K304" s="18"/>
      <c r="L304" s="18"/>
      <c r="M304" s="18"/>
      <c r="N304" s="18"/>
    </row>
    <row r="305" spans="8:14" ht="14.1" customHeight="1" x14ac:dyDescent="0.2">
      <c r="J305" s="18"/>
      <c r="K305" s="18"/>
      <c r="L305" s="18"/>
      <c r="M305" s="18"/>
      <c r="N305" s="18"/>
    </row>
    <row r="306" spans="8:14" ht="14.1" customHeight="1" x14ac:dyDescent="0.2">
      <c r="J306" s="18"/>
      <c r="K306" s="18"/>
      <c r="L306" s="18"/>
      <c r="M306" s="18"/>
      <c r="N306" s="18"/>
    </row>
    <row r="307" spans="8:14" ht="14.1" customHeight="1" x14ac:dyDescent="0.2">
      <c r="J307" s="18"/>
      <c r="K307" s="18"/>
      <c r="L307" s="18"/>
      <c r="M307" s="18"/>
      <c r="N307" s="18"/>
    </row>
    <row r="308" spans="8:14" ht="14.1" customHeight="1" x14ac:dyDescent="0.2">
      <c r="J308" s="18"/>
      <c r="K308" s="18"/>
      <c r="L308" s="18"/>
      <c r="M308" s="18"/>
      <c r="N308" s="18"/>
    </row>
    <row r="309" spans="8:14" ht="14.1" customHeight="1" x14ac:dyDescent="0.2">
      <c r="J309" s="18"/>
      <c r="K309" s="18"/>
      <c r="L309" s="18"/>
      <c r="M309" s="18"/>
      <c r="N309" s="18"/>
    </row>
    <row r="310" spans="8:14" ht="14.1" customHeight="1" x14ac:dyDescent="0.2">
      <c r="J310" s="18"/>
      <c r="K310" s="18"/>
      <c r="L310" s="18"/>
      <c r="M310" s="18"/>
      <c r="N310" s="18"/>
    </row>
    <row r="311" spans="8:14" ht="14.1" customHeight="1" x14ac:dyDescent="0.2">
      <c r="J311" s="18"/>
      <c r="K311" s="18"/>
      <c r="L311" s="18"/>
      <c r="M311" s="18"/>
      <c r="N311" s="18"/>
    </row>
    <row r="312" spans="8:14" ht="14.1" customHeight="1" x14ac:dyDescent="0.2">
      <c r="J312" s="18"/>
      <c r="K312" s="18"/>
      <c r="L312" s="18"/>
      <c r="M312" s="18"/>
      <c r="N312" s="18"/>
    </row>
    <row r="313" spans="8:14" ht="14.1" customHeight="1" x14ac:dyDescent="0.2">
      <c r="J313" s="18"/>
      <c r="K313" s="18"/>
      <c r="L313" s="18"/>
      <c r="M313" s="18"/>
      <c r="N313" s="18"/>
    </row>
    <row r="314" spans="8:14" ht="14.1" customHeight="1" x14ac:dyDescent="0.2">
      <c r="J314" s="18"/>
      <c r="K314" s="18"/>
      <c r="L314" s="18"/>
      <c r="M314" s="18"/>
      <c r="N314" s="18"/>
    </row>
    <row r="315" spans="8:14" ht="14.1" customHeight="1" x14ac:dyDescent="0.2">
      <c r="J315" s="18"/>
      <c r="K315" s="18"/>
      <c r="L315" s="18"/>
      <c r="M315" s="18"/>
      <c r="N315" s="18"/>
    </row>
    <row r="316" spans="8:14" ht="14.1" customHeight="1" x14ac:dyDescent="0.2">
      <c r="H316" s="40"/>
      <c r="J316" s="18"/>
      <c r="K316" s="18"/>
      <c r="L316" s="18"/>
      <c r="M316" s="18"/>
      <c r="N316" s="18"/>
    </row>
    <row r="317" spans="8:14" ht="14.1" customHeight="1" x14ac:dyDescent="0.2">
      <c r="H317" s="41"/>
      <c r="J317" s="18"/>
      <c r="K317" s="18"/>
      <c r="L317" s="18"/>
      <c r="M317" s="18"/>
      <c r="N317" s="18"/>
    </row>
    <row r="318" spans="8:14" ht="14.1" customHeight="1" x14ac:dyDescent="0.2">
      <c r="H318" s="41"/>
      <c r="J318" s="18"/>
      <c r="K318" s="18"/>
      <c r="L318" s="18"/>
      <c r="M318" s="18"/>
      <c r="N318" s="18"/>
    </row>
    <row r="319" spans="8:14" ht="14.1" customHeight="1" x14ac:dyDescent="0.2">
      <c r="H319" s="41"/>
      <c r="J319" s="18"/>
      <c r="K319" s="18"/>
      <c r="L319" s="18"/>
      <c r="M319" s="18"/>
      <c r="N319" s="18"/>
    </row>
    <row r="320" spans="8:14" ht="14.1" customHeight="1" x14ac:dyDescent="0.2">
      <c r="H320" s="41"/>
      <c r="J320" s="18"/>
      <c r="K320" s="18"/>
      <c r="L320" s="18"/>
      <c r="M320" s="18"/>
      <c r="N320" s="18"/>
    </row>
    <row r="321" spans="4:14" ht="14.1" customHeight="1" x14ac:dyDescent="0.2">
      <c r="H321" s="41"/>
      <c r="J321" s="18"/>
      <c r="K321" s="18"/>
      <c r="L321" s="18"/>
      <c r="M321" s="18"/>
      <c r="N321" s="18"/>
    </row>
    <row r="322" spans="4:14" ht="14.1" customHeight="1" x14ac:dyDescent="0.2">
      <c r="H322" s="41"/>
      <c r="J322" s="18"/>
      <c r="K322" s="18"/>
      <c r="L322" s="18"/>
      <c r="M322" s="18"/>
      <c r="N322" s="18"/>
    </row>
    <row r="323" spans="4:14" ht="14.1" customHeight="1" x14ac:dyDescent="0.2">
      <c r="H323" s="41"/>
      <c r="J323" s="18"/>
      <c r="K323" s="18"/>
      <c r="L323" s="18"/>
      <c r="M323" s="18"/>
      <c r="N323" s="18"/>
    </row>
    <row r="324" spans="4:14" ht="14.1" customHeight="1" x14ac:dyDescent="0.2">
      <c r="G324" s="18"/>
      <c r="H324" s="41"/>
      <c r="J324" s="18"/>
      <c r="K324" s="18"/>
      <c r="L324" s="18"/>
      <c r="M324" s="18"/>
      <c r="N324" s="18"/>
    </row>
    <row r="325" spans="4:14" ht="14.1" customHeight="1" x14ac:dyDescent="0.2">
      <c r="D325" s="18"/>
      <c r="E325" s="18"/>
      <c r="G325" s="18"/>
      <c r="H325" s="41"/>
      <c r="J325" s="18"/>
      <c r="K325" s="18"/>
      <c r="L325" s="18"/>
      <c r="M325" s="18"/>
      <c r="N325" s="18"/>
    </row>
    <row r="326" spans="4:14" ht="14.1" customHeight="1" x14ac:dyDescent="0.2">
      <c r="D326" s="18"/>
      <c r="E326" s="18"/>
      <c r="G326" s="18"/>
      <c r="H326" s="41"/>
      <c r="J326" s="18"/>
      <c r="K326" s="18"/>
      <c r="L326" s="18"/>
      <c r="M326" s="18"/>
      <c r="N326" s="18"/>
    </row>
    <row r="327" spans="4:14" ht="14.1" customHeight="1" x14ac:dyDescent="0.2">
      <c r="D327" s="18"/>
      <c r="E327" s="18"/>
      <c r="G327" s="18"/>
      <c r="H327" s="41"/>
      <c r="J327" s="18"/>
      <c r="K327" s="18"/>
      <c r="L327" s="18"/>
      <c r="M327" s="18"/>
      <c r="N327" s="18"/>
    </row>
    <row r="328" spans="4:14" ht="14.1" customHeight="1" x14ac:dyDescent="0.2">
      <c r="D328" s="18"/>
      <c r="E328" s="18"/>
      <c r="G328" s="18"/>
      <c r="H328" s="41"/>
      <c r="J328" s="18"/>
      <c r="K328" s="18"/>
      <c r="L328" s="18"/>
      <c r="M328" s="18"/>
      <c r="N328" s="18"/>
    </row>
    <row r="329" spans="4:14" ht="14.1" customHeight="1" x14ac:dyDescent="0.2">
      <c r="D329" s="18"/>
      <c r="E329" s="18"/>
      <c r="G329" s="18"/>
      <c r="H329" s="41"/>
      <c r="J329" s="18"/>
      <c r="K329" s="18"/>
      <c r="L329" s="18"/>
      <c r="M329" s="18"/>
      <c r="N329" s="18"/>
    </row>
    <row r="330" spans="4:14" ht="14.1" customHeight="1" x14ac:dyDescent="0.2">
      <c r="D330" s="18"/>
      <c r="E330" s="18"/>
      <c r="G330" s="18"/>
      <c r="H330" s="41"/>
      <c r="J330" s="18"/>
      <c r="K330" s="18"/>
      <c r="L330" s="18"/>
      <c r="M330" s="18"/>
      <c r="N330" s="18"/>
    </row>
    <row r="331" spans="4:14" ht="14.1" customHeight="1" x14ac:dyDescent="0.2">
      <c r="D331" s="18"/>
      <c r="E331" s="18"/>
      <c r="G331" s="18"/>
      <c r="H331" s="41"/>
      <c r="J331" s="18"/>
      <c r="K331" s="18"/>
      <c r="L331" s="18"/>
      <c r="M331" s="18"/>
      <c r="N331" s="18"/>
    </row>
    <row r="332" spans="4:14" ht="14.1" customHeight="1" x14ac:dyDescent="0.2">
      <c r="D332" s="18"/>
      <c r="E332" s="18"/>
      <c r="G332" s="18"/>
      <c r="H332" s="41"/>
      <c r="J332" s="18"/>
      <c r="K332" s="18"/>
      <c r="L332" s="18"/>
      <c r="M332" s="18"/>
      <c r="N332" s="18"/>
    </row>
    <row r="333" spans="4:14" ht="14.1" customHeight="1" x14ac:dyDescent="0.2">
      <c r="D333" s="18"/>
      <c r="E333" s="18"/>
      <c r="G333" s="18"/>
      <c r="H333" s="41"/>
      <c r="J333" s="18"/>
      <c r="K333" s="18"/>
      <c r="L333" s="18"/>
      <c r="M333" s="18"/>
      <c r="N333" s="18"/>
    </row>
    <row r="334" spans="4:14" ht="14.1" customHeight="1" x14ac:dyDescent="0.2">
      <c r="D334" s="18"/>
      <c r="E334" s="18"/>
      <c r="G334" s="18"/>
      <c r="H334" s="41"/>
      <c r="J334" s="18"/>
      <c r="K334" s="18"/>
      <c r="L334" s="18"/>
      <c r="M334" s="18"/>
      <c r="N334" s="18"/>
    </row>
    <row r="335" spans="4:14" ht="14.1" customHeight="1" x14ac:dyDescent="0.2">
      <c r="D335" s="18"/>
      <c r="E335" s="18"/>
      <c r="G335" s="18"/>
      <c r="H335" s="41"/>
      <c r="J335" s="18"/>
      <c r="K335" s="18"/>
      <c r="L335" s="18"/>
      <c r="M335" s="18"/>
      <c r="N335" s="18"/>
    </row>
    <row r="336" spans="4:14" ht="14.1" customHeight="1" x14ac:dyDescent="0.2">
      <c r="D336" s="18"/>
      <c r="E336" s="18"/>
      <c r="G336" s="18"/>
      <c r="H336" s="41"/>
      <c r="J336" s="18"/>
      <c r="K336" s="18"/>
      <c r="L336" s="18"/>
      <c r="M336" s="18"/>
      <c r="N336" s="18"/>
    </row>
    <row r="337" spans="4:14" ht="14.1" customHeight="1" x14ac:dyDescent="0.2">
      <c r="D337" s="18"/>
      <c r="E337" s="18"/>
      <c r="G337" s="18"/>
      <c r="H337" s="41"/>
      <c r="J337" s="18"/>
      <c r="K337" s="18"/>
      <c r="L337" s="18"/>
      <c r="M337" s="18"/>
      <c r="N337" s="18"/>
    </row>
    <row r="338" spans="4:14" ht="14.1" customHeight="1" x14ac:dyDescent="0.2">
      <c r="D338" s="18"/>
      <c r="E338" s="18"/>
      <c r="G338" s="18"/>
      <c r="H338" s="41"/>
      <c r="J338" s="18"/>
      <c r="K338" s="18"/>
      <c r="L338" s="18"/>
      <c r="M338" s="18"/>
      <c r="N338" s="18"/>
    </row>
    <row r="339" spans="4:14" ht="14.1" customHeight="1" x14ac:dyDescent="0.2">
      <c r="D339" s="18"/>
      <c r="E339" s="18"/>
      <c r="G339" s="18"/>
      <c r="H339" s="41"/>
      <c r="J339" s="18"/>
      <c r="K339" s="18"/>
      <c r="L339" s="18"/>
      <c r="M339" s="18"/>
      <c r="N339" s="18"/>
    </row>
    <row r="340" spans="4:14" ht="14.1" customHeight="1" x14ac:dyDescent="0.2">
      <c r="D340" s="18"/>
      <c r="E340" s="18"/>
      <c r="G340" s="18"/>
      <c r="H340" s="41"/>
      <c r="J340" s="18"/>
      <c r="K340" s="18"/>
      <c r="L340" s="18"/>
      <c r="M340" s="18"/>
      <c r="N340" s="18"/>
    </row>
    <row r="341" spans="4:14" ht="14.1" customHeight="1" x14ac:dyDescent="0.2">
      <c r="D341" s="18"/>
      <c r="E341" s="18"/>
      <c r="G341" s="18"/>
      <c r="H341" s="41"/>
      <c r="J341" s="18"/>
      <c r="K341" s="18"/>
      <c r="L341" s="18"/>
      <c r="M341" s="18"/>
      <c r="N341" s="18"/>
    </row>
    <row r="342" spans="4:14" ht="14.1" customHeight="1" x14ac:dyDescent="0.2">
      <c r="D342" s="18"/>
      <c r="E342" s="18"/>
      <c r="G342" s="18"/>
      <c r="H342" s="41"/>
      <c r="J342" s="18"/>
      <c r="K342" s="18"/>
      <c r="L342" s="18"/>
      <c r="M342" s="18"/>
      <c r="N342" s="18"/>
    </row>
    <row r="343" spans="4:14" ht="14.1" customHeight="1" x14ac:dyDescent="0.2">
      <c r="D343" s="18"/>
      <c r="E343" s="18"/>
      <c r="G343" s="18"/>
      <c r="H343" s="41"/>
      <c r="J343" s="18"/>
      <c r="K343" s="18"/>
      <c r="L343" s="18"/>
      <c r="M343" s="18"/>
      <c r="N343" s="18"/>
    </row>
    <row r="344" spans="4:14" ht="14.1" customHeight="1" x14ac:dyDescent="0.2">
      <c r="D344" s="18"/>
      <c r="E344" s="18"/>
      <c r="G344" s="18"/>
      <c r="H344" s="41"/>
      <c r="J344" s="18"/>
      <c r="K344" s="18"/>
      <c r="L344" s="18"/>
      <c r="M344" s="18"/>
      <c r="N344" s="18"/>
    </row>
    <row r="345" spans="4:14" ht="14.1" customHeight="1" x14ac:dyDescent="0.2">
      <c r="D345" s="18"/>
      <c r="E345" s="18"/>
      <c r="G345" s="18"/>
      <c r="H345" s="41"/>
      <c r="K345" s="18"/>
      <c r="L345" s="18"/>
      <c r="M345" s="18"/>
      <c r="N345" s="18"/>
    </row>
    <row r="346" spans="4:14" ht="14.1" customHeight="1" x14ac:dyDescent="0.2">
      <c r="D346" s="18"/>
      <c r="E346" s="18"/>
      <c r="G346" s="18"/>
      <c r="H346" s="41"/>
      <c r="K346" s="18"/>
      <c r="L346" s="18"/>
      <c r="M346" s="18"/>
      <c r="N346" s="18"/>
    </row>
    <row r="347" spans="4:14" ht="14.1" customHeight="1" x14ac:dyDescent="0.2">
      <c r="D347" s="18"/>
      <c r="E347" s="18"/>
      <c r="G347" s="18"/>
      <c r="H347" s="41"/>
      <c r="K347" s="18"/>
      <c r="L347" s="18"/>
      <c r="M347" s="18"/>
      <c r="N347" s="18"/>
    </row>
    <row r="348" spans="4:14" ht="14.1" customHeight="1" x14ac:dyDescent="0.2">
      <c r="D348" s="18"/>
      <c r="E348" s="18"/>
      <c r="G348" s="18"/>
      <c r="H348" s="41"/>
      <c r="N348" s="18"/>
    </row>
    <row r="349" spans="4:14" ht="14.1" customHeight="1" x14ac:dyDescent="0.2">
      <c r="D349" s="18"/>
      <c r="E349" s="18"/>
      <c r="G349" s="18"/>
      <c r="H349" s="41"/>
      <c r="N349" s="18"/>
    </row>
    <row r="350" spans="4:14" ht="14.1" customHeight="1" x14ac:dyDescent="0.2">
      <c r="D350" s="18"/>
      <c r="E350" s="18"/>
      <c r="G350" s="18"/>
      <c r="H350" s="41"/>
      <c r="N350" s="18"/>
    </row>
    <row r="351" spans="4:14" ht="14.1" customHeight="1" x14ac:dyDescent="0.2">
      <c r="D351" s="18"/>
      <c r="E351" s="18"/>
      <c r="G351" s="18"/>
      <c r="H351" s="41"/>
      <c r="N351" s="18"/>
    </row>
    <row r="352" spans="4:14" ht="14.1" customHeight="1" x14ac:dyDescent="0.2">
      <c r="D352" s="18"/>
      <c r="E352" s="18"/>
      <c r="G352" s="18"/>
      <c r="H352" s="41"/>
      <c r="N352" s="18"/>
    </row>
    <row r="353" spans="4:8" ht="14.1" customHeight="1" x14ac:dyDescent="0.2">
      <c r="D353" s="18"/>
      <c r="E353" s="18"/>
      <c r="G353" s="18"/>
      <c r="H353" s="41"/>
    </row>
    <row r="354" spans="4:8" ht="14.1" customHeight="1" x14ac:dyDescent="0.2">
      <c r="D354" s="18"/>
      <c r="E354" s="18"/>
      <c r="G354" s="18"/>
      <c r="H354" s="41"/>
    </row>
    <row r="355" spans="4:8" ht="14.1" customHeight="1" x14ac:dyDescent="0.2">
      <c r="D355" s="18"/>
      <c r="E355" s="18"/>
      <c r="G355" s="18"/>
      <c r="H355" s="41"/>
    </row>
    <row r="356" spans="4:8" ht="14.1" customHeight="1" x14ac:dyDescent="0.2">
      <c r="D356" s="18"/>
      <c r="E356" s="18"/>
      <c r="G356" s="18"/>
      <c r="H356" s="41"/>
    </row>
    <row r="357" spans="4:8" ht="14.1" customHeight="1" x14ac:dyDescent="0.2">
      <c r="D357" s="18"/>
      <c r="E357" s="18"/>
      <c r="G357" s="18"/>
      <c r="H357" s="41"/>
    </row>
    <row r="358" spans="4:8" ht="14.1" customHeight="1" x14ac:dyDescent="0.2">
      <c r="D358" s="18"/>
      <c r="E358" s="18"/>
      <c r="G358" s="18"/>
      <c r="H358" s="41"/>
    </row>
    <row r="359" spans="4:8" ht="14.1" customHeight="1" x14ac:dyDescent="0.2">
      <c r="D359" s="18"/>
      <c r="E359" s="18"/>
      <c r="G359" s="18"/>
      <c r="H359" s="41"/>
    </row>
    <row r="360" spans="4:8" ht="14.1" customHeight="1" x14ac:dyDescent="0.2">
      <c r="D360" s="18"/>
      <c r="E360" s="18"/>
      <c r="G360" s="18"/>
      <c r="H360" s="41"/>
    </row>
    <row r="361" spans="4:8" ht="14.1" customHeight="1" x14ac:dyDescent="0.2">
      <c r="D361" s="18"/>
      <c r="E361" s="18"/>
      <c r="G361" s="18"/>
      <c r="H361" s="41"/>
    </row>
    <row r="362" spans="4:8" ht="14.1" customHeight="1" x14ac:dyDescent="0.2">
      <c r="D362" s="18"/>
      <c r="E362" s="18"/>
      <c r="G362" s="18"/>
      <c r="H362" s="41"/>
    </row>
    <row r="363" spans="4:8" ht="14.1" customHeight="1" x14ac:dyDescent="0.2">
      <c r="D363" s="18"/>
      <c r="E363" s="18"/>
      <c r="G363" s="18"/>
      <c r="H363" s="41"/>
    </row>
    <row r="364" spans="4:8" ht="14.1" customHeight="1" x14ac:dyDescent="0.2">
      <c r="D364" s="18"/>
      <c r="E364" s="18"/>
      <c r="G364" s="18"/>
      <c r="H364" s="41"/>
    </row>
    <row r="365" spans="4:8" ht="14.1" customHeight="1" x14ac:dyDescent="0.2">
      <c r="D365" s="18"/>
      <c r="E365" s="18"/>
      <c r="G365" s="18"/>
      <c r="H365" s="41"/>
    </row>
    <row r="366" spans="4:8" ht="14.1" customHeight="1" x14ac:dyDescent="0.2">
      <c r="D366" s="18"/>
      <c r="E366" s="18"/>
      <c r="G366" s="18"/>
      <c r="H366" s="41"/>
    </row>
    <row r="367" spans="4:8" ht="14.1" customHeight="1" x14ac:dyDescent="0.2">
      <c r="D367" s="18"/>
      <c r="E367" s="18"/>
      <c r="G367" s="18"/>
      <c r="H367" s="41"/>
    </row>
    <row r="368" spans="4:8" ht="14.1" customHeight="1" x14ac:dyDescent="0.2">
      <c r="D368" s="18"/>
      <c r="E368" s="18"/>
      <c r="G368" s="18"/>
      <c r="H368" s="41"/>
    </row>
    <row r="369" spans="4:8" ht="14.1" customHeight="1" x14ac:dyDescent="0.2">
      <c r="D369" s="18"/>
      <c r="E369" s="18"/>
      <c r="G369" s="18"/>
      <c r="H369" s="41"/>
    </row>
    <row r="370" spans="4:8" ht="14.1" customHeight="1" x14ac:dyDescent="0.2">
      <c r="D370" s="18"/>
      <c r="E370" s="18"/>
      <c r="G370" s="18"/>
      <c r="H370" s="41"/>
    </row>
    <row r="371" spans="4:8" ht="14.1" customHeight="1" x14ac:dyDescent="0.2">
      <c r="D371" s="18"/>
      <c r="E371" s="18"/>
      <c r="G371" s="18"/>
      <c r="H371" s="41"/>
    </row>
    <row r="372" spans="4:8" ht="14.1" customHeight="1" x14ac:dyDescent="0.2">
      <c r="D372" s="18"/>
      <c r="E372" s="18"/>
      <c r="G372" s="18"/>
    </row>
    <row r="373" spans="4:8" ht="14.1" customHeight="1" x14ac:dyDescent="0.2">
      <c r="D373" s="18"/>
      <c r="E373" s="18"/>
      <c r="G373" s="18"/>
    </row>
    <row r="374" spans="4:8" ht="14.1" customHeight="1" x14ac:dyDescent="0.2">
      <c r="D374" s="18"/>
      <c r="E374" s="18"/>
      <c r="G374" s="18"/>
    </row>
    <row r="375" spans="4:8" ht="14.1" customHeight="1" x14ac:dyDescent="0.2">
      <c r="D375" s="18"/>
      <c r="E375" s="18"/>
      <c r="G375" s="18"/>
    </row>
    <row r="376" spans="4:8" ht="14.1" customHeight="1" x14ac:dyDescent="0.2">
      <c r="D376" s="18"/>
      <c r="E376" s="18"/>
      <c r="G376" s="18"/>
    </row>
    <row r="377" spans="4:8" ht="14.1" customHeight="1" x14ac:dyDescent="0.2">
      <c r="D377" s="18"/>
      <c r="E377" s="18"/>
    </row>
    <row r="378" spans="4:8" ht="14.1" customHeight="1" x14ac:dyDescent="0.2">
      <c r="D378" s="18"/>
      <c r="E378" s="18"/>
    </row>
  </sheetData>
  <mergeCells count="30">
    <mergeCell ref="H8:H9"/>
    <mergeCell ref="B2:B3"/>
    <mergeCell ref="D5:D6"/>
    <mergeCell ref="C8:C9"/>
    <mergeCell ref="D8:F8"/>
    <mergeCell ref="G8:G9"/>
    <mergeCell ref="B84:B92"/>
    <mergeCell ref="A10:B10"/>
    <mergeCell ref="B14:B20"/>
    <mergeCell ref="A22:C22"/>
    <mergeCell ref="B42:B44"/>
    <mergeCell ref="B46:B48"/>
    <mergeCell ref="B50:B56"/>
    <mergeCell ref="B58:B64"/>
    <mergeCell ref="A66:C66"/>
    <mergeCell ref="B67:B69"/>
    <mergeCell ref="B71:B72"/>
    <mergeCell ref="B74:B82"/>
    <mergeCell ref="B94:B102"/>
    <mergeCell ref="A104:B104"/>
    <mergeCell ref="B105:B107"/>
    <mergeCell ref="B109:B113"/>
    <mergeCell ref="H110:H113"/>
    <mergeCell ref="J115:K115"/>
    <mergeCell ref="B116:B121"/>
    <mergeCell ref="I116:I122"/>
    <mergeCell ref="B123:B125"/>
    <mergeCell ref="B127:B130"/>
    <mergeCell ref="A115:B115"/>
    <mergeCell ref="G115:H115"/>
  </mergeCell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 CEA</vt:lpstr>
      <vt:lpstr>Sources</vt:lpstr>
      <vt:lpstr>Elie</vt:lpstr>
      <vt:lpstr>Sophie</vt:lpstr>
      <vt:lpstr>Natalie</vt:lpstr>
      <vt:lpstr>Josh</vt:lpstr>
      <vt:lpstr>Andrew</vt:lpstr>
      <vt:lpstr>Chelsea</vt:lpstr>
      <vt:lpstr>Chris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2016-10-03T16:54:58Z</dcterms:created>
  <dcterms:modified xsi:type="dcterms:W3CDTF">2016-10-03T16:55:05Z</dcterms:modified>
</cp:coreProperties>
</file>