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filterPrivacy="1" showInkAnnotation="0" autoCompressPictures="0"/>
  <bookViews>
    <workbookView xWindow="0" yWindow="0" windowWidth="25600" windowHeight="15520" tabRatio="762"/>
  </bookViews>
  <sheets>
    <sheet name="2014-2015 Total Budget" sheetId="5" r:id="rId1"/>
    <sheet name="CCT Implementation Expenses" sheetId="6" r:id="rId2"/>
    <sheet name="RCT Budget 2015-2016" sheetId="8" r:id="rId3"/>
    <sheet name="RCT Endline Survey" sheetId="9" r:id="rId4"/>
    <sheet name="CCTs for Vaccinations" sheetId="10" r:id="rId5"/>
    <sheet name="GiveWell analysis" sheetId="11" r:id="rId6"/>
  </sheets>
  <externalReferences>
    <externalReference r:id="rId7"/>
  </externalReferences>
  <definedNames>
    <definedName name="_xlnm.Print_Area" localSheetId="0">'2014-2015 Total Budget'!$B$1:$G$64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5" l="1"/>
  <c r="D74" i="5"/>
  <c r="D76" i="5"/>
  <c r="E76" i="5"/>
  <c r="C21" i="5"/>
  <c r="D21" i="5"/>
  <c r="E21" i="5"/>
  <c r="E50" i="5"/>
  <c r="D13" i="5"/>
  <c r="D33" i="5"/>
  <c r="D39" i="5"/>
  <c r="D45" i="5"/>
  <c r="D61" i="5"/>
  <c r="D64" i="5"/>
  <c r="C13" i="5"/>
  <c r="C33" i="5"/>
  <c r="C39" i="5"/>
  <c r="C45" i="5"/>
  <c r="C61" i="5"/>
  <c r="C64" i="5"/>
  <c r="E17" i="5"/>
  <c r="C80" i="5"/>
  <c r="E73" i="5"/>
  <c r="E74" i="5"/>
  <c r="E75" i="5"/>
  <c r="E61" i="5"/>
  <c r="E18" i="5"/>
  <c r="E19" i="5"/>
  <c r="E20" i="5"/>
  <c r="E16" i="5"/>
  <c r="E39" i="5"/>
  <c r="E45" i="5"/>
  <c r="E11" i="5"/>
  <c r="E12" i="5"/>
  <c r="E13" i="5"/>
  <c r="E33" i="5"/>
  <c r="E28" i="5"/>
  <c r="E53" i="5"/>
  <c r="E49" i="5"/>
  <c r="E51" i="5"/>
  <c r="E64" i="5"/>
  <c r="E54" i="5"/>
  <c r="E59" i="5"/>
  <c r="E32" i="5"/>
  <c r="E31" i="5"/>
  <c r="E38" i="5"/>
  <c r="E37" i="5"/>
  <c r="E36" i="5"/>
  <c r="E43" i="5"/>
  <c r="E44" i="5"/>
  <c r="E42" i="5"/>
  <c r="E25" i="5"/>
  <c r="E26" i="5"/>
  <c r="E27" i="5"/>
  <c r="E24" i="5"/>
  <c r="E29" i="5"/>
  <c r="E52" i="5"/>
  <c r="E55" i="5"/>
  <c r="E56" i="5"/>
  <c r="E57" i="5"/>
  <c r="E58" i="5"/>
  <c r="E60" i="5"/>
  <c r="E48" i="5"/>
  <c r="E30" i="5"/>
  <c r="K3" i="10"/>
  <c r="L3" i="10"/>
  <c r="M3" i="10"/>
  <c r="F3" i="10"/>
  <c r="O3" i="10"/>
  <c r="P3" i="10"/>
  <c r="Q3" i="10"/>
  <c r="R3" i="10"/>
  <c r="S3" i="10"/>
  <c r="T3" i="10"/>
  <c r="U3" i="10"/>
  <c r="Y3" i="10"/>
  <c r="K4" i="10"/>
  <c r="L4" i="10"/>
  <c r="M4" i="10"/>
  <c r="F4" i="10"/>
  <c r="O4" i="10"/>
  <c r="P4" i="10"/>
  <c r="Q4" i="10"/>
  <c r="R4" i="10"/>
  <c r="S4" i="10"/>
  <c r="T4" i="10"/>
  <c r="U4" i="10"/>
  <c r="Y4" i="10"/>
  <c r="K5" i="10"/>
  <c r="L5" i="10"/>
  <c r="M5" i="10"/>
  <c r="E5" i="10"/>
  <c r="F5" i="10"/>
  <c r="O5" i="10"/>
  <c r="P5" i="10"/>
  <c r="Q5" i="10"/>
  <c r="R5" i="10"/>
  <c r="S5" i="10"/>
  <c r="T5" i="10"/>
  <c r="U5" i="10"/>
  <c r="Y5" i="10"/>
  <c r="K6" i="10"/>
  <c r="L6" i="10"/>
  <c r="M6" i="10"/>
  <c r="E6" i="10"/>
  <c r="F6" i="10"/>
  <c r="O6" i="10"/>
  <c r="P6" i="10"/>
  <c r="Q6" i="10"/>
  <c r="R6" i="10"/>
  <c r="S6" i="10"/>
  <c r="T6" i="10"/>
  <c r="U6" i="10"/>
  <c r="Y6" i="10"/>
  <c r="K7" i="10"/>
  <c r="L7" i="10"/>
  <c r="M7" i="10"/>
  <c r="E7" i="10"/>
  <c r="F7" i="10"/>
  <c r="O7" i="10"/>
  <c r="P7" i="10"/>
  <c r="Q7" i="10"/>
  <c r="R7" i="10"/>
  <c r="S7" i="10"/>
  <c r="T7" i="10"/>
  <c r="U7" i="10"/>
  <c r="Y7" i="10"/>
  <c r="K8" i="10"/>
  <c r="L8" i="10"/>
  <c r="M8" i="10"/>
  <c r="E8" i="10"/>
  <c r="F8" i="10"/>
  <c r="O8" i="10"/>
  <c r="P8" i="10"/>
  <c r="Q8" i="10"/>
  <c r="R8" i="10"/>
  <c r="S8" i="10"/>
  <c r="T8" i="10"/>
  <c r="U8" i="10"/>
  <c r="Y8" i="10"/>
  <c r="K9" i="10"/>
  <c r="L9" i="10"/>
  <c r="M9" i="10"/>
  <c r="E9" i="10"/>
  <c r="F9" i="10"/>
  <c r="O9" i="10"/>
  <c r="P9" i="10"/>
  <c r="Q9" i="10"/>
  <c r="R9" i="10"/>
  <c r="S9" i="10"/>
  <c r="T9" i="10"/>
  <c r="U9" i="10"/>
  <c r="Y9" i="10"/>
  <c r="K10" i="10"/>
  <c r="L10" i="10"/>
  <c r="M10" i="10"/>
  <c r="E10" i="10"/>
  <c r="F10" i="10"/>
  <c r="O10" i="10"/>
  <c r="P10" i="10"/>
  <c r="Q10" i="10"/>
  <c r="R10" i="10"/>
  <c r="S10" i="10"/>
  <c r="T10" i="10"/>
  <c r="U10" i="10"/>
  <c r="Y10" i="10"/>
  <c r="K11" i="10"/>
  <c r="L11" i="10"/>
  <c r="M11" i="10"/>
  <c r="E11" i="10"/>
  <c r="F11" i="10"/>
  <c r="O11" i="10"/>
  <c r="P11" i="10"/>
  <c r="Q11" i="10"/>
  <c r="R11" i="10"/>
  <c r="S11" i="10"/>
  <c r="T11" i="10"/>
  <c r="U11" i="10"/>
  <c r="Y11" i="10"/>
  <c r="K12" i="10"/>
  <c r="L12" i="10"/>
  <c r="M12" i="10"/>
  <c r="E12" i="10"/>
  <c r="F12" i="10"/>
  <c r="O12" i="10"/>
  <c r="P12" i="10"/>
  <c r="Q12" i="10"/>
  <c r="R12" i="10"/>
  <c r="S12" i="10"/>
  <c r="T12" i="10"/>
  <c r="U12" i="10"/>
  <c r="Y12" i="10"/>
  <c r="K13" i="10"/>
  <c r="L13" i="10"/>
  <c r="M13" i="10"/>
  <c r="E13" i="10"/>
  <c r="F13" i="10"/>
  <c r="O13" i="10"/>
  <c r="P13" i="10"/>
  <c r="Q13" i="10"/>
  <c r="R13" i="10"/>
  <c r="S13" i="10"/>
  <c r="T13" i="10"/>
  <c r="U13" i="10"/>
  <c r="Y13" i="10"/>
  <c r="K14" i="10"/>
  <c r="L14" i="10"/>
  <c r="M14" i="10"/>
  <c r="E14" i="10"/>
  <c r="F14" i="10"/>
  <c r="O14" i="10"/>
  <c r="P14" i="10"/>
  <c r="Q14" i="10"/>
  <c r="R14" i="10"/>
  <c r="S14" i="10"/>
  <c r="T14" i="10"/>
  <c r="U14" i="10"/>
  <c r="Y14" i="10"/>
  <c r="Z14" i="10"/>
  <c r="Z18" i="10"/>
  <c r="D80" i="5"/>
  <c r="L3" i="6"/>
  <c r="M3" i="6"/>
  <c r="L4" i="6"/>
  <c r="M4" i="6"/>
  <c r="L5" i="6"/>
  <c r="M5" i="6"/>
  <c r="L6" i="6"/>
  <c r="M6" i="6"/>
  <c r="L7" i="6"/>
  <c r="M7" i="6"/>
  <c r="L8" i="6"/>
  <c r="M8" i="6"/>
  <c r="L9" i="6"/>
  <c r="M9" i="6"/>
  <c r="L10" i="6"/>
  <c r="M10" i="6"/>
  <c r="AJ10" i="6"/>
  <c r="C6" i="5"/>
  <c r="C11" i="6"/>
  <c r="L11" i="6"/>
  <c r="M11" i="6"/>
  <c r="C12" i="6"/>
  <c r="L12" i="6"/>
  <c r="M12" i="6"/>
  <c r="C13" i="6"/>
  <c r="L13" i="6"/>
  <c r="M13" i="6"/>
  <c r="C14" i="6"/>
  <c r="L14" i="6"/>
  <c r="M14" i="6"/>
  <c r="C15" i="6"/>
  <c r="L15" i="6"/>
  <c r="M15" i="6"/>
  <c r="C16" i="6"/>
  <c r="L16" i="6"/>
  <c r="M16" i="6"/>
  <c r="C17" i="6"/>
  <c r="L17" i="6"/>
  <c r="M17" i="6"/>
  <c r="C18" i="6"/>
  <c r="L18" i="6"/>
  <c r="M18" i="6"/>
  <c r="C19" i="6"/>
  <c r="L19" i="6"/>
  <c r="M19" i="6"/>
  <c r="L20" i="6"/>
  <c r="M20" i="6"/>
  <c r="L21" i="6"/>
  <c r="M21" i="6"/>
  <c r="L22" i="6"/>
  <c r="M22" i="6"/>
  <c r="AJ20" i="6"/>
  <c r="D6" i="5"/>
  <c r="E6" i="5"/>
  <c r="S4" i="6"/>
  <c r="V4" i="6"/>
  <c r="W4" i="6"/>
  <c r="X4" i="6"/>
  <c r="Z4" i="6"/>
  <c r="AA4" i="6"/>
  <c r="AB4" i="6"/>
  <c r="AG4" i="6"/>
  <c r="S5" i="6"/>
  <c r="V5" i="6"/>
  <c r="W5" i="6"/>
  <c r="X5" i="6"/>
  <c r="Z5" i="6"/>
  <c r="AA5" i="6"/>
  <c r="AB5" i="6"/>
  <c r="AG5" i="6"/>
  <c r="S6" i="6"/>
  <c r="V6" i="6"/>
  <c r="W6" i="6"/>
  <c r="X6" i="6"/>
  <c r="Z6" i="6"/>
  <c r="AA6" i="6"/>
  <c r="AB6" i="6"/>
  <c r="AG6" i="6"/>
  <c r="R7" i="6"/>
  <c r="S7" i="6"/>
  <c r="V7" i="6"/>
  <c r="W7" i="6"/>
  <c r="X7" i="6"/>
  <c r="Z7" i="6"/>
  <c r="AA7" i="6"/>
  <c r="AB7" i="6"/>
  <c r="AG7" i="6"/>
  <c r="Q8" i="6"/>
  <c r="R8" i="6"/>
  <c r="S8" i="6"/>
  <c r="V8" i="6"/>
  <c r="W8" i="6"/>
  <c r="X8" i="6"/>
  <c r="Y8" i="6"/>
  <c r="Z8" i="6"/>
  <c r="AA8" i="6"/>
  <c r="AB8" i="6"/>
  <c r="AG8" i="6"/>
  <c r="Q9" i="6"/>
  <c r="R9" i="6"/>
  <c r="S9" i="6"/>
  <c r="V9" i="6"/>
  <c r="W9" i="6"/>
  <c r="X9" i="6"/>
  <c r="Y9" i="6"/>
  <c r="Z9" i="6"/>
  <c r="AA9" i="6"/>
  <c r="AB9" i="6"/>
  <c r="AG9" i="6"/>
  <c r="Q10" i="6"/>
  <c r="R10" i="6"/>
  <c r="S10" i="6"/>
  <c r="V10" i="6"/>
  <c r="W10" i="6"/>
  <c r="X10" i="6"/>
  <c r="Y10" i="6"/>
  <c r="Z10" i="6"/>
  <c r="AA10" i="6"/>
  <c r="AB10" i="6"/>
  <c r="AG10" i="6"/>
  <c r="AH10" i="6"/>
  <c r="AJ11" i="6"/>
  <c r="C7" i="5"/>
  <c r="Q11" i="6"/>
  <c r="R11" i="6"/>
  <c r="S11" i="6"/>
  <c r="V11" i="6"/>
  <c r="W11" i="6"/>
  <c r="X11" i="6"/>
  <c r="Y11" i="6"/>
  <c r="Z11" i="6"/>
  <c r="AA11" i="6"/>
  <c r="AB11" i="6"/>
  <c r="AG11" i="6"/>
  <c r="Q12" i="6"/>
  <c r="R12" i="6"/>
  <c r="S12" i="6"/>
  <c r="V12" i="6"/>
  <c r="W12" i="6"/>
  <c r="X12" i="6"/>
  <c r="Y12" i="6"/>
  <c r="Z12" i="6"/>
  <c r="AA12" i="6"/>
  <c r="AB12" i="6"/>
  <c r="AG12" i="6"/>
  <c r="Q13" i="6"/>
  <c r="R13" i="6"/>
  <c r="S13" i="6"/>
  <c r="V13" i="6"/>
  <c r="W13" i="6"/>
  <c r="X13" i="6"/>
  <c r="Y13" i="6"/>
  <c r="Z13" i="6"/>
  <c r="AA13" i="6"/>
  <c r="AB13" i="6"/>
  <c r="AG13" i="6"/>
  <c r="Q14" i="6"/>
  <c r="R14" i="6"/>
  <c r="S14" i="6"/>
  <c r="V14" i="6"/>
  <c r="W14" i="6"/>
  <c r="X14" i="6"/>
  <c r="Y14" i="6"/>
  <c r="Z14" i="6"/>
  <c r="AA14" i="6"/>
  <c r="AB14" i="6"/>
  <c r="AG14" i="6"/>
  <c r="Q15" i="6"/>
  <c r="R15" i="6"/>
  <c r="S15" i="6"/>
  <c r="V15" i="6"/>
  <c r="W15" i="6"/>
  <c r="X15" i="6"/>
  <c r="Y15" i="6"/>
  <c r="Z15" i="6"/>
  <c r="AA15" i="6"/>
  <c r="AB15" i="6"/>
  <c r="AG15" i="6"/>
  <c r="Q16" i="6"/>
  <c r="R16" i="6"/>
  <c r="S16" i="6"/>
  <c r="V16" i="6"/>
  <c r="W16" i="6"/>
  <c r="X16" i="6"/>
  <c r="Y16" i="6"/>
  <c r="Z16" i="6"/>
  <c r="AA16" i="6"/>
  <c r="AB16" i="6"/>
  <c r="AG16" i="6"/>
  <c r="Q17" i="6"/>
  <c r="R17" i="6"/>
  <c r="S17" i="6"/>
  <c r="V17" i="6"/>
  <c r="W17" i="6"/>
  <c r="X17" i="6"/>
  <c r="Y17" i="6"/>
  <c r="Z17" i="6"/>
  <c r="AA17" i="6"/>
  <c r="AB17" i="6"/>
  <c r="AG17" i="6"/>
  <c r="Q18" i="6"/>
  <c r="R18" i="6"/>
  <c r="S18" i="6"/>
  <c r="V18" i="6"/>
  <c r="W18" i="6"/>
  <c r="X18" i="6"/>
  <c r="Y18" i="6"/>
  <c r="Z18" i="6"/>
  <c r="AA18" i="6"/>
  <c r="AB18" i="6"/>
  <c r="AG18" i="6"/>
  <c r="Q19" i="6"/>
  <c r="R19" i="6"/>
  <c r="S19" i="6"/>
  <c r="V19" i="6"/>
  <c r="W19" i="6"/>
  <c r="X19" i="6"/>
  <c r="Y19" i="6"/>
  <c r="Z19" i="6"/>
  <c r="AA19" i="6"/>
  <c r="AB19" i="6"/>
  <c r="AG19" i="6"/>
  <c r="Q20" i="6"/>
  <c r="R20" i="6"/>
  <c r="S20" i="6"/>
  <c r="V20" i="6"/>
  <c r="W20" i="6"/>
  <c r="X20" i="6"/>
  <c r="Y20" i="6"/>
  <c r="Z20" i="6"/>
  <c r="AA20" i="6"/>
  <c r="AB20" i="6"/>
  <c r="AG20" i="6"/>
  <c r="Q21" i="6"/>
  <c r="R21" i="6"/>
  <c r="S21" i="6"/>
  <c r="V21" i="6"/>
  <c r="W21" i="6"/>
  <c r="X21" i="6"/>
  <c r="Y21" i="6"/>
  <c r="Z21" i="6"/>
  <c r="AA21" i="6"/>
  <c r="AB21" i="6"/>
  <c r="AG21" i="6"/>
  <c r="Q22" i="6"/>
  <c r="R22" i="6"/>
  <c r="S22" i="6"/>
  <c r="V22" i="6"/>
  <c r="W22" i="6"/>
  <c r="X22" i="6"/>
  <c r="Y22" i="6"/>
  <c r="Z22" i="6"/>
  <c r="AA22" i="6"/>
  <c r="AB22" i="6"/>
  <c r="AG22" i="6"/>
  <c r="AH22" i="6"/>
  <c r="AJ22" i="6"/>
  <c r="AJ21" i="6"/>
  <c r="D7" i="5"/>
  <c r="E7" i="5"/>
  <c r="E65" i="5"/>
  <c r="C8" i="5"/>
  <c r="D8" i="5"/>
  <c r="E8" i="5"/>
  <c r="E66" i="5"/>
  <c r="C66" i="5"/>
  <c r="C65" i="5"/>
  <c r="C68" i="5"/>
  <c r="C79" i="5"/>
  <c r="C81" i="5"/>
  <c r="G3" i="10"/>
  <c r="G4" i="10"/>
  <c r="G5" i="10"/>
  <c r="G6" i="10"/>
  <c r="G7" i="10"/>
  <c r="G8" i="10"/>
  <c r="G9" i="10"/>
  <c r="G10" i="10"/>
  <c r="G11" i="10"/>
  <c r="G12" i="10"/>
  <c r="G13" i="10"/>
  <c r="G14" i="10"/>
  <c r="Z16" i="10"/>
  <c r="D83" i="5"/>
  <c r="Z17" i="10"/>
  <c r="D84" i="5"/>
  <c r="D66" i="5"/>
  <c r="D85" i="5"/>
  <c r="B5" i="8"/>
  <c r="D5" i="8"/>
  <c r="B6" i="8"/>
  <c r="D6" i="8"/>
  <c r="B7" i="8"/>
  <c r="D7" i="8"/>
  <c r="D10" i="8"/>
  <c r="D11" i="8"/>
  <c r="D12" i="8"/>
  <c r="D18" i="8"/>
  <c r="D19" i="8"/>
  <c r="D20" i="8"/>
  <c r="B21" i="8"/>
  <c r="D21" i="8"/>
  <c r="B24" i="8"/>
  <c r="D24" i="8"/>
  <c r="B25" i="8"/>
  <c r="D25" i="8"/>
  <c r="D26" i="8"/>
  <c r="D29" i="8"/>
  <c r="D30" i="8"/>
  <c r="D31" i="8"/>
  <c r="D39" i="8"/>
  <c r="D41" i="8"/>
  <c r="D42" i="8"/>
  <c r="D45" i="8"/>
  <c r="D67" i="5"/>
  <c r="E67" i="5"/>
  <c r="D65" i="5"/>
  <c r="D68" i="5"/>
  <c r="E68" i="5"/>
  <c r="D79" i="5"/>
  <c r="D81" i="5"/>
  <c r="AL21" i="6"/>
  <c r="P24" i="6"/>
  <c r="P23" i="6"/>
  <c r="AI26" i="6"/>
  <c r="AI25" i="6"/>
  <c r="AJ12" i="6"/>
  <c r="AJ23" i="6"/>
  <c r="AF22" i="6"/>
  <c r="AC22" i="6"/>
  <c r="AD22" i="6"/>
  <c r="AE22" i="6"/>
  <c r="N22" i="6"/>
  <c r="AH21" i="6"/>
  <c r="AF21" i="6"/>
  <c r="AC21" i="6"/>
  <c r="AD21" i="6"/>
  <c r="AE21" i="6"/>
  <c r="N21" i="6"/>
  <c r="AH20" i="6"/>
  <c r="AF20" i="6"/>
  <c r="AC20" i="6"/>
  <c r="AD20" i="6"/>
  <c r="AE20" i="6"/>
  <c r="N20" i="6"/>
  <c r="AH19" i="6"/>
  <c r="AF19" i="6"/>
  <c r="AC19" i="6"/>
  <c r="AD19" i="6"/>
  <c r="AE19" i="6"/>
  <c r="N19" i="6"/>
  <c r="AH18" i="6"/>
  <c r="AF18" i="6"/>
  <c r="AC18" i="6"/>
  <c r="AD18" i="6"/>
  <c r="AE18" i="6"/>
  <c r="N18" i="6"/>
  <c r="AH17" i="6"/>
  <c r="AF17" i="6"/>
  <c r="AC17" i="6"/>
  <c r="AD17" i="6"/>
  <c r="AE17" i="6"/>
  <c r="N17" i="6"/>
  <c r="AH16" i="6"/>
  <c r="AF16" i="6"/>
  <c r="AC16" i="6"/>
  <c r="AD16" i="6"/>
  <c r="AE16" i="6"/>
  <c r="N16" i="6"/>
  <c r="AH15" i="6"/>
  <c r="AF15" i="6"/>
  <c r="AC15" i="6"/>
  <c r="AD15" i="6"/>
  <c r="AE15" i="6"/>
  <c r="N15" i="6"/>
  <c r="AH14" i="6"/>
  <c r="AF14" i="6"/>
  <c r="AC14" i="6"/>
  <c r="AD14" i="6"/>
  <c r="AE14" i="6"/>
  <c r="N14" i="6"/>
  <c r="AH13" i="6"/>
  <c r="AF13" i="6"/>
  <c r="AC13" i="6"/>
  <c r="AD13" i="6"/>
  <c r="AE13" i="6"/>
  <c r="N13" i="6"/>
  <c r="AH12" i="6"/>
  <c r="AF12" i="6"/>
  <c r="AC12" i="6"/>
  <c r="AD12" i="6"/>
  <c r="AE12" i="6"/>
  <c r="N12" i="6"/>
  <c r="AH11" i="6"/>
  <c r="AF11" i="6"/>
  <c r="AC11" i="6"/>
  <c r="AD11" i="6"/>
  <c r="AE11" i="6"/>
  <c r="N11" i="6"/>
  <c r="AF10" i="6"/>
  <c r="AC10" i="6"/>
  <c r="AD10" i="6"/>
  <c r="AE10" i="6"/>
  <c r="N10" i="6"/>
  <c r="AH9" i="6"/>
  <c r="AF9" i="6"/>
  <c r="AC9" i="6"/>
  <c r="AD9" i="6"/>
  <c r="AE9" i="6"/>
  <c r="N9" i="6"/>
  <c r="AH8" i="6"/>
  <c r="AF8" i="6"/>
  <c r="AC8" i="6"/>
  <c r="AD8" i="6"/>
  <c r="AE8" i="6"/>
  <c r="N8" i="6"/>
  <c r="AH7" i="6"/>
  <c r="AF7" i="6"/>
  <c r="AC7" i="6"/>
  <c r="AD7" i="6"/>
  <c r="AE7" i="6"/>
  <c r="N7" i="6"/>
  <c r="AH6" i="6"/>
  <c r="AF6" i="6"/>
  <c r="AC6" i="6"/>
  <c r="AD6" i="6"/>
  <c r="AE6" i="6"/>
  <c r="N6" i="6"/>
  <c r="AH5" i="6"/>
  <c r="AF5" i="6"/>
  <c r="AC5" i="6"/>
  <c r="AD5" i="6"/>
  <c r="AE5" i="6"/>
  <c r="N5" i="6"/>
  <c r="AH4" i="6"/>
  <c r="AF4" i="6"/>
  <c r="AC4" i="6"/>
  <c r="AD4" i="6"/>
  <c r="AE4" i="6"/>
  <c r="N4" i="6"/>
  <c r="AB3" i="6"/>
  <c r="Z3" i="6"/>
  <c r="Y3" i="6"/>
  <c r="X3" i="6"/>
  <c r="W3" i="6"/>
  <c r="V3" i="6"/>
  <c r="S3" i="6"/>
  <c r="N3" i="6"/>
  <c r="V4" i="10"/>
  <c r="W4" i="10"/>
  <c r="V5" i="10"/>
  <c r="W5" i="10"/>
  <c r="V6" i="10"/>
  <c r="W6" i="10"/>
  <c r="V7" i="10"/>
  <c r="W7" i="10"/>
  <c r="V8" i="10"/>
  <c r="W8" i="10"/>
  <c r="V9" i="10"/>
  <c r="W9" i="10"/>
  <c r="V10" i="10"/>
  <c r="W10" i="10"/>
  <c r="V11" i="10"/>
  <c r="W11" i="10"/>
  <c r="V12" i="10"/>
  <c r="W12" i="10"/>
  <c r="V13" i="10"/>
  <c r="W13" i="10"/>
  <c r="V14" i="10"/>
  <c r="W14" i="10"/>
  <c r="V3" i="10"/>
  <c r="W3" i="10"/>
  <c r="X14" i="10"/>
  <c r="H14" i="10"/>
  <c r="Z13" i="10"/>
  <c r="X13" i="10"/>
  <c r="H13" i="10"/>
  <c r="Z12" i="10"/>
  <c r="X12" i="10"/>
  <c r="H12" i="10"/>
  <c r="Z11" i="10"/>
  <c r="X11" i="10"/>
  <c r="H11" i="10"/>
  <c r="Z10" i="10"/>
  <c r="X10" i="10"/>
  <c r="H10" i="10"/>
  <c r="Z9" i="10"/>
  <c r="X9" i="10"/>
  <c r="H9" i="10"/>
  <c r="Z8" i="10"/>
  <c r="X8" i="10"/>
  <c r="H8" i="10"/>
  <c r="Z7" i="10"/>
  <c r="X7" i="10"/>
  <c r="H7" i="10"/>
  <c r="Z6" i="10"/>
  <c r="X6" i="10"/>
  <c r="H6" i="10"/>
  <c r="Z5" i="10"/>
  <c r="X5" i="10"/>
  <c r="H5" i="10"/>
  <c r="Z4" i="10"/>
  <c r="X4" i="10"/>
  <c r="H4" i="10"/>
  <c r="Z3" i="10"/>
  <c r="X3" i="10"/>
  <c r="H3" i="10"/>
  <c r="B18" i="11"/>
  <c r="B19" i="11"/>
  <c r="B21" i="11"/>
  <c r="B8" i="11"/>
  <c r="B6" i="11"/>
  <c r="B5" i="11"/>
  <c r="B31" i="11"/>
  <c r="B32" i="11"/>
  <c r="B34" i="11"/>
  <c r="B30" i="11"/>
  <c r="B33" i="11"/>
  <c r="B35" i="11"/>
  <c r="B37" i="11"/>
  <c r="B17" i="11"/>
  <c r="B20" i="11"/>
  <c r="B22" i="11"/>
  <c r="C17" i="11"/>
  <c r="C18" i="11"/>
  <c r="C19" i="11"/>
  <c r="C20" i="11"/>
  <c r="C21" i="11"/>
  <c r="C22" i="11"/>
  <c r="B24" i="11"/>
  <c r="C30" i="11"/>
  <c r="C31" i="11"/>
  <c r="C32" i="11"/>
  <c r="C33" i="11"/>
  <c r="C34" i="11"/>
  <c r="C35" i="11"/>
  <c r="B4" i="11"/>
  <c r="B7" i="11"/>
  <c r="B9" i="11"/>
  <c r="B11" i="11"/>
  <c r="C9" i="11"/>
  <c r="C5" i="11"/>
  <c r="C6" i="11"/>
  <c r="C7" i="11"/>
  <c r="C8" i="11"/>
  <c r="C4" i="11"/>
  <c r="B40" i="11"/>
  <c r="C3" i="9"/>
  <c r="C11" i="9"/>
  <c r="C19" i="9"/>
  <c r="G19" i="9"/>
  <c r="H19" i="9"/>
  <c r="I19" i="9"/>
  <c r="C4" i="9"/>
  <c r="C12" i="9"/>
  <c r="C20" i="9"/>
  <c r="G20" i="9"/>
  <c r="H20" i="9"/>
  <c r="I20" i="9"/>
  <c r="C5" i="9"/>
  <c r="C13" i="9"/>
  <c r="C21" i="9"/>
  <c r="G21" i="9"/>
  <c r="H21" i="9"/>
  <c r="I21" i="9"/>
  <c r="C6" i="9"/>
  <c r="C14" i="9"/>
  <c r="C22" i="9"/>
  <c r="G22" i="9"/>
  <c r="H22" i="9"/>
  <c r="I22" i="9"/>
  <c r="C7" i="9"/>
  <c r="C15" i="9"/>
  <c r="C23" i="9"/>
  <c r="G23" i="9"/>
  <c r="H23" i="9"/>
  <c r="I23" i="9"/>
  <c r="I24" i="9"/>
</calcChain>
</file>

<file path=xl/sharedStrings.xml><?xml version="1.0" encoding="utf-8"?>
<sst xmlns="http://schemas.openxmlformats.org/spreadsheetml/2006/main" count="314" uniqueCount="218">
  <si>
    <t>Internet</t>
  </si>
  <si>
    <t>2014 and 2015 Expenses by Major Category</t>
  </si>
  <si>
    <t>Nr of active clinics</t>
  </si>
  <si>
    <t>Total new beneficiares per month</t>
  </si>
  <si>
    <t>Total beneficiaries enrolled to date</t>
  </si>
  <si>
    <t>Total new beneficiaries on annual basis</t>
  </si>
  <si>
    <t># of field workers. (manages up to 1000 beneficiaries.)</t>
  </si>
  <si>
    <t>Printing Costs
(50 Naira or $0.31 per ABAE card and consent form)</t>
  </si>
  <si>
    <t>Miscellanous Costs (assume 250 Naira or $1.50 per beneficiary)</t>
  </si>
  <si>
    <t>Admin cost per new beneficiary</t>
  </si>
  <si>
    <t>Expenses for whole time period covered by budget:</t>
    <phoneticPr fontId="39" type="noConversion"/>
  </si>
  <si>
    <t>RCT expenses not counting transfers:</t>
    <phoneticPr fontId="39" type="noConversion"/>
  </si>
  <si>
    <t>Lunch for MIH person ($3 for all day trips; assume one per week)</t>
  </si>
  <si>
    <t>Transfers</t>
    <phoneticPr fontId="39" type="noConversion"/>
  </si>
  <si>
    <t>HQ staff</t>
    <phoneticPr fontId="39" type="noConversion"/>
  </si>
  <si>
    <t>field staff</t>
    <phoneticPr fontId="39" type="noConversion"/>
  </si>
  <si>
    <t>CCT admin</t>
    <phoneticPr fontId="39" type="noConversion"/>
  </si>
  <si>
    <t>HQ costs (mostly seem unlikely to scale with the org)</t>
    <phoneticPr fontId="39" type="noConversion"/>
  </si>
  <si>
    <t>Total</t>
    <phoneticPr fontId="39" type="noConversion"/>
  </si>
  <si>
    <t>Category</t>
    <phoneticPr fontId="39" type="noConversion"/>
  </si>
  <si>
    <t>Expense</t>
    <phoneticPr fontId="39" type="noConversion"/>
  </si>
  <si>
    <t>Percentage of total expenses</t>
    <phoneticPr fontId="39" type="noConversion"/>
  </si>
  <si>
    <t>Total cost per beneficiary:</t>
    <phoneticPr fontId="39" type="noConversion"/>
  </si>
  <si>
    <t>Mar 2015</t>
  </si>
  <si>
    <t>Apr 2015</t>
  </si>
  <si>
    <t>May 2015</t>
  </si>
  <si>
    <t>Jun 2015</t>
  </si>
  <si>
    <t>Jul 2015</t>
  </si>
  <si>
    <t>Aug 2015</t>
  </si>
  <si>
    <t>Sept 2015</t>
  </si>
  <si>
    <t>Oct 2015</t>
  </si>
  <si>
    <t>Nov 2015</t>
  </si>
  <si>
    <t>2015 CT Admin:</t>
  </si>
  <si>
    <t>Dec 2015</t>
  </si>
  <si>
    <t>2015 Total:</t>
  </si>
  <si>
    <t>Clinic 4: [Clinic name redacted:] New beneficiaries per month</t>
  </si>
  <si>
    <t>Clinic 5: [Clinic name redacted:] New beneficiaries per month</t>
  </si>
  <si>
    <t>Clinic 6: [Clinic name redacted:] New beneficiaries per month</t>
  </si>
  <si>
    <t>Clinic 7: [Clinic name redacted:] New beneficiaries per month</t>
  </si>
  <si>
    <t>Clinic 8: [Clinic name redacted:] New beneficiaries per month</t>
  </si>
  <si>
    <t>Clinic 1: [Clinic name redacted:] New beneficiaries per month</t>
  </si>
  <si>
    <t>Clinic 2: [Clinic name redacted:] New beneficiaries per month</t>
  </si>
  <si>
    <t>Clinic 3: [Clinic name redacted:] New beneficiaries per month</t>
  </si>
  <si>
    <t>10</t>
  </si>
  <si>
    <t>Estimated HQ Costs 2014-2015:</t>
  </si>
  <si>
    <t>Full Cost Ratio:</t>
  </si>
  <si>
    <t>TOTAL NEED:</t>
  </si>
  <si>
    <t>TOTAL RAISE:</t>
  </si>
  <si>
    <t>Health insurance stipend for Svetha</t>
  </si>
  <si>
    <t>Office Space in Nigeria</t>
  </si>
  <si>
    <t>Domain fees including privacy services</t>
  </si>
  <si>
    <t>Face biometrics database hosting</t>
  </si>
  <si>
    <t>$240.00</t>
  </si>
  <si>
    <r>
      <t>Transfer Fee ($40 per month = $480 per year</t>
    </r>
    <r>
      <rPr>
        <sz val="12"/>
        <color theme="1"/>
        <rFont val="Calibri"/>
        <family val="2"/>
        <scheme val="minor"/>
      </rPr>
      <t xml:space="preserve">; </t>
    </r>
    <r>
      <rPr>
        <sz val="12"/>
        <color theme="1"/>
        <rFont val="Calibri"/>
        <family val="2"/>
        <scheme val="minor"/>
      </rPr>
      <t>should cover transfers for 2000 women per year)</t>
    </r>
  </si>
  <si>
    <t xml:space="preserve">Field Officer Equipment ($10.42 per month = $250 for two years per Field Officer; two years is expected lifetime of mobile phone, battery bank, LED light, and headphones) </t>
  </si>
  <si>
    <t>Reinstatement of Tax Exemption Filing Fee for New Incentives in USA</t>
  </si>
  <si>
    <t>Assistance Preparing 990 Filing for New Incentives in USA</t>
  </si>
  <si>
    <t>Travel for two trips to Uyo</t>
  </si>
  <si>
    <t>Accommodation for two 12-day trips</t>
  </si>
  <si>
    <t>Per diem for two 12-day trips</t>
  </si>
  <si>
    <t>Local transport to clinics</t>
  </si>
  <si>
    <t>Transportation Cost</t>
  </si>
  <si>
    <t>Trips to 3 clinics on immunization days (2 days per week per clinic)</t>
  </si>
  <si>
    <t>Trips to households for household surveys</t>
  </si>
  <si>
    <t>Bike pickup  to encourage individuals to return to clinic for endline survey. 20 in treatment group (20*$25 - 4000 Naira) and 30 in control group (30*$25 - 4000 Naira)</t>
  </si>
  <si>
    <t>Virtual Mailbox</t>
  </si>
  <si>
    <t xml:space="preserve">Dropbox </t>
  </si>
  <si>
    <t>Fax allotment</t>
  </si>
  <si>
    <t>Shipping</t>
  </si>
  <si>
    <t>Assistance Preparing Annual Filing for ABAE in Nigeria</t>
  </si>
  <si>
    <t>Accident Insurance for Nigerian Employees</t>
  </si>
  <si>
    <t>Miscellaneous Costs</t>
  </si>
  <si>
    <t>Immigration</t>
  </si>
  <si>
    <t>Federal Visa Fees (fee for 6-month visa and Subject to Regulation (STR) long-term visa)</t>
  </si>
  <si>
    <t>Local Visa Fees (application for CERPAC Residency Card)</t>
  </si>
  <si>
    <t xml:space="preserve">Backupify </t>
  </si>
  <si>
    <t>Skype</t>
  </si>
  <si>
    <t>Vomingo Allotment</t>
  </si>
  <si>
    <t>Training for Dried Blood Spot test OR stipend for certified nurse to participate in household visits</t>
  </si>
  <si>
    <t>Health insurance stipend</t>
  </si>
  <si>
    <t>Accident insurance coverage</t>
  </si>
  <si>
    <t>Svetha's time to oversee study (20% time)</t>
  </si>
  <si>
    <t>Lead researchers costs</t>
  </si>
  <si>
    <t>Consulting fee</t>
  </si>
  <si>
    <t>Transportation</t>
  </si>
  <si>
    <t>International Travel</t>
  </si>
  <si>
    <t>Local Daily Transportation</t>
  </si>
  <si>
    <t xml:space="preserve">Miscellaneous Travel </t>
  </si>
  <si>
    <t>CCT Admin Costs</t>
  </si>
  <si>
    <t>Miscellaneous</t>
  </si>
  <si>
    <t>Phone</t>
  </si>
  <si>
    <t xml:space="preserve">Turnover cost ($0.39 per $200 transfer). </t>
  </si>
  <si>
    <t>HIV Retest (10% of all new beneficiaries. $0.48 per test)</t>
  </si>
  <si>
    <t>Monthly clinic celebration snack cost ($6 per month per clinic)</t>
  </si>
  <si>
    <t>Phone bill for local calls returned or dropped and data for survey app (assume a total of $20 a month per clinic)</t>
  </si>
  <si>
    <t>Admin cost in percentage (transfer to beneficiary 30,000N or $186)</t>
  </si>
  <si>
    <t>Total beneficiaries since beginning</t>
  </si>
  <si>
    <t>Total cost including cash transfer per month</t>
  </si>
  <si>
    <t>May 2014</t>
  </si>
  <si>
    <t>0</t>
  </si>
  <si>
    <t>June 2014</t>
  </si>
  <si>
    <t>1</t>
  </si>
  <si>
    <t>July 2014</t>
  </si>
  <si>
    <t>Aug 2014</t>
  </si>
  <si>
    <t>Sept 2014</t>
  </si>
  <si>
    <t>Oct 2014</t>
  </si>
  <si>
    <t>2.5</t>
  </si>
  <si>
    <t>Nov 2014</t>
  </si>
  <si>
    <t>Dec 2014</t>
  </si>
  <si>
    <t>Jan 2015</t>
  </si>
  <si>
    <t>Feb 2015</t>
  </si>
  <si>
    <t>2014 Total:</t>
  </si>
  <si>
    <t xml:space="preserve">*Conservative estimate to ensure sufficient budget. </t>
  </si>
  <si>
    <t>Field worker cost per month. (Annual cost of field workers: $4142 per officer including health stipend.)</t>
  </si>
  <si>
    <t>Endline Survey at house after six weeks</t>
  </si>
  <si>
    <t>No Endline Survey</t>
  </si>
  <si>
    <t>Control Group</t>
  </si>
  <si>
    <t>Endline Survey at clinic at six weeks</t>
  </si>
  <si>
    <t># of field workers</t>
  </si>
  <si>
    <t xml:space="preserve">Turnover cost ($0.20 per $100 transfer). </t>
  </si>
  <si>
    <t>Pregnancy Test (10% of beneficiaries under 5 months pregnant. $0.20 per test including small cup and test strip)</t>
  </si>
  <si>
    <t>2014 &amp; 2015 Total:</t>
  </si>
  <si>
    <t>Total Expenses</t>
    <phoneticPr fontId="10" type="noConversion"/>
  </si>
  <si>
    <t>Total</t>
    <phoneticPr fontId="10" type="noConversion"/>
  </si>
  <si>
    <t>TOTAL</t>
  </si>
  <si>
    <t>General Liability Insurance</t>
  </si>
  <si>
    <t>Total</t>
  </si>
  <si>
    <t>Personnel</t>
  </si>
  <si>
    <t>Chief Executive Officer: Svetha Janumpalli (full-time)</t>
  </si>
  <si>
    <t>New Incentives Budget</t>
  </si>
  <si>
    <t>Technology</t>
  </si>
  <si>
    <t>Initial development cost for face biometrics deployment</t>
  </si>
  <si>
    <t>Website hosting</t>
  </si>
  <si>
    <t xml:space="preserve">Legal </t>
  </si>
  <si>
    <t>Incorporation of Nigerian NGO, All Babies Are Equal (ABAE) Initiative</t>
  </si>
  <si>
    <t>Legal Assistance for Hiring Nigerian Employees and Filing Taxes</t>
  </si>
  <si>
    <t>Legal Assistance for Filing for Reinstatement of Tax Exemption Status for New Incentives in USA</t>
  </si>
  <si>
    <r>
      <t>Referrals from small clinics, TBAs, and CBOs (assume two per month per clinic): New beneficiaries per month at 5</t>
    </r>
    <r>
      <rPr>
        <sz val="12"/>
        <color theme="1"/>
        <rFont val="Calibri"/>
        <family val="2"/>
        <scheme val="minor"/>
      </rPr>
      <t xml:space="preserve"> clinic sites</t>
    </r>
  </si>
  <si>
    <r>
      <t>Phone bill for local calls returned or dropped and data for survey app (assume a total of $</t>
    </r>
    <r>
      <rPr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0 a month per clinic)</t>
    </r>
  </si>
  <si>
    <t>*Reduced numbers because of RCT</t>
  </si>
  <si>
    <t>Total Control Group and Treatment Group</t>
  </si>
  <si>
    <t>Time Survey</t>
  </si>
  <si>
    <t>Transport</t>
  </si>
  <si>
    <t>Total Hours</t>
  </si>
  <si>
    <t>Total Days</t>
  </si>
  <si>
    <t>Total Weeks</t>
  </si>
  <si>
    <t>-</t>
  </si>
  <si>
    <t>TOTAL RCT BUDGET</t>
  </si>
  <si>
    <t>Good Ventures and The Lampert Family Foundation</t>
  </si>
  <si>
    <t>The Bill &amp; Melinda Gates Foundation</t>
  </si>
  <si>
    <t>Online Donors &amp; Small Grants</t>
  </si>
  <si>
    <t>Total Funds Received</t>
  </si>
  <si>
    <t>Total Funds Seeking</t>
  </si>
  <si>
    <t>Total Non-RCT Costs</t>
  </si>
  <si>
    <t>RCT Costs Excluding CCTs</t>
  </si>
  <si>
    <t>TOTAL EXPENSES (including RCT costs)</t>
  </si>
  <si>
    <t>TOTAL FUNDS RECEIVED</t>
  </si>
  <si>
    <t>Endline Survey at clinic at six weeks*</t>
  </si>
  <si>
    <t>Admin cost in percentage (transfer to beneficiary 16,000N or $97)</t>
  </si>
  <si>
    <r>
      <t xml:space="preserve">2015 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CT:</t>
    </r>
  </si>
  <si>
    <t>RCT Budget January 2015 to November 2016</t>
  </si>
  <si>
    <t>Unit</t>
  </si>
  <si>
    <t>Cost</t>
  </si>
  <si>
    <t>Cash Transfers for Treatment Group: 210*$200</t>
  </si>
  <si>
    <t>Cash Transfers for Control Group: 170*$60 (issued only at the end of the study period)</t>
  </si>
  <si>
    <t>Small stipend for household survey participation (for treatment and control groups)</t>
  </si>
  <si>
    <t>Staff-Related Costs</t>
  </si>
  <si>
    <t>Salary of 2 Enumerators ($300 per month per enumerator), 9 months</t>
  </si>
  <si>
    <t>New Incentives: Cost Table CCTs for Vaccinations</t>
  </si>
  <si>
    <t>New Incentives: Cost Table CCTs for PMTCT</t>
  </si>
  <si>
    <t>Additional Insurance</t>
  </si>
  <si>
    <t>One-time clinic training about CCT program ($150 per clinic)</t>
  </si>
  <si>
    <t>5</t>
  </si>
  <si>
    <r>
      <t xml:space="preserve">2014 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CT:</t>
    </r>
  </si>
  <si>
    <r>
      <t xml:space="preserve">2014 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CT Admin:</t>
    </r>
  </si>
  <si>
    <r>
      <t xml:space="preserve">2015 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CT Admin:</t>
    </r>
  </si>
  <si>
    <t>CCTs for PMTCT and RCT</t>
  </si>
  <si>
    <t>CCTs for Vaccinations</t>
  </si>
  <si>
    <t>TOTAL FUNDS SEEKING</t>
  </si>
  <si>
    <r>
      <rPr>
        <b/>
        <sz val="11"/>
        <color indexed="9"/>
        <rFont val="Verdana"/>
        <family val="2"/>
      </rPr>
      <t>2014</t>
    </r>
    <r>
      <rPr>
        <sz val="11"/>
        <color indexed="9"/>
        <rFont val="Verdana"/>
        <family val="2"/>
      </rPr>
      <t xml:space="preserve"> Expenses for CCTs for PMTCT</t>
    </r>
  </si>
  <si>
    <t>2015 CCT:</t>
  </si>
  <si>
    <t>Travel to India get STR visa (applications only accepted outside of Nigeria)</t>
  </si>
  <si>
    <t>Conditional cash transfers</t>
  </si>
  <si>
    <t>Cash Transfers</t>
  </si>
  <si>
    <t>HQ Costs</t>
  </si>
  <si>
    <t>Presentation of the study in Abuja (flight, hotel, and food for Health Commissioner, State HIV Lead, and Svetha)</t>
  </si>
  <si>
    <t>Office Space</t>
  </si>
  <si>
    <t>IT Costs (mobile survey app and face biometrics licensing costs = $150+$128 per field worker per year)</t>
  </si>
  <si>
    <r>
      <t xml:space="preserve">Clinic </t>
    </r>
    <r>
      <rPr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: New beneficiaries per month</t>
    </r>
    <phoneticPr fontId="39" type="noConversion"/>
  </si>
  <si>
    <t>Clinic 2: New beneficiaries per month</t>
    <phoneticPr fontId="39" type="noConversion"/>
  </si>
  <si>
    <r>
      <t>Clinic 3:</t>
    </r>
    <r>
      <rPr>
        <sz val="12"/>
        <color indexed="8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>New beneficiaries per month</t>
    </r>
    <phoneticPr fontId="39" type="noConversion"/>
  </si>
  <si>
    <t>2014 only:</t>
    <phoneticPr fontId="39" type="noConversion"/>
  </si>
  <si>
    <t>Whole time period but not counting one-time-only costs:</t>
    <phoneticPr fontId="39" type="noConversion"/>
  </si>
  <si>
    <r>
      <t>Transportation ($9.15, 1500N, per clinic day, 4 days per clini</t>
    </r>
    <r>
      <rPr>
        <sz val="12"/>
        <rFont val="Calibri"/>
        <scheme val="minor"/>
      </rPr>
      <t>c/month for weekly enrollment clinics and 1 day per clinic/month for monthly enrollment clinics); plus transport for MIH person (2 visits monthly)</t>
    </r>
  </si>
  <si>
    <t>Initial development cost for automatic token transmission app</t>
  </si>
  <si>
    <r>
      <rPr>
        <b/>
        <sz val="11"/>
        <color indexed="9"/>
        <rFont val="Verdana"/>
        <family val="2"/>
      </rPr>
      <t>2015</t>
    </r>
    <r>
      <rPr>
        <sz val="11"/>
        <color indexed="9"/>
        <rFont val="Verdana"/>
        <family val="2"/>
      </rPr>
      <t xml:space="preserve"> Expenses including CCTs for Vaccinations</t>
    </r>
  </si>
  <si>
    <r>
      <rPr>
        <b/>
        <sz val="11"/>
        <color indexed="9"/>
        <rFont val="Verdana"/>
        <family val="2"/>
      </rPr>
      <t>2015</t>
    </r>
    <r>
      <rPr>
        <sz val="11"/>
        <color indexed="9"/>
        <rFont val="Verdana"/>
        <family val="2"/>
      </rPr>
      <t xml:space="preserve"> Expenses for CCTs for PMTCT (lower cost-efficiency because of RCT)</t>
    </r>
  </si>
  <si>
    <t>CCT Expenses PMTCT + Vaccinations</t>
  </si>
  <si>
    <t>CCT Admin Expenses PMTCT + Vaccinations</t>
  </si>
  <si>
    <t>Total Expenses</t>
  </si>
  <si>
    <t>Samsung Galaxy Neo Duo including battery pack and case</t>
  </si>
  <si>
    <t>doForms survey app</t>
  </si>
  <si>
    <t>Skotkonung biometric app</t>
  </si>
  <si>
    <t>Outreach</t>
  </si>
  <si>
    <r>
      <t>Transportation ($9.15, 1500N, per clinic visit, 7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trips</t>
    </r>
    <r>
      <rPr>
        <sz val="12"/>
        <color theme="1"/>
        <rFont val="Calibri"/>
        <family val="2"/>
        <scheme val="minor"/>
      </rPr>
      <t xml:space="preserve"> per week</t>
    </r>
    <r>
      <rPr>
        <sz val="12"/>
        <color theme="1"/>
        <rFont val="Calibri"/>
        <family val="2"/>
        <scheme val="minor"/>
      </rPr>
      <t xml:space="preserve"> for 3 clinics</t>
    </r>
    <r>
      <rPr>
        <sz val="12"/>
        <rFont val="Calibri"/>
        <scheme val="minor"/>
      </rPr>
      <t>); plus transport for MIH person (2 visits monthly)</t>
    </r>
  </si>
  <si>
    <r>
      <t xml:space="preserve">Total cost including cash transfer since beginning (burn rate). </t>
    </r>
    <r>
      <rPr>
        <i/>
        <sz val="12"/>
        <color theme="5"/>
        <rFont val="Calibri"/>
        <scheme val="minor"/>
      </rPr>
      <t>Does not include HQ costs.</t>
    </r>
  </si>
  <si>
    <t>Office Supplies</t>
  </si>
  <si>
    <t>Research Approval (meetings with committee, any fee)</t>
  </si>
  <si>
    <t>RCT Trainings at Clinics</t>
  </si>
  <si>
    <t>Printing</t>
  </si>
  <si>
    <t>Patrick's trip to Uyo in March to help set-up study</t>
  </si>
  <si>
    <t>Percentage</t>
  </si>
  <si>
    <t>Number</t>
  </si>
  <si>
    <t>Treatment Group</t>
  </si>
  <si>
    <t>Endline Survey at clinic after six weeks (with phone call)</t>
  </si>
  <si>
    <t>Endline Survey at clinic after six weeks (with bike pickup)</t>
  </si>
  <si>
    <r>
      <t xml:space="preserve">Mobile Money [name redacted] </t>
    </r>
    <r>
      <rPr>
        <sz val="12"/>
        <color theme="1"/>
        <rFont val="Calibri"/>
        <family val="2"/>
        <scheme val="minor"/>
      </rPr>
      <t>Fee (100 Naira = $0.61). 3 Transfers per woman.</t>
    </r>
  </si>
  <si>
    <r>
      <rPr>
        <sz val="12"/>
        <color theme="1"/>
        <rFont val="Calibri"/>
        <family val="2"/>
        <scheme val="minor"/>
      </rPr>
      <t xml:space="preserve">Mobile Money [name redacted] </t>
    </r>
    <r>
      <rPr>
        <sz val="12"/>
        <color theme="1"/>
        <rFont val="Calibri"/>
        <family val="2"/>
        <scheme val="minor"/>
      </rPr>
      <t xml:space="preserve"> (100 Naira = $0.61). 4</t>
    </r>
    <r>
      <rPr>
        <sz val="12"/>
        <color theme="1"/>
        <rFont val="Calibri"/>
        <family val="2"/>
        <scheme val="minor"/>
      </rPr>
      <t xml:space="preserve"> Transfers per woman.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</si>
</sst>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 ;_ * \-#,##0.00_ ;_ * &quot;-&quot;??_ ;_ @_ "/>
    <numFmt numFmtId="165" formatCode="&quot;$&quot;#,##0.00_);\(&quot;$&quot;#,##0.0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[$$-409]#,##0.00"/>
    <numFmt numFmtId="169" formatCode="_-[$$-409]* #,##0.00_ ;_-[$$-409]* \-#,##0.00\ ;_-[$$-409]* &quot;-&quot;??_ ;_-@_ "/>
    <numFmt numFmtId="170" formatCode="_([$$-409]* #,##0.00_);_([$$-409]* \(#,##0.00\);_([$$-409]* &quot;-&quot;??_);_(@_)"/>
    <numFmt numFmtId="171" formatCode="&quot;$&quot;#,##0.00"/>
  </numFmts>
  <fonts count="41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8"/>
      <color indexed="9"/>
      <name val="Verdana"/>
      <family val="2"/>
    </font>
    <font>
      <sz val="9"/>
      <name val="Verdana"/>
      <family val="2"/>
    </font>
    <font>
      <sz val="10"/>
      <name val="Verdana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sz val="10"/>
      <name val="Arial"/>
      <family val="2"/>
    </font>
    <font>
      <b/>
      <sz val="28"/>
      <color indexed="9"/>
      <name val="Verdana"/>
      <family val="2"/>
    </font>
    <font>
      <sz val="10"/>
      <name val="Verdana"/>
    </font>
    <font>
      <u/>
      <sz val="10"/>
      <color indexed="12"/>
      <name val="Arial"/>
      <family val="2"/>
    </font>
    <font>
      <u/>
      <sz val="10"/>
      <color indexed="20"/>
      <name val="Arial"/>
    </font>
    <font>
      <sz val="9"/>
      <color indexed="63"/>
      <name val="Verdana"/>
    </font>
    <font>
      <b/>
      <sz val="9"/>
      <name val="Verdana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 tint="-0.249977111117893"/>
      <name val="Calibri"/>
      <scheme val="minor"/>
    </font>
    <font>
      <b/>
      <sz val="14"/>
      <color theme="1"/>
      <name val="Calibri"/>
      <scheme val="minor"/>
    </font>
    <font>
      <sz val="12"/>
      <color theme="9" tint="-0.499984740745262"/>
      <name val="Calibri"/>
      <scheme val="minor"/>
    </font>
    <font>
      <sz val="12"/>
      <name val="Calibri"/>
      <scheme val="minor"/>
    </font>
    <font>
      <i/>
      <sz val="12"/>
      <color theme="5"/>
      <name val="Calibri"/>
      <scheme val="minor"/>
    </font>
    <font>
      <b/>
      <sz val="12"/>
      <name val="Calibri"/>
      <scheme val="minor"/>
    </font>
    <font>
      <sz val="12"/>
      <color rgb="FF000000"/>
      <name val="Calibri"/>
      <family val="2"/>
      <scheme val="minor"/>
    </font>
    <font>
      <sz val="12"/>
      <color indexed="8"/>
      <name val="Arial"/>
    </font>
    <font>
      <sz val="10"/>
      <color indexed="9"/>
      <name val="Tahoma"/>
      <family val="2"/>
    </font>
    <font>
      <sz val="8"/>
      <name val="Verdana"/>
    </font>
    <font>
      <sz val="12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rgb="FF283462"/>
        <bgColor rgb="FF283462"/>
      </patternFill>
    </fill>
    <fill>
      <patternFill patternType="solid">
        <fgColor theme="9" tint="-0.24994659260841701"/>
        <bgColor indexed="22"/>
      </patternFill>
    </fill>
    <fill>
      <patternFill patternType="solid">
        <fgColor rgb="FF2A3262"/>
        <bgColor indexed="22"/>
      </patternFill>
    </fill>
    <fill>
      <patternFill patternType="solid">
        <fgColor theme="9" tint="-0.249977111117893"/>
        <bgColor rgb="FF283462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4257A6"/>
        <bgColor rgb="FF283462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/>
      <bottom style="medium">
        <color indexed="9"/>
      </bottom>
      <diagonal/>
    </border>
    <border>
      <left style="thin">
        <color rgb="FF283462"/>
      </left>
      <right style="thin">
        <color rgb="FF283462"/>
      </right>
      <top style="thin">
        <color rgb="FF283462"/>
      </top>
      <bottom style="thin">
        <color rgb="FF283462"/>
      </bottom>
      <diagonal/>
    </border>
    <border>
      <left style="thin">
        <color rgb="FF283462"/>
      </left>
      <right/>
      <top style="thin">
        <color rgb="FF283462"/>
      </top>
      <bottom style="thin">
        <color rgb="FF283462"/>
      </bottom>
      <diagonal/>
    </border>
    <border>
      <left/>
      <right/>
      <top style="thin">
        <color rgb="FF283462"/>
      </top>
      <bottom style="thin">
        <color rgb="FF283462"/>
      </bottom>
      <diagonal/>
    </border>
    <border>
      <left/>
      <right style="thin">
        <color rgb="FF283462"/>
      </right>
      <top style="thin">
        <color rgb="FF283462"/>
      </top>
      <bottom style="thin">
        <color rgb="FF2834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2"/>
      </left>
      <right style="thin">
        <color rgb="FF283462"/>
      </right>
      <top/>
      <bottom/>
      <diagonal/>
    </border>
    <border>
      <left style="thin">
        <color rgb="FF7795CB"/>
      </left>
      <right/>
      <top style="thin">
        <color rgb="FF7795CB"/>
      </top>
      <bottom/>
      <diagonal/>
    </border>
    <border>
      <left style="thin">
        <color rgb="FF7795CB"/>
      </left>
      <right/>
      <top/>
      <bottom/>
      <diagonal/>
    </border>
    <border>
      <left style="thin">
        <color rgb="FF283462"/>
      </left>
      <right style="thin">
        <color rgb="FF283462"/>
      </right>
      <top/>
      <bottom style="thin">
        <color rgb="FF283462"/>
      </bottom>
      <diagonal/>
    </border>
    <border>
      <left/>
      <right style="thin">
        <color rgb="FF283462"/>
      </right>
      <top/>
      <bottom style="thin">
        <color rgb="FF283462"/>
      </bottom>
      <diagonal/>
    </border>
    <border>
      <left/>
      <right style="thin">
        <color indexed="62"/>
      </right>
      <top style="thin">
        <color rgb="FF283462"/>
      </top>
      <bottom style="thin">
        <color indexed="62"/>
      </bottom>
      <diagonal/>
    </border>
    <border>
      <left/>
      <right style="thin">
        <color theme="4" tint="0.39997558519241921"/>
      </right>
      <top style="thin">
        <color rgb="FF283462"/>
      </top>
      <bottom style="thin">
        <color indexed="62"/>
      </bottom>
      <diagonal/>
    </border>
    <border>
      <left style="thin">
        <color rgb="FF283462"/>
      </left>
      <right style="thin">
        <color rgb="FF283462"/>
      </right>
      <top/>
      <bottom/>
      <diagonal/>
    </border>
    <border>
      <left/>
      <right style="thin">
        <color theme="4" tint="0.39997558519241921"/>
      </right>
      <top style="thin">
        <color auto="1"/>
      </top>
      <bottom style="thin">
        <color indexed="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28346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283462"/>
      </top>
      <bottom style="thin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283462"/>
      </left>
      <right style="thin">
        <color rgb="FFFF0000"/>
      </right>
      <top style="thin">
        <color indexed="10"/>
      </top>
      <bottom style="thin">
        <color indexed="1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6"/>
      </left>
      <right style="thin">
        <color indexed="10"/>
      </right>
      <top style="thin">
        <color indexed="56"/>
      </top>
      <bottom style="thin">
        <color indexed="10"/>
      </bottom>
      <diagonal/>
    </border>
  </borders>
  <cellStyleXfs count="17">
    <xf numFmtId="0" fontId="0" fillId="0" borderId="0"/>
    <xf numFmtId="0" fontId="21" fillId="0" borderId="0"/>
    <xf numFmtId="0" fontId="21" fillId="0" borderId="0">
      <alignment vertical="center"/>
    </xf>
    <xf numFmtId="0" fontId="9" fillId="0" borderId="0"/>
    <xf numFmtId="0" fontId="23" fillId="0" borderId="0"/>
    <xf numFmtId="0" fontId="16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167" fontId="2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45">
    <xf numFmtId="0" fontId="0" fillId="0" borderId="0" xfId="0"/>
    <xf numFmtId="0" fontId="12" fillId="0" borderId="0" xfId="0" applyFont="1"/>
    <xf numFmtId="0" fontId="12" fillId="0" borderId="0" xfId="0" applyFont="1" applyBorder="1"/>
    <xf numFmtId="0" fontId="15" fillId="0" borderId="1" xfId="0" applyNumberFormat="1" applyFont="1" applyFill="1" applyBorder="1" applyAlignment="1" applyProtection="1"/>
    <xf numFmtId="0" fontId="16" fillId="0" borderId="0" xfId="0" applyFont="1"/>
    <xf numFmtId="0" fontId="16" fillId="0" borderId="0" xfId="0" applyFont="1" applyAlignment="1">
      <alignment horizontal="right"/>
    </xf>
    <xf numFmtId="0" fontId="13" fillId="0" borderId="0" xfId="0" applyFont="1" applyBorder="1"/>
    <xf numFmtId="0" fontId="15" fillId="2" borderId="2" xfId="0" applyNumberFormat="1" applyFont="1" applyFill="1" applyBorder="1" applyAlignment="1" applyProtection="1"/>
    <xf numFmtId="166" fontId="19" fillId="2" borderId="3" xfId="0" applyNumberFormat="1" applyFont="1" applyFill="1" applyBorder="1" applyAlignment="1" applyProtection="1">
      <alignment horizontal="right"/>
    </xf>
    <xf numFmtId="166" fontId="19" fillId="2" borderId="4" xfId="0" applyNumberFormat="1" applyFont="1" applyFill="1" applyBorder="1" applyAlignment="1" applyProtection="1">
      <alignment horizontal="right"/>
    </xf>
    <xf numFmtId="0" fontId="12" fillId="2" borderId="0" xfId="0" applyFont="1" applyFill="1"/>
    <xf numFmtId="0" fontId="12" fillId="0" borderId="0" xfId="0" applyFont="1" applyFill="1"/>
    <xf numFmtId="0" fontId="20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2" borderId="4" xfId="0" applyNumberFormat="1" applyFont="1" applyFill="1" applyBorder="1" applyAlignment="1">
      <alignment horizontal="right"/>
    </xf>
    <xf numFmtId="0" fontId="12" fillId="4" borderId="0" xfId="0" applyFont="1" applyFill="1"/>
    <xf numFmtId="0" fontId="12" fillId="5" borderId="0" xfId="0" applyFont="1" applyFill="1"/>
    <xf numFmtId="0" fontId="12" fillId="5" borderId="7" xfId="0" applyFont="1" applyFill="1" applyBorder="1"/>
    <xf numFmtId="0" fontId="18" fillId="6" borderId="9" xfId="0" applyNumberFormat="1" applyFont="1" applyFill="1" applyBorder="1" applyAlignment="1" applyProtection="1">
      <alignment vertical="center"/>
    </xf>
    <xf numFmtId="0" fontId="17" fillId="5" borderId="9" xfId="0" applyNumberFormat="1" applyFont="1" applyFill="1" applyBorder="1" applyAlignment="1" applyProtection="1">
      <alignment vertical="center"/>
    </xf>
    <xf numFmtId="165" fontId="15" fillId="0" borderId="8" xfId="0" applyNumberFormat="1" applyFont="1" applyFill="1" applyBorder="1" applyAlignment="1" applyProtection="1">
      <alignment horizontal="right"/>
    </xf>
    <xf numFmtId="0" fontId="18" fillId="7" borderId="13" xfId="0" applyNumberFormat="1" applyFont="1" applyFill="1" applyBorder="1" applyAlignment="1" applyProtection="1">
      <alignment vertical="center"/>
    </xf>
    <xf numFmtId="166" fontId="19" fillId="3" borderId="12" xfId="0" applyNumberFormat="1" applyFont="1" applyFill="1" applyBorder="1" applyAlignment="1" applyProtection="1">
      <alignment horizontal="right" vertical="center"/>
    </xf>
    <xf numFmtId="0" fontId="12" fillId="8" borderId="0" xfId="0" applyFont="1" applyFill="1"/>
    <xf numFmtId="0" fontId="15" fillId="9" borderId="0" xfId="0" applyNumberFormat="1" applyFont="1" applyFill="1" applyBorder="1" applyAlignment="1" applyProtection="1"/>
    <xf numFmtId="166" fontId="19" fillId="9" borderId="0" xfId="0" applyNumberFormat="1" applyFont="1" applyFill="1" applyBorder="1" applyAlignment="1" applyProtection="1">
      <alignment horizontal="right"/>
    </xf>
    <xf numFmtId="0" fontId="15" fillId="0" borderId="14" xfId="0" applyNumberFormat="1" applyFont="1" applyFill="1" applyBorder="1" applyAlignment="1" applyProtection="1"/>
    <xf numFmtId="0" fontId="15" fillId="0" borderId="15" xfId="0" applyFont="1" applyBorder="1"/>
    <xf numFmtId="165" fontId="15" fillId="0" borderId="8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0" fontId="15" fillId="0" borderId="16" xfId="0" applyFont="1" applyBorder="1"/>
    <xf numFmtId="165" fontId="15" fillId="0" borderId="17" xfId="0" applyNumberFormat="1" applyFont="1" applyBorder="1" applyAlignment="1">
      <alignment horizontal="right"/>
    </xf>
    <xf numFmtId="165" fontId="15" fillId="0" borderId="18" xfId="0" applyNumberFormat="1" applyFont="1" applyBorder="1" applyAlignment="1">
      <alignment horizontal="right"/>
    </xf>
    <xf numFmtId="166" fontId="19" fillId="2" borderId="19" xfId="0" applyNumberFormat="1" applyFont="1" applyFill="1" applyBorder="1" applyAlignment="1">
      <alignment horizontal="right"/>
    </xf>
    <xf numFmtId="166" fontId="19" fillId="2" borderId="20" xfId="0" applyNumberFormat="1" applyFont="1" applyFill="1" applyBorder="1" applyAlignment="1" applyProtection="1">
      <alignment horizontal="right"/>
    </xf>
    <xf numFmtId="165" fontId="15" fillId="0" borderId="21" xfId="0" applyNumberFormat="1" applyFont="1" applyBorder="1" applyAlignment="1">
      <alignment horizontal="right"/>
    </xf>
    <xf numFmtId="166" fontId="19" fillId="2" borderId="22" xfId="0" applyNumberFormat="1" applyFont="1" applyFill="1" applyBorder="1" applyAlignment="1" applyProtection="1">
      <alignment horizontal="right"/>
    </xf>
    <xf numFmtId="166" fontId="19" fillId="2" borderId="23" xfId="0" applyNumberFormat="1" applyFont="1" applyFill="1" applyBorder="1" applyAlignment="1">
      <alignment horizontal="right"/>
    </xf>
    <xf numFmtId="166" fontId="19" fillId="2" borderId="24" xfId="0" applyNumberFormat="1" applyFont="1" applyFill="1" applyBorder="1" applyAlignment="1" applyProtection="1">
      <alignment horizontal="right"/>
    </xf>
    <xf numFmtId="0" fontId="30" fillId="0" borderId="0" xfId="9" applyFont="1"/>
    <xf numFmtId="0" fontId="31" fillId="0" borderId="0" xfId="9" applyFont="1"/>
    <xf numFmtId="0" fontId="8" fillId="0" borderId="0" xfId="9"/>
    <xf numFmtId="49" fontId="8" fillId="0" borderId="0" xfId="9" applyNumberFormat="1" applyAlignment="1">
      <alignment wrapText="1"/>
    </xf>
    <xf numFmtId="49" fontId="8" fillId="0" borderId="0" xfId="9" applyNumberFormat="1"/>
    <xf numFmtId="0" fontId="8" fillId="0" borderId="0" xfId="9" applyAlignment="1">
      <alignment horizontal="center"/>
    </xf>
    <xf numFmtId="168" fontId="8" fillId="0" borderId="0" xfId="9" applyNumberFormat="1" applyAlignment="1"/>
    <xf numFmtId="168" fontId="8" fillId="0" borderId="0" xfId="9" applyNumberFormat="1"/>
    <xf numFmtId="168" fontId="28" fillId="10" borderId="0" xfId="8" applyNumberFormat="1"/>
    <xf numFmtId="0" fontId="8" fillId="0" borderId="0" xfId="9" applyNumberFormat="1"/>
    <xf numFmtId="10" fontId="28" fillId="10" borderId="0" xfId="8" applyNumberFormat="1"/>
    <xf numFmtId="169" fontId="8" fillId="0" borderId="0" xfId="9" applyNumberFormat="1"/>
    <xf numFmtId="0" fontId="33" fillId="0" borderId="0" xfId="9" applyFont="1"/>
    <xf numFmtId="0" fontId="8" fillId="0" borderId="0" xfId="9" applyFont="1"/>
    <xf numFmtId="169" fontId="36" fillId="0" borderId="0" xfId="9" applyNumberFormat="1" applyFont="1"/>
    <xf numFmtId="49" fontId="8" fillId="0" borderId="0" xfId="9" applyNumberFormat="1" applyAlignment="1">
      <alignment horizontal="right"/>
    </xf>
    <xf numFmtId="0" fontId="33" fillId="0" borderId="25" xfId="9" applyFont="1" applyBorder="1"/>
    <xf numFmtId="0" fontId="8" fillId="0" borderId="25" xfId="9" applyFont="1" applyBorder="1"/>
    <xf numFmtId="0" fontId="8" fillId="0" borderId="25" xfId="9" applyBorder="1"/>
    <xf numFmtId="49" fontId="8" fillId="0" borderId="25" xfId="9" applyNumberFormat="1" applyBorder="1" applyAlignment="1">
      <alignment horizontal="right"/>
    </xf>
    <xf numFmtId="168" fontId="8" fillId="0" borderId="25" xfId="9" applyNumberFormat="1" applyBorder="1" applyAlignment="1"/>
    <xf numFmtId="168" fontId="8" fillId="0" borderId="25" xfId="9" applyNumberFormat="1" applyBorder="1"/>
    <xf numFmtId="10" fontId="28" fillId="10" borderId="25" xfId="8" applyNumberFormat="1" applyBorder="1"/>
    <xf numFmtId="169" fontId="8" fillId="0" borderId="25" xfId="9" applyNumberFormat="1" applyBorder="1"/>
    <xf numFmtId="169" fontId="36" fillId="0" borderId="25" xfId="9" applyNumberFormat="1" applyFont="1" applyBorder="1"/>
    <xf numFmtId="49" fontId="8" fillId="0" borderId="26" xfId="9" applyNumberFormat="1" applyBorder="1"/>
    <xf numFmtId="0" fontId="8" fillId="0" borderId="26" xfId="9" applyBorder="1" applyAlignment="1">
      <alignment horizontal="left"/>
    </xf>
    <xf numFmtId="0" fontId="32" fillId="0" borderId="0" xfId="9" applyFont="1" applyBorder="1"/>
    <xf numFmtId="0" fontId="8" fillId="0" borderId="26" xfId="9" applyBorder="1"/>
    <xf numFmtId="0" fontId="8" fillId="0" borderId="26" xfId="9" applyBorder="1" applyAlignment="1">
      <alignment horizontal="center"/>
    </xf>
    <xf numFmtId="49" fontId="8" fillId="0" borderId="0" xfId="9" applyNumberFormat="1" applyBorder="1"/>
    <xf numFmtId="0" fontId="8" fillId="0" borderId="0" xfId="9" applyBorder="1" applyAlignment="1">
      <alignment horizontal="left"/>
    </xf>
    <xf numFmtId="0" fontId="8" fillId="0" borderId="0" xfId="9" applyBorder="1"/>
    <xf numFmtId="0" fontId="8" fillId="0" borderId="0" xfId="9" applyBorder="1" applyAlignment="1">
      <alignment horizontal="center"/>
    </xf>
    <xf numFmtId="0" fontId="8" fillId="0" borderId="0" xfId="9" applyFill="1" applyBorder="1"/>
    <xf numFmtId="0" fontId="33" fillId="0" borderId="0" xfId="9" applyFont="1" applyBorder="1"/>
    <xf numFmtId="170" fontId="8" fillId="0" borderId="0" xfId="9" applyNumberFormat="1"/>
    <xf numFmtId="49" fontId="8" fillId="0" borderId="0" xfId="9" applyNumberFormat="1" applyAlignment="1">
      <alignment horizontal="left"/>
    </xf>
    <xf numFmtId="0" fontId="29" fillId="0" borderId="0" xfId="9" applyFont="1"/>
    <xf numFmtId="168" fontId="29" fillId="0" borderId="0" xfId="9" applyNumberFormat="1" applyFont="1"/>
    <xf numFmtId="9" fontId="29" fillId="0" borderId="0" xfId="11" applyFont="1"/>
    <xf numFmtId="167" fontId="15" fillId="0" borderId="8" xfId="0" applyNumberFormat="1" applyFont="1" applyFill="1" applyBorder="1" applyAlignment="1" applyProtection="1">
      <alignment horizontal="right"/>
    </xf>
    <xf numFmtId="49" fontId="6" fillId="0" borderId="0" xfId="9" applyNumberFormat="1" applyFont="1" applyAlignment="1">
      <alignment horizontal="right"/>
    </xf>
    <xf numFmtId="0" fontId="5" fillId="0" borderId="0" xfId="14"/>
    <xf numFmtId="0" fontId="29" fillId="0" borderId="0" xfId="14" applyFont="1"/>
    <xf numFmtId="0" fontId="29" fillId="0" borderId="0" xfId="14" applyFont="1" applyAlignment="1">
      <alignment wrapText="1"/>
    </xf>
    <xf numFmtId="0" fontId="5" fillId="0" borderId="0" xfId="14" applyFont="1" applyAlignment="1">
      <alignment wrapText="1"/>
    </xf>
    <xf numFmtId="0" fontId="29" fillId="0" borderId="0" xfId="14" applyFont="1" applyAlignment="1">
      <alignment horizontal="center"/>
    </xf>
    <xf numFmtId="0" fontId="29" fillId="0" borderId="27" xfId="14" applyFont="1" applyBorder="1"/>
    <xf numFmtId="0" fontId="29" fillId="0" borderId="27" xfId="14" applyFont="1" applyFill="1" applyBorder="1"/>
    <xf numFmtId="164" fontId="29" fillId="0" borderId="0" xfId="14" applyNumberFormat="1" applyFont="1"/>
    <xf numFmtId="0" fontId="5" fillId="0" borderId="0" xfId="14" applyFont="1"/>
    <xf numFmtId="168" fontId="5" fillId="0" borderId="0" xfId="14" applyNumberFormat="1" applyFont="1"/>
    <xf numFmtId="0" fontId="5" fillId="0" borderId="27" xfId="14" applyFont="1" applyBorder="1"/>
    <xf numFmtId="0" fontId="5" fillId="0" borderId="27" xfId="14" applyFont="1" applyBorder="1" applyAlignment="1">
      <alignment horizontal="center"/>
    </xf>
    <xf numFmtId="164" fontId="33" fillId="0" borderId="27" xfId="15" applyFont="1" applyBorder="1" applyAlignment="1">
      <alignment horizontal="center"/>
    </xf>
    <xf numFmtId="0" fontId="17" fillId="11" borderId="9" xfId="0" applyNumberFormat="1" applyFont="1" applyFill="1" applyBorder="1" applyAlignment="1" applyProtection="1">
      <alignment vertical="center"/>
    </xf>
    <xf numFmtId="0" fontId="27" fillId="2" borderId="2" xfId="0" applyNumberFormat="1" applyFont="1" applyFill="1" applyBorder="1" applyAlignment="1" applyProtection="1"/>
    <xf numFmtId="166" fontId="12" fillId="0" borderId="0" xfId="0" applyNumberFormat="1" applyFont="1"/>
    <xf numFmtId="0" fontId="35" fillId="2" borderId="2" xfId="0" applyNumberFormat="1" applyFont="1" applyFill="1" applyBorder="1" applyAlignment="1" applyProtection="1"/>
    <xf numFmtId="0" fontId="35" fillId="2" borderId="28" xfId="0" applyNumberFormat="1" applyFont="1" applyFill="1" applyBorder="1" applyAlignment="1" applyProtection="1"/>
    <xf numFmtId="167" fontId="35" fillId="2" borderId="29" xfId="13" applyFont="1" applyFill="1" applyBorder="1" applyAlignment="1" applyProtection="1"/>
    <xf numFmtId="0" fontId="8" fillId="0" borderId="25" xfId="9" applyBorder="1" applyAlignment="1">
      <alignment wrapText="1"/>
    </xf>
    <xf numFmtId="49" fontId="5" fillId="0" borderId="25" xfId="9" applyNumberFormat="1" applyFont="1" applyBorder="1" applyAlignment="1">
      <alignment wrapText="1"/>
    </xf>
    <xf numFmtId="49" fontId="6" fillId="0" borderId="25" xfId="9" applyNumberFormat="1" applyFont="1" applyBorder="1" applyAlignment="1">
      <alignment wrapText="1"/>
    </xf>
    <xf numFmtId="49" fontId="8" fillId="0" borderId="25" xfId="9" applyNumberFormat="1" applyBorder="1" applyAlignment="1">
      <alignment wrapText="1"/>
    </xf>
    <xf numFmtId="49" fontId="33" fillId="0" borderId="25" xfId="9" applyNumberFormat="1" applyFont="1" applyBorder="1" applyAlignment="1">
      <alignment wrapText="1"/>
    </xf>
    <xf numFmtId="49" fontId="7" fillId="0" borderId="25" xfId="9" applyNumberFormat="1" applyFont="1" applyBorder="1" applyAlignment="1">
      <alignment wrapText="1"/>
    </xf>
    <xf numFmtId="0" fontId="8" fillId="0" borderId="0" xfId="9" applyBorder="1" applyAlignment="1">
      <alignment horizontal="right"/>
    </xf>
    <xf numFmtId="49" fontId="28" fillId="10" borderId="25" xfId="8" applyNumberFormat="1" applyBorder="1" applyAlignment="1">
      <alignment wrapText="1"/>
    </xf>
    <xf numFmtId="0" fontId="5" fillId="0" borderId="0" xfId="9" applyFont="1"/>
    <xf numFmtId="170" fontId="29" fillId="0" borderId="0" xfId="9" applyNumberFormat="1" applyFont="1"/>
    <xf numFmtId="166" fontId="26" fillId="2" borderId="30" xfId="0" applyNumberFormat="1" applyFont="1" applyFill="1" applyBorder="1" applyAlignment="1">
      <alignment horizontal="right"/>
    </xf>
    <xf numFmtId="49" fontId="5" fillId="0" borderId="0" xfId="9" applyNumberFormat="1" applyFont="1"/>
    <xf numFmtId="168" fontId="33" fillId="0" borderId="0" xfId="9" applyNumberFormat="1" applyFont="1"/>
    <xf numFmtId="168" fontId="33" fillId="0" borderId="25" xfId="9" applyNumberFormat="1" applyFont="1" applyBorder="1"/>
    <xf numFmtId="165" fontId="15" fillId="0" borderId="11" xfId="0" applyNumberFormat="1" applyFont="1" applyFill="1" applyBorder="1" applyAlignment="1" applyProtection="1">
      <alignment horizontal="right"/>
    </xf>
    <xf numFmtId="0" fontId="18" fillId="6" borderId="10" xfId="0" applyNumberFormat="1" applyFont="1" applyFill="1" applyBorder="1" applyAlignment="1" applyProtection="1">
      <alignment horizontal="right" vertical="center"/>
    </xf>
    <xf numFmtId="0" fontId="18" fillId="6" borderId="11" xfId="0" applyNumberFormat="1" applyFont="1" applyFill="1" applyBorder="1" applyAlignment="1" applyProtection="1">
      <alignment horizontal="right" vertical="center"/>
    </xf>
    <xf numFmtId="0" fontId="18" fillId="5" borderId="10" xfId="0" applyNumberFormat="1" applyFont="1" applyFill="1" applyBorder="1" applyAlignment="1" applyProtection="1">
      <alignment horizontal="right" vertical="center"/>
    </xf>
    <xf numFmtId="0" fontId="18" fillId="5" borderId="11" xfId="0" applyNumberFormat="1" applyFont="1" applyFill="1" applyBorder="1" applyAlignment="1" applyProtection="1">
      <alignment horizontal="right" vertical="center"/>
    </xf>
    <xf numFmtId="0" fontId="18" fillId="11" borderId="10" xfId="0" applyNumberFormat="1" applyFont="1" applyFill="1" applyBorder="1" applyAlignment="1" applyProtection="1">
      <alignment horizontal="right" vertical="center"/>
    </xf>
    <xf numFmtId="0" fontId="18" fillId="11" borderId="11" xfId="0" applyNumberFormat="1" applyFont="1" applyFill="1" applyBorder="1" applyAlignment="1" applyProtection="1">
      <alignment horizontal="right" vertical="center"/>
    </xf>
    <xf numFmtId="0" fontId="15" fillId="2" borderId="31" xfId="0" applyNumberFormat="1" applyFont="1" applyFill="1" applyBorder="1" applyAlignment="1" applyProtection="1"/>
    <xf numFmtId="0" fontId="38" fillId="0" borderId="0" xfId="0" applyFont="1"/>
    <xf numFmtId="167" fontId="38" fillId="0" borderId="0" xfId="0" applyNumberFormat="1" applyFont="1"/>
    <xf numFmtId="165" fontId="38" fillId="0" borderId="0" xfId="0" applyNumberFormat="1" applyFont="1"/>
    <xf numFmtId="166" fontId="38" fillId="0" borderId="0" xfId="0" applyNumberFormat="1" applyFont="1"/>
    <xf numFmtId="49" fontId="4" fillId="0" borderId="25" xfId="9" applyNumberFormat="1" applyFont="1" applyFill="1" applyBorder="1" applyAlignment="1">
      <alignment wrapText="1"/>
    </xf>
    <xf numFmtId="49" fontId="3" fillId="0" borderId="25" xfId="9" applyNumberFormat="1" applyFont="1" applyBorder="1" applyAlignment="1">
      <alignment wrapText="1"/>
    </xf>
    <xf numFmtId="166" fontId="0" fillId="0" borderId="0" xfId="0" applyNumberFormat="1"/>
    <xf numFmtId="171" fontId="0" fillId="0" borderId="0" xfId="0" applyNumberFormat="1"/>
    <xf numFmtId="166" fontId="0" fillId="0" borderId="0" xfId="0" applyNumberFormat="1"/>
    <xf numFmtId="166" fontId="0" fillId="0" borderId="0" xfId="0" applyNumberFormat="1"/>
    <xf numFmtId="9" fontId="0" fillId="0" borderId="0" xfId="16" applyFont="1"/>
    <xf numFmtId="166" fontId="26" fillId="2" borderId="32" xfId="0" applyNumberFormat="1" applyFont="1" applyFill="1" applyBorder="1" applyAlignment="1">
      <alignment horizontal="right"/>
    </xf>
    <xf numFmtId="166" fontId="15" fillId="12" borderId="5" xfId="0" applyNumberFormat="1" applyFont="1" applyFill="1" applyBorder="1" applyAlignment="1" applyProtection="1">
      <alignment horizontal="right"/>
    </xf>
    <xf numFmtId="166" fontId="15" fillId="12" borderId="6" xfId="0" applyNumberFormat="1" applyFont="1" applyFill="1" applyBorder="1" applyAlignment="1">
      <alignment horizontal="right"/>
    </xf>
    <xf numFmtId="166" fontId="15" fillId="12" borderId="6" xfId="0" applyNumberFormat="1" applyFont="1" applyFill="1" applyBorder="1" applyAlignment="1" applyProtection="1">
      <alignment horizontal="right"/>
    </xf>
    <xf numFmtId="167" fontId="0" fillId="0" borderId="0" xfId="0" applyNumberFormat="1"/>
    <xf numFmtId="49" fontId="8" fillId="0" borderId="25" xfId="9" applyNumberFormat="1" applyFont="1" applyBorder="1" applyAlignment="1">
      <alignment wrapText="1"/>
    </xf>
    <xf numFmtId="49" fontId="2" fillId="0" borderId="25" xfId="9" applyNumberFormat="1" applyFont="1" applyBorder="1" applyAlignment="1">
      <alignment wrapText="1"/>
    </xf>
    <xf numFmtId="0" fontId="22" fillId="5" borderId="7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</cellXfs>
  <cellStyles count="17">
    <cellStyle name="Comma 2" xfId="15"/>
    <cellStyle name="Currency" xfId="13" builtinId="4"/>
    <cellStyle name="Currency 2" xfId="10"/>
    <cellStyle name="Followed Hyperlink" xfId="7" builtinId="9" hidden="1"/>
    <cellStyle name="Hyperlink" xfId="6" builtinId="8" hidden="1"/>
    <cellStyle name="Neutral" xfId="8" builtinId="28"/>
    <cellStyle name="Normal" xfId="0" builtinId="0"/>
    <cellStyle name="Normal 2" xfId="1"/>
    <cellStyle name="Normal 3" xfId="2"/>
    <cellStyle name="Normal 3 3" xfId="12"/>
    <cellStyle name="Normal 4" xfId="3"/>
    <cellStyle name="Normal 5" xfId="4"/>
    <cellStyle name="Normal 6" xfId="5"/>
    <cellStyle name="Normal 7" xfId="9"/>
    <cellStyle name="Normal 8" xfId="14"/>
    <cellStyle name="Percent" xfId="16" builtinId="5"/>
    <cellStyle name="Percent 2" xfId="1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5773DD"/>
      <color rgb="FF283462"/>
      <color rgb="FF2A3262"/>
      <color rgb="FF3144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918580375782882"/>
          <c:y val="0.0374606311321328"/>
          <c:w val="0.813761609652655"/>
          <c:h val="0.539191101059366"/>
        </c:manualLayout>
      </c:layout>
      <c:pie3D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209588655280303"/>
          <c:y val="0.579719612031199"/>
          <c:w val="0.0"/>
          <c:h val="0.014892184104919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75"/>
          <c:y val="1.23157707078077E-5"/>
          <c:w val="0.858333333333334"/>
          <c:h val="0.546571178283798"/>
        </c:manualLayout>
      </c:layout>
      <c:pie3DChart>
        <c:varyColors val="1"/>
        <c:ser>
          <c:idx val="1"/>
          <c:order val="0"/>
          <c:tx>
            <c:strRef>
              <c:f>'2014-2015 Total Budget'!$C$66</c:f>
              <c:strCache>
                <c:ptCount val="1"/>
                <c:pt idx="0">
                  <c:v>$119,499.02 </c:v>
                </c:pt>
              </c:strCache>
            </c:strRef>
          </c:tx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"/>
              <c:layout>
                <c:manualLayout>
                  <c:x val="0.122479002624672"/>
                  <c:y val="0.02278119282087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.0198573928258967"/>
                  <c:y val="0.01517615262509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('2014-2015 Total Budget'!$B$6,'2014-2015 Total Budget'!$B$65,'2014-2015 Total Budget'!$B$64)</c:f>
              <c:strCache>
                <c:ptCount val="3"/>
                <c:pt idx="0">
                  <c:v>Cash Transfers</c:v>
                </c:pt>
                <c:pt idx="1">
                  <c:v>CCT Admin Costs</c:v>
                </c:pt>
                <c:pt idx="2">
                  <c:v>HQ Costs</c:v>
                </c:pt>
              </c:strCache>
            </c:strRef>
          </c:cat>
          <c:val>
            <c:numRef>
              <c:f>('2014-2015 Total Budget'!$C$6,'2014-2015 Total Budget'!$C$65,'2014-2015 Total Budget'!$C$64)</c:f>
              <c:numCache>
                <c:formatCode>"$"#,##0.00_);[Red]\("$"#,##0.00\)</c:formatCode>
                <c:ptCount val="3"/>
                <c:pt idx="0" formatCode="&quot;$&quot;#,##0.00_);\(&quot;$&quot;#,##0.00\)">
                  <c:v>76818.0</c:v>
                </c:pt>
                <c:pt idx="1">
                  <c:v>5651.377333333337</c:v>
                </c:pt>
                <c:pt idx="2">
                  <c:v>37029.64</c:v>
                </c:pt>
              </c:numCache>
            </c:numRef>
          </c:val>
        </c:ser>
        <c:ser>
          <c:idx val="0"/>
          <c:order val="1"/>
          <c:cat>
            <c:strRef>
              <c:f>('2014-2015 Total Budget'!$B$6,'2014-2015 Total Budget'!$B$65,'2014-2015 Total Budget'!$B$64)</c:f>
              <c:strCache>
                <c:ptCount val="3"/>
                <c:pt idx="0">
                  <c:v>Cash Transfers</c:v>
                </c:pt>
                <c:pt idx="1">
                  <c:v>CCT Admin Costs</c:v>
                </c:pt>
                <c:pt idx="2">
                  <c:v>HQ Costs</c:v>
                </c:pt>
              </c:strCache>
            </c:strRef>
          </c:cat>
          <c:val>
            <c:numRef>
              <c:f>'Next Year Opp Expenses'!#REF!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b"/>
      <c:layout>
        <c:manualLayout>
          <c:xMode val="edge"/>
          <c:yMode val="edge"/>
          <c:x val="0.104638032064186"/>
          <c:y val="0.500669580116666"/>
          <c:w val="0.785168197725283"/>
          <c:h val="0.334663331243428"/>
        </c:manualLayout>
      </c:layout>
      <c:overlay val="0"/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75"/>
          <c:y val="1.23157707078077E-5"/>
          <c:w val="0.925"/>
          <c:h val="0.623833933010029"/>
        </c:manualLayout>
      </c:layout>
      <c:pie3DChart>
        <c:varyColors val="1"/>
        <c:ser>
          <c:idx val="1"/>
          <c:order val="0"/>
          <c:tx>
            <c:strRef>
              <c:f>'2014-2015 Total Budget'!$D$66</c:f>
              <c:strCache>
                <c:ptCount val="1"/>
                <c:pt idx="0">
                  <c:v>$314,540.70 </c:v>
                </c:pt>
              </c:strCache>
            </c:strRef>
          </c:tx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2"/>
              <c:layout>
                <c:manualLayout>
                  <c:x val="0.0835898950131234"/>
                  <c:y val="0.045990362623740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.0198573928258967"/>
                  <c:y val="0.01517615262509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('2014-2015 Total Budget'!$B$6,'2014-2015 Total Budget'!$B$65,'2014-2015 Total Budget'!$B$64)</c:f>
              <c:strCache>
                <c:ptCount val="3"/>
                <c:pt idx="0">
                  <c:v>Cash Transfers</c:v>
                </c:pt>
                <c:pt idx="1">
                  <c:v>CCT Admin Costs</c:v>
                </c:pt>
                <c:pt idx="2">
                  <c:v>HQ Costs</c:v>
                </c:pt>
              </c:strCache>
            </c:strRef>
          </c:cat>
          <c:val>
            <c:numRef>
              <c:f>('2014-2015 Total Budget'!$D$6,'2014-2015 Total Budget'!$D$65,'2014-2015 Total Budget'!$D$64)</c:f>
              <c:numCache>
                <c:formatCode>"$"#,##0.00_);[Red]\("$"#,##0.00\)</c:formatCode>
                <c:ptCount val="3"/>
                <c:pt idx="0" formatCode="_(&quot;$&quot;* #,##0.00_);_(&quot;$&quot;* \(#,##0.00\);_(&quot;$&quot;* &quot;-&quot;??_);_(@_)">
                  <c:v>254448.0</c:v>
                </c:pt>
                <c:pt idx="1">
                  <c:v>18162.06400000001</c:v>
                </c:pt>
                <c:pt idx="2">
                  <c:v>41930.64</c:v>
                </c:pt>
              </c:numCache>
            </c:numRef>
          </c:val>
        </c:ser>
        <c:ser>
          <c:idx val="0"/>
          <c:order val="1"/>
          <c:cat>
            <c:strRef>
              <c:f>('2014-2015 Total Budget'!$B$6,'2014-2015 Total Budget'!$B$65,'2014-2015 Total Budget'!$B$64)</c:f>
              <c:strCache>
                <c:ptCount val="3"/>
                <c:pt idx="0">
                  <c:v>Cash Transfers</c:v>
                </c:pt>
                <c:pt idx="1">
                  <c:v>CCT Admin Costs</c:v>
                </c:pt>
                <c:pt idx="2">
                  <c:v>HQ Costs</c:v>
                </c:pt>
              </c:strCache>
            </c:strRef>
          </c:cat>
          <c:val>
            <c:numRef>
              <c:f>'Next Year Opp Expenses'!#REF!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b"/>
      <c:layout>
        <c:manualLayout>
          <c:xMode val="edge"/>
          <c:yMode val="edge"/>
          <c:x val="0.10463801399825"/>
          <c:y val="0.549569299496844"/>
          <c:w val="0.785168197725283"/>
          <c:h val="0.334663331243428"/>
        </c:manualLayout>
      </c:layout>
      <c:overlay val="0"/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749998742170008"/>
          <c:y val="0.169094297995359"/>
          <c:w val="0.925"/>
          <c:h val="0.623833933010029"/>
        </c:manualLayout>
      </c:layout>
      <c:pie3DChart>
        <c:varyColors val="1"/>
        <c:ser>
          <c:idx val="1"/>
          <c:order val="0"/>
          <c:tx>
            <c:strRef>
              <c:f>'2014-2015 Total Budget'!$D$85</c:f>
              <c:strCache>
                <c:ptCount val="1"/>
                <c:pt idx="0">
                  <c:v>$843,632.98 </c:v>
                </c:pt>
              </c:strCache>
            </c:strRef>
          </c:tx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0.00554438882040703"/>
                  <c:y val="0.0007467001407432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0292767477547735"/>
                  <c:y val="-0.0119806763285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.0198573928258967"/>
                  <c:y val="0.01517615262509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('2014-2015 Total Budget'!$B$6,'2014-2015 Total Budget'!$B$65,'2014-2015 Total Budget'!$B$64)</c:f>
              <c:strCache>
                <c:ptCount val="3"/>
                <c:pt idx="0">
                  <c:v>Cash Transfers</c:v>
                </c:pt>
                <c:pt idx="1">
                  <c:v>CCT Admin Costs</c:v>
                </c:pt>
                <c:pt idx="2">
                  <c:v>HQ Costs</c:v>
                </c:pt>
              </c:strCache>
            </c:strRef>
          </c:cat>
          <c:val>
            <c:numRef>
              <c:f>('2014-2015 Total Budget'!$D$83,'2014-2015 Total Budget'!$D$84,'2014-2015 Total Budget'!$D$64)</c:f>
              <c:numCache>
                <c:formatCode>"$"#,##0.00_);\("$"#,##0.00\)</c:formatCode>
                <c:ptCount val="3"/>
                <c:pt idx="0" formatCode="_(&quot;$&quot;* #,##0.00_);_(&quot;$&quot;* \(#,##0.00\);_(&quot;$&quot;* &quot;-&quot;??_);_(@_)">
                  <c:v>749448.0</c:v>
                </c:pt>
                <c:pt idx="1">
                  <c:v>52254.34400000004</c:v>
                </c:pt>
                <c:pt idx="2" formatCode="&quot;$&quot;#,##0.00_);[Red]\(&quot;$&quot;#,##0.00\)">
                  <c:v>41930.64</c:v>
                </c:pt>
              </c:numCache>
            </c:numRef>
          </c:val>
        </c:ser>
        <c:ser>
          <c:idx val="0"/>
          <c:order val="1"/>
          <c:cat>
            <c:strRef>
              <c:f>('2014-2015 Total Budget'!$B$6,'2014-2015 Total Budget'!$B$65,'2014-2015 Total Budget'!$B$64)</c:f>
              <c:strCache>
                <c:ptCount val="3"/>
                <c:pt idx="0">
                  <c:v>Cash Transfers</c:v>
                </c:pt>
                <c:pt idx="1">
                  <c:v>CCT Admin Costs</c:v>
                </c:pt>
                <c:pt idx="2">
                  <c:v>HQ Costs</c:v>
                </c:pt>
              </c:strCache>
            </c:strRef>
          </c:cat>
          <c:val>
            <c:numRef>
              <c:f>'Next Year Opp Expenses'!#REF!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b"/>
      <c:layout>
        <c:manualLayout>
          <c:xMode val="edge"/>
          <c:yMode val="edge"/>
          <c:x val="0.104638122311388"/>
          <c:y val="0.660680512761992"/>
          <c:w val="0.785168197725283"/>
          <c:h val="0.334663331243428"/>
        </c:manualLayout>
      </c:layout>
      <c:overlay val="0"/>
      <c:txPr>
        <a:bodyPr/>
        <a:lstStyle/>
        <a:p>
          <a:pPr rtl="0">
            <a:defRPr sz="1200"/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952500</xdr:colOff>
      <xdr:row>70</xdr:row>
      <xdr:rowOff>76200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92000" y="979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952500</xdr:colOff>
      <xdr:row>71</xdr:row>
      <xdr:rowOff>76200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192000" y="9953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6</xdr:col>
      <xdr:colOff>209550</xdr:colOff>
      <xdr:row>5</xdr:row>
      <xdr:rowOff>152400</xdr:rowOff>
    </xdr:from>
    <xdr:to>
      <xdr:col>6</xdr:col>
      <xdr:colOff>4772025</xdr:colOff>
      <xdr:row>33</xdr:row>
      <xdr:rowOff>83344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51594</xdr:colOff>
      <xdr:row>7</xdr:row>
      <xdr:rowOff>19050</xdr:rowOff>
    </xdr:from>
    <xdr:to>
      <xdr:col>6</xdr:col>
      <xdr:colOff>5397499</xdr:colOff>
      <xdr:row>26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29</xdr:row>
      <xdr:rowOff>12700</xdr:rowOff>
    </xdr:from>
    <xdr:to>
      <xdr:col>6</xdr:col>
      <xdr:colOff>5016500</xdr:colOff>
      <xdr:row>46</xdr:row>
      <xdr:rowOff>177800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419100</xdr:colOff>
      <xdr:row>48</xdr:row>
      <xdr:rowOff>114300</xdr:rowOff>
    </xdr:from>
    <xdr:to>
      <xdr:col>6</xdr:col>
      <xdr:colOff>5092700</xdr:colOff>
      <xdr:row>68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hajanumpalli/Downloads/RCT%20Budget_10-25-14%20(version%20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Endline Survey"/>
    </sheetNames>
    <sheetDataSet>
      <sheetData sheetId="0"/>
      <sheetData sheetId="1">
        <row r="6">
          <cell r="C6">
            <v>20</v>
          </cell>
        </row>
        <row r="7">
          <cell r="C7">
            <v>20</v>
          </cell>
        </row>
        <row r="14">
          <cell r="C14">
            <v>40</v>
          </cell>
        </row>
        <row r="15">
          <cell r="C15">
            <v>40</v>
          </cell>
        </row>
        <row r="22">
          <cell r="C2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91"/>
  <sheetViews>
    <sheetView showGridLines="0" tabSelected="1" topLeftCell="A25" workbookViewId="0">
      <selection activeCell="E61" sqref="E61"/>
    </sheetView>
  </sheetViews>
  <sheetFormatPr baseColWidth="10" defaultColWidth="9.1640625" defaultRowHeight="13" x14ac:dyDescent="0"/>
  <cols>
    <col min="1" max="1" width="1.83203125" style="1" customWidth="1"/>
    <col min="2" max="2" width="91.5" style="1" customWidth="1"/>
    <col min="3" max="4" width="14.6640625" style="1" customWidth="1"/>
    <col min="5" max="5" width="14.83203125" style="1" customWidth="1"/>
    <col min="6" max="6" width="1.5" style="1" customWidth="1"/>
    <col min="7" max="7" width="73.83203125" style="1" customWidth="1"/>
    <col min="8" max="16384" width="9.1640625" style="1"/>
  </cols>
  <sheetData>
    <row r="1" spans="1:7" ht="5" customHeight="1">
      <c r="A1" s="17"/>
      <c r="B1" s="17"/>
      <c r="C1" s="17"/>
      <c r="D1" s="17"/>
      <c r="E1" s="17"/>
      <c r="F1" s="17"/>
      <c r="G1" s="17"/>
    </row>
    <row r="2" spans="1:7" ht="73" customHeight="1" thickBot="1">
      <c r="A2" s="18"/>
      <c r="B2" s="142" t="s">
        <v>129</v>
      </c>
      <c r="C2" s="142"/>
      <c r="D2" s="142"/>
      <c r="E2" s="142"/>
      <c r="F2" s="142"/>
      <c r="G2" s="142"/>
    </row>
    <row r="3" spans="1:7" ht="28" customHeight="1">
      <c r="A3" s="16"/>
      <c r="B3" s="143" t="s">
        <v>1</v>
      </c>
      <c r="C3" s="144"/>
      <c r="D3" s="144"/>
      <c r="E3" s="144"/>
      <c r="F3" s="144"/>
      <c r="G3" s="144"/>
    </row>
    <row r="4" spans="1:7" ht="8" customHeight="1" thickBot="1">
      <c r="B4" s="12"/>
      <c r="C4" s="2"/>
      <c r="D4" s="2"/>
      <c r="E4" s="2"/>
      <c r="F4" s="6"/>
      <c r="G4" s="2"/>
    </row>
    <row r="5" spans="1:7" ht="17" customHeight="1" thickBot="1">
      <c r="B5" s="19" t="s">
        <v>182</v>
      </c>
      <c r="C5" s="117">
        <v>2014</v>
      </c>
      <c r="D5" s="117">
        <v>2015</v>
      </c>
      <c r="E5" s="118" t="s">
        <v>124</v>
      </c>
      <c r="G5" s="22" t="s">
        <v>179</v>
      </c>
    </row>
    <row r="6" spans="1:7">
      <c r="B6" s="3" t="s">
        <v>183</v>
      </c>
      <c r="C6" s="21">
        <f>'CCT Implementation Expenses'!AJ10</f>
        <v>76818</v>
      </c>
      <c r="D6" s="81">
        <f>'CCT Implementation Expenses'!AJ20</f>
        <v>254448</v>
      </c>
      <c r="E6" s="135">
        <f t="shared" ref="E6:E7" si="0">SUM(C6:D6)</f>
        <v>331266</v>
      </c>
      <c r="G6" s="10"/>
    </row>
    <row r="7" spans="1:7">
      <c r="B7" s="3" t="s">
        <v>88</v>
      </c>
      <c r="C7" s="21">
        <f>'CCT Implementation Expenses'!AJ11</f>
        <v>5651.3773333333374</v>
      </c>
      <c r="D7" s="21">
        <f>'CCT Implementation Expenses'!AJ21</f>
        <v>18162.064000000013</v>
      </c>
      <c r="E7" s="112">
        <f t="shared" si="0"/>
        <v>23813.44133333335</v>
      </c>
      <c r="G7" s="10"/>
    </row>
    <row r="8" spans="1:7">
      <c r="B8" s="7" t="s">
        <v>123</v>
      </c>
      <c r="C8" s="38">
        <f>SUM(C6:C7)</f>
        <v>82469.377333333337</v>
      </c>
      <c r="D8" s="34">
        <f>SUM(D6:D7)</f>
        <v>272610.06400000001</v>
      </c>
      <c r="E8" s="15">
        <f>SUM(C8:D8)</f>
        <v>355079.44133333338</v>
      </c>
      <c r="G8" s="10"/>
    </row>
    <row r="9" spans="1:7">
      <c r="B9" s="4"/>
      <c r="C9" s="5"/>
      <c r="D9" s="5"/>
      <c r="E9" s="5"/>
      <c r="G9" s="10"/>
    </row>
    <row r="10" spans="1:7" ht="14">
      <c r="B10" s="19" t="s">
        <v>127</v>
      </c>
      <c r="C10" s="117">
        <v>2014</v>
      </c>
      <c r="D10" s="117">
        <v>2015</v>
      </c>
      <c r="E10" s="118" t="s">
        <v>124</v>
      </c>
      <c r="G10" s="10"/>
    </row>
    <row r="11" spans="1:7">
      <c r="B11" s="3" t="s">
        <v>128</v>
      </c>
      <c r="C11" s="21">
        <v>20000</v>
      </c>
      <c r="D11" s="21">
        <v>24000</v>
      </c>
      <c r="E11" s="136">
        <f>SUM(C11:D11)</f>
        <v>44000</v>
      </c>
      <c r="G11" s="10"/>
    </row>
    <row r="12" spans="1:7">
      <c r="B12" s="3" t="s">
        <v>48</v>
      </c>
      <c r="C12" s="21">
        <v>1000</v>
      </c>
      <c r="D12" s="21">
        <v>1000</v>
      </c>
      <c r="E12" s="137">
        <f t="shared" ref="E12" si="1">SUM(C12:D12)</f>
        <v>2000</v>
      </c>
      <c r="G12" s="10"/>
    </row>
    <row r="13" spans="1:7">
      <c r="B13" s="7" t="s">
        <v>123</v>
      </c>
      <c r="C13" s="9">
        <f t="shared" ref="C13:D13" si="2">SUM(C11:C12)</f>
        <v>21000</v>
      </c>
      <c r="D13" s="9">
        <f t="shared" si="2"/>
        <v>25000</v>
      </c>
      <c r="E13" s="9">
        <f>SUM(E11:E12)</f>
        <v>46000</v>
      </c>
      <c r="G13" s="10"/>
    </row>
    <row r="14" spans="1:7" s="11" customFormat="1">
      <c r="B14" s="13"/>
      <c r="C14" s="14"/>
      <c r="D14" s="14"/>
      <c r="E14" s="14"/>
      <c r="G14" s="10"/>
    </row>
    <row r="15" spans="1:7" ht="14">
      <c r="B15" s="19" t="s">
        <v>130</v>
      </c>
      <c r="C15" s="117">
        <v>2014</v>
      </c>
      <c r="D15" s="117">
        <v>2015</v>
      </c>
      <c r="E15" s="118" t="s">
        <v>124</v>
      </c>
      <c r="G15" s="10"/>
    </row>
    <row r="16" spans="1:7">
      <c r="B16" s="3" t="s">
        <v>131</v>
      </c>
      <c r="C16" s="21">
        <v>1100</v>
      </c>
      <c r="D16" s="21">
        <v>0</v>
      </c>
      <c r="E16" s="136">
        <f>SUM(C16:D16)</f>
        <v>1100</v>
      </c>
      <c r="G16" s="10"/>
    </row>
    <row r="17" spans="2:7">
      <c r="B17" s="3" t="s">
        <v>194</v>
      </c>
      <c r="C17" s="21">
        <v>1000</v>
      </c>
      <c r="D17" s="116">
        <v>0</v>
      </c>
      <c r="E17" s="136">
        <f>SUM(C17:D17)</f>
        <v>1000</v>
      </c>
      <c r="G17" s="10"/>
    </row>
    <row r="18" spans="2:7">
      <c r="B18" s="31" t="s">
        <v>51</v>
      </c>
      <c r="C18" s="29">
        <v>0</v>
      </c>
      <c r="D18" s="30" t="s">
        <v>52</v>
      </c>
      <c r="E18" s="136">
        <f t="shared" ref="E18:E21" si="3">SUM(C18:D18)</f>
        <v>0</v>
      </c>
      <c r="G18" s="10"/>
    </row>
    <row r="19" spans="2:7">
      <c r="B19" s="3" t="s">
        <v>132</v>
      </c>
      <c r="C19" s="21">
        <v>156</v>
      </c>
      <c r="D19" s="21">
        <v>156</v>
      </c>
      <c r="E19" s="136">
        <f t="shared" si="3"/>
        <v>312</v>
      </c>
      <c r="G19" s="10"/>
    </row>
    <row r="20" spans="2:7">
      <c r="B20" s="3" t="s">
        <v>50</v>
      </c>
      <c r="C20" s="21">
        <v>100</v>
      </c>
      <c r="D20" s="21">
        <v>100</v>
      </c>
      <c r="E20" s="136">
        <f t="shared" si="3"/>
        <v>200</v>
      </c>
      <c r="G20" s="10"/>
    </row>
    <row r="21" spans="2:7">
      <c r="B21" s="7" t="s">
        <v>123</v>
      </c>
      <c r="C21" s="39">
        <f>SUM(C16:C20)</f>
        <v>2356</v>
      </c>
      <c r="D21" s="8">
        <f>SUM(D16:D20)</f>
        <v>256</v>
      </c>
      <c r="E21" s="9">
        <f t="shared" si="3"/>
        <v>2612</v>
      </c>
      <c r="G21" s="10"/>
    </row>
    <row r="22" spans="2:7" s="11" customFormat="1">
      <c r="B22" s="13"/>
      <c r="C22" s="14"/>
      <c r="D22" s="14"/>
      <c r="E22" s="14"/>
      <c r="G22" s="10"/>
    </row>
    <row r="23" spans="2:7" ht="14">
      <c r="B23" s="19" t="s">
        <v>133</v>
      </c>
      <c r="C23" s="117">
        <v>2014</v>
      </c>
      <c r="D23" s="117">
        <v>2015</v>
      </c>
      <c r="E23" s="118" t="s">
        <v>124</v>
      </c>
      <c r="G23" s="10"/>
    </row>
    <row r="24" spans="2:7">
      <c r="B24" s="3" t="s">
        <v>134</v>
      </c>
      <c r="C24" s="21">
        <v>1260</v>
      </c>
      <c r="D24" s="21">
        <v>0</v>
      </c>
      <c r="E24" s="136">
        <f>SUM(C24:D24)</f>
        <v>1260</v>
      </c>
    </row>
    <row r="25" spans="2:7" ht="14" thickBot="1">
      <c r="B25" s="3" t="s">
        <v>69</v>
      </c>
      <c r="C25" s="21">
        <v>300</v>
      </c>
      <c r="D25" s="21">
        <v>500</v>
      </c>
      <c r="E25" s="136">
        <f t="shared" ref="E25:E28" si="4">SUM(C25:D25)</f>
        <v>800</v>
      </c>
    </row>
    <row r="26" spans="2:7" ht="15" thickBot="1">
      <c r="B26" s="3" t="s">
        <v>135</v>
      </c>
      <c r="C26" s="21">
        <v>250</v>
      </c>
      <c r="D26" s="21">
        <v>750</v>
      </c>
      <c r="E26" s="136">
        <f t="shared" si="4"/>
        <v>1000</v>
      </c>
      <c r="G26" s="22" t="s">
        <v>196</v>
      </c>
    </row>
    <row r="27" spans="2:7">
      <c r="B27" s="3" t="s">
        <v>136</v>
      </c>
      <c r="C27" s="21">
        <v>300</v>
      </c>
      <c r="D27" s="21">
        <v>0</v>
      </c>
      <c r="E27" s="136">
        <f t="shared" si="4"/>
        <v>300</v>
      </c>
      <c r="G27" s="10"/>
    </row>
    <row r="28" spans="2:7">
      <c r="B28" s="3" t="s">
        <v>55</v>
      </c>
      <c r="C28" s="21">
        <v>850</v>
      </c>
      <c r="D28" s="21">
        <v>0</v>
      </c>
      <c r="E28" s="136">
        <f t="shared" si="4"/>
        <v>850</v>
      </c>
      <c r="G28" s="10"/>
    </row>
    <row r="29" spans="2:7">
      <c r="B29" s="3" t="s">
        <v>56</v>
      </c>
      <c r="C29" s="21">
        <v>500</v>
      </c>
      <c r="D29" s="21">
        <v>500</v>
      </c>
      <c r="E29" s="136">
        <f>SUM(C29:D29)</f>
        <v>1000</v>
      </c>
      <c r="G29" s="10"/>
    </row>
    <row r="30" spans="2:7">
      <c r="B30" s="3" t="s">
        <v>125</v>
      </c>
      <c r="C30" s="21">
        <v>390</v>
      </c>
      <c r="D30" s="21">
        <v>390</v>
      </c>
      <c r="E30" s="138">
        <f>SUM(C30:D30)</f>
        <v>780</v>
      </c>
      <c r="G30" s="10"/>
    </row>
    <row r="31" spans="2:7">
      <c r="B31" s="3" t="s">
        <v>70</v>
      </c>
      <c r="C31" s="21">
        <v>0</v>
      </c>
      <c r="D31" s="21">
        <v>500</v>
      </c>
      <c r="E31" s="138">
        <f>SUM(C31:D31)</f>
        <v>500</v>
      </c>
      <c r="G31" s="10"/>
    </row>
    <row r="32" spans="2:7">
      <c r="B32" s="3" t="s">
        <v>170</v>
      </c>
      <c r="C32" s="21">
        <v>0</v>
      </c>
      <c r="D32" s="21">
        <v>1000</v>
      </c>
      <c r="E32" s="138">
        <f>SUM(C32:D32)</f>
        <v>1000</v>
      </c>
      <c r="G32" s="10"/>
    </row>
    <row r="33" spans="2:7">
      <c r="B33" s="7"/>
      <c r="C33" s="9">
        <f>SUM(C24:C32)</f>
        <v>3850</v>
      </c>
      <c r="D33" s="9">
        <f>SUM(D24:D32)</f>
        <v>3640</v>
      </c>
      <c r="E33" s="9">
        <f>SUM(C33:D33)</f>
        <v>7490</v>
      </c>
      <c r="G33" s="10"/>
    </row>
    <row r="34" spans="2:7">
      <c r="B34" s="4"/>
      <c r="C34" s="5"/>
      <c r="D34" s="5"/>
      <c r="E34" s="5"/>
      <c r="G34" s="10"/>
    </row>
    <row r="35" spans="2:7" ht="14">
      <c r="B35" s="19" t="s">
        <v>72</v>
      </c>
      <c r="C35" s="117">
        <v>2014</v>
      </c>
      <c r="D35" s="117">
        <v>2015</v>
      </c>
      <c r="E35" s="118" t="s">
        <v>124</v>
      </c>
      <c r="G35" s="10"/>
    </row>
    <row r="36" spans="2:7">
      <c r="B36" s="28" t="s">
        <v>73</v>
      </c>
      <c r="C36" s="29">
        <v>1300</v>
      </c>
      <c r="D36" s="30">
        <v>0</v>
      </c>
      <c r="E36" s="137">
        <f>SUM(C36:D36)</f>
        <v>1300</v>
      </c>
      <c r="G36" s="10"/>
    </row>
    <row r="37" spans="2:7">
      <c r="B37" s="31" t="s">
        <v>74</v>
      </c>
      <c r="C37" s="32">
        <v>304</v>
      </c>
      <c r="D37" s="33">
        <v>100</v>
      </c>
      <c r="E37" s="137">
        <f t="shared" ref="E37:E39" si="5">SUM(C37:D37)</f>
        <v>404</v>
      </c>
      <c r="G37" s="10"/>
    </row>
    <row r="38" spans="2:7">
      <c r="B38" s="31" t="s">
        <v>181</v>
      </c>
      <c r="C38" s="36">
        <v>1000</v>
      </c>
      <c r="D38" s="33">
        <v>0</v>
      </c>
      <c r="E38" s="137">
        <f t="shared" si="5"/>
        <v>1000</v>
      </c>
      <c r="G38" s="10"/>
    </row>
    <row r="39" spans="2:7">
      <c r="B39" s="123" t="s">
        <v>126</v>
      </c>
      <c r="C39" s="37">
        <f>SUM(C36:C38)</f>
        <v>2604</v>
      </c>
      <c r="D39" s="37">
        <f t="shared" ref="D39" si="6">SUM(D36:D38)</f>
        <v>100</v>
      </c>
      <c r="E39" s="37">
        <f t="shared" si="5"/>
        <v>2704</v>
      </c>
      <c r="G39" s="10"/>
    </row>
    <row r="40" spans="2:7" s="11" customFormat="1">
      <c r="B40" s="13"/>
      <c r="C40" s="14"/>
      <c r="D40" s="14"/>
      <c r="E40" s="14"/>
      <c r="G40" s="10"/>
    </row>
    <row r="41" spans="2:7" ht="14">
      <c r="B41" s="19" t="s">
        <v>84</v>
      </c>
      <c r="C41" s="117">
        <v>2014</v>
      </c>
      <c r="D41" s="117">
        <v>2015</v>
      </c>
      <c r="E41" s="118" t="s">
        <v>124</v>
      </c>
      <c r="G41" s="10"/>
    </row>
    <row r="42" spans="2:7">
      <c r="B42" s="28" t="s">
        <v>85</v>
      </c>
      <c r="C42" s="29">
        <v>2000</v>
      </c>
      <c r="D42" s="30">
        <v>4000</v>
      </c>
      <c r="E42" s="137">
        <f>SUM(C42:D42)</f>
        <v>6000</v>
      </c>
      <c r="G42" s="10"/>
    </row>
    <row r="43" spans="2:7">
      <c r="B43" s="31" t="s">
        <v>86</v>
      </c>
      <c r="C43" s="32">
        <v>1200</v>
      </c>
      <c r="D43" s="33">
        <v>2000</v>
      </c>
      <c r="E43" s="137">
        <f t="shared" ref="E43:E45" si="7">SUM(C43:D43)</f>
        <v>3200</v>
      </c>
      <c r="G43" s="10"/>
    </row>
    <row r="44" spans="2:7">
      <c r="B44" s="31" t="s">
        <v>87</v>
      </c>
      <c r="C44" s="36">
        <v>0</v>
      </c>
      <c r="D44" s="33">
        <v>500</v>
      </c>
      <c r="E44" s="137">
        <f t="shared" si="7"/>
        <v>500</v>
      </c>
      <c r="G44" s="10"/>
    </row>
    <row r="45" spans="2:7">
      <c r="B45" s="123" t="s">
        <v>126</v>
      </c>
      <c r="C45" s="37">
        <f>SUM(C42:C44)</f>
        <v>3200</v>
      </c>
      <c r="D45" s="37">
        <f t="shared" ref="D45" si="8">SUM(D42:D44)</f>
        <v>6500</v>
      </c>
      <c r="E45" s="37">
        <f t="shared" si="7"/>
        <v>9700</v>
      </c>
      <c r="G45" s="10"/>
    </row>
    <row r="46" spans="2:7">
      <c r="B46" s="4"/>
      <c r="C46" s="5"/>
      <c r="D46" s="5"/>
      <c r="E46" s="5"/>
    </row>
    <row r="47" spans="2:7" ht="15" thickBot="1">
      <c r="B47" s="19" t="s">
        <v>71</v>
      </c>
      <c r="C47" s="117">
        <v>2014</v>
      </c>
      <c r="D47" s="117">
        <v>2015</v>
      </c>
      <c r="E47" s="118" t="s">
        <v>124</v>
      </c>
    </row>
    <row r="48" spans="2:7" ht="15" thickBot="1">
      <c r="B48" s="3" t="s">
        <v>171</v>
      </c>
      <c r="C48" s="21">
        <v>750</v>
      </c>
      <c r="D48" s="21">
        <v>600</v>
      </c>
      <c r="E48" s="137">
        <f t="shared" ref="E48" si="9">SUM(C48:D48)</f>
        <v>1350</v>
      </c>
      <c r="G48" s="22" t="s">
        <v>195</v>
      </c>
    </row>
    <row r="49" spans="2:7">
      <c r="B49" s="3" t="s">
        <v>49</v>
      </c>
      <c r="C49" s="21">
        <v>285</v>
      </c>
      <c r="D49" s="21">
        <v>1800</v>
      </c>
      <c r="E49" s="137">
        <f t="shared" ref="E49:E50" si="10">SUM(C49:D49)</f>
        <v>2085</v>
      </c>
      <c r="G49" s="10"/>
    </row>
    <row r="50" spans="2:7">
      <c r="B50" s="3" t="s">
        <v>206</v>
      </c>
      <c r="C50" s="21">
        <v>200</v>
      </c>
      <c r="D50" s="21">
        <v>400</v>
      </c>
      <c r="E50" s="137">
        <f t="shared" si="10"/>
        <v>600</v>
      </c>
      <c r="G50" s="10"/>
    </row>
    <row r="51" spans="2:7">
      <c r="B51" s="3" t="s">
        <v>75</v>
      </c>
      <c r="C51" s="21">
        <v>59.88</v>
      </c>
      <c r="D51" s="21">
        <v>59.88</v>
      </c>
      <c r="E51" s="137">
        <f t="shared" ref="E51" si="11">SUM(C51:D51)</f>
        <v>119.76</v>
      </c>
      <c r="G51" s="10"/>
    </row>
    <row r="52" spans="2:7">
      <c r="B52" s="3" t="s">
        <v>76</v>
      </c>
      <c r="C52" s="21">
        <v>300</v>
      </c>
      <c r="D52" s="21">
        <v>150</v>
      </c>
      <c r="E52" s="137">
        <f t="shared" ref="E52:E60" si="12">SUM(C52:D52)</f>
        <v>450</v>
      </c>
      <c r="G52" s="10"/>
    </row>
    <row r="53" spans="2:7">
      <c r="B53" s="3" t="s">
        <v>90</v>
      </c>
      <c r="C53" s="21">
        <v>240</v>
      </c>
      <c r="D53" s="21">
        <v>240</v>
      </c>
      <c r="E53" s="137">
        <f t="shared" si="12"/>
        <v>480</v>
      </c>
      <c r="G53" s="10"/>
    </row>
    <row r="54" spans="2:7">
      <c r="B54" s="3" t="s">
        <v>0</v>
      </c>
      <c r="C54" s="21">
        <v>720</v>
      </c>
      <c r="D54" s="21">
        <v>720</v>
      </c>
      <c r="E54" s="137">
        <f t="shared" si="12"/>
        <v>1440</v>
      </c>
      <c r="G54" s="10"/>
    </row>
    <row r="55" spans="2:7">
      <c r="B55" s="3" t="s">
        <v>77</v>
      </c>
      <c r="C55" s="21">
        <v>30</v>
      </c>
      <c r="D55" s="21">
        <v>30</v>
      </c>
      <c r="E55" s="137">
        <f t="shared" si="12"/>
        <v>60</v>
      </c>
      <c r="G55" s="10"/>
    </row>
    <row r="56" spans="2:7">
      <c r="B56" s="27" t="s">
        <v>65</v>
      </c>
      <c r="C56" s="21">
        <v>239.88</v>
      </c>
      <c r="D56" s="21">
        <v>239.88</v>
      </c>
      <c r="E56" s="137">
        <f t="shared" si="12"/>
        <v>479.76</v>
      </c>
      <c r="G56" s="10"/>
    </row>
    <row r="57" spans="2:7">
      <c r="B57" s="3" t="s">
        <v>66</v>
      </c>
      <c r="C57" s="21">
        <v>119.88</v>
      </c>
      <c r="D57" s="21">
        <v>119.88</v>
      </c>
      <c r="E57" s="137">
        <f t="shared" si="12"/>
        <v>239.76</v>
      </c>
      <c r="G57" s="10"/>
    </row>
    <row r="58" spans="2:7">
      <c r="B58" s="3" t="s">
        <v>67</v>
      </c>
      <c r="C58" s="21">
        <v>25</v>
      </c>
      <c r="D58" s="21">
        <v>25</v>
      </c>
      <c r="E58" s="137">
        <f t="shared" si="12"/>
        <v>50</v>
      </c>
      <c r="G58" s="10"/>
    </row>
    <row r="59" spans="2:7">
      <c r="B59" s="3" t="s">
        <v>68</v>
      </c>
      <c r="C59" s="21">
        <v>50</v>
      </c>
      <c r="D59" s="21">
        <v>50</v>
      </c>
      <c r="E59" s="137">
        <f t="shared" ref="E59" si="13">SUM(C59:D59)</f>
        <v>100</v>
      </c>
      <c r="G59" s="10"/>
    </row>
    <row r="60" spans="2:7">
      <c r="B60" s="3" t="s">
        <v>89</v>
      </c>
      <c r="C60" s="21">
        <v>1000</v>
      </c>
      <c r="D60" s="21">
        <v>2000</v>
      </c>
      <c r="E60" s="137">
        <f t="shared" si="12"/>
        <v>3000</v>
      </c>
      <c r="G60" s="10"/>
    </row>
    <row r="61" spans="2:7">
      <c r="B61" s="123"/>
      <c r="C61" s="35">
        <f>SUM(C48:C60)</f>
        <v>4019.6400000000003</v>
      </c>
      <c r="D61" s="35">
        <f>SUM(D48:D60)</f>
        <v>6434.64</v>
      </c>
      <c r="E61" s="35">
        <f>SUM(C61:D61)</f>
        <v>10454.280000000001</v>
      </c>
      <c r="G61" s="10"/>
    </row>
    <row r="62" spans="2:7">
      <c r="B62" s="25"/>
      <c r="C62" s="26"/>
      <c r="D62" s="26"/>
      <c r="E62" s="26"/>
      <c r="G62" s="10"/>
    </row>
    <row r="63" spans="2:7" ht="14">
      <c r="B63" s="20" t="s">
        <v>122</v>
      </c>
      <c r="C63" s="119">
        <v>2014</v>
      </c>
      <c r="D63" s="119">
        <v>2015</v>
      </c>
      <c r="E63" s="120" t="s">
        <v>124</v>
      </c>
      <c r="G63" s="10"/>
    </row>
    <row r="64" spans="2:7" ht="13" customHeight="1">
      <c r="B64" s="3" t="s">
        <v>184</v>
      </c>
      <c r="C64" s="23">
        <f>SUM(C13+C21+C33+C39+C45+C61)</f>
        <v>37029.64</v>
      </c>
      <c r="D64" s="23">
        <f>SUM(D13+D21+D33+D39+D45+D61)</f>
        <v>41930.639999999999</v>
      </c>
      <c r="E64" s="23">
        <f>SUM(E13+E21+E33+E39+E45+E61)</f>
        <v>78960.28</v>
      </c>
      <c r="G64" s="10"/>
    </row>
    <row r="65" spans="1:7" ht="13" customHeight="1">
      <c r="B65" s="3" t="s">
        <v>88</v>
      </c>
      <c r="C65" s="23">
        <f>C7</f>
        <v>5651.3773333333374</v>
      </c>
      <c r="D65" s="23">
        <f>D7</f>
        <v>18162.064000000013</v>
      </c>
      <c r="E65" s="23">
        <f>E7</f>
        <v>23813.44133333335</v>
      </c>
      <c r="G65" s="10"/>
    </row>
    <row r="66" spans="1:7" ht="13" customHeight="1">
      <c r="B66" s="3" t="s">
        <v>153</v>
      </c>
      <c r="C66" s="23">
        <f>SUM(C8+C13+C21+C33+C39+C45+C61)</f>
        <v>119499.01733333334</v>
      </c>
      <c r="D66" s="23">
        <f>SUM(D8+D13+D21+D33+D39+D45+D61)</f>
        <v>314540.70400000003</v>
      </c>
      <c r="E66" s="23">
        <f>SUM(E8+E13+E21+E33+E39+E45+E61)</f>
        <v>434039.72133333341</v>
      </c>
      <c r="G66" s="10"/>
    </row>
    <row r="67" spans="1:7" ht="13" customHeight="1">
      <c r="B67" s="3" t="s">
        <v>154</v>
      </c>
      <c r="C67" s="23">
        <v>0</v>
      </c>
      <c r="D67" s="23">
        <f>'RCT Budget 2015-2016'!D45-'RCT Budget 2015-2016'!D5</f>
        <v>60000</v>
      </c>
      <c r="E67" s="23">
        <f>SUM(C67:D67)</f>
        <v>60000</v>
      </c>
      <c r="G67" s="10"/>
    </row>
    <row r="68" spans="1:7" ht="13" customHeight="1">
      <c r="B68" s="97" t="s">
        <v>155</v>
      </c>
      <c r="C68" s="23">
        <f>SUM(C64:C67)</f>
        <v>162180.03466666667</v>
      </c>
      <c r="D68" s="23">
        <f>SUM(D64:D67)</f>
        <v>434633.40800000005</v>
      </c>
      <c r="E68" s="23">
        <f>SUM(C68:D68)</f>
        <v>596813.4426666667</v>
      </c>
      <c r="G68" s="10"/>
    </row>
    <row r="70" spans="1:7" ht="4" customHeight="1">
      <c r="A70" s="24"/>
      <c r="B70" s="24"/>
      <c r="C70" s="24"/>
      <c r="D70" s="24"/>
      <c r="E70" s="24"/>
      <c r="F70" s="24"/>
      <c r="G70" s="24"/>
    </row>
    <row r="72" spans="1:7" ht="14">
      <c r="B72" s="96" t="s">
        <v>151</v>
      </c>
      <c r="C72" s="121">
        <v>2014</v>
      </c>
      <c r="D72" s="121">
        <v>2015</v>
      </c>
      <c r="E72" s="122" t="s">
        <v>124</v>
      </c>
    </row>
    <row r="73" spans="1:7">
      <c r="B73" s="3" t="s">
        <v>148</v>
      </c>
      <c r="C73" s="23">
        <v>200000</v>
      </c>
      <c r="D73" s="23">
        <v>0</v>
      </c>
      <c r="E73" s="23">
        <f>SUM(C73:D73)</f>
        <v>200000</v>
      </c>
    </row>
    <row r="74" spans="1:7">
      <c r="B74" s="3" t="s">
        <v>149</v>
      </c>
      <c r="C74" s="23">
        <v>100000</v>
      </c>
      <c r="D74" s="23">
        <f>D14</f>
        <v>0</v>
      </c>
      <c r="E74" s="23">
        <f>SUM(C74:D74)</f>
        <v>100000</v>
      </c>
    </row>
    <row r="75" spans="1:7">
      <c r="B75" s="3" t="s">
        <v>150</v>
      </c>
      <c r="C75" s="23">
        <v>11016.75</v>
      </c>
      <c r="D75" s="23">
        <v>0</v>
      </c>
      <c r="E75" s="23">
        <f>SUM(C75:D75)</f>
        <v>11016.75</v>
      </c>
    </row>
    <row r="76" spans="1:7">
      <c r="B76" s="97" t="s">
        <v>156</v>
      </c>
      <c r="C76" s="23">
        <f>SUM(C73:C75)</f>
        <v>311016.75</v>
      </c>
      <c r="D76" s="23">
        <f t="shared" ref="D76" si="14">SUM(D73:D75)</f>
        <v>0</v>
      </c>
      <c r="E76" s="23">
        <f>SUM(C76:D76)</f>
        <v>311016.75</v>
      </c>
    </row>
    <row r="78" spans="1:7" ht="14">
      <c r="B78" s="96" t="s">
        <v>152</v>
      </c>
      <c r="C78" s="121">
        <v>2014</v>
      </c>
      <c r="D78" s="121">
        <v>2015</v>
      </c>
      <c r="E78" s="122" t="s">
        <v>124</v>
      </c>
    </row>
    <row r="79" spans="1:7">
      <c r="B79" s="3" t="s">
        <v>176</v>
      </c>
      <c r="C79" s="23">
        <f>C68-C76</f>
        <v>-148836.71533333333</v>
      </c>
      <c r="D79" s="23">
        <f>D68+C79</f>
        <v>285796.6926666667</v>
      </c>
      <c r="E79" s="23"/>
    </row>
    <row r="80" spans="1:7">
      <c r="B80" s="3" t="s">
        <v>177</v>
      </c>
      <c r="C80" s="23">
        <f>C69-C77</f>
        <v>0</v>
      </c>
      <c r="D80" s="23">
        <f>'CCTs for Vaccinations'!Z18+'2014-2015 Total Budget'!AC14</f>
        <v>529092.28</v>
      </c>
      <c r="E80" s="23"/>
    </row>
    <row r="81" spans="2:5">
      <c r="B81" s="97" t="s">
        <v>178</v>
      </c>
      <c r="C81" s="23">
        <f>SUM(C79+C80)</f>
        <v>-148836.71533333333</v>
      </c>
      <c r="D81" s="23">
        <f>SUM(D79:D80)</f>
        <v>814888.97266666673</v>
      </c>
      <c r="E81" s="23"/>
    </row>
    <row r="83" spans="2:5" s="124" customFormat="1">
      <c r="B83" s="124" t="s">
        <v>197</v>
      </c>
      <c r="D83" s="125">
        <f>'CCTs for Vaccinations'!Z16+'2014-2015 Total Budget'!AA16+'2014-2015 Total Budget'!D6</f>
        <v>749448</v>
      </c>
    </row>
    <row r="84" spans="2:5" s="124" customFormat="1">
      <c r="B84" s="124" t="s">
        <v>198</v>
      </c>
      <c r="D84" s="126">
        <f>'CCTs for Vaccinations'!Z17+'2014-2015 Total Budget'!AA17+'2014-2015 Total Budget'!D7</f>
        <v>52254.344000000041</v>
      </c>
    </row>
    <row r="85" spans="2:5" s="124" customFormat="1">
      <c r="B85" s="124" t="s">
        <v>199</v>
      </c>
      <c r="D85" s="127">
        <f>D66+D80</f>
        <v>843632.98400000005</v>
      </c>
    </row>
    <row r="88" spans="2:5">
      <c r="D88" s="98"/>
    </row>
    <row r="89" spans="2:5">
      <c r="D89" s="98"/>
    </row>
    <row r="91" spans="2:5">
      <c r="D91" s="98"/>
    </row>
  </sheetData>
  <mergeCells count="2">
    <mergeCell ref="B2:G2"/>
    <mergeCell ref="B3:G3"/>
  </mergeCells>
  <phoneticPr fontId="39" type="noConversion"/>
  <printOptions horizontalCentered="1"/>
  <pageMargins left="0.75" right="0.75" top="1" bottom="1" header="0.5" footer="0.5"/>
  <ignoredErrors>
    <ignoredError sqref="C21:D21 C8:D8 C33:D33 C39:D39 C45:D45 C61:D61 C13:D13 C7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W2" sqref="W2"/>
    </sheetView>
  </sheetViews>
  <sheetFormatPr baseColWidth="10" defaultRowHeight="15" x14ac:dyDescent="0"/>
  <cols>
    <col min="1" max="1" width="10.83203125" style="42"/>
    <col min="2" max="2" width="6.6640625" style="42" customWidth="1"/>
    <col min="3" max="3" width="14.83203125" style="42" customWidth="1"/>
    <col min="4" max="5" width="14" style="42" customWidth="1"/>
    <col min="6" max="6" width="11.33203125" style="42" customWidth="1"/>
    <col min="7" max="11" width="11.5" style="42" customWidth="1"/>
    <col min="12" max="12" width="10.83203125" style="42"/>
    <col min="13" max="13" width="13.6640625" style="42" customWidth="1"/>
    <col min="14" max="14" width="13.83203125" style="42" customWidth="1"/>
    <col min="15" max="15" width="12.6640625" style="42" customWidth="1"/>
    <col min="16" max="16" width="14.5" style="42" customWidth="1"/>
    <col min="17" max="17" width="20.33203125" style="42" customWidth="1"/>
    <col min="18" max="19" width="10.83203125" style="42"/>
    <col min="20" max="20" width="15.1640625" style="42" customWidth="1"/>
    <col min="21" max="23" width="10.83203125" style="42"/>
    <col min="24" max="26" width="12.1640625" style="42" customWidth="1"/>
    <col min="27" max="28" width="10.83203125" style="42"/>
    <col min="29" max="29" width="11.5" style="42" customWidth="1"/>
    <col min="30" max="30" width="17" style="42" customWidth="1"/>
    <col min="31" max="31" width="10.83203125" style="42"/>
    <col min="32" max="32" width="12.1640625" style="42" customWidth="1"/>
    <col min="33" max="33" width="11.33203125" style="42" bestFit="1" customWidth="1"/>
    <col min="34" max="34" width="17.1640625" style="42" customWidth="1"/>
    <col min="35" max="35" width="16.6640625" style="42" customWidth="1"/>
    <col min="36" max="36" width="12.5" style="42" bestFit="1" customWidth="1"/>
    <col min="37" max="37" width="10.83203125" style="42"/>
    <col min="38" max="38" width="12.33203125" style="42" bestFit="1" customWidth="1"/>
    <col min="39" max="16384" width="10.83203125" style="42"/>
  </cols>
  <sheetData>
    <row r="1" spans="1:36" ht="20">
      <c r="A1" s="40" t="s">
        <v>169</v>
      </c>
      <c r="B1" s="41"/>
    </row>
    <row r="2" spans="1:36" ht="180">
      <c r="A2" s="58"/>
      <c r="B2" s="102" t="s">
        <v>2</v>
      </c>
      <c r="C2" s="140" t="s">
        <v>40</v>
      </c>
      <c r="D2" s="104" t="s">
        <v>41</v>
      </c>
      <c r="E2" s="104" t="s">
        <v>42</v>
      </c>
      <c r="F2" s="104" t="s">
        <v>35</v>
      </c>
      <c r="G2" s="104" t="s">
        <v>36</v>
      </c>
      <c r="H2" s="104" t="s">
        <v>37</v>
      </c>
      <c r="I2" s="104" t="s">
        <v>38</v>
      </c>
      <c r="J2" s="141" t="s">
        <v>39</v>
      </c>
      <c r="K2" s="104" t="s">
        <v>137</v>
      </c>
      <c r="L2" s="105" t="s">
        <v>3</v>
      </c>
      <c r="M2" s="105" t="s">
        <v>4</v>
      </c>
      <c r="N2" s="105" t="s">
        <v>5</v>
      </c>
      <c r="O2" s="105" t="s">
        <v>6</v>
      </c>
      <c r="P2" s="105" t="s">
        <v>113</v>
      </c>
      <c r="Q2" s="103" t="s">
        <v>193</v>
      </c>
      <c r="R2" s="106" t="s">
        <v>12</v>
      </c>
      <c r="S2" s="106" t="s">
        <v>187</v>
      </c>
      <c r="T2" s="106" t="s">
        <v>54</v>
      </c>
      <c r="U2" s="107" t="s">
        <v>53</v>
      </c>
      <c r="V2" s="106" t="s">
        <v>91</v>
      </c>
      <c r="W2" s="141" t="s">
        <v>216</v>
      </c>
      <c r="X2" s="105" t="s">
        <v>92</v>
      </c>
      <c r="Y2" s="106" t="s">
        <v>120</v>
      </c>
      <c r="Z2" s="105" t="s">
        <v>93</v>
      </c>
      <c r="AA2" s="105" t="s">
        <v>94</v>
      </c>
      <c r="AB2" s="105" t="s">
        <v>7</v>
      </c>
      <c r="AC2" s="105" t="s">
        <v>8</v>
      </c>
      <c r="AD2" s="105" t="s">
        <v>9</v>
      </c>
      <c r="AE2" s="109" t="s">
        <v>95</v>
      </c>
      <c r="AF2" s="105" t="s">
        <v>96</v>
      </c>
      <c r="AG2" s="105" t="s">
        <v>97</v>
      </c>
      <c r="AH2" s="129" t="s">
        <v>205</v>
      </c>
      <c r="AI2" s="43"/>
    </row>
    <row r="3" spans="1:36">
      <c r="A3" s="44" t="s">
        <v>98</v>
      </c>
      <c r="B3" s="44" t="s">
        <v>99</v>
      </c>
      <c r="C3" s="42">
        <v>0</v>
      </c>
      <c r="D3" s="42">
        <v>0</v>
      </c>
      <c r="L3" s="42">
        <f>SUM(C3:K3)</f>
        <v>0</v>
      </c>
      <c r="M3" s="42">
        <f>L3</f>
        <v>0</v>
      </c>
      <c r="N3" s="42">
        <f>(L3*12)</f>
        <v>0</v>
      </c>
      <c r="O3" s="45">
        <v>0</v>
      </c>
      <c r="P3" s="46">
        <v>0</v>
      </c>
      <c r="Q3" s="47">
        <v>0</v>
      </c>
      <c r="R3" s="47">
        <v>0</v>
      </c>
      <c r="S3" s="47">
        <f t="shared" ref="S3:S22" si="0">278*O3/12</f>
        <v>0</v>
      </c>
      <c r="T3" s="114">
        <v>0</v>
      </c>
      <c r="U3" s="47">
        <v>0</v>
      </c>
      <c r="V3" s="114">
        <f>(L3*200*(0.39/200))</f>
        <v>0</v>
      </c>
      <c r="W3" s="47">
        <f>(L3*3*1.55)</f>
        <v>0</v>
      </c>
      <c r="X3" s="47">
        <f t="shared" ref="X3:X22" si="1">(L3*0.1*0.48)</f>
        <v>0</v>
      </c>
      <c r="Y3" s="114">
        <f t="shared" ref="Y3" si="2">(L3*0.05*1)</f>
        <v>0</v>
      </c>
      <c r="Z3" s="47">
        <f>6*B3</f>
        <v>0</v>
      </c>
      <c r="AA3" s="47">
        <v>0</v>
      </c>
      <c r="AB3" s="47">
        <f t="shared" ref="AB3:AB22" si="3">0.31*L3</f>
        <v>0</v>
      </c>
      <c r="AC3" s="47">
        <v>0</v>
      </c>
      <c r="AD3" s="47">
        <v>0</v>
      </c>
      <c r="AE3" s="48"/>
      <c r="AF3" s="49">
        <v>0</v>
      </c>
      <c r="AG3" s="47">
        <v>0</v>
      </c>
      <c r="AH3" s="47">
        <v>0</v>
      </c>
    </row>
    <row r="4" spans="1:36">
      <c r="A4" s="44" t="s">
        <v>100</v>
      </c>
      <c r="B4" s="44" t="s">
        <v>101</v>
      </c>
      <c r="C4" s="52">
        <v>26</v>
      </c>
      <c r="D4" s="42">
        <v>0</v>
      </c>
      <c r="L4" s="42">
        <f t="shared" ref="L4:L22" si="4">SUM(C4:K4)</f>
        <v>26</v>
      </c>
      <c r="M4" s="42">
        <f>M3+L4</f>
        <v>26</v>
      </c>
      <c r="N4" s="42">
        <f t="shared" ref="N4:N22" si="5">(L4*12)</f>
        <v>312</v>
      </c>
      <c r="O4" s="45">
        <v>0</v>
      </c>
      <c r="P4" s="46">
        <v>0</v>
      </c>
      <c r="Q4" s="47">
        <v>100</v>
      </c>
      <c r="R4" s="47">
        <v>3</v>
      </c>
      <c r="S4" s="47">
        <f t="shared" si="0"/>
        <v>0</v>
      </c>
      <c r="T4" s="114">
        <v>0</v>
      </c>
      <c r="U4" s="47">
        <v>40</v>
      </c>
      <c r="V4" s="114">
        <f>(L4*200*(0.39/200))</f>
        <v>10.14</v>
      </c>
      <c r="W4" s="47">
        <f t="shared" ref="W4:W22" si="6">(L4*3*0.61)</f>
        <v>47.58</v>
      </c>
      <c r="X4" s="47">
        <f t="shared" si="1"/>
        <v>1.248</v>
      </c>
      <c r="Y4" s="114">
        <v>0</v>
      </c>
      <c r="Z4" s="47">
        <f t="shared" ref="Z4:Z22" si="7">6*B4</f>
        <v>6</v>
      </c>
      <c r="AA4" s="47">
        <f>20*B4</f>
        <v>20</v>
      </c>
      <c r="AB4" s="47">
        <f t="shared" si="3"/>
        <v>8.06</v>
      </c>
      <c r="AC4" s="47">
        <f t="shared" ref="AC4:AC22" si="8">1.5*L4</f>
        <v>39</v>
      </c>
      <c r="AD4" s="47">
        <f t="shared" ref="AD4:AD22" si="9">SUM(P4:AC4)/L4</f>
        <v>10.577999999999999</v>
      </c>
      <c r="AE4" s="50">
        <f>AD4/(AD4+186)</f>
        <v>5.3810701095748252E-2</v>
      </c>
      <c r="AF4" s="42">
        <f>SUM(L3:L4)</f>
        <v>26</v>
      </c>
      <c r="AG4" s="51">
        <f t="shared" ref="AG4:AG22" si="10">SUM(P4:AB4)+(L4*186)</f>
        <v>5072.0280000000002</v>
      </c>
      <c r="AH4" s="51">
        <f>SUM(AG3:AG4)</f>
        <v>5072.0280000000002</v>
      </c>
    </row>
    <row r="5" spans="1:36">
      <c r="A5" s="44" t="s">
        <v>102</v>
      </c>
      <c r="B5" s="44" t="s">
        <v>101</v>
      </c>
      <c r="C5" s="52">
        <v>24</v>
      </c>
      <c r="D5" s="42">
        <v>0</v>
      </c>
      <c r="L5" s="42">
        <f t="shared" si="4"/>
        <v>24</v>
      </c>
      <c r="M5" s="42">
        <f>M4+L5</f>
        <v>50</v>
      </c>
      <c r="N5" s="42">
        <f t="shared" si="5"/>
        <v>288</v>
      </c>
      <c r="O5" s="45">
        <v>0</v>
      </c>
      <c r="P5" s="46">
        <v>0</v>
      </c>
      <c r="Q5" s="47">
        <v>100</v>
      </c>
      <c r="R5" s="47">
        <v>6</v>
      </c>
      <c r="S5" s="47">
        <f t="shared" si="0"/>
        <v>0</v>
      </c>
      <c r="T5" s="114">
        <v>0</v>
      </c>
      <c r="U5" s="47">
        <v>40</v>
      </c>
      <c r="V5" s="114">
        <f>(L5*200*(0.39/200))</f>
        <v>9.3600000000000012</v>
      </c>
      <c r="W5" s="47">
        <f t="shared" si="6"/>
        <v>43.92</v>
      </c>
      <c r="X5" s="47">
        <f t="shared" si="1"/>
        <v>1.1520000000000001</v>
      </c>
      <c r="Y5" s="114">
        <v>0</v>
      </c>
      <c r="Z5" s="47">
        <f t="shared" si="7"/>
        <v>6</v>
      </c>
      <c r="AA5" s="47">
        <f t="shared" ref="AA5:AA22" si="11">20*B5</f>
        <v>20</v>
      </c>
      <c r="AB5" s="47">
        <f t="shared" si="3"/>
        <v>7.4399999999999995</v>
      </c>
      <c r="AC5" s="47">
        <f t="shared" si="8"/>
        <v>36</v>
      </c>
      <c r="AD5" s="47">
        <f t="shared" si="9"/>
        <v>11.244666666666667</v>
      </c>
      <c r="AE5" s="50">
        <f t="shared" ref="AE5:AE22" si="12">AD5/(AD5+186)</f>
        <v>5.700872351428176E-2</v>
      </c>
      <c r="AF5" s="42">
        <f>SUM(L3:L5)</f>
        <v>50</v>
      </c>
      <c r="AG5" s="51">
        <f t="shared" si="10"/>
        <v>4697.8720000000003</v>
      </c>
      <c r="AH5" s="51">
        <f>SUM(AG4:AG5)</f>
        <v>9769.9000000000015</v>
      </c>
    </row>
    <row r="6" spans="1:36">
      <c r="A6" s="44" t="s">
        <v>103</v>
      </c>
      <c r="B6" s="44" t="s">
        <v>101</v>
      </c>
      <c r="C6" s="52">
        <v>20</v>
      </c>
      <c r="D6" s="53">
        <v>0</v>
      </c>
      <c r="E6" s="53"/>
      <c r="L6" s="42">
        <f t="shared" si="4"/>
        <v>20</v>
      </c>
      <c r="M6" s="42">
        <f t="shared" ref="M6:M22" si="13">M5+L6</f>
        <v>70</v>
      </c>
      <c r="N6" s="42">
        <f t="shared" si="5"/>
        <v>240</v>
      </c>
      <c r="O6" s="45">
        <v>0</v>
      </c>
      <c r="P6" s="46">
        <v>0</v>
      </c>
      <c r="Q6" s="47">
        <v>25</v>
      </c>
      <c r="R6" s="47">
        <v>3</v>
      </c>
      <c r="S6" s="47">
        <f t="shared" si="0"/>
        <v>0</v>
      </c>
      <c r="T6" s="114">
        <v>0</v>
      </c>
      <c r="U6" s="47">
        <v>40</v>
      </c>
      <c r="V6" s="114">
        <f>(L6*200*(0.39/200))</f>
        <v>7.8000000000000007</v>
      </c>
      <c r="W6" s="47">
        <f t="shared" si="6"/>
        <v>36.6</v>
      </c>
      <c r="X6" s="47">
        <f t="shared" si="1"/>
        <v>0.96</v>
      </c>
      <c r="Y6" s="114">
        <v>0</v>
      </c>
      <c r="Z6" s="47">
        <f t="shared" si="7"/>
        <v>6</v>
      </c>
      <c r="AA6" s="47">
        <f t="shared" si="11"/>
        <v>20</v>
      </c>
      <c r="AB6" s="47">
        <f t="shared" si="3"/>
        <v>6.2</v>
      </c>
      <c r="AC6" s="47">
        <f t="shared" si="8"/>
        <v>30</v>
      </c>
      <c r="AD6" s="47">
        <f t="shared" si="9"/>
        <v>8.7780000000000005</v>
      </c>
      <c r="AE6" s="50">
        <f t="shared" si="12"/>
        <v>4.5066691310106897E-2</v>
      </c>
      <c r="AF6" s="42">
        <f>SUM(L3:L6)</f>
        <v>70</v>
      </c>
      <c r="AG6" s="51">
        <f t="shared" si="10"/>
        <v>3865.56</v>
      </c>
      <c r="AH6" s="51">
        <f>SUM(AG3:AG6)</f>
        <v>13635.460000000001</v>
      </c>
    </row>
    <row r="7" spans="1:36">
      <c r="A7" s="44" t="s">
        <v>104</v>
      </c>
      <c r="B7" s="44" t="s">
        <v>101</v>
      </c>
      <c r="C7" s="52">
        <v>28</v>
      </c>
      <c r="D7" s="53">
        <v>0</v>
      </c>
      <c r="E7" s="53"/>
      <c r="L7" s="42">
        <f t="shared" si="4"/>
        <v>28</v>
      </c>
      <c r="M7" s="42">
        <f t="shared" si="13"/>
        <v>98</v>
      </c>
      <c r="N7" s="42">
        <f t="shared" si="5"/>
        <v>336</v>
      </c>
      <c r="O7" s="45">
        <v>2</v>
      </c>
      <c r="P7" s="46">
        <v>690</v>
      </c>
      <c r="Q7" s="47">
        <v>145</v>
      </c>
      <c r="R7" s="47">
        <f>3*4</f>
        <v>12</v>
      </c>
      <c r="S7" s="47">
        <f t="shared" si="0"/>
        <v>46.333333333333336</v>
      </c>
      <c r="T7" s="114">
        <v>0</v>
      </c>
      <c r="U7" s="47">
        <v>40</v>
      </c>
      <c r="V7" s="114">
        <f t="shared" ref="V7:V22" si="14">(L7*200*(0.39/200))</f>
        <v>10.92</v>
      </c>
      <c r="W7" s="47">
        <f t="shared" si="6"/>
        <v>51.24</v>
      </c>
      <c r="X7" s="47">
        <f t="shared" si="1"/>
        <v>1.3440000000000001</v>
      </c>
      <c r="Y7" s="114">
        <v>0</v>
      </c>
      <c r="Z7" s="47">
        <f t="shared" si="7"/>
        <v>6</v>
      </c>
      <c r="AA7" s="47">
        <f t="shared" si="11"/>
        <v>20</v>
      </c>
      <c r="AB7" s="47">
        <f t="shared" si="3"/>
        <v>8.68</v>
      </c>
      <c r="AC7" s="47">
        <f t="shared" si="8"/>
        <v>42</v>
      </c>
      <c r="AD7" s="47">
        <f t="shared" si="9"/>
        <v>38.339904761904769</v>
      </c>
      <c r="AE7" s="50">
        <f t="shared" si="12"/>
        <v>0.17090095853698198</v>
      </c>
      <c r="AF7" s="42">
        <f>SUM(L3:L7)</f>
        <v>98</v>
      </c>
      <c r="AG7" s="51">
        <f t="shared" si="10"/>
        <v>6239.5173333333332</v>
      </c>
      <c r="AH7" s="54">
        <f>SUM(AG3:AG7)</f>
        <v>19874.977333333336</v>
      </c>
    </row>
    <row r="8" spans="1:36">
      <c r="A8" s="44" t="s">
        <v>105</v>
      </c>
      <c r="B8" s="44" t="s">
        <v>106</v>
      </c>
      <c r="C8" s="52">
        <v>25</v>
      </c>
      <c r="D8" s="53">
        <v>40</v>
      </c>
      <c r="E8" s="53"/>
      <c r="F8" s="42">
        <v>20</v>
      </c>
      <c r="L8" s="42">
        <f t="shared" si="4"/>
        <v>85</v>
      </c>
      <c r="M8" s="42">
        <f t="shared" si="13"/>
        <v>183</v>
      </c>
      <c r="N8" s="42">
        <f t="shared" si="5"/>
        <v>1020</v>
      </c>
      <c r="O8" s="45">
        <v>2</v>
      </c>
      <c r="P8" s="46">
        <v>690</v>
      </c>
      <c r="Q8" s="47">
        <f>(9.15*4*B8)+(9.15*2)</f>
        <v>109.8</v>
      </c>
      <c r="R8" s="47">
        <f t="shared" ref="R8:R22" si="15">3*4</f>
        <v>12</v>
      </c>
      <c r="S8" s="47">
        <f t="shared" si="0"/>
        <v>46.333333333333336</v>
      </c>
      <c r="T8" s="114">
        <v>0</v>
      </c>
      <c r="U8" s="47">
        <v>40</v>
      </c>
      <c r="V8" s="114">
        <f t="shared" si="14"/>
        <v>33.150000000000006</v>
      </c>
      <c r="W8" s="47">
        <f t="shared" si="6"/>
        <v>155.54999999999998</v>
      </c>
      <c r="X8" s="47">
        <f t="shared" si="1"/>
        <v>4.08</v>
      </c>
      <c r="Y8" s="114">
        <f>(L8*0.05*0.2)</f>
        <v>0.85000000000000009</v>
      </c>
      <c r="Z8" s="47">
        <f t="shared" si="7"/>
        <v>15</v>
      </c>
      <c r="AA8" s="47">
        <f t="shared" si="11"/>
        <v>50</v>
      </c>
      <c r="AB8" s="47">
        <f t="shared" si="3"/>
        <v>26.35</v>
      </c>
      <c r="AC8" s="47">
        <f t="shared" si="8"/>
        <v>127.5</v>
      </c>
      <c r="AD8" s="47">
        <f t="shared" si="9"/>
        <v>15.418980392156859</v>
      </c>
      <c r="AE8" s="50">
        <f t="shared" si="12"/>
        <v>7.6551774624896596E-2</v>
      </c>
      <c r="AF8" s="42">
        <f>SUM(L3:L8)</f>
        <v>183</v>
      </c>
      <c r="AG8" s="51">
        <f t="shared" si="10"/>
        <v>16993.113333333335</v>
      </c>
      <c r="AH8" s="54">
        <f>SUM(AG3:AG8)</f>
        <v>36868.090666666671</v>
      </c>
    </row>
    <row r="9" spans="1:36">
      <c r="A9" s="44" t="s">
        <v>107</v>
      </c>
      <c r="B9" s="113" t="s">
        <v>172</v>
      </c>
      <c r="C9" s="52">
        <v>20</v>
      </c>
      <c r="D9" s="53">
        <v>40</v>
      </c>
      <c r="E9" s="53">
        <v>20</v>
      </c>
      <c r="F9" s="42">
        <v>20</v>
      </c>
      <c r="G9" s="42">
        <v>15</v>
      </c>
      <c r="K9" s="55"/>
      <c r="L9" s="42">
        <f t="shared" si="4"/>
        <v>115</v>
      </c>
      <c r="M9" s="42">
        <f t="shared" si="13"/>
        <v>298</v>
      </c>
      <c r="N9" s="42">
        <f t="shared" si="5"/>
        <v>1380</v>
      </c>
      <c r="O9" s="45">
        <v>2</v>
      </c>
      <c r="P9" s="46">
        <v>690</v>
      </c>
      <c r="Q9" s="47">
        <f>(9.15*4*4)+(9.15*1)+(9.15*2)</f>
        <v>173.85000000000002</v>
      </c>
      <c r="R9" s="47">
        <f t="shared" si="15"/>
        <v>12</v>
      </c>
      <c r="S9" s="47">
        <f t="shared" si="0"/>
        <v>46.333333333333336</v>
      </c>
      <c r="T9" s="114">
        <v>20.84</v>
      </c>
      <c r="U9" s="47">
        <v>40</v>
      </c>
      <c r="V9" s="114">
        <f t="shared" si="14"/>
        <v>44.85</v>
      </c>
      <c r="W9" s="47">
        <f t="shared" si="6"/>
        <v>210.45</v>
      </c>
      <c r="X9" s="47">
        <f t="shared" si="1"/>
        <v>5.52</v>
      </c>
      <c r="Y9" s="114">
        <f t="shared" ref="Y9:Y22" si="16">(L9*0.05*0.2)</f>
        <v>1.1500000000000001</v>
      </c>
      <c r="Z9" s="47">
        <f t="shared" si="7"/>
        <v>30</v>
      </c>
      <c r="AA9" s="47">
        <f t="shared" si="11"/>
        <v>100</v>
      </c>
      <c r="AB9" s="47">
        <f t="shared" si="3"/>
        <v>35.65</v>
      </c>
      <c r="AC9" s="47">
        <f t="shared" si="8"/>
        <v>172.5</v>
      </c>
      <c r="AD9" s="47">
        <f t="shared" si="9"/>
        <v>13.766463768115944</v>
      </c>
      <c r="AE9" s="50">
        <f t="shared" si="12"/>
        <v>6.8912787003606965E-2</v>
      </c>
      <c r="AF9" s="42">
        <f>SUM(L3:L9)</f>
        <v>298</v>
      </c>
      <c r="AG9" s="51">
        <f t="shared" si="10"/>
        <v>22800.643333333333</v>
      </c>
      <c r="AH9" s="54">
        <f>SUM(AG3:AG9)</f>
        <v>59668.734000000004</v>
      </c>
    </row>
    <row r="10" spans="1:36">
      <c r="A10" s="44" t="s">
        <v>108</v>
      </c>
      <c r="B10" s="113" t="s">
        <v>172</v>
      </c>
      <c r="C10" s="56">
        <v>20</v>
      </c>
      <c r="D10" s="57">
        <v>40</v>
      </c>
      <c r="E10" s="57">
        <v>20</v>
      </c>
      <c r="F10" s="58">
        <v>20</v>
      </c>
      <c r="G10" s="58">
        <v>15</v>
      </c>
      <c r="H10" s="58"/>
      <c r="K10" s="59"/>
      <c r="L10" s="58">
        <f t="shared" si="4"/>
        <v>115</v>
      </c>
      <c r="M10" s="58">
        <f t="shared" si="13"/>
        <v>413</v>
      </c>
      <c r="N10" s="42">
        <f t="shared" si="5"/>
        <v>1380</v>
      </c>
      <c r="O10" s="45">
        <v>2</v>
      </c>
      <c r="P10" s="60">
        <v>690</v>
      </c>
      <c r="Q10" s="61">
        <f>(9.15*4*4)+(9.15*1)+(9.15*2)</f>
        <v>173.85000000000002</v>
      </c>
      <c r="R10" s="61">
        <f t="shared" si="15"/>
        <v>12</v>
      </c>
      <c r="S10" s="61">
        <f t="shared" si="0"/>
        <v>46.333333333333336</v>
      </c>
      <c r="T10" s="115">
        <v>20.84</v>
      </c>
      <c r="U10" s="61">
        <v>40</v>
      </c>
      <c r="V10" s="115">
        <f t="shared" si="14"/>
        <v>44.85</v>
      </c>
      <c r="W10" s="61">
        <f t="shared" si="6"/>
        <v>210.45</v>
      </c>
      <c r="X10" s="61">
        <f t="shared" si="1"/>
        <v>5.52</v>
      </c>
      <c r="Y10" s="115">
        <f t="shared" si="16"/>
        <v>1.1500000000000001</v>
      </c>
      <c r="Z10" s="61">
        <f t="shared" si="7"/>
        <v>30</v>
      </c>
      <c r="AA10" s="61">
        <f t="shared" si="11"/>
        <v>100</v>
      </c>
      <c r="AB10" s="61">
        <f t="shared" si="3"/>
        <v>35.65</v>
      </c>
      <c r="AC10" s="61">
        <f t="shared" si="8"/>
        <v>172.5</v>
      </c>
      <c r="AD10" s="61">
        <f t="shared" si="9"/>
        <v>13.766463768115944</v>
      </c>
      <c r="AE10" s="62">
        <f t="shared" si="12"/>
        <v>6.8912787003606965E-2</v>
      </c>
      <c r="AF10" s="58">
        <f>SUM(L3:L10)</f>
        <v>413</v>
      </c>
      <c r="AG10" s="63">
        <f t="shared" si="10"/>
        <v>22800.643333333333</v>
      </c>
      <c r="AH10" s="64">
        <f>SUM(AG3:AG10)</f>
        <v>82469.377333333337</v>
      </c>
      <c r="AI10" s="110" t="s">
        <v>173</v>
      </c>
      <c r="AJ10" s="51">
        <f>M10*186</f>
        <v>76818</v>
      </c>
    </row>
    <row r="11" spans="1:36">
      <c r="A11" s="65" t="s">
        <v>109</v>
      </c>
      <c r="B11" s="66">
        <v>8</v>
      </c>
      <c r="C11" s="67">
        <f>20/2</f>
        <v>10</v>
      </c>
      <c r="D11" s="75">
        <v>40</v>
      </c>
      <c r="E11" s="75">
        <v>20</v>
      </c>
      <c r="F11" s="42">
        <v>20</v>
      </c>
      <c r="G11" s="42">
        <v>15</v>
      </c>
      <c r="H11" s="42">
        <v>9</v>
      </c>
      <c r="I11" s="68">
        <v>8</v>
      </c>
      <c r="J11" s="68">
        <v>7</v>
      </c>
      <c r="K11" s="82" t="s">
        <v>43</v>
      </c>
      <c r="L11" s="42">
        <f t="shared" si="4"/>
        <v>129</v>
      </c>
      <c r="M11" s="42">
        <f t="shared" si="13"/>
        <v>542</v>
      </c>
      <c r="N11" s="68">
        <f t="shared" si="5"/>
        <v>1548</v>
      </c>
      <c r="O11" s="69">
        <v>2</v>
      </c>
      <c r="P11" s="46">
        <v>690</v>
      </c>
      <c r="Q11" s="47">
        <f>(9.15*4*4)+(9.15*4*1)+(9.15*2)</f>
        <v>201.3</v>
      </c>
      <c r="R11" s="47">
        <f t="shared" si="15"/>
        <v>12</v>
      </c>
      <c r="S11" s="47">
        <f t="shared" si="0"/>
        <v>46.333333333333336</v>
      </c>
      <c r="T11" s="114">
        <v>20.84</v>
      </c>
      <c r="U11" s="47">
        <v>40</v>
      </c>
      <c r="V11" s="114">
        <f t="shared" si="14"/>
        <v>50.31</v>
      </c>
      <c r="W11" s="47">
        <f t="shared" si="6"/>
        <v>236.07</v>
      </c>
      <c r="X11" s="47">
        <f t="shared" si="1"/>
        <v>6.1920000000000002</v>
      </c>
      <c r="Y11" s="114">
        <f t="shared" si="16"/>
        <v>1.29</v>
      </c>
      <c r="Z11" s="47">
        <f t="shared" si="7"/>
        <v>48</v>
      </c>
      <c r="AA11" s="47">
        <f t="shared" si="11"/>
        <v>160</v>
      </c>
      <c r="AB11" s="47">
        <f t="shared" si="3"/>
        <v>39.99</v>
      </c>
      <c r="AC11" s="47">
        <f t="shared" si="8"/>
        <v>193.5</v>
      </c>
      <c r="AD11" s="47">
        <f t="shared" si="9"/>
        <v>13.533529715762272</v>
      </c>
      <c r="AE11" s="50">
        <f t="shared" si="12"/>
        <v>6.7825842278442794E-2</v>
      </c>
      <c r="AF11" s="42">
        <f>SUM(L3:L11)</f>
        <v>542</v>
      </c>
      <c r="AG11" s="51">
        <f t="shared" si="10"/>
        <v>25546.325333333334</v>
      </c>
      <c r="AH11" s="54">
        <f>SUM(AG3:AG11)</f>
        <v>108015.70266666668</v>
      </c>
      <c r="AI11" s="110" t="s">
        <v>174</v>
      </c>
      <c r="AJ11" s="51">
        <f>AH10-AJ10</f>
        <v>5651.3773333333374</v>
      </c>
    </row>
    <row r="12" spans="1:36">
      <c r="A12" s="70" t="s">
        <v>110</v>
      </c>
      <c r="B12" s="71">
        <v>8</v>
      </c>
      <c r="C12" s="67">
        <f t="shared" ref="C12:C19" si="17">20/2</f>
        <v>10</v>
      </c>
      <c r="D12" s="75">
        <v>40</v>
      </c>
      <c r="E12" s="75">
        <v>20</v>
      </c>
      <c r="F12" s="42">
        <v>20</v>
      </c>
      <c r="G12" s="42">
        <v>15</v>
      </c>
      <c r="H12" s="42">
        <v>9</v>
      </c>
      <c r="I12" s="72">
        <v>8</v>
      </c>
      <c r="J12" s="72">
        <v>7</v>
      </c>
      <c r="K12" s="82" t="s">
        <v>43</v>
      </c>
      <c r="L12" s="42">
        <f t="shared" si="4"/>
        <v>129</v>
      </c>
      <c r="M12" s="42">
        <f t="shared" si="13"/>
        <v>671</v>
      </c>
      <c r="N12" s="72">
        <f t="shared" si="5"/>
        <v>1548</v>
      </c>
      <c r="O12" s="73">
        <v>2</v>
      </c>
      <c r="P12" s="46">
        <v>690</v>
      </c>
      <c r="Q12" s="47">
        <f t="shared" ref="Q12:Q22" si="18">(9.15*4*4)+(9.15*4*1)+(9.15*2)</f>
        <v>201.3</v>
      </c>
      <c r="R12" s="47">
        <f t="shared" si="15"/>
        <v>12</v>
      </c>
      <c r="S12" s="47">
        <f t="shared" si="0"/>
        <v>46.333333333333336</v>
      </c>
      <c r="T12" s="114">
        <v>20.84</v>
      </c>
      <c r="U12" s="47">
        <v>40</v>
      </c>
      <c r="V12" s="114">
        <f t="shared" si="14"/>
        <v>50.31</v>
      </c>
      <c r="W12" s="47">
        <f t="shared" si="6"/>
        <v>236.07</v>
      </c>
      <c r="X12" s="47">
        <f t="shared" si="1"/>
        <v>6.1920000000000002</v>
      </c>
      <c r="Y12" s="114">
        <f t="shared" si="16"/>
        <v>1.29</v>
      </c>
      <c r="Z12" s="47">
        <f t="shared" si="7"/>
        <v>48</v>
      </c>
      <c r="AA12" s="47">
        <f t="shared" si="11"/>
        <v>160</v>
      </c>
      <c r="AB12" s="47">
        <f t="shared" si="3"/>
        <v>39.99</v>
      </c>
      <c r="AC12" s="47">
        <f t="shared" si="8"/>
        <v>193.5</v>
      </c>
      <c r="AD12" s="47">
        <f t="shared" si="9"/>
        <v>13.533529715762272</v>
      </c>
      <c r="AE12" s="50">
        <f t="shared" si="12"/>
        <v>6.7825842278442794E-2</v>
      </c>
      <c r="AF12" s="42">
        <f>SUM(L3:L12)</f>
        <v>671</v>
      </c>
      <c r="AG12" s="51">
        <f t="shared" si="10"/>
        <v>25546.325333333334</v>
      </c>
      <c r="AH12" s="54">
        <f>SUM(AG3:AG12)</f>
        <v>133562.02800000002</v>
      </c>
      <c r="AI12" s="42" t="s">
        <v>111</v>
      </c>
      <c r="AJ12" s="51">
        <f>SUM(AJ10:AJ11)</f>
        <v>82469.377333333337</v>
      </c>
    </row>
    <row r="13" spans="1:36">
      <c r="A13" s="70" t="s">
        <v>23</v>
      </c>
      <c r="B13" s="71">
        <v>8</v>
      </c>
      <c r="C13" s="67">
        <f t="shared" si="17"/>
        <v>10</v>
      </c>
      <c r="D13" s="67">
        <v>20</v>
      </c>
      <c r="E13" s="67">
        <v>10</v>
      </c>
      <c r="F13" s="42">
        <v>20</v>
      </c>
      <c r="G13" s="42">
        <v>15</v>
      </c>
      <c r="H13" s="42">
        <v>9</v>
      </c>
      <c r="I13" s="72">
        <v>8</v>
      </c>
      <c r="J13" s="72">
        <v>7</v>
      </c>
      <c r="K13" s="82" t="s">
        <v>43</v>
      </c>
      <c r="L13" s="42">
        <f t="shared" si="4"/>
        <v>99</v>
      </c>
      <c r="M13" s="42">
        <f t="shared" si="13"/>
        <v>770</v>
      </c>
      <c r="N13" s="72">
        <f t="shared" si="5"/>
        <v>1188</v>
      </c>
      <c r="O13" s="73">
        <v>2</v>
      </c>
      <c r="P13" s="46">
        <v>690</v>
      </c>
      <c r="Q13" s="47">
        <f t="shared" si="18"/>
        <v>201.3</v>
      </c>
      <c r="R13" s="47">
        <f t="shared" si="15"/>
        <v>12</v>
      </c>
      <c r="S13" s="47">
        <f t="shared" si="0"/>
        <v>46.333333333333336</v>
      </c>
      <c r="T13" s="114">
        <v>20.84</v>
      </c>
      <c r="U13" s="47">
        <v>40</v>
      </c>
      <c r="V13" s="114">
        <f t="shared" si="14"/>
        <v>38.61</v>
      </c>
      <c r="W13" s="47">
        <f t="shared" si="6"/>
        <v>181.17</v>
      </c>
      <c r="X13" s="47">
        <f t="shared" si="1"/>
        <v>4.7519999999999998</v>
      </c>
      <c r="Y13" s="114">
        <f t="shared" si="16"/>
        <v>0.9900000000000001</v>
      </c>
      <c r="Z13" s="47">
        <f t="shared" si="7"/>
        <v>48</v>
      </c>
      <c r="AA13" s="47">
        <f t="shared" si="11"/>
        <v>160</v>
      </c>
      <c r="AB13" s="47">
        <f t="shared" si="3"/>
        <v>30.69</v>
      </c>
      <c r="AC13" s="47">
        <f t="shared" si="8"/>
        <v>148.5</v>
      </c>
      <c r="AD13" s="47">
        <f t="shared" si="9"/>
        <v>16.395811447811447</v>
      </c>
      <c r="AE13" s="50">
        <f t="shared" si="12"/>
        <v>8.1008649984039671E-2</v>
      </c>
      <c r="AF13" s="42">
        <f>SUM(L3:L13)</f>
        <v>770</v>
      </c>
      <c r="AG13" s="51">
        <f t="shared" si="10"/>
        <v>19888.685333333335</v>
      </c>
      <c r="AH13" s="54">
        <f>SUM(AG3:AG13)</f>
        <v>153450.71333333335</v>
      </c>
    </row>
    <row r="14" spans="1:36">
      <c r="A14" s="70" t="s">
        <v>24</v>
      </c>
      <c r="B14" s="71">
        <v>8</v>
      </c>
      <c r="C14" s="67">
        <f t="shared" si="17"/>
        <v>10</v>
      </c>
      <c r="D14" s="67">
        <v>20</v>
      </c>
      <c r="E14" s="67">
        <v>10</v>
      </c>
      <c r="F14" s="42">
        <v>20</v>
      </c>
      <c r="G14" s="42">
        <v>15</v>
      </c>
      <c r="H14" s="42">
        <v>9</v>
      </c>
      <c r="I14" s="74">
        <v>8</v>
      </c>
      <c r="J14" s="74">
        <v>7</v>
      </c>
      <c r="K14" s="82" t="s">
        <v>43</v>
      </c>
      <c r="L14" s="42">
        <f t="shared" si="4"/>
        <v>99</v>
      </c>
      <c r="M14" s="42">
        <f t="shared" si="13"/>
        <v>869</v>
      </c>
      <c r="N14" s="72">
        <f t="shared" si="5"/>
        <v>1188</v>
      </c>
      <c r="O14" s="73">
        <v>2</v>
      </c>
      <c r="P14" s="46">
        <v>690</v>
      </c>
      <c r="Q14" s="47">
        <f t="shared" si="18"/>
        <v>201.3</v>
      </c>
      <c r="R14" s="47">
        <f t="shared" si="15"/>
        <v>12</v>
      </c>
      <c r="S14" s="47">
        <f t="shared" si="0"/>
        <v>46.333333333333336</v>
      </c>
      <c r="T14" s="114">
        <v>20.84</v>
      </c>
      <c r="U14" s="47">
        <v>40</v>
      </c>
      <c r="V14" s="114">
        <f t="shared" si="14"/>
        <v>38.61</v>
      </c>
      <c r="W14" s="47">
        <f t="shared" si="6"/>
        <v>181.17</v>
      </c>
      <c r="X14" s="47">
        <f t="shared" si="1"/>
        <v>4.7519999999999998</v>
      </c>
      <c r="Y14" s="114">
        <f t="shared" si="16"/>
        <v>0.9900000000000001</v>
      </c>
      <c r="Z14" s="47">
        <f t="shared" si="7"/>
        <v>48</v>
      </c>
      <c r="AA14" s="47">
        <f t="shared" si="11"/>
        <v>160</v>
      </c>
      <c r="AB14" s="47">
        <f t="shared" si="3"/>
        <v>30.69</v>
      </c>
      <c r="AC14" s="47">
        <f t="shared" si="8"/>
        <v>148.5</v>
      </c>
      <c r="AD14" s="47">
        <f t="shared" si="9"/>
        <v>16.395811447811447</v>
      </c>
      <c r="AE14" s="50">
        <f t="shared" si="12"/>
        <v>8.1008649984039671E-2</v>
      </c>
      <c r="AF14" s="42">
        <f>SUM(L3:L14)</f>
        <v>869</v>
      </c>
      <c r="AG14" s="51">
        <f t="shared" si="10"/>
        <v>19888.685333333335</v>
      </c>
      <c r="AH14" s="54">
        <f>SUM(AG3:AG14)</f>
        <v>173339.39866666668</v>
      </c>
    </row>
    <row r="15" spans="1:36">
      <c r="A15" s="70" t="s">
        <v>25</v>
      </c>
      <c r="B15" s="71">
        <v>8</v>
      </c>
      <c r="C15" s="67">
        <f t="shared" si="17"/>
        <v>10</v>
      </c>
      <c r="D15" s="67">
        <v>20</v>
      </c>
      <c r="E15" s="67">
        <v>10</v>
      </c>
      <c r="F15" s="42">
        <v>20</v>
      </c>
      <c r="G15" s="42">
        <v>15</v>
      </c>
      <c r="H15" s="42">
        <v>9</v>
      </c>
      <c r="I15" s="74">
        <v>8</v>
      </c>
      <c r="J15" s="74">
        <v>7</v>
      </c>
      <c r="K15" s="82" t="s">
        <v>43</v>
      </c>
      <c r="L15" s="42">
        <f t="shared" si="4"/>
        <v>99</v>
      </c>
      <c r="M15" s="42">
        <f t="shared" si="13"/>
        <v>968</v>
      </c>
      <c r="N15" s="72">
        <f t="shared" si="5"/>
        <v>1188</v>
      </c>
      <c r="O15" s="73">
        <v>2</v>
      </c>
      <c r="P15" s="46">
        <v>690</v>
      </c>
      <c r="Q15" s="47">
        <f t="shared" si="18"/>
        <v>201.3</v>
      </c>
      <c r="R15" s="47">
        <f t="shared" si="15"/>
        <v>12</v>
      </c>
      <c r="S15" s="47">
        <f t="shared" si="0"/>
        <v>46.333333333333336</v>
      </c>
      <c r="T15" s="114">
        <v>20.84</v>
      </c>
      <c r="U15" s="47">
        <v>40</v>
      </c>
      <c r="V15" s="114">
        <f t="shared" si="14"/>
        <v>38.61</v>
      </c>
      <c r="W15" s="47">
        <f t="shared" si="6"/>
        <v>181.17</v>
      </c>
      <c r="X15" s="47">
        <f t="shared" si="1"/>
        <v>4.7519999999999998</v>
      </c>
      <c r="Y15" s="114">
        <f t="shared" si="16"/>
        <v>0.9900000000000001</v>
      </c>
      <c r="Z15" s="47">
        <f t="shared" si="7"/>
        <v>48</v>
      </c>
      <c r="AA15" s="47">
        <f t="shared" si="11"/>
        <v>160</v>
      </c>
      <c r="AB15" s="47">
        <f t="shared" si="3"/>
        <v>30.69</v>
      </c>
      <c r="AC15" s="47">
        <f t="shared" si="8"/>
        <v>148.5</v>
      </c>
      <c r="AD15" s="47">
        <f t="shared" si="9"/>
        <v>16.395811447811447</v>
      </c>
      <c r="AE15" s="50">
        <f t="shared" si="12"/>
        <v>8.1008649984039671E-2</v>
      </c>
      <c r="AF15" s="53">
        <f>SUM(L3:L15)</f>
        <v>968</v>
      </c>
      <c r="AG15" s="51">
        <f t="shared" si="10"/>
        <v>19888.685333333335</v>
      </c>
      <c r="AH15" s="54">
        <f>SUM(AG3:AG15)</f>
        <v>193228.084</v>
      </c>
    </row>
    <row r="16" spans="1:36">
      <c r="A16" s="70" t="s">
        <v>26</v>
      </c>
      <c r="B16" s="71">
        <v>8</v>
      </c>
      <c r="C16" s="67">
        <f t="shared" si="17"/>
        <v>10</v>
      </c>
      <c r="D16" s="67">
        <v>20</v>
      </c>
      <c r="E16" s="67">
        <v>10</v>
      </c>
      <c r="F16" s="42">
        <v>20</v>
      </c>
      <c r="G16" s="42">
        <v>15</v>
      </c>
      <c r="H16" s="42">
        <v>9</v>
      </c>
      <c r="I16" s="74">
        <v>8</v>
      </c>
      <c r="J16" s="74">
        <v>7</v>
      </c>
      <c r="K16" s="82" t="s">
        <v>43</v>
      </c>
      <c r="L16" s="42">
        <f t="shared" si="4"/>
        <v>99</v>
      </c>
      <c r="M16" s="42">
        <f t="shared" si="13"/>
        <v>1067</v>
      </c>
      <c r="N16" s="72">
        <f t="shared" si="5"/>
        <v>1188</v>
      </c>
      <c r="O16" s="73">
        <v>2</v>
      </c>
      <c r="P16" s="46">
        <v>690</v>
      </c>
      <c r="Q16" s="47">
        <f t="shared" si="18"/>
        <v>201.3</v>
      </c>
      <c r="R16" s="47">
        <f t="shared" si="15"/>
        <v>12</v>
      </c>
      <c r="S16" s="47">
        <f t="shared" si="0"/>
        <v>46.333333333333336</v>
      </c>
      <c r="T16" s="114">
        <v>20.84</v>
      </c>
      <c r="U16" s="47">
        <v>40</v>
      </c>
      <c r="V16" s="114">
        <f t="shared" si="14"/>
        <v>38.61</v>
      </c>
      <c r="W16" s="47">
        <f t="shared" si="6"/>
        <v>181.17</v>
      </c>
      <c r="X16" s="47">
        <f t="shared" si="1"/>
        <v>4.7519999999999998</v>
      </c>
      <c r="Y16" s="114">
        <f t="shared" si="16"/>
        <v>0.9900000000000001</v>
      </c>
      <c r="Z16" s="47">
        <f t="shared" si="7"/>
        <v>48</v>
      </c>
      <c r="AA16" s="47">
        <f t="shared" si="11"/>
        <v>160</v>
      </c>
      <c r="AB16" s="47">
        <f t="shared" si="3"/>
        <v>30.69</v>
      </c>
      <c r="AC16" s="47">
        <f t="shared" si="8"/>
        <v>148.5</v>
      </c>
      <c r="AD16" s="47">
        <f t="shared" si="9"/>
        <v>16.395811447811447</v>
      </c>
      <c r="AE16" s="50">
        <f t="shared" si="12"/>
        <v>8.1008649984039671E-2</v>
      </c>
      <c r="AF16" s="42">
        <f>SUM(L3:L16)</f>
        <v>1067</v>
      </c>
      <c r="AG16" s="51">
        <f t="shared" si="10"/>
        <v>19888.685333333335</v>
      </c>
      <c r="AH16" s="54">
        <f>SUM(AG3:AG16)</f>
        <v>213116.76933333333</v>
      </c>
    </row>
    <row r="17" spans="1:38">
      <c r="A17" s="70" t="s">
        <v>27</v>
      </c>
      <c r="B17" s="71">
        <v>8</v>
      </c>
      <c r="C17" s="67">
        <f t="shared" si="17"/>
        <v>10</v>
      </c>
      <c r="D17" s="67">
        <v>20</v>
      </c>
      <c r="E17" s="67">
        <v>10</v>
      </c>
      <c r="F17" s="42">
        <v>20</v>
      </c>
      <c r="G17" s="42">
        <v>15</v>
      </c>
      <c r="H17" s="42">
        <v>9</v>
      </c>
      <c r="I17" s="74">
        <v>8</v>
      </c>
      <c r="J17" s="74">
        <v>7</v>
      </c>
      <c r="K17" s="82" t="s">
        <v>43</v>
      </c>
      <c r="L17" s="42">
        <f t="shared" si="4"/>
        <v>99</v>
      </c>
      <c r="M17" s="42">
        <f t="shared" si="13"/>
        <v>1166</v>
      </c>
      <c r="N17" s="72">
        <f t="shared" si="5"/>
        <v>1188</v>
      </c>
      <c r="O17" s="73">
        <v>2</v>
      </c>
      <c r="P17" s="46">
        <v>690</v>
      </c>
      <c r="Q17" s="47">
        <f t="shared" si="18"/>
        <v>201.3</v>
      </c>
      <c r="R17" s="47">
        <f t="shared" si="15"/>
        <v>12</v>
      </c>
      <c r="S17" s="47">
        <f t="shared" si="0"/>
        <v>46.333333333333336</v>
      </c>
      <c r="T17" s="114">
        <v>20.84</v>
      </c>
      <c r="U17" s="47">
        <v>40</v>
      </c>
      <c r="V17" s="114">
        <f t="shared" si="14"/>
        <v>38.61</v>
      </c>
      <c r="W17" s="47">
        <f t="shared" si="6"/>
        <v>181.17</v>
      </c>
      <c r="X17" s="47">
        <f t="shared" si="1"/>
        <v>4.7519999999999998</v>
      </c>
      <c r="Y17" s="114">
        <f t="shared" si="16"/>
        <v>0.9900000000000001</v>
      </c>
      <c r="Z17" s="47">
        <f t="shared" si="7"/>
        <v>48</v>
      </c>
      <c r="AA17" s="47">
        <f t="shared" si="11"/>
        <v>160</v>
      </c>
      <c r="AB17" s="47">
        <f t="shared" si="3"/>
        <v>30.69</v>
      </c>
      <c r="AC17" s="47">
        <f t="shared" si="8"/>
        <v>148.5</v>
      </c>
      <c r="AD17" s="47">
        <f t="shared" si="9"/>
        <v>16.395811447811447</v>
      </c>
      <c r="AE17" s="50">
        <f t="shared" si="12"/>
        <v>8.1008649984039671E-2</v>
      </c>
      <c r="AF17" s="42">
        <f>SUM(L3:L17)</f>
        <v>1166</v>
      </c>
      <c r="AG17" s="51">
        <f t="shared" si="10"/>
        <v>19888.685333333335</v>
      </c>
      <c r="AH17" s="54">
        <f>SUM(AG3:AG17)</f>
        <v>233005.45466666666</v>
      </c>
    </row>
    <row r="18" spans="1:38">
      <c r="A18" s="70" t="s">
        <v>28</v>
      </c>
      <c r="B18" s="71">
        <v>8</v>
      </c>
      <c r="C18" s="67">
        <f t="shared" si="17"/>
        <v>10</v>
      </c>
      <c r="D18" s="67">
        <v>20</v>
      </c>
      <c r="E18" s="67">
        <v>10</v>
      </c>
      <c r="F18" s="42">
        <v>20</v>
      </c>
      <c r="G18" s="42">
        <v>15</v>
      </c>
      <c r="H18" s="42">
        <v>9</v>
      </c>
      <c r="I18" s="74">
        <v>8</v>
      </c>
      <c r="J18" s="74">
        <v>7</v>
      </c>
      <c r="K18" s="82" t="s">
        <v>43</v>
      </c>
      <c r="L18" s="42">
        <f t="shared" si="4"/>
        <v>99</v>
      </c>
      <c r="M18" s="42">
        <f t="shared" si="13"/>
        <v>1265</v>
      </c>
      <c r="N18" s="72">
        <f t="shared" si="5"/>
        <v>1188</v>
      </c>
      <c r="O18" s="73">
        <v>2</v>
      </c>
      <c r="P18" s="46">
        <v>690</v>
      </c>
      <c r="Q18" s="47">
        <f t="shared" si="18"/>
        <v>201.3</v>
      </c>
      <c r="R18" s="47">
        <f t="shared" si="15"/>
        <v>12</v>
      </c>
      <c r="S18" s="47">
        <f t="shared" si="0"/>
        <v>46.333333333333336</v>
      </c>
      <c r="T18" s="114">
        <v>20.84</v>
      </c>
      <c r="U18" s="47">
        <v>40</v>
      </c>
      <c r="V18" s="114">
        <f t="shared" si="14"/>
        <v>38.61</v>
      </c>
      <c r="W18" s="47">
        <f t="shared" si="6"/>
        <v>181.17</v>
      </c>
      <c r="X18" s="47">
        <f t="shared" si="1"/>
        <v>4.7519999999999998</v>
      </c>
      <c r="Y18" s="114">
        <f t="shared" si="16"/>
        <v>0.9900000000000001</v>
      </c>
      <c r="Z18" s="47">
        <f t="shared" si="7"/>
        <v>48</v>
      </c>
      <c r="AA18" s="47">
        <f t="shared" si="11"/>
        <v>160</v>
      </c>
      <c r="AB18" s="47">
        <f t="shared" si="3"/>
        <v>30.69</v>
      </c>
      <c r="AC18" s="47">
        <f t="shared" si="8"/>
        <v>148.5</v>
      </c>
      <c r="AD18" s="47">
        <f t="shared" si="9"/>
        <v>16.395811447811447</v>
      </c>
      <c r="AE18" s="50">
        <f t="shared" si="12"/>
        <v>8.1008649984039671E-2</v>
      </c>
      <c r="AF18" s="42">
        <f>SUM(L3:L18)</f>
        <v>1265</v>
      </c>
      <c r="AG18" s="51">
        <f t="shared" si="10"/>
        <v>19888.685333333335</v>
      </c>
      <c r="AH18" s="54">
        <f>SUM(AG3:AG18)</f>
        <v>252894.13999999998</v>
      </c>
    </row>
    <row r="19" spans="1:38">
      <c r="A19" s="70" t="s">
        <v>29</v>
      </c>
      <c r="B19" s="71">
        <v>8</v>
      </c>
      <c r="C19" s="67">
        <f t="shared" si="17"/>
        <v>10</v>
      </c>
      <c r="D19" s="67">
        <v>20</v>
      </c>
      <c r="E19" s="67">
        <v>10</v>
      </c>
      <c r="F19" s="42">
        <v>20</v>
      </c>
      <c r="G19" s="42">
        <v>15</v>
      </c>
      <c r="H19" s="42">
        <v>9</v>
      </c>
      <c r="I19" s="74">
        <v>8</v>
      </c>
      <c r="J19" s="74">
        <v>7</v>
      </c>
      <c r="K19" s="82" t="s">
        <v>43</v>
      </c>
      <c r="L19" s="42">
        <f t="shared" si="4"/>
        <v>99</v>
      </c>
      <c r="M19" s="42">
        <f t="shared" si="13"/>
        <v>1364</v>
      </c>
      <c r="N19" s="72">
        <f t="shared" si="5"/>
        <v>1188</v>
      </c>
      <c r="O19" s="73">
        <v>2</v>
      </c>
      <c r="P19" s="46">
        <v>690</v>
      </c>
      <c r="Q19" s="47">
        <f t="shared" si="18"/>
        <v>201.3</v>
      </c>
      <c r="R19" s="47">
        <f t="shared" si="15"/>
        <v>12</v>
      </c>
      <c r="S19" s="47">
        <f t="shared" si="0"/>
        <v>46.333333333333336</v>
      </c>
      <c r="T19" s="114">
        <v>20.84</v>
      </c>
      <c r="U19" s="47">
        <v>40</v>
      </c>
      <c r="V19" s="114">
        <f t="shared" si="14"/>
        <v>38.61</v>
      </c>
      <c r="W19" s="47">
        <f t="shared" si="6"/>
        <v>181.17</v>
      </c>
      <c r="X19" s="47">
        <f t="shared" si="1"/>
        <v>4.7519999999999998</v>
      </c>
      <c r="Y19" s="114">
        <f t="shared" si="16"/>
        <v>0.9900000000000001</v>
      </c>
      <c r="Z19" s="47">
        <f t="shared" si="7"/>
        <v>48</v>
      </c>
      <c r="AA19" s="47">
        <f t="shared" si="11"/>
        <v>160</v>
      </c>
      <c r="AB19" s="47">
        <f t="shared" si="3"/>
        <v>30.69</v>
      </c>
      <c r="AC19" s="47">
        <f t="shared" si="8"/>
        <v>148.5</v>
      </c>
      <c r="AD19" s="47">
        <f t="shared" si="9"/>
        <v>16.395811447811447</v>
      </c>
      <c r="AE19" s="50">
        <f t="shared" si="12"/>
        <v>8.1008649984039671E-2</v>
      </c>
      <c r="AF19" s="42">
        <f>SUM(L3:L19)</f>
        <v>1364</v>
      </c>
      <c r="AG19" s="51">
        <f t="shared" si="10"/>
        <v>19888.685333333335</v>
      </c>
      <c r="AH19" s="54">
        <f>SUM(AG3:AG19)</f>
        <v>272782.82533333334</v>
      </c>
    </row>
    <row r="20" spans="1:38">
      <c r="A20" s="70" t="s">
        <v>30</v>
      </c>
      <c r="B20" s="71">
        <v>8</v>
      </c>
      <c r="C20" s="52">
        <v>20</v>
      </c>
      <c r="D20" s="75">
        <v>40</v>
      </c>
      <c r="E20" s="75">
        <v>20</v>
      </c>
      <c r="F20" s="42">
        <v>20</v>
      </c>
      <c r="G20" s="42">
        <v>15</v>
      </c>
      <c r="H20" s="42">
        <v>9</v>
      </c>
      <c r="I20" s="74">
        <v>8</v>
      </c>
      <c r="J20" s="74">
        <v>7</v>
      </c>
      <c r="K20" s="82" t="s">
        <v>43</v>
      </c>
      <c r="L20" s="42">
        <f t="shared" si="4"/>
        <v>139</v>
      </c>
      <c r="M20" s="42">
        <f t="shared" si="13"/>
        <v>1503</v>
      </c>
      <c r="N20" s="72">
        <f t="shared" si="5"/>
        <v>1668</v>
      </c>
      <c r="O20" s="73">
        <v>2</v>
      </c>
      <c r="P20" s="46">
        <v>690</v>
      </c>
      <c r="Q20" s="47">
        <f t="shared" si="18"/>
        <v>201.3</v>
      </c>
      <c r="R20" s="47">
        <f t="shared" si="15"/>
        <v>12</v>
      </c>
      <c r="S20" s="47">
        <f t="shared" si="0"/>
        <v>46.333333333333336</v>
      </c>
      <c r="T20" s="114">
        <v>20.84</v>
      </c>
      <c r="U20" s="47">
        <v>40</v>
      </c>
      <c r="V20" s="114">
        <f t="shared" si="14"/>
        <v>54.21</v>
      </c>
      <c r="W20" s="47">
        <f t="shared" si="6"/>
        <v>254.37</v>
      </c>
      <c r="X20" s="47">
        <f t="shared" si="1"/>
        <v>6.6719999999999997</v>
      </c>
      <c r="Y20" s="114">
        <f t="shared" si="16"/>
        <v>1.3900000000000001</v>
      </c>
      <c r="Z20" s="47">
        <f t="shared" si="7"/>
        <v>48</v>
      </c>
      <c r="AA20" s="47">
        <f t="shared" si="11"/>
        <v>160</v>
      </c>
      <c r="AB20" s="47">
        <f t="shared" si="3"/>
        <v>43.089999999999996</v>
      </c>
      <c r="AC20" s="47">
        <f t="shared" si="8"/>
        <v>208.5</v>
      </c>
      <c r="AD20" s="47">
        <f t="shared" si="9"/>
        <v>12.853995203836931</v>
      </c>
      <c r="AE20" s="50">
        <f t="shared" si="12"/>
        <v>6.4640366871486984E-2</v>
      </c>
      <c r="AF20" s="42">
        <f>SUM(L3:L20)</f>
        <v>1503</v>
      </c>
      <c r="AG20" s="51">
        <f t="shared" si="10"/>
        <v>27432.205333333332</v>
      </c>
      <c r="AH20" s="54">
        <f>SUM(AG3:AG20)</f>
        <v>300215.03066666669</v>
      </c>
      <c r="AI20" s="110" t="s">
        <v>159</v>
      </c>
      <c r="AJ20" s="76">
        <f>(M22-M10)*186</f>
        <v>254448</v>
      </c>
    </row>
    <row r="21" spans="1:38">
      <c r="A21" s="70" t="s">
        <v>31</v>
      </c>
      <c r="B21" s="71">
        <v>8</v>
      </c>
      <c r="C21" s="52">
        <v>20</v>
      </c>
      <c r="D21" s="75">
        <v>40</v>
      </c>
      <c r="E21" s="75">
        <v>20</v>
      </c>
      <c r="F21" s="42">
        <v>20</v>
      </c>
      <c r="G21" s="42">
        <v>15</v>
      </c>
      <c r="H21" s="42">
        <v>9</v>
      </c>
      <c r="I21" s="74">
        <v>8</v>
      </c>
      <c r="J21" s="74">
        <v>7</v>
      </c>
      <c r="K21" s="82" t="s">
        <v>43</v>
      </c>
      <c r="L21" s="42">
        <f t="shared" si="4"/>
        <v>139</v>
      </c>
      <c r="M21" s="42">
        <f t="shared" si="13"/>
        <v>1642</v>
      </c>
      <c r="N21" s="72">
        <f t="shared" si="5"/>
        <v>1668</v>
      </c>
      <c r="O21" s="73">
        <v>2</v>
      </c>
      <c r="P21" s="46">
        <v>690</v>
      </c>
      <c r="Q21" s="47">
        <f t="shared" si="18"/>
        <v>201.3</v>
      </c>
      <c r="R21" s="47">
        <f t="shared" si="15"/>
        <v>12</v>
      </c>
      <c r="S21" s="47">
        <f t="shared" si="0"/>
        <v>46.333333333333336</v>
      </c>
      <c r="T21" s="114">
        <v>20.84</v>
      </c>
      <c r="U21" s="47">
        <v>40</v>
      </c>
      <c r="V21" s="114">
        <f t="shared" si="14"/>
        <v>54.21</v>
      </c>
      <c r="W21" s="47">
        <f t="shared" si="6"/>
        <v>254.37</v>
      </c>
      <c r="X21" s="47">
        <f t="shared" si="1"/>
        <v>6.6719999999999997</v>
      </c>
      <c r="Y21" s="114">
        <f t="shared" si="16"/>
        <v>1.3900000000000001</v>
      </c>
      <c r="Z21" s="47">
        <f t="shared" si="7"/>
        <v>48</v>
      </c>
      <c r="AA21" s="47">
        <f t="shared" si="11"/>
        <v>160</v>
      </c>
      <c r="AB21" s="47">
        <f t="shared" si="3"/>
        <v>43.089999999999996</v>
      </c>
      <c r="AC21" s="47">
        <f t="shared" si="8"/>
        <v>208.5</v>
      </c>
      <c r="AD21" s="47">
        <f t="shared" si="9"/>
        <v>12.853995203836931</v>
      </c>
      <c r="AE21" s="50">
        <f t="shared" si="12"/>
        <v>6.4640366871486984E-2</v>
      </c>
      <c r="AF21" s="42">
        <f>SUM(L3:L21)</f>
        <v>1642</v>
      </c>
      <c r="AG21" s="51">
        <f t="shared" si="10"/>
        <v>27432.205333333332</v>
      </c>
      <c r="AH21" s="54">
        <f>SUM(AG3:AG21)</f>
        <v>327647.23600000003</v>
      </c>
      <c r="AI21" s="110" t="s">
        <v>175</v>
      </c>
      <c r="AJ21" s="76">
        <f>AJ22-AJ20</f>
        <v>18162.064000000013</v>
      </c>
      <c r="AL21" s="51">
        <f>SUM(AJ10,AJ20)</f>
        <v>331266</v>
      </c>
    </row>
    <row r="22" spans="1:38">
      <c r="A22" s="70" t="s">
        <v>33</v>
      </c>
      <c r="B22" s="71">
        <v>8</v>
      </c>
      <c r="C22" s="52">
        <v>20</v>
      </c>
      <c r="D22" s="75">
        <v>40</v>
      </c>
      <c r="E22" s="75">
        <v>20</v>
      </c>
      <c r="F22" s="42">
        <v>20</v>
      </c>
      <c r="G22" s="42">
        <v>15</v>
      </c>
      <c r="H22" s="42">
        <v>9</v>
      </c>
      <c r="I22" s="74">
        <v>8</v>
      </c>
      <c r="J22" s="74">
        <v>7</v>
      </c>
      <c r="K22" s="82" t="s">
        <v>43</v>
      </c>
      <c r="L22" s="42">
        <f t="shared" si="4"/>
        <v>139</v>
      </c>
      <c r="M22" s="42">
        <f t="shared" si="13"/>
        <v>1781</v>
      </c>
      <c r="N22" s="72">
        <f t="shared" si="5"/>
        <v>1668</v>
      </c>
      <c r="O22" s="73">
        <v>2</v>
      </c>
      <c r="P22" s="46">
        <v>690</v>
      </c>
      <c r="Q22" s="47">
        <f t="shared" si="18"/>
        <v>201.3</v>
      </c>
      <c r="R22" s="47">
        <f t="shared" si="15"/>
        <v>12</v>
      </c>
      <c r="S22" s="47">
        <f t="shared" si="0"/>
        <v>46.333333333333336</v>
      </c>
      <c r="T22" s="114">
        <v>20.84</v>
      </c>
      <c r="U22" s="47">
        <v>40</v>
      </c>
      <c r="V22" s="114">
        <f t="shared" si="14"/>
        <v>54.21</v>
      </c>
      <c r="W22" s="47">
        <f t="shared" si="6"/>
        <v>254.37</v>
      </c>
      <c r="X22" s="47">
        <f t="shared" si="1"/>
        <v>6.6719999999999997</v>
      </c>
      <c r="Y22" s="114">
        <f t="shared" si="16"/>
        <v>1.3900000000000001</v>
      </c>
      <c r="Z22" s="47">
        <f t="shared" si="7"/>
        <v>48</v>
      </c>
      <c r="AA22" s="47">
        <f t="shared" si="11"/>
        <v>160</v>
      </c>
      <c r="AB22" s="47">
        <f t="shared" si="3"/>
        <v>43.089999999999996</v>
      </c>
      <c r="AC22" s="47">
        <f t="shared" si="8"/>
        <v>208.5</v>
      </c>
      <c r="AD22" s="47">
        <f t="shared" si="9"/>
        <v>12.853995203836931</v>
      </c>
      <c r="AE22" s="50">
        <f t="shared" si="12"/>
        <v>6.4640366871486984E-2</v>
      </c>
      <c r="AF22" s="42">
        <f>SUM(L3:L22)</f>
        <v>1781</v>
      </c>
      <c r="AG22" s="51">
        <f t="shared" si="10"/>
        <v>27432.205333333332</v>
      </c>
      <c r="AH22" s="54">
        <f>SUM(AG3:AG22)</f>
        <v>355079.44133333338</v>
      </c>
      <c r="AI22" s="42" t="s">
        <v>34</v>
      </c>
      <c r="AJ22" s="76">
        <f>AH22-AH10</f>
        <v>272610.06400000001</v>
      </c>
    </row>
    <row r="23" spans="1:38">
      <c r="A23" s="44"/>
      <c r="B23" s="77"/>
      <c r="P23" s="47">
        <f>SUM(P7:P22)</f>
        <v>11040</v>
      </c>
      <c r="U23" s="47"/>
      <c r="Y23" s="52"/>
      <c r="AI23" s="42" t="s">
        <v>121</v>
      </c>
      <c r="AJ23" s="76">
        <f>SUM(AJ12+AJ22)</f>
        <v>355079.44133333338</v>
      </c>
    </row>
    <row r="24" spans="1:38">
      <c r="A24" s="44"/>
      <c r="B24" s="44"/>
      <c r="P24" s="47">
        <f>SUM(P3:P10)</f>
        <v>2760</v>
      </c>
      <c r="Y24" s="52"/>
      <c r="AG24" s="78" t="s">
        <v>44</v>
      </c>
      <c r="AH24" s="78"/>
      <c r="AI24" s="79">
        <v>60000</v>
      </c>
    </row>
    <row r="25" spans="1:38">
      <c r="A25" s="44"/>
      <c r="B25" s="44"/>
      <c r="Y25" s="52"/>
      <c r="AG25" s="78"/>
      <c r="AH25" s="78" t="s">
        <v>45</v>
      </c>
      <c r="AI25" s="80">
        <f>(1590*186)/(AH22+AI24)</f>
        <v>0.71249011767485559</v>
      </c>
    </row>
    <row r="26" spans="1:38">
      <c r="A26" s="44"/>
      <c r="B26" s="67" t="s">
        <v>139</v>
      </c>
      <c r="AH26" s="42" t="s">
        <v>46</v>
      </c>
      <c r="AI26" s="51">
        <f>AH22+AI24</f>
        <v>415079.44133333338</v>
      </c>
    </row>
    <row r="27" spans="1:38">
      <c r="A27" s="44"/>
      <c r="B27" s="44"/>
      <c r="AH27" s="42" t="s">
        <v>47</v>
      </c>
      <c r="AI27" s="51">
        <v>190678.38733333332</v>
      </c>
    </row>
    <row r="28" spans="1:38">
      <c r="A28" s="44"/>
      <c r="B28" s="44"/>
    </row>
  </sheetData>
  <phoneticPr fontId="3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125" zoomScaleNormal="125" zoomScalePageLayoutView="125" workbookViewId="0">
      <selection activeCell="D45" sqref="D45"/>
    </sheetView>
  </sheetViews>
  <sheetFormatPr baseColWidth="10" defaultRowHeight="15" x14ac:dyDescent="0"/>
  <cols>
    <col min="1" max="1" width="74" style="83" customWidth="1"/>
    <col min="2" max="2" width="11.33203125" style="83" customWidth="1"/>
    <col min="3" max="3" width="9.1640625" style="83" customWidth="1"/>
    <col min="4" max="4" width="15.33203125" style="83" customWidth="1"/>
    <col min="5" max="5" width="57.33203125" style="83" customWidth="1"/>
    <col min="6" max="16384" width="10.83203125" style="83"/>
  </cols>
  <sheetData>
    <row r="1" spans="1:5">
      <c r="A1" s="84" t="s">
        <v>160</v>
      </c>
      <c r="B1" s="84"/>
      <c r="C1" s="84"/>
      <c r="E1" s="91"/>
    </row>
    <row r="2" spans="1:5">
      <c r="A2" s="91"/>
      <c r="B2" s="91"/>
      <c r="C2" s="91"/>
      <c r="D2" s="91"/>
      <c r="E2" s="91"/>
    </row>
    <row r="3" spans="1:5">
      <c r="A3" s="91"/>
      <c r="B3" s="87" t="s">
        <v>161</v>
      </c>
      <c r="C3" s="87" t="s">
        <v>162</v>
      </c>
      <c r="D3" s="87" t="s">
        <v>126</v>
      </c>
      <c r="E3" s="84"/>
    </row>
    <row r="4" spans="1:5">
      <c r="A4" s="85" t="s">
        <v>183</v>
      </c>
      <c r="B4" s="85"/>
      <c r="C4" s="85"/>
      <c r="D4" s="91"/>
      <c r="E4" s="91"/>
    </row>
    <row r="5" spans="1:5">
      <c r="A5" s="86" t="s">
        <v>163</v>
      </c>
      <c r="B5" s="86">
        <f>250-'[1]Endline Survey'!C7-'[1]Endline Survey'!C6</f>
        <v>210</v>
      </c>
      <c r="C5" s="86">
        <v>200</v>
      </c>
      <c r="D5" s="92">
        <f>(B5*C5)</f>
        <v>42000</v>
      </c>
      <c r="E5" s="91"/>
    </row>
    <row r="6" spans="1:5">
      <c r="A6" s="86" t="s">
        <v>164</v>
      </c>
      <c r="B6" s="86">
        <f>250-'[1]Endline Survey'!C15-'[1]Endline Survey'!C14</f>
        <v>170</v>
      </c>
      <c r="C6" s="86">
        <v>60</v>
      </c>
      <c r="D6" s="92">
        <f t="shared" ref="D6:D12" si="0">(B6*C6)</f>
        <v>10200</v>
      </c>
      <c r="E6" s="91"/>
    </row>
    <row r="7" spans="1:5">
      <c r="A7" s="91" t="s">
        <v>165</v>
      </c>
      <c r="B7" s="91">
        <f>'[1]Endline Survey'!C14+'[1]Endline Survey'!C6</f>
        <v>60</v>
      </c>
      <c r="C7" s="91">
        <v>10</v>
      </c>
      <c r="D7" s="92">
        <f t="shared" si="0"/>
        <v>600</v>
      </c>
      <c r="E7" s="91"/>
    </row>
    <row r="8" spans="1:5">
      <c r="A8" s="86"/>
      <c r="B8" s="86"/>
      <c r="C8" s="86"/>
      <c r="D8" s="91"/>
      <c r="E8" s="91"/>
    </row>
    <row r="9" spans="1:5">
      <c r="A9" s="85" t="s">
        <v>166</v>
      </c>
      <c r="B9" s="85"/>
      <c r="C9" s="85"/>
      <c r="D9" s="91"/>
      <c r="E9" s="91"/>
    </row>
    <row r="10" spans="1:5">
      <c r="A10" s="86" t="s">
        <v>167</v>
      </c>
      <c r="B10" s="86">
        <v>9</v>
      </c>
      <c r="C10" s="86">
        <v>600</v>
      </c>
      <c r="D10" s="92">
        <f t="shared" si="0"/>
        <v>5400</v>
      </c>
      <c r="E10" s="91"/>
    </row>
    <row r="11" spans="1:5" ht="30">
      <c r="A11" s="86" t="s">
        <v>78</v>
      </c>
      <c r="B11" s="86">
        <v>60</v>
      </c>
      <c r="C11" s="86">
        <v>25</v>
      </c>
      <c r="D11" s="92">
        <f t="shared" si="0"/>
        <v>1500</v>
      </c>
      <c r="E11" s="91"/>
    </row>
    <row r="12" spans="1:5">
      <c r="A12" s="86" t="s">
        <v>79</v>
      </c>
      <c r="B12" s="86">
        <v>2</v>
      </c>
      <c r="C12" s="86">
        <v>150</v>
      </c>
      <c r="D12" s="92">
        <f t="shared" si="0"/>
        <v>300</v>
      </c>
      <c r="E12" s="91"/>
    </row>
    <row r="13" spans="1:5">
      <c r="A13" s="86" t="s">
        <v>80</v>
      </c>
      <c r="B13" s="86"/>
      <c r="C13" s="86"/>
      <c r="D13" s="92"/>
      <c r="E13" s="91"/>
    </row>
    <row r="14" spans="1:5">
      <c r="A14" s="86" t="s">
        <v>81</v>
      </c>
      <c r="B14" s="91"/>
      <c r="C14" s="91"/>
      <c r="D14" s="92">
        <v>4800</v>
      </c>
      <c r="E14" s="91"/>
    </row>
    <row r="15" spans="1:5">
      <c r="A15" s="86"/>
      <c r="B15" s="86"/>
      <c r="C15" s="85"/>
      <c r="D15" s="92"/>
      <c r="E15" s="91"/>
    </row>
    <row r="16" spans="1:5">
      <c r="A16" s="85" t="s">
        <v>82</v>
      </c>
      <c r="B16" s="85"/>
      <c r="C16" s="86"/>
      <c r="D16" s="92"/>
      <c r="E16" s="91"/>
    </row>
    <row r="17" spans="1:5">
      <c r="A17" s="86" t="s">
        <v>83</v>
      </c>
      <c r="B17" s="86"/>
      <c r="C17" s="86"/>
      <c r="D17" s="92">
        <v>12500</v>
      </c>
      <c r="E17" s="91"/>
    </row>
    <row r="18" spans="1:5">
      <c r="A18" s="86" t="s">
        <v>57</v>
      </c>
      <c r="B18" s="86">
        <v>2</v>
      </c>
      <c r="C18" s="86">
        <v>1400</v>
      </c>
      <c r="D18" s="92">
        <f>B18*C18</f>
        <v>2800</v>
      </c>
      <c r="E18" s="91"/>
    </row>
    <row r="19" spans="1:5">
      <c r="A19" s="86" t="s">
        <v>58</v>
      </c>
      <c r="B19" s="86">
        <v>24</v>
      </c>
      <c r="C19" s="86">
        <v>60</v>
      </c>
      <c r="D19" s="92">
        <f>B19*C19</f>
        <v>1440</v>
      </c>
      <c r="E19" s="91"/>
    </row>
    <row r="20" spans="1:5">
      <c r="A20" s="86" t="s">
        <v>59</v>
      </c>
      <c r="B20" s="86">
        <v>24</v>
      </c>
      <c r="C20" s="86">
        <v>50</v>
      </c>
      <c r="D20" s="92">
        <f>B20*C20</f>
        <v>1200</v>
      </c>
      <c r="E20" s="91"/>
    </row>
    <row r="21" spans="1:5">
      <c r="A21" s="86" t="s">
        <v>60</v>
      </c>
      <c r="B21" s="86">
        <f>6*2</f>
        <v>12</v>
      </c>
      <c r="C21" s="86">
        <v>60</v>
      </c>
      <c r="D21" s="92">
        <f>B21*C21</f>
        <v>720</v>
      </c>
      <c r="E21" s="91"/>
    </row>
    <row r="22" spans="1:5">
      <c r="A22" s="86"/>
      <c r="B22" s="86"/>
      <c r="C22" s="85"/>
      <c r="D22" s="92"/>
      <c r="E22" s="91"/>
    </row>
    <row r="23" spans="1:5">
      <c r="A23" s="85" t="s">
        <v>61</v>
      </c>
      <c r="B23" s="85"/>
      <c r="C23" s="86"/>
      <c r="D23" s="92"/>
      <c r="E23" s="91"/>
    </row>
    <row r="24" spans="1:5">
      <c r="A24" s="86" t="s">
        <v>62</v>
      </c>
      <c r="B24" s="86">
        <f>48*6</f>
        <v>288</v>
      </c>
      <c r="C24" s="86">
        <v>12</v>
      </c>
      <c r="D24" s="92">
        <f>B24*C24</f>
        <v>3456</v>
      </c>
      <c r="E24" s="91"/>
    </row>
    <row r="25" spans="1:5">
      <c r="A25" s="86" t="s">
        <v>63</v>
      </c>
      <c r="B25" s="86">
        <f>'[1]Endline Survey'!C22</f>
        <v>60</v>
      </c>
      <c r="C25" s="86">
        <v>50</v>
      </c>
      <c r="D25" s="92">
        <f>B25*C25</f>
        <v>3000</v>
      </c>
      <c r="E25" s="91"/>
    </row>
    <row r="26" spans="1:5" ht="30">
      <c r="A26" s="86" t="s">
        <v>64</v>
      </c>
      <c r="B26" s="86">
        <v>50</v>
      </c>
      <c r="C26" s="86">
        <v>25</v>
      </c>
      <c r="D26" s="92">
        <f>(B26*C26)</f>
        <v>1250</v>
      </c>
      <c r="E26" s="91"/>
    </row>
    <row r="27" spans="1:5">
      <c r="A27" s="86"/>
      <c r="B27" s="86"/>
      <c r="C27" s="86"/>
      <c r="D27" s="92"/>
      <c r="E27" s="91"/>
    </row>
    <row r="28" spans="1:5">
      <c r="A28" s="85" t="s">
        <v>130</v>
      </c>
      <c r="B28" s="85"/>
      <c r="C28" s="86"/>
      <c r="D28" s="92"/>
      <c r="E28" s="91"/>
    </row>
    <row r="29" spans="1:5">
      <c r="A29" s="86" t="s">
        <v>200</v>
      </c>
      <c r="B29" s="86">
        <v>2</v>
      </c>
      <c r="C29" s="86">
        <v>230</v>
      </c>
      <c r="D29" s="92">
        <f>C29*B29</f>
        <v>460</v>
      </c>
      <c r="E29" s="91"/>
    </row>
    <row r="30" spans="1:5">
      <c r="A30" s="86" t="s">
        <v>201</v>
      </c>
      <c r="B30" s="86">
        <v>2</v>
      </c>
      <c r="C30" s="86">
        <v>149</v>
      </c>
      <c r="D30" s="92">
        <f>C30*B30</f>
        <v>298</v>
      </c>
      <c r="E30" s="91"/>
    </row>
    <row r="31" spans="1:5">
      <c r="A31" s="86" t="s">
        <v>202</v>
      </c>
      <c r="B31" s="86">
        <v>2</v>
      </c>
      <c r="C31" s="86">
        <v>128</v>
      </c>
      <c r="D31" s="92">
        <f>C31*B31</f>
        <v>256</v>
      </c>
      <c r="E31" s="91"/>
    </row>
    <row r="32" spans="1:5">
      <c r="A32" s="86"/>
      <c r="B32" s="86"/>
      <c r="C32" s="86"/>
      <c r="D32" s="92"/>
      <c r="E32" s="91"/>
    </row>
    <row r="33" spans="1:5">
      <c r="A33" s="85" t="s">
        <v>203</v>
      </c>
      <c r="B33" s="86"/>
      <c r="C33" s="86"/>
      <c r="D33" s="92"/>
      <c r="E33" s="91"/>
    </row>
    <row r="34" spans="1:5" ht="30">
      <c r="A34" s="86" t="s">
        <v>185</v>
      </c>
      <c r="B34" s="86"/>
      <c r="C34" s="86"/>
      <c r="D34" s="92">
        <v>1500</v>
      </c>
      <c r="E34" s="91"/>
    </row>
    <row r="35" spans="1:5">
      <c r="A35" s="86"/>
      <c r="B35" s="86"/>
      <c r="C35" s="86"/>
      <c r="D35" s="92"/>
      <c r="E35" s="91"/>
    </row>
    <row r="36" spans="1:5">
      <c r="A36" s="85" t="s">
        <v>89</v>
      </c>
      <c r="B36" s="86"/>
      <c r="C36" s="86"/>
      <c r="D36" s="92"/>
      <c r="E36" s="91"/>
    </row>
    <row r="37" spans="1:5">
      <c r="A37" s="86" t="s">
        <v>186</v>
      </c>
      <c r="B37" s="86"/>
      <c r="C37" s="86"/>
      <c r="D37" s="92">
        <v>3000</v>
      </c>
      <c r="E37" s="91"/>
    </row>
    <row r="38" spans="1:5">
      <c r="A38" s="86" t="s">
        <v>207</v>
      </c>
      <c r="B38" s="86"/>
      <c r="C38" s="86"/>
      <c r="D38" s="92">
        <v>1000</v>
      </c>
      <c r="E38" s="91"/>
    </row>
    <row r="39" spans="1:5">
      <c r="A39" s="86" t="s">
        <v>208</v>
      </c>
      <c r="B39" s="86">
        <v>3</v>
      </c>
      <c r="C39" s="86">
        <v>200</v>
      </c>
      <c r="D39" s="92">
        <f>B39*C39</f>
        <v>600</v>
      </c>
      <c r="E39" s="91"/>
    </row>
    <row r="40" spans="1:5">
      <c r="A40" s="86" t="s">
        <v>209</v>
      </c>
      <c r="B40" s="86"/>
      <c r="C40" s="86"/>
      <c r="D40" s="92">
        <v>250</v>
      </c>
      <c r="E40" s="91"/>
    </row>
    <row r="41" spans="1:5">
      <c r="A41" s="86" t="s">
        <v>0</v>
      </c>
      <c r="B41" s="86">
        <v>23</v>
      </c>
      <c r="C41" s="86">
        <v>50</v>
      </c>
      <c r="D41" s="92">
        <f>B41*C41</f>
        <v>1150</v>
      </c>
      <c r="E41" s="91"/>
    </row>
    <row r="42" spans="1:5">
      <c r="A42" s="86" t="s">
        <v>90</v>
      </c>
      <c r="B42" s="86">
        <v>23</v>
      </c>
      <c r="C42" s="86">
        <v>40</v>
      </c>
      <c r="D42" s="92">
        <f>B42*C42</f>
        <v>920</v>
      </c>
      <c r="E42" s="91"/>
    </row>
    <row r="43" spans="1:5">
      <c r="A43" s="86" t="s">
        <v>210</v>
      </c>
      <c r="B43" s="91"/>
      <c r="C43" s="91"/>
      <c r="D43" s="92">
        <v>1400</v>
      </c>
      <c r="E43" s="91"/>
    </row>
    <row r="44" spans="1:5">
      <c r="A44" s="85"/>
      <c r="B44" s="91"/>
      <c r="C44" s="91"/>
      <c r="D44" s="92"/>
      <c r="E44" s="91"/>
    </row>
    <row r="45" spans="1:5">
      <c r="A45" s="99" t="s">
        <v>147</v>
      </c>
      <c r="B45" s="100"/>
      <c r="C45" s="100"/>
      <c r="D45" s="101">
        <f>SUM(D5:D43)</f>
        <v>102000</v>
      </c>
      <c r="E45" s="91"/>
    </row>
    <row r="46" spans="1:5">
      <c r="A46" s="91"/>
      <c r="B46" s="91"/>
      <c r="C46" s="91"/>
      <c r="D46" s="91"/>
      <c r="E46" s="91"/>
    </row>
    <row r="47" spans="1:5">
      <c r="A47" s="91"/>
      <c r="B47" s="91"/>
      <c r="C47" s="91"/>
      <c r="D47" s="92"/>
      <c r="E47" s="91"/>
    </row>
    <row r="48" spans="1:5">
      <c r="A48" s="91"/>
      <c r="B48" s="91"/>
      <c r="C48" s="91"/>
      <c r="D48" s="92"/>
      <c r="E48" s="91"/>
    </row>
    <row r="49" spans="1:5">
      <c r="A49" s="91"/>
      <c r="B49" s="91"/>
      <c r="C49" s="91"/>
      <c r="D49" s="91"/>
      <c r="E49" s="91"/>
    </row>
  </sheetData>
  <phoneticPr fontId="3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baseColWidth="10" defaultRowHeight="15" x14ac:dyDescent="0"/>
  <cols>
    <col min="1" max="1" width="54.6640625" style="83" customWidth="1"/>
    <col min="2" max="16384" width="10.83203125" style="83"/>
  </cols>
  <sheetData>
    <row r="1" spans="1:11">
      <c r="A1" s="91"/>
      <c r="B1" s="87" t="s">
        <v>211</v>
      </c>
      <c r="C1" s="87" t="s">
        <v>212</v>
      </c>
      <c r="D1" s="91"/>
      <c r="E1" s="91"/>
      <c r="F1" s="91"/>
      <c r="G1" s="91"/>
      <c r="H1" s="91"/>
      <c r="I1" s="91"/>
      <c r="J1" s="91"/>
      <c r="K1" s="91"/>
    </row>
    <row r="2" spans="1:11">
      <c r="A2" s="88" t="s">
        <v>213</v>
      </c>
      <c r="B2" s="93"/>
      <c r="C2" s="93"/>
      <c r="D2" s="91"/>
      <c r="E2" s="91"/>
      <c r="F2" s="91"/>
      <c r="G2" s="91"/>
      <c r="H2" s="91"/>
      <c r="I2" s="91"/>
      <c r="J2" s="91"/>
      <c r="K2" s="91"/>
    </row>
    <row r="3" spans="1:11">
      <c r="A3" s="93" t="s">
        <v>157</v>
      </c>
      <c r="B3" s="94">
        <v>60</v>
      </c>
      <c r="C3" s="94">
        <f>(B3/100*200)</f>
        <v>120</v>
      </c>
      <c r="D3" s="91"/>
      <c r="E3" s="91" t="s">
        <v>112</v>
      </c>
      <c r="F3" s="91"/>
      <c r="G3" s="91"/>
      <c r="H3" s="91"/>
      <c r="I3" s="91"/>
      <c r="J3" s="91"/>
      <c r="K3" s="91"/>
    </row>
    <row r="4" spans="1:11">
      <c r="A4" s="93" t="s">
        <v>214</v>
      </c>
      <c r="B4" s="94">
        <v>10</v>
      </c>
      <c r="C4" s="94">
        <f t="shared" ref="C4:C15" si="0">(B4/100*200)</f>
        <v>20</v>
      </c>
      <c r="D4" s="91"/>
      <c r="E4" s="91"/>
      <c r="F4" s="91"/>
      <c r="G4" s="91"/>
      <c r="H4" s="91"/>
      <c r="I4" s="91"/>
      <c r="J4" s="91"/>
      <c r="K4" s="91"/>
    </row>
    <row r="5" spans="1:11">
      <c r="A5" s="93" t="s">
        <v>215</v>
      </c>
      <c r="B5" s="94">
        <v>10</v>
      </c>
      <c r="C5" s="94">
        <f t="shared" si="0"/>
        <v>20</v>
      </c>
      <c r="D5" s="91"/>
      <c r="E5" s="91"/>
      <c r="F5" s="91"/>
      <c r="G5" s="91"/>
      <c r="H5" s="91"/>
      <c r="I5" s="91"/>
      <c r="J5" s="91"/>
      <c r="K5" s="91"/>
    </row>
    <row r="6" spans="1:11">
      <c r="A6" s="93" t="s">
        <v>114</v>
      </c>
      <c r="B6" s="94">
        <v>10</v>
      </c>
      <c r="C6" s="94">
        <f t="shared" si="0"/>
        <v>20</v>
      </c>
      <c r="D6" s="91"/>
      <c r="E6" s="91"/>
      <c r="F6" s="91"/>
      <c r="G6" s="91"/>
      <c r="H6" s="91"/>
      <c r="I6" s="91"/>
      <c r="J6" s="91"/>
      <c r="K6" s="91"/>
    </row>
    <row r="7" spans="1:11">
      <c r="A7" s="93" t="s">
        <v>115</v>
      </c>
      <c r="B7" s="94">
        <v>10</v>
      </c>
      <c r="C7" s="94">
        <f t="shared" si="0"/>
        <v>20</v>
      </c>
      <c r="D7" s="91"/>
      <c r="E7" s="91"/>
      <c r="F7" s="91"/>
      <c r="G7" s="91"/>
      <c r="H7" s="91"/>
      <c r="I7" s="91"/>
      <c r="J7" s="91"/>
      <c r="K7" s="91"/>
    </row>
    <row r="8" spans="1:11">
      <c r="A8" s="93"/>
      <c r="B8" s="94"/>
      <c r="C8" s="94"/>
      <c r="D8" s="91"/>
      <c r="E8" s="91"/>
      <c r="F8" s="91"/>
      <c r="G8" s="91"/>
      <c r="H8" s="91"/>
      <c r="I8" s="91"/>
      <c r="J8" s="91"/>
      <c r="K8" s="91"/>
    </row>
    <row r="9" spans="1:11">
      <c r="A9" s="93"/>
      <c r="B9" s="94"/>
      <c r="C9" s="94"/>
      <c r="D9" s="91"/>
      <c r="E9" s="91"/>
      <c r="F9" s="91"/>
      <c r="G9" s="91"/>
      <c r="H9" s="91"/>
      <c r="I9" s="91"/>
      <c r="J9" s="91"/>
      <c r="K9" s="91"/>
    </row>
    <row r="10" spans="1:11">
      <c r="A10" s="88" t="s">
        <v>116</v>
      </c>
      <c r="B10" s="94"/>
      <c r="C10" s="94"/>
      <c r="D10" s="91"/>
      <c r="E10" s="91"/>
      <c r="F10" s="91"/>
      <c r="G10" s="91"/>
      <c r="H10" s="91"/>
      <c r="I10" s="91"/>
      <c r="J10" s="91"/>
      <c r="K10" s="91"/>
    </row>
    <row r="11" spans="1:11">
      <c r="A11" s="93" t="s">
        <v>117</v>
      </c>
      <c r="B11" s="94">
        <v>30</v>
      </c>
      <c r="C11" s="94">
        <f t="shared" si="0"/>
        <v>60</v>
      </c>
      <c r="D11" s="91"/>
      <c r="E11" s="91"/>
      <c r="F11" s="91"/>
      <c r="G11" s="91"/>
      <c r="H11" s="91"/>
      <c r="I11" s="91"/>
      <c r="J11" s="91"/>
      <c r="K11" s="91"/>
    </row>
    <row r="12" spans="1:11">
      <c r="A12" s="93" t="s">
        <v>214</v>
      </c>
      <c r="B12" s="94">
        <v>15</v>
      </c>
      <c r="C12" s="94">
        <f t="shared" si="0"/>
        <v>30</v>
      </c>
      <c r="D12" s="91"/>
      <c r="E12" s="91"/>
      <c r="F12" s="91"/>
      <c r="G12" s="91"/>
      <c r="H12" s="91"/>
      <c r="I12" s="91"/>
      <c r="J12" s="91"/>
      <c r="K12" s="91"/>
    </row>
    <row r="13" spans="1:11">
      <c r="A13" s="93" t="s">
        <v>215</v>
      </c>
      <c r="B13" s="94">
        <v>15</v>
      </c>
      <c r="C13" s="94">
        <f t="shared" si="0"/>
        <v>30</v>
      </c>
      <c r="D13" s="91"/>
      <c r="E13" s="91"/>
      <c r="F13" s="91"/>
      <c r="G13" s="91"/>
      <c r="H13" s="91"/>
      <c r="I13" s="91"/>
      <c r="J13" s="91"/>
      <c r="K13" s="91"/>
    </row>
    <row r="14" spans="1:11">
      <c r="A14" s="93" t="s">
        <v>114</v>
      </c>
      <c r="B14" s="94">
        <v>20</v>
      </c>
      <c r="C14" s="94">
        <f t="shared" si="0"/>
        <v>40</v>
      </c>
      <c r="D14" s="91"/>
      <c r="E14" s="91"/>
      <c r="F14" s="91"/>
      <c r="G14" s="91"/>
      <c r="H14" s="91"/>
      <c r="I14" s="91"/>
      <c r="J14" s="91"/>
      <c r="K14" s="91"/>
    </row>
    <row r="15" spans="1:11">
      <c r="A15" s="93" t="s">
        <v>115</v>
      </c>
      <c r="B15" s="94">
        <v>20</v>
      </c>
      <c r="C15" s="94">
        <f t="shared" si="0"/>
        <v>40</v>
      </c>
      <c r="D15" s="91"/>
      <c r="E15" s="91"/>
      <c r="F15" s="91"/>
      <c r="G15" s="91"/>
      <c r="H15" s="91"/>
      <c r="I15" s="91"/>
      <c r="J15" s="91"/>
      <c r="K15" s="91"/>
    </row>
    <row r="16" spans="1:11">
      <c r="A16" s="93"/>
      <c r="B16" s="94"/>
      <c r="C16" s="94"/>
      <c r="D16" s="91"/>
      <c r="E16" s="91"/>
      <c r="F16" s="91"/>
      <c r="G16" s="91"/>
      <c r="H16" s="91"/>
      <c r="I16" s="91"/>
      <c r="J16" s="91"/>
      <c r="K16" s="91"/>
    </row>
    <row r="17" spans="1:11">
      <c r="A17" s="93"/>
      <c r="B17" s="94"/>
      <c r="C17" s="94"/>
      <c r="D17" s="91"/>
      <c r="E17" s="91"/>
      <c r="F17" s="91"/>
      <c r="G17" s="91"/>
      <c r="H17" s="91"/>
      <c r="I17" s="91"/>
      <c r="J17" s="91"/>
      <c r="K17" s="91"/>
    </row>
    <row r="18" spans="1:11">
      <c r="A18" s="88" t="s">
        <v>140</v>
      </c>
      <c r="B18" s="94"/>
      <c r="C18" s="94"/>
      <c r="D18" s="91"/>
      <c r="E18" s="88" t="s">
        <v>141</v>
      </c>
      <c r="F18" s="88" t="s">
        <v>142</v>
      </c>
      <c r="G18" s="88" t="s">
        <v>143</v>
      </c>
      <c r="H18" s="89" t="s">
        <v>144</v>
      </c>
      <c r="I18" s="89" t="s">
        <v>145</v>
      </c>
      <c r="J18" s="91"/>
      <c r="K18" s="91"/>
    </row>
    <row r="19" spans="1:11">
      <c r="A19" s="93" t="s">
        <v>117</v>
      </c>
      <c r="B19" s="94" t="s">
        <v>146</v>
      </c>
      <c r="C19" s="94">
        <f>(C3+C11)</f>
        <v>180</v>
      </c>
      <c r="D19" s="91"/>
      <c r="E19" s="94">
        <v>45</v>
      </c>
      <c r="F19" s="94">
        <v>10</v>
      </c>
      <c r="G19" s="95">
        <f>(C19)*(E19+F19)/60</f>
        <v>165</v>
      </c>
      <c r="H19" s="95">
        <f>G19/8</f>
        <v>20.625</v>
      </c>
      <c r="I19" s="95">
        <f>H19/5</f>
        <v>4.125</v>
      </c>
      <c r="J19" s="91"/>
      <c r="K19" s="91"/>
    </row>
    <row r="20" spans="1:11">
      <c r="A20" s="93" t="s">
        <v>214</v>
      </c>
      <c r="B20" s="94" t="s">
        <v>146</v>
      </c>
      <c r="C20" s="94">
        <f>(C4+C12)</f>
        <v>50</v>
      </c>
      <c r="D20" s="91"/>
      <c r="E20" s="94">
        <v>45</v>
      </c>
      <c r="F20" s="94">
        <v>10</v>
      </c>
      <c r="G20" s="95">
        <f>(C20)*(E20+F20)/60</f>
        <v>45.833333333333336</v>
      </c>
      <c r="H20" s="95">
        <f>G20/8</f>
        <v>5.729166666666667</v>
      </c>
      <c r="I20" s="95">
        <f>H20/5</f>
        <v>1.1458333333333335</v>
      </c>
      <c r="J20" s="91"/>
      <c r="K20" s="91"/>
    </row>
    <row r="21" spans="1:11">
      <c r="A21" s="93" t="s">
        <v>215</v>
      </c>
      <c r="B21" s="94" t="s">
        <v>146</v>
      </c>
      <c r="C21" s="94">
        <f>(C5+C13)</f>
        <v>50</v>
      </c>
      <c r="D21" s="91"/>
      <c r="E21" s="94">
        <v>45</v>
      </c>
      <c r="F21" s="94">
        <v>10</v>
      </c>
      <c r="G21" s="95">
        <f>(C21)*(E21+F21)/60</f>
        <v>45.833333333333336</v>
      </c>
      <c r="H21" s="95">
        <f>G21/8</f>
        <v>5.729166666666667</v>
      </c>
      <c r="I21" s="95">
        <f>H21/5</f>
        <v>1.1458333333333335</v>
      </c>
      <c r="J21" s="91"/>
      <c r="K21" s="91"/>
    </row>
    <row r="22" spans="1:11">
      <c r="A22" s="93" t="s">
        <v>114</v>
      </c>
      <c r="B22" s="94" t="s">
        <v>146</v>
      </c>
      <c r="C22" s="94">
        <f>(C6+C14)</f>
        <v>60</v>
      </c>
      <c r="D22" s="91"/>
      <c r="E22" s="94">
        <v>60</v>
      </c>
      <c r="F22" s="94">
        <v>120</v>
      </c>
      <c r="G22" s="95">
        <f>(C22)*(E22+F22)/60</f>
        <v>180</v>
      </c>
      <c r="H22" s="95">
        <f>G22/8</f>
        <v>22.5</v>
      </c>
      <c r="I22" s="95">
        <f>H22/5</f>
        <v>4.5</v>
      </c>
      <c r="J22" s="91"/>
      <c r="K22" s="91"/>
    </row>
    <row r="23" spans="1:11">
      <c r="A23" s="93" t="s">
        <v>115</v>
      </c>
      <c r="B23" s="94" t="s">
        <v>146</v>
      </c>
      <c r="C23" s="94">
        <f>(C7+C15)</f>
        <v>60</v>
      </c>
      <c r="D23" s="91"/>
      <c r="E23" s="94">
        <v>0</v>
      </c>
      <c r="F23" s="94">
        <v>0</v>
      </c>
      <c r="G23" s="95">
        <f>(C23)*(E23+F23)/60</f>
        <v>0</v>
      </c>
      <c r="H23" s="95">
        <f>G23/8</f>
        <v>0</v>
      </c>
      <c r="I23" s="95">
        <f>H23/5</f>
        <v>0</v>
      </c>
      <c r="J23" s="91"/>
      <c r="K23" s="91"/>
    </row>
    <row r="24" spans="1:11">
      <c r="A24" s="91"/>
      <c r="B24" s="91"/>
      <c r="C24" s="91"/>
      <c r="D24" s="91"/>
      <c r="E24" s="91"/>
      <c r="F24" s="91"/>
      <c r="G24" s="91"/>
      <c r="H24" s="91"/>
      <c r="I24" s="90">
        <f>SUM(I19:I23)</f>
        <v>10.916666666666668</v>
      </c>
      <c r="J24" s="91"/>
      <c r="K24" s="91"/>
    </row>
    <row r="25" spans="1:1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</row>
    <row r="26" spans="1:1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</row>
  </sheetData>
  <phoneticPr fontId="39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pane xSplit="1" ySplit="2" topLeftCell="O3" activePane="bottomRight" state="frozen"/>
      <selection pane="topRight" activeCell="B1" sqref="B1"/>
      <selection pane="bottomLeft" activeCell="A3" sqref="A3"/>
      <selection pane="bottomRight" activeCell="AB3" sqref="AB3"/>
    </sheetView>
  </sheetViews>
  <sheetFormatPr baseColWidth="10" defaultRowHeight="15" x14ac:dyDescent="0"/>
  <cols>
    <col min="1" max="1" width="10.83203125" style="42"/>
    <col min="2" max="2" width="6.6640625" style="42" customWidth="1"/>
    <col min="3" max="3" width="11.6640625" style="42" customWidth="1"/>
    <col min="4" max="4" width="12" style="42" customWidth="1"/>
    <col min="5" max="5" width="12.5" style="42" customWidth="1"/>
    <col min="6" max="6" width="10.83203125" style="42"/>
    <col min="7" max="7" width="13.6640625" style="42" customWidth="1"/>
    <col min="8" max="8" width="13.83203125" style="42" customWidth="1"/>
    <col min="9" max="9" width="12.6640625" style="42" customWidth="1"/>
    <col min="10" max="10" width="14.5" style="42" customWidth="1"/>
    <col min="11" max="11" width="14" style="42" customWidth="1"/>
    <col min="12" max="13" width="10.83203125" style="42"/>
    <col min="14" max="14" width="15.1640625" style="42" customWidth="1"/>
    <col min="15" max="16" width="10.83203125" style="42"/>
    <col min="17" max="18" width="12.1640625" style="42" customWidth="1"/>
    <col min="19" max="20" width="10.83203125" style="42"/>
    <col min="21" max="21" width="11.5" style="42" customWidth="1"/>
    <col min="22" max="22" width="17" style="42" customWidth="1"/>
    <col min="23" max="23" width="10.83203125" style="42"/>
    <col min="24" max="24" width="12.1640625" style="42" customWidth="1"/>
    <col min="25" max="25" width="15.33203125" style="42" customWidth="1"/>
    <col min="26" max="26" width="17.1640625" style="42" customWidth="1"/>
    <col min="27" max="27" width="16.6640625" style="42" customWidth="1"/>
    <col min="28" max="28" width="12.5" style="42" bestFit="1" customWidth="1"/>
    <col min="29" max="16384" width="10.83203125" style="42"/>
  </cols>
  <sheetData>
    <row r="1" spans="1:28" ht="20">
      <c r="A1" s="40" t="s">
        <v>168</v>
      </c>
      <c r="B1" s="41"/>
    </row>
    <row r="2" spans="1:28" ht="180">
      <c r="A2" s="58"/>
      <c r="B2" s="102" t="s">
        <v>2</v>
      </c>
      <c r="C2" s="103" t="s">
        <v>188</v>
      </c>
      <c r="D2" s="103" t="s">
        <v>189</v>
      </c>
      <c r="E2" s="103" t="s">
        <v>190</v>
      </c>
      <c r="F2" s="105" t="s">
        <v>3</v>
      </c>
      <c r="G2" s="105" t="s">
        <v>4</v>
      </c>
      <c r="H2" s="105" t="s">
        <v>5</v>
      </c>
      <c r="I2" s="103" t="s">
        <v>118</v>
      </c>
      <c r="J2" s="105" t="s">
        <v>113</v>
      </c>
      <c r="K2" s="128" t="s">
        <v>204</v>
      </c>
      <c r="L2" s="106" t="s">
        <v>12</v>
      </c>
      <c r="M2" s="106" t="s">
        <v>187</v>
      </c>
      <c r="N2" s="106" t="s">
        <v>54</v>
      </c>
      <c r="O2" s="106" t="s">
        <v>119</v>
      </c>
      <c r="P2" s="141" t="s">
        <v>217</v>
      </c>
      <c r="Q2" s="103" t="s">
        <v>120</v>
      </c>
      <c r="R2" s="105" t="s">
        <v>93</v>
      </c>
      <c r="S2" s="103" t="s">
        <v>138</v>
      </c>
      <c r="T2" s="105" t="s">
        <v>7</v>
      </c>
      <c r="U2" s="105" t="s">
        <v>8</v>
      </c>
      <c r="V2" s="105" t="s">
        <v>9</v>
      </c>
      <c r="W2" s="109" t="s">
        <v>158</v>
      </c>
      <c r="X2" s="105" t="s">
        <v>96</v>
      </c>
      <c r="Y2" s="105" t="s">
        <v>97</v>
      </c>
      <c r="Z2" s="129" t="s">
        <v>205</v>
      </c>
      <c r="AA2" s="43"/>
    </row>
    <row r="3" spans="1:28">
      <c r="A3" s="70" t="s">
        <v>109</v>
      </c>
      <c r="B3" s="71">
        <v>1</v>
      </c>
      <c r="C3" s="52"/>
      <c r="D3" s="75">
        <v>100</v>
      </c>
      <c r="E3" s="75"/>
      <c r="F3" s="42">
        <f t="shared" ref="F3:F14" si="0">SUM(C3:E3)</f>
        <v>100</v>
      </c>
      <c r="G3" s="42">
        <f>F3</f>
        <v>100</v>
      </c>
      <c r="H3" s="72">
        <f t="shared" ref="H3:H14" si="1">(F3*12)</f>
        <v>1200</v>
      </c>
      <c r="I3" s="108">
        <v>2</v>
      </c>
      <c r="J3" s="46">
        <v>690</v>
      </c>
      <c r="K3" s="47">
        <f>9.15*4*2+(9.15*2)</f>
        <v>91.5</v>
      </c>
      <c r="L3" s="47">
        <f>3*2</f>
        <v>6</v>
      </c>
      <c r="M3" s="47">
        <f t="shared" ref="M3:M14" si="2">278*I3/12</f>
        <v>46.333333333333336</v>
      </c>
      <c r="N3" s="114">
        <v>20.84</v>
      </c>
      <c r="O3" s="114">
        <f>(F3*100*(0.2/100))</f>
        <v>20</v>
      </c>
      <c r="P3" s="47">
        <f>(F3*4*0.61)</f>
        <v>244</v>
      </c>
      <c r="Q3" s="47">
        <f>(F3*0.05*0.2)</f>
        <v>1</v>
      </c>
      <c r="R3" s="47">
        <f t="shared" ref="R3:R14" si="3">6*B3</f>
        <v>6</v>
      </c>
      <c r="S3" s="47">
        <f t="shared" ref="S3:S14" si="4">60*B3</f>
        <v>60</v>
      </c>
      <c r="T3" s="47">
        <f t="shared" ref="T3:T14" si="5">0.31*F3</f>
        <v>31</v>
      </c>
      <c r="U3" s="47">
        <f t="shared" ref="U3:U14" si="6">1.5*F3</f>
        <v>150</v>
      </c>
      <c r="V3" s="47">
        <f t="shared" ref="V3:V14" si="7">SUM(J3:U3)/F3</f>
        <v>13.666733333333333</v>
      </c>
      <c r="W3" s="50">
        <f>V3/(V3+100)</f>
        <v>0.12023512009670376</v>
      </c>
      <c r="X3" s="42">
        <f>SUM(F3:F3)</f>
        <v>100</v>
      </c>
      <c r="Y3" s="51">
        <f>SUM(J3:U3)+(F3*110)</f>
        <v>12366.673333333334</v>
      </c>
      <c r="Z3" s="54">
        <f>SUM(Y3:Y3)</f>
        <v>12366.673333333334</v>
      </c>
      <c r="AB3" s="51"/>
    </row>
    <row r="4" spans="1:28">
      <c r="A4" s="70" t="s">
        <v>110</v>
      </c>
      <c r="B4" s="71">
        <v>1</v>
      </c>
      <c r="C4" s="52"/>
      <c r="D4" s="75">
        <v>100</v>
      </c>
      <c r="E4" s="75"/>
      <c r="F4" s="42">
        <f t="shared" si="0"/>
        <v>100</v>
      </c>
      <c r="G4" s="42">
        <f t="shared" ref="G4:G14" si="8">G3+F4</f>
        <v>200</v>
      </c>
      <c r="H4" s="72">
        <f t="shared" si="1"/>
        <v>1200</v>
      </c>
      <c r="I4" s="108">
        <v>2</v>
      </c>
      <c r="J4" s="46">
        <v>690</v>
      </c>
      <c r="K4" s="47">
        <f>9.15*4*2+(9.15*2)</f>
        <v>91.5</v>
      </c>
      <c r="L4" s="47">
        <f t="shared" ref="L4:L14" si="9">3*2</f>
        <v>6</v>
      </c>
      <c r="M4" s="47">
        <f t="shared" si="2"/>
        <v>46.333333333333336</v>
      </c>
      <c r="N4" s="114">
        <v>20.84</v>
      </c>
      <c r="O4" s="114">
        <f t="shared" ref="O4:O14" si="10">(F4*100*(0.2/100))</f>
        <v>20</v>
      </c>
      <c r="P4" s="47">
        <f t="shared" ref="P4:P14" si="11">(F4*4*0.61)</f>
        <v>244</v>
      </c>
      <c r="Q4" s="47">
        <f t="shared" ref="Q4:Q14" si="12">(F4*0.05*0.2)</f>
        <v>1</v>
      </c>
      <c r="R4" s="47">
        <f t="shared" si="3"/>
        <v>6</v>
      </c>
      <c r="S4" s="47">
        <f t="shared" si="4"/>
        <v>60</v>
      </c>
      <c r="T4" s="47">
        <f t="shared" si="5"/>
        <v>31</v>
      </c>
      <c r="U4" s="47">
        <f t="shared" si="6"/>
        <v>150</v>
      </c>
      <c r="V4" s="47">
        <f t="shared" si="7"/>
        <v>13.666733333333333</v>
      </c>
      <c r="W4" s="50">
        <f t="shared" ref="W4:W14" si="13">V4/(V4+100)</f>
        <v>0.12023512009670376</v>
      </c>
      <c r="X4" s="42">
        <f>SUM(F3:F4)</f>
        <v>200</v>
      </c>
      <c r="Y4" s="51">
        <f t="shared" ref="Y4:Y14" si="14">SUM(J4:U4)+(F4*110)</f>
        <v>12366.673333333334</v>
      </c>
      <c r="Z4" s="54">
        <f>SUM(Y3:Y4)</f>
        <v>24733.346666666668</v>
      </c>
      <c r="AB4" s="51"/>
    </row>
    <row r="5" spans="1:28">
      <c r="A5" s="70" t="s">
        <v>23</v>
      </c>
      <c r="B5" s="71">
        <v>2</v>
      </c>
      <c r="C5" s="52"/>
      <c r="D5" s="75">
        <v>100</v>
      </c>
      <c r="E5" s="75">
        <f t="shared" ref="E5:E14" si="15">4*24</f>
        <v>96</v>
      </c>
      <c r="F5" s="42">
        <f t="shared" si="0"/>
        <v>196</v>
      </c>
      <c r="G5" s="42">
        <f t="shared" si="8"/>
        <v>396</v>
      </c>
      <c r="H5" s="72">
        <f t="shared" si="1"/>
        <v>2352</v>
      </c>
      <c r="I5" s="108">
        <v>2</v>
      </c>
      <c r="J5" s="46">
        <v>690</v>
      </c>
      <c r="K5" s="47">
        <f>9.15*4*4+(9.15*2)</f>
        <v>164.70000000000002</v>
      </c>
      <c r="L5" s="47">
        <f t="shared" si="9"/>
        <v>6</v>
      </c>
      <c r="M5" s="47">
        <f t="shared" si="2"/>
        <v>46.333333333333336</v>
      </c>
      <c r="N5" s="114">
        <v>20.84</v>
      </c>
      <c r="O5" s="114">
        <f t="shared" si="10"/>
        <v>39.200000000000003</v>
      </c>
      <c r="P5" s="47">
        <f t="shared" si="11"/>
        <v>478.24</v>
      </c>
      <c r="Q5" s="47">
        <f t="shared" si="12"/>
        <v>1.9600000000000002</v>
      </c>
      <c r="R5" s="47">
        <f t="shared" si="3"/>
        <v>12</v>
      </c>
      <c r="S5" s="47">
        <f t="shared" si="4"/>
        <v>120</v>
      </c>
      <c r="T5" s="47">
        <f t="shared" si="5"/>
        <v>60.76</v>
      </c>
      <c r="U5" s="47">
        <f t="shared" si="6"/>
        <v>294</v>
      </c>
      <c r="V5" s="47">
        <f t="shared" si="7"/>
        <v>9.8675170068027214</v>
      </c>
      <c r="W5" s="50">
        <f t="shared" si="13"/>
        <v>8.9812869860267694E-2</v>
      </c>
      <c r="X5" s="42">
        <f>SUM(F3:F5)</f>
        <v>396</v>
      </c>
      <c r="Y5" s="51">
        <f t="shared" si="14"/>
        <v>23494.033333333333</v>
      </c>
      <c r="Z5" s="54">
        <f>SUM(Y3:Y5)</f>
        <v>48227.380000000005</v>
      </c>
    </row>
    <row r="6" spans="1:28">
      <c r="A6" s="70" t="s">
        <v>24</v>
      </c>
      <c r="B6" s="71">
        <v>3</v>
      </c>
      <c r="C6" s="52">
        <v>260</v>
      </c>
      <c r="D6" s="75">
        <v>100</v>
      </c>
      <c r="E6" s="75">
        <f t="shared" si="15"/>
        <v>96</v>
      </c>
      <c r="F6" s="42">
        <f t="shared" si="0"/>
        <v>456</v>
      </c>
      <c r="G6" s="42">
        <f t="shared" si="8"/>
        <v>852</v>
      </c>
      <c r="H6" s="72">
        <f t="shared" si="1"/>
        <v>5472</v>
      </c>
      <c r="I6" s="108">
        <v>2</v>
      </c>
      <c r="J6" s="46">
        <v>690</v>
      </c>
      <c r="K6" s="47">
        <f>9.15*4*7+(9.15*2)</f>
        <v>274.5</v>
      </c>
      <c r="L6" s="47">
        <f t="shared" si="9"/>
        <v>6</v>
      </c>
      <c r="M6" s="47">
        <f t="shared" si="2"/>
        <v>46.333333333333336</v>
      </c>
      <c r="N6" s="114">
        <v>20.84</v>
      </c>
      <c r="O6" s="114">
        <f t="shared" si="10"/>
        <v>91.2</v>
      </c>
      <c r="P6" s="47">
        <f t="shared" si="11"/>
        <v>1112.6399999999999</v>
      </c>
      <c r="Q6" s="47">
        <f t="shared" si="12"/>
        <v>4.5600000000000005</v>
      </c>
      <c r="R6" s="47">
        <f t="shared" si="3"/>
        <v>18</v>
      </c>
      <c r="S6" s="47">
        <f t="shared" si="4"/>
        <v>180</v>
      </c>
      <c r="T6" s="47">
        <f t="shared" si="5"/>
        <v>141.35999999999999</v>
      </c>
      <c r="U6" s="47">
        <f t="shared" si="6"/>
        <v>684</v>
      </c>
      <c r="V6" s="47">
        <f t="shared" si="7"/>
        <v>7.1698099415204677</v>
      </c>
      <c r="W6" s="50">
        <f t="shared" si="13"/>
        <v>6.6901396442084107E-2</v>
      </c>
      <c r="X6" s="42">
        <f>SUM(F3:F6)</f>
        <v>852</v>
      </c>
      <c r="Y6" s="51">
        <f t="shared" si="14"/>
        <v>53429.433333333334</v>
      </c>
      <c r="Z6" s="54">
        <f>SUM(Y3:Y6)</f>
        <v>101656.81333333334</v>
      </c>
    </row>
    <row r="7" spans="1:28">
      <c r="A7" s="70" t="s">
        <v>25</v>
      </c>
      <c r="B7" s="71">
        <v>3</v>
      </c>
      <c r="C7" s="52">
        <v>260</v>
      </c>
      <c r="D7" s="75">
        <v>100</v>
      </c>
      <c r="E7" s="75">
        <f t="shared" si="15"/>
        <v>96</v>
      </c>
      <c r="F7" s="42">
        <f t="shared" si="0"/>
        <v>456</v>
      </c>
      <c r="G7" s="42">
        <f t="shared" si="8"/>
        <v>1308</v>
      </c>
      <c r="H7" s="72">
        <f t="shared" si="1"/>
        <v>5472</v>
      </c>
      <c r="I7" s="108">
        <v>2</v>
      </c>
      <c r="J7" s="46">
        <v>690</v>
      </c>
      <c r="K7" s="47">
        <f t="shared" ref="K7:K14" si="16">9.15*4*7+(9.15*2)</f>
        <v>274.5</v>
      </c>
      <c r="L7" s="47">
        <f t="shared" si="9"/>
        <v>6</v>
      </c>
      <c r="M7" s="47">
        <f t="shared" si="2"/>
        <v>46.333333333333336</v>
      </c>
      <c r="N7" s="114">
        <v>20.84</v>
      </c>
      <c r="O7" s="114">
        <f t="shared" si="10"/>
        <v>91.2</v>
      </c>
      <c r="P7" s="47">
        <f t="shared" si="11"/>
        <v>1112.6399999999999</v>
      </c>
      <c r="Q7" s="47">
        <f t="shared" si="12"/>
        <v>4.5600000000000005</v>
      </c>
      <c r="R7" s="47">
        <f t="shared" si="3"/>
        <v>18</v>
      </c>
      <c r="S7" s="47">
        <f t="shared" si="4"/>
        <v>180</v>
      </c>
      <c r="T7" s="47">
        <f t="shared" si="5"/>
        <v>141.35999999999999</v>
      </c>
      <c r="U7" s="47">
        <f t="shared" si="6"/>
        <v>684</v>
      </c>
      <c r="V7" s="47">
        <f t="shared" si="7"/>
        <v>7.1698099415204677</v>
      </c>
      <c r="W7" s="50">
        <f t="shared" si="13"/>
        <v>6.6901396442084107E-2</v>
      </c>
      <c r="X7" s="53">
        <f>SUM(F3:F7)</f>
        <v>1308</v>
      </c>
      <c r="Y7" s="51">
        <f t="shared" si="14"/>
        <v>53429.433333333334</v>
      </c>
      <c r="Z7" s="54">
        <f>SUM(Y3:Y7)</f>
        <v>155086.24666666667</v>
      </c>
    </row>
    <row r="8" spans="1:28">
      <c r="A8" s="70" t="s">
        <v>26</v>
      </c>
      <c r="B8" s="71">
        <v>3</v>
      </c>
      <c r="C8" s="52">
        <v>260</v>
      </c>
      <c r="D8" s="75">
        <v>100</v>
      </c>
      <c r="E8" s="75">
        <f t="shared" si="15"/>
        <v>96</v>
      </c>
      <c r="F8" s="42">
        <f t="shared" si="0"/>
        <v>456</v>
      </c>
      <c r="G8" s="42">
        <f t="shared" si="8"/>
        <v>1764</v>
      </c>
      <c r="H8" s="72">
        <f t="shared" si="1"/>
        <v>5472</v>
      </c>
      <c r="I8" s="108">
        <v>2</v>
      </c>
      <c r="J8" s="46">
        <v>690</v>
      </c>
      <c r="K8" s="47">
        <f t="shared" si="16"/>
        <v>274.5</v>
      </c>
      <c r="L8" s="47">
        <f t="shared" si="9"/>
        <v>6</v>
      </c>
      <c r="M8" s="47">
        <f t="shared" si="2"/>
        <v>46.333333333333336</v>
      </c>
      <c r="N8" s="114">
        <v>20.84</v>
      </c>
      <c r="O8" s="114">
        <f t="shared" si="10"/>
        <v>91.2</v>
      </c>
      <c r="P8" s="47">
        <f t="shared" si="11"/>
        <v>1112.6399999999999</v>
      </c>
      <c r="Q8" s="47">
        <f t="shared" si="12"/>
        <v>4.5600000000000005</v>
      </c>
      <c r="R8" s="47">
        <f t="shared" si="3"/>
        <v>18</v>
      </c>
      <c r="S8" s="47">
        <f t="shared" si="4"/>
        <v>180</v>
      </c>
      <c r="T8" s="47">
        <f t="shared" si="5"/>
        <v>141.35999999999999</v>
      </c>
      <c r="U8" s="47">
        <f t="shared" si="6"/>
        <v>684</v>
      </c>
      <c r="V8" s="47">
        <f t="shared" si="7"/>
        <v>7.1698099415204677</v>
      </c>
      <c r="W8" s="50">
        <f t="shared" si="13"/>
        <v>6.6901396442084107E-2</v>
      </c>
      <c r="X8" s="42">
        <f>SUM(F3:F8)</f>
        <v>1764</v>
      </c>
      <c r="Y8" s="51">
        <f t="shared" si="14"/>
        <v>53429.433333333334</v>
      </c>
      <c r="Z8" s="54">
        <f>SUM(Y3:Y8)</f>
        <v>208515.68</v>
      </c>
    </row>
    <row r="9" spans="1:28">
      <c r="A9" s="70" t="s">
        <v>27</v>
      </c>
      <c r="B9" s="71">
        <v>3</v>
      </c>
      <c r="C9" s="52">
        <v>260</v>
      </c>
      <c r="D9" s="75">
        <v>100</v>
      </c>
      <c r="E9" s="75">
        <f t="shared" si="15"/>
        <v>96</v>
      </c>
      <c r="F9" s="42">
        <f t="shared" si="0"/>
        <v>456</v>
      </c>
      <c r="G9" s="42">
        <f t="shared" si="8"/>
        <v>2220</v>
      </c>
      <c r="H9" s="72">
        <f t="shared" si="1"/>
        <v>5472</v>
      </c>
      <c r="I9" s="108">
        <v>2</v>
      </c>
      <c r="J9" s="46">
        <v>690</v>
      </c>
      <c r="K9" s="47">
        <f t="shared" si="16"/>
        <v>274.5</v>
      </c>
      <c r="L9" s="47">
        <f t="shared" si="9"/>
        <v>6</v>
      </c>
      <c r="M9" s="47">
        <f t="shared" si="2"/>
        <v>46.333333333333336</v>
      </c>
      <c r="N9" s="114">
        <v>20.84</v>
      </c>
      <c r="O9" s="114">
        <f t="shared" si="10"/>
        <v>91.2</v>
      </c>
      <c r="P9" s="47">
        <f t="shared" si="11"/>
        <v>1112.6399999999999</v>
      </c>
      <c r="Q9" s="47">
        <f t="shared" si="12"/>
        <v>4.5600000000000005</v>
      </c>
      <c r="R9" s="47">
        <f t="shared" si="3"/>
        <v>18</v>
      </c>
      <c r="S9" s="47">
        <f t="shared" si="4"/>
        <v>180</v>
      </c>
      <c r="T9" s="47">
        <f t="shared" si="5"/>
        <v>141.35999999999999</v>
      </c>
      <c r="U9" s="47">
        <f t="shared" si="6"/>
        <v>684</v>
      </c>
      <c r="V9" s="47">
        <f t="shared" si="7"/>
        <v>7.1698099415204677</v>
      </c>
      <c r="W9" s="50">
        <f t="shared" si="13"/>
        <v>6.6901396442084107E-2</v>
      </c>
      <c r="X9" s="42">
        <f>SUM(F3:F9)</f>
        <v>2220</v>
      </c>
      <c r="Y9" s="51">
        <f t="shared" si="14"/>
        <v>53429.433333333334</v>
      </c>
      <c r="Z9" s="54">
        <f>SUM(Y3:Y9)</f>
        <v>261945.11333333334</v>
      </c>
    </row>
    <row r="10" spans="1:28">
      <c r="A10" s="70" t="s">
        <v>28</v>
      </c>
      <c r="B10" s="71">
        <v>3</v>
      </c>
      <c r="C10" s="52">
        <v>260</v>
      </c>
      <c r="D10" s="75">
        <v>100</v>
      </c>
      <c r="E10" s="75">
        <f t="shared" si="15"/>
        <v>96</v>
      </c>
      <c r="F10" s="42">
        <f t="shared" si="0"/>
        <v>456</v>
      </c>
      <c r="G10" s="42">
        <f t="shared" si="8"/>
        <v>2676</v>
      </c>
      <c r="H10" s="72">
        <f t="shared" si="1"/>
        <v>5472</v>
      </c>
      <c r="I10" s="108">
        <v>2</v>
      </c>
      <c r="J10" s="46">
        <v>690</v>
      </c>
      <c r="K10" s="47">
        <f t="shared" si="16"/>
        <v>274.5</v>
      </c>
      <c r="L10" s="47">
        <f t="shared" si="9"/>
        <v>6</v>
      </c>
      <c r="M10" s="47">
        <f t="shared" si="2"/>
        <v>46.333333333333336</v>
      </c>
      <c r="N10" s="114">
        <v>20.84</v>
      </c>
      <c r="O10" s="114">
        <f t="shared" si="10"/>
        <v>91.2</v>
      </c>
      <c r="P10" s="47">
        <f t="shared" si="11"/>
        <v>1112.6399999999999</v>
      </c>
      <c r="Q10" s="47">
        <f t="shared" si="12"/>
        <v>4.5600000000000005</v>
      </c>
      <c r="R10" s="47">
        <f t="shared" si="3"/>
        <v>18</v>
      </c>
      <c r="S10" s="47">
        <f t="shared" si="4"/>
        <v>180</v>
      </c>
      <c r="T10" s="47">
        <f t="shared" si="5"/>
        <v>141.35999999999999</v>
      </c>
      <c r="U10" s="47">
        <f t="shared" si="6"/>
        <v>684</v>
      </c>
      <c r="V10" s="47">
        <f t="shared" si="7"/>
        <v>7.1698099415204677</v>
      </c>
      <c r="W10" s="50">
        <f t="shared" si="13"/>
        <v>6.6901396442084107E-2</v>
      </c>
      <c r="X10" s="42">
        <f>SUM(F3:F10)</f>
        <v>2676</v>
      </c>
      <c r="Y10" s="51">
        <f t="shared" si="14"/>
        <v>53429.433333333334</v>
      </c>
      <c r="Z10" s="54">
        <f>SUM(Y3:Y10)</f>
        <v>315374.54666666669</v>
      </c>
    </row>
    <row r="11" spans="1:28">
      <c r="A11" s="70" t="s">
        <v>29</v>
      </c>
      <c r="B11" s="71">
        <v>3</v>
      </c>
      <c r="C11" s="52">
        <v>260</v>
      </c>
      <c r="D11" s="75">
        <v>100</v>
      </c>
      <c r="E11" s="75">
        <f t="shared" si="15"/>
        <v>96</v>
      </c>
      <c r="F11" s="42">
        <f t="shared" si="0"/>
        <v>456</v>
      </c>
      <c r="G11" s="42">
        <f t="shared" si="8"/>
        <v>3132</v>
      </c>
      <c r="H11" s="72">
        <f t="shared" si="1"/>
        <v>5472</v>
      </c>
      <c r="I11" s="108">
        <v>2</v>
      </c>
      <c r="J11" s="46">
        <v>690</v>
      </c>
      <c r="K11" s="47">
        <f t="shared" si="16"/>
        <v>274.5</v>
      </c>
      <c r="L11" s="47">
        <f t="shared" si="9"/>
        <v>6</v>
      </c>
      <c r="M11" s="47">
        <f t="shared" si="2"/>
        <v>46.333333333333336</v>
      </c>
      <c r="N11" s="114">
        <v>20.84</v>
      </c>
      <c r="O11" s="114">
        <f t="shared" si="10"/>
        <v>91.2</v>
      </c>
      <c r="P11" s="47">
        <f t="shared" si="11"/>
        <v>1112.6399999999999</v>
      </c>
      <c r="Q11" s="47">
        <f t="shared" si="12"/>
        <v>4.5600000000000005</v>
      </c>
      <c r="R11" s="47">
        <f t="shared" si="3"/>
        <v>18</v>
      </c>
      <c r="S11" s="47">
        <f t="shared" si="4"/>
        <v>180</v>
      </c>
      <c r="T11" s="47">
        <f t="shared" si="5"/>
        <v>141.35999999999999</v>
      </c>
      <c r="U11" s="47">
        <f t="shared" si="6"/>
        <v>684</v>
      </c>
      <c r="V11" s="47">
        <f t="shared" si="7"/>
        <v>7.1698099415204677</v>
      </c>
      <c r="W11" s="50">
        <f t="shared" si="13"/>
        <v>6.6901396442084107E-2</v>
      </c>
      <c r="X11" s="42">
        <f>SUM(F3:F11)</f>
        <v>3132</v>
      </c>
      <c r="Y11" s="51">
        <f t="shared" si="14"/>
        <v>53429.433333333334</v>
      </c>
      <c r="Z11" s="54">
        <f>SUM(Y3:Y11)</f>
        <v>368803.98000000004</v>
      </c>
    </row>
    <row r="12" spans="1:28">
      <c r="A12" s="70" t="s">
        <v>30</v>
      </c>
      <c r="B12" s="71">
        <v>3</v>
      </c>
      <c r="C12" s="52">
        <v>260</v>
      </c>
      <c r="D12" s="75">
        <v>100</v>
      </c>
      <c r="E12" s="75">
        <f t="shared" si="15"/>
        <v>96</v>
      </c>
      <c r="F12" s="42">
        <f t="shared" si="0"/>
        <v>456</v>
      </c>
      <c r="G12" s="42">
        <f t="shared" si="8"/>
        <v>3588</v>
      </c>
      <c r="H12" s="72">
        <f t="shared" si="1"/>
        <v>5472</v>
      </c>
      <c r="I12" s="108">
        <v>2</v>
      </c>
      <c r="J12" s="46">
        <v>690</v>
      </c>
      <c r="K12" s="47">
        <f t="shared" si="16"/>
        <v>274.5</v>
      </c>
      <c r="L12" s="47">
        <f t="shared" si="9"/>
        <v>6</v>
      </c>
      <c r="M12" s="47">
        <f t="shared" si="2"/>
        <v>46.333333333333336</v>
      </c>
      <c r="N12" s="114">
        <v>20.84</v>
      </c>
      <c r="O12" s="114">
        <f t="shared" si="10"/>
        <v>91.2</v>
      </c>
      <c r="P12" s="47">
        <f t="shared" si="11"/>
        <v>1112.6399999999999</v>
      </c>
      <c r="Q12" s="47">
        <f t="shared" si="12"/>
        <v>4.5600000000000005</v>
      </c>
      <c r="R12" s="47">
        <f t="shared" si="3"/>
        <v>18</v>
      </c>
      <c r="S12" s="47">
        <f t="shared" si="4"/>
        <v>180</v>
      </c>
      <c r="T12" s="47">
        <f t="shared" si="5"/>
        <v>141.35999999999999</v>
      </c>
      <c r="U12" s="47">
        <f t="shared" si="6"/>
        <v>684</v>
      </c>
      <c r="V12" s="47">
        <f t="shared" si="7"/>
        <v>7.1698099415204677</v>
      </c>
      <c r="W12" s="50">
        <f t="shared" si="13"/>
        <v>6.6901396442084107E-2</v>
      </c>
      <c r="X12" s="42">
        <f>SUM(F3:F12)</f>
        <v>3588</v>
      </c>
      <c r="Y12" s="51">
        <f t="shared" si="14"/>
        <v>53429.433333333334</v>
      </c>
      <c r="Z12" s="54">
        <f>SUM(Y3:Y12)</f>
        <v>422233.41333333339</v>
      </c>
    </row>
    <row r="13" spans="1:28">
      <c r="A13" s="70" t="s">
        <v>31</v>
      </c>
      <c r="B13" s="71">
        <v>3</v>
      </c>
      <c r="C13" s="52">
        <v>260</v>
      </c>
      <c r="D13" s="75">
        <v>100</v>
      </c>
      <c r="E13" s="75">
        <f t="shared" si="15"/>
        <v>96</v>
      </c>
      <c r="F13" s="42">
        <f t="shared" si="0"/>
        <v>456</v>
      </c>
      <c r="G13" s="42">
        <f t="shared" si="8"/>
        <v>4044</v>
      </c>
      <c r="H13" s="72">
        <f t="shared" si="1"/>
        <v>5472</v>
      </c>
      <c r="I13" s="108">
        <v>2</v>
      </c>
      <c r="J13" s="46">
        <v>690</v>
      </c>
      <c r="K13" s="47">
        <f t="shared" si="16"/>
        <v>274.5</v>
      </c>
      <c r="L13" s="47">
        <f t="shared" si="9"/>
        <v>6</v>
      </c>
      <c r="M13" s="47">
        <f t="shared" si="2"/>
        <v>46.333333333333336</v>
      </c>
      <c r="N13" s="114">
        <v>20.84</v>
      </c>
      <c r="O13" s="114">
        <f t="shared" si="10"/>
        <v>91.2</v>
      </c>
      <c r="P13" s="47">
        <f t="shared" si="11"/>
        <v>1112.6399999999999</v>
      </c>
      <c r="Q13" s="47">
        <f t="shared" si="12"/>
        <v>4.5600000000000005</v>
      </c>
      <c r="R13" s="47">
        <f t="shared" si="3"/>
        <v>18</v>
      </c>
      <c r="S13" s="47">
        <f t="shared" si="4"/>
        <v>180</v>
      </c>
      <c r="T13" s="47">
        <f t="shared" si="5"/>
        <v>141.35999999999999</v>
      </c>
      <c r="U13" s="47">
        <f t="shared" si="6"/>
        <v>684</v>
      </c>
      <c r="V13" s="47">
        <f t="shared" si="7"/>
        <v>7.1698099415204677</v>
      </c>
      <c r="W13" s="50">
        <f t="shared" si="13"/>
        <v>6.6901396442084107E-2</v>
      </c>
      <c r="X13" s="42">
        <f>SUM(F3:F13)</f>
        <v>4044</v>
      </c>
      <c r="Y13" s="51">
        <f t="shared" si="14"/>
        <v>53429.433333333334</v>
      </c>
      <c r="Z13" s="54">
        <f>SUM(Y3:Y13)</f>
        <v>475662.84666666674</v>
      </c>
    </row>
    <row r="14" spans="1:28">
      <c r="A14" s="70" t="s">
        <v>33</v>
      </c>
      <c r="B14" s="71">
        <v>3</v>
      </c>
      <c r="C14" s="52">
        <v>260</v>
      </c>
      <c r="D14" s="75">
        <v>100</v>
      </c>
      <c r="E14" s="75">
        <f t="shared" si="15"/>
        <v>96</v>
      </c>
      <c r="F14" s="42">
        <f t="shared" si="0"/>
        <v>456</v>
      </c>
      <c r="G14" s="42">
        <f t="shared" si="8"/>
        <v>4500</v>
      </c>
      <c r="H14" s="72">
        <f t="shared" si="1"/>
        <v>5472</v>
      </c>
      <c r="I14" s="108">
        <v>2</v>
      </c>
      <c r="J14" s="46">
        <v>690</v>
      </c>
      <c r="K14" s="47">
        <f t="shared" si="16"/>
        <v>274.5</v>
      </c>
      <c r="L14" s="47">
        <f t="shared" si="9"/>
        <v>6</v>
      </c>
      <c r="M14" s="47">
        <f t="shared" si="2"/>
        <v>46.333333333333336</v>
      </c>
      <c r="N14" s="114">
        <v>20.84</v>
      </c>
      <c r="O14" s="114">
        <f t="shared" si="10"/>
        <v>91.2</v>
      </c>
      <c r="P14" s="47">
        <f t="shared" si="11"/>
        <v>1112.6399999999999</v>
      </c>
      <c r="Q14" s="47">
        <f t="shared" si="12"/>
        <v>4.5600000000000005</v>
      </c>
      <c r="R14" s="47">
        <f t="shared" si="3"/>
        <v>18</v>
      </c>
      <c r="S14" s="47">
        <f t="shared" si="4"/>
        <v>180</v>
      </c>
      <c r="T14" s="47">
        <f t="shared" si="5"/>
        <v>141.35999999999999</v>
      </c>
      <c r="U14" s="47">
        <f t="shared" si="6"/>
        <v>684</v>
      </c>
      <c r="V14" s="47">
        <f t="shared" si="7"/>
        <v>7.1698099415204677</v>
      </c>
      <c r="W14" s="50">
        <f t="shared" si="13"/>
        <v>6.6901396442084107E-2</v>
      </c>
      <c r="X14" s="42">
        <f>SUM(F3:F14)</f>
        <v>4500</v>
      </c>
      <c r="Y14" s="51">
        <f t="shared" si="14"/>
        <v>53429.433333333334</v>
      </c>
      <c r="Z14" s="54">
        <f>SUM(Y3:Y14)</f>
        <v>529092.28</v>
      </c>
    </row>
    <row r="15" spans="1:28">
      <c r="A15" s="44"/>
      <c r="B15" s="77"/>
      <c r="N15" s="52"/>
      <c r="O15" s="52"/>
      <c r="AB15" s="76"/>
    </row>
    <row r="16" spans="1:28">
      <c r="A16" s="44"/>
      <c r="B16" s="44"/>
      <c r="N16" s="52"/>
      <c r="O16" s="52"/>
      <c r="Y16" s="78" t="s">
        <v>180</v>
      </c>
      <c r="Z16" s="111">
        <f>(G14)*110</f>
        <v>495000</v>
      </c>
      <c r="AA16" s="79"/>
    </row>
    <row r="17" spans="1:27">
      <c r="A17" s="44"/>
      <c r="B17" s="44"/>
      <c r="N17" s="52"/>
      <c r="O17" s="52"/>
      <c r="Y17" s="78" t="s">
        <v>32</v>
      </c>
      <c r="Z17" s="111">
        <f>Z18-Z16</f>
        <v>34092.280000000028</v>
      </c>
      <c r="AA17" s="80"/>
    </row>
    <row r="18" spans="1:27">
      <c r="A18" s="44"/>
      <c r="B18" s="67"/>
      <c r="N18" s="52"/>
      <c r="O18" s="52"/>
      <c r="Y18" s="78" t="s">
        <v>34</v>
      </c>
      <c r="Z18" s="111">
        <f>Z14</f>
        <v>529092.28</v>
      </c>
      <c r="AA18" s="51"/>
    </row>
    <row r="19" spans="1:27">
      <c r="A19" s="44"/>
      <c r="B19" s="44"/>
      <c r="N19" s="52"/>
      <c r="O19" s="52"/>
      <c r="AA19" s="51"/>
    </row>
    <row r="20" spans="1:27">
      <c r="A20" s="44"/>
      <c r="B20" s="44"/>
      <c r="N20" s="52"/>
      <c r="O20" s="52"/>
    </row>
    <row r="21" spans="1:27">
      <c r="N21" s="52"/>
      <c r="O21" s="52"/>
    </row>
    <row r="22" spans="1:27">
      <c r="N22" s="52"/>
      <c r="O22" s="52"/>
    </row>
  </sheetData>
  <phoneticPr fontId="39" type="noConversion"/>
  <pageMargins left="0.75" right="0.75" top="1" bottom="1" header="0.5" footer="0.5"/>
  <ignoredErrors>
    <ignoredError sqref="F3:F4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view="pageLayout" topLeftCell="A3" workbookViewId="0">
      <selection activeCell="H39" sqref="H39"/>
    </sheetView>
  </sheetViews>
  <sheetFormatPr baseColWidth="10" defaultRowHeight="12" x14ac:dyDescent="0"/>
  <cols>
    <col min="2" max="2" width="11.1640625" bestFit="1" customWidth="1"/>
  </cols>
  <sheetData>
    <row r="1" spans="1:3">
      <c r="A1" t="s">
        <v>10</v>
      </c>
    </row>
    <row r="3" spans="1:3">
      <c r="A3" t="s">
        <v>19</v>
      </c>
      <c r="B3" t="s">
        <v>20</v>
      </c>
      <c r="C3" t="s">
        <v>21</v>
      </c>
    </row>
    <row r="4" spans="1:3">
      <c r="A4" t="s">
        <v>13</v>
      </c>
      <c r="B4" s="130">
        <f>'2014-2015 Total Budget'!$E$6</f>
        <v>331266</v>
      </c>
      <c r="C4" s="134">
        <f t="shared" ref="C4:C9" si="0">B4/B$9</f>
        <v>0.76321586186254753</v>
      </c>
    </row>
    <row r="5" spans="1:3">
      <c r="A5" t="s">
        <v>14</v>
      </c>
      <c r="B5" s="130">
        <f>'2014-2015 Total Budget'!$E$13</f>
        <v>46000</v>
      </c>
      <c r="C5" s="134">
        <f t="shared" si="0"/>
        <v>0.10598108361762808</v>
      </c>
    </row>
    <row r="6" spans="1:3">
      <c r="A6" t="s">
        <v>15</v>
      </c>
      <c r="B6" s="131">
        <f>'CCT Implementation Expenses'!$P$23</f>
        <v>11040</v>
      </c>
      <c r="C6" s="134">
        <f t="shared" si="0"/>
        <v>2.5435460068230741E-2</v>
      </c>
    </row>
    <row r="7" spans="1:3">
      <c r="A7" t="s">
        <v>16</v>
      </c>
      <c r="B7" s="132">
        <f>'2014-2015 Total Budget'!E7-'GiveWell analysis'!$B$6</f>
        <v>12773.44133333335</v>
      </c>
      <c r="C7" s="134">
        <f t="shared" si="0"/>
        <v>2.9429199000714536E-2</v>
      </c>
    </row>
    <row r="8" spans="1:3">
      <c r="A8" t="s">
        <v>17</v>
      </c>
      <c r="B8" s="130">
        <f>'2014-2015 Total Budget'!$E$21+'2014-2015 Total Budget'!$E$33+'2014-2015 Total Budget'!$E$39+'2014-2015 Total Budget'!$E$45+'2014-2015 Total Budget'!$E$61</f>
        <v>32960.28</v>
      </c>
      <c r="C8" s="134">
        <f t="shared" si="0"/>
        <v>7.5938395450879007E-2</v>
      </c>
    </row>
    <row r="9" spans="1:3">
      <c r="A9" t="s">
        <v>18</v>
      </c>
      <c r="B9" s="130">
        <f>SUM(B4:B8)</f>
        <v>434039.72133333341</v>
      </c>
      <c r="C9" s="134">
        <f t="shared" si="0"/>
        <v>1</v>
      </c>
    </row>
    <row r="11" spans="1:3">
      <c r="A11" t="s">
        <v>22</v>
      </c>
      <c r="B11" s="133">
        <f>B9/1781</f>
        <v>243.70562680142245</v>
      </c>
    </row>
    <row r="14" spans="1:3">
      <c r="A14" t="s">
        <v>192</v>
      </c>
    </row>
    <row r="16" spans="1:3">
      <c r="A16" t="s">
        <v>19</v>
      </c>
      <c r="B16" t="s">
        <v>20</v>
      </c>
      <c r="C16" t="s">
        <v>21</v>
      </c>
    </row>
    <row r="17" spans="1:3">
      <c r="A17" t="s">
        <v>13</v>
      </c>
      <c r="B17" s="133">
        <f>'2014-2015 Total Budget'!$E$6</f>
        <v>331266</v>
      </c>
      <c r="C17" s="134">
        <f t="shared" ref="C17:C22" si="1">B17/B$22</f>
        <v>0.77122951811505369</v>
      </c>
    </row>
    <row r="18" spans="1:3">
      <c r="A18" t="s">
        <v>14</v>
      </c>
      <c r="B18" s="133">
        <f>'2014-2015 Total Budget'!$E$13</f>
        <v>46000</v>
      </c>
      <c r="C18" s="134">
        <f t="shared" si="1"/>
        <v>0.10709386967963047</v>
      </c>
    </row>
    <row r="19" spans="1:3">
      <c r="A19" t="s">
        <v>15</v>
      </c>
      <c r="B19" s="131">
        <f>'CCT Implementation Expenses'!$P$23</f>
        <v>11040</v>
      </c>
      <c r="C19" s="134">
        <f t="shared" si="1"/>
        <v>2.5702528723111313E-2</v>
      </c>
    </row>
    <row r="20" spans="1:3">
      <c r="A20" t="s">
        <v>16</v>
      </c>
      <c r="B20" s="133">
        <f>'2014-2015 Total Budget'!$E$7-'GiveWell analysis'!$B$6</f>
        <v>12773.44133333335</v>
      </c>
      <c r="C20" s="134">
        <f t="shared" si="1"/>
        <v>2.9738201337226242E-2</v>
      </c>
    </row>
    <row r="21" spans="1:3">
      <c r="A21" t="s">
        <v>17</v>
      </c>
      <c r="B21" s="133">
        <f>'2014-2015 Total Budget'!$E$21+'2014-2015 Total Budget'!$E$33+'2014-2015 Total Budget'!$E$39+'2014-2015 Total Budget'!$E$45+'2014-2015 Total Budget'!$E$61-'2014-2015 Total Budget'!E16-'2014-2015 Total Budget'!E17-'2014-2015 Total Budget'!E24-'2014-2015 Total Budget'!E27-'2014-2015 Total Budget'!E28</f>
        <v>28450.28</v>
      </c>
      <c r="C21" s="134">
        <f t="shared" si="1"/>
        <v>6.6235882144978192E-2</v>
      </c>
    </row>
    <row r="22" spans="1:3">
      <c r="A22" t="s">
        <v>18</v>
      </c>
      <c r="B22" s="133">
        <f>SUM(B17:B21)</f>
        <v>429529.72133333341</v>
      </c>
      <c r="C22" s="134">
        <f t="shared" si="1"/>
        <v>1</v>
      </c>
    </row>
    <row r="24" spans="1:3">
      <c r="A24" t="s">
        <v>22</v>
      </c>
      <c r="B24" s="133">
        <f>B22/1781</f>
        <v>241.1733415684073</v>
      </c>
    </row>
    <row r="28" spans="1:3">
      <c r="A28" t="s">
        <v>191</v>
      </c>
    </row>
    <row r="29" spans="1:3">
      <c r="A29" t="s">
        <v>19</v>
      </c>
      <c r="B29" t="s">
        <v>20</v>
      </c>
      <c r="C29" t="s">
        <v>21</v>
      </c>
    </row>
    <row r="30" spans="1:3">
      <c r="A30" t="s">
        <v>13</v>
      </c>
      <c r="B30" s="133">
        <f>'2014-2015 Total Budget'!C6</f>
        <v>76818</v>
      </c>
      <c r="C30" s="134">
        <f t="shared" ref="C30:C35" si="2">B30/B$35</f>
        <v>0.66804640809580851</v>
      </c>
    </row>
    <row r="31" spans="1:3">
      <c r="A31" t="s">
        <v>14</v>
      </c>
      <c r="B31" s="133">
        <f>'2014-2015 Total Budget'!C13</f>
        <v>21000</v>
      </c>
      <c r="C31" s="134">
        <f t="shared" si="2"/>
        <v>0.18262613671290556</v>
      </c>
    </row>
    <row r="32" spans="1:3">
      <c r="A32" t="s">
        <v>15</v>
      </c>
      <c r="B32" s="131">
        <f>'CCT Implementation Expenses'!P24</f>
        <v>2760</v>
      </c>
      <c r="C32" s="134">
        <f t="shared" si="2"/>
        <v>2.4002292253696159E-2</v>
      </c>
    </row>
    <row r="33" spans="1:3">
      <c r="A33" t="s">
        <v>16</v>
      </c>
      <c r="B33" s="133">
        <f>'2014-2015 Total Budget'!C7-'GiveWell analysis'!B32</f>
        <v>2891.3773333333374</v>
      </c>
      <c r="C33" s="134">
        <f t="shared" si="2"/>
        <v>2.5144812960282398E-2</v>
      </c>
    </row>
    <row r="34" spans="1:3">
      <c r="A34" t="s">
        <v>17</v>
      </c>
      <c r="B34" s="133">
        <f>'2014-2015 Total Budget'!C21-'2014-2015 Total Budget'!C16-'2014-2015 Total Budget'!C17+'2014-2015 Total Budget'!C33-'2014-2015 Total Budget'!C24-'2014-2015 Total Budget'!C27-'2014-2015 Total Budget'!C28+'2014-2015 Total Budget'!C39+'2014-2015 Total Budget'!C45+'2014-2015 Total Budget'!C61</f>
        <v>11519.64</v>
      </c>
      <c r="C34" s="134">
        <f t="shared" si="2"/>
        <v>0.10018034997730739</v>
      </c>
    </row>
    <row r="35" spans="1:3">
      <c r="A35" t="s">
        <v>18</v>
      </c>
      <c r="B35" s="133">
        <f>SUM(B30:B34)</f>
        <v>114989.01733333334</v>
      </c>
      <c r="C35" s="134">
        <f t="shared" si="2"/>
        <v>1</v>
      </c>
    </row>
    <row r="37" spans="1:3">
      <c r="A37" t="s">
        <v>22</v>
      </c>
      <c r="B37" s="133">
        <f>B35/'CCT Implementation Expenses'!AF10</f>
        <v>278.42377078288945</v>
      </c>
    </row>
    <row r="40" spans="1:3">
      <c r="A40" t="s">
        <v>11</v>
      </c>
      <c r="B40" s="139">
        <f>'RCT Budget 2015-2016'!D45-'RCT Budget 2015-2016'!D5-'RCT Budget 2015-2016'!D6</f>
        <v>49800</v>
      </c>
    </row>
  </sheetData>
  <phoneticPr fontId="3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2014-2015 Total Budget</vt:lpstr>
      <vt:lpstr>CCT Implementation Expenses</vt:lpstr>
      <vt:lpstr>RCT Budget 2015-2016</vt:lpstr>
      <vt:lpstr>RCT Endline Survey</vt:lpstr>
      <vt:lpstr>CCTs for Vaccinations</vt:lpstr>
      <vt:lpstr>GiveWell analysis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2012-02-09T21:53:06Z</cp:lastPrinted>
  <dcterms:created xsi:type="dcterms:W3CDTF">2012-02-06T22:09:36Z</dcterms:created>
  <dcterms:modified xsi:type="dcterms:W3CDTF">2015-07-17T17:45:21Z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