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filterPrivacy="1" showInkAnnotation="0" autoCompressPictures="0"/>
  <bookViews>
    <workbookView xWindow="0" yWindow="0" windowWidth="20840" windowHeight="16680" tabRatio="577" activeTab="1"/>
  </bookViews>
  <sheets>
    <sheet name="2012 financial statements" sheetId="3" r:id="rId1"/>
    <sheet name="2013 financial statements" sheetId="2" r:id="rId2"/>
    <sheet name="2014 budget" sheetId="1" r:id="rId3"/>
    <sheet name="Consolidated" sheetId="4" r:id="rId4"/>
    <sheet name="2015-2018 budget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" l="1"/>
  <c r="D16" i="3"/>
  <c r="C20" i="1"/>
  <c r="B19" i="2"/>
  <c r="D19" i="2"/>
  <c r="D18" i="2"/>
  <c r="D17" i="2"/>
  <c r="C20" i="2"/>
  <c r="C20" i="3"/>
  <c r="D20" i="3"/>
  <c r="D17" i="3"/>
  <c r="D18" i="3"/>
  <c r="D19" i="3"/>
  <c r="B13" i="1"/>
  <c r="B13" i="2"/>
  <c r="B4" i="3"/>
  <c r="B5" i="3"/>
  <c r="B13" i="3"/>
  <c r="B22" i="4"/>
  <c r="C22" i="4"/>
  <c r="D22" i="4"/>
  <c r="D25" i="4"/>
  <c r="C25" i="4"/>
  <c r="B25" i="4"/>
  <c r="D24" i="4"/>
  <c r="D23" i="4"/>
  <c r="B23" i="4"/>
  <c r="G23" i="5"/>
  <c r="G22" i="5"/>
  <c r="G21" i="5"/>
  <c r="G20" i="5"/>
  <c r="G19" i="5"/>
  <c r="B26" i="2"/>
  <c r="B27" i="3"/>
  <c r="B26" i="5"/>
  <c r="B25" i="5"/>
  <c r="F23" i="5"/>
  <c r="C22" i="5"/>
  <c r="B22" i="5"/>
  <c r="C21" i="5"/>
  <c r="C20" i="5"/>
  <c r="C19" i="5"/>
  <c r="C23" i="5"/>
  <c r="E22" i="5"/>
  <c r="E21" i="5"/>
  <c r="E20" i="5"/>
  <c r="E19" i="5"/>
  <c r="B23" i="5"/>
  <c r="D22" i="5"/>
  <c r="D21" i="5"/>
  <c r="D20" i="5"/>
  <c r="D19" i="5"/>
  <c r="E23" i="5"/>
  <c r="D23" i="5"/>
  <c r="B16" i="5"/>
  <c r="B14" i="5"/>
  <c r="C11" i="5"/>
  <c r="B15" i="5"/>
  <c r="D11" i="5"/>
  <c r="C4" i="5"/>
  <c r="C5" i="5"/>
  <c r="C6" i="5"/>
  <c r="C7" i="5"/>
  <c r="C8" i="5"/>
  <c r="C9" i="5"/>
  <c r="C10" i="5"/>
  <c r="C12" i="5"/>
  <c r="C13" i="5"/>
  <c r="C14" i="5"/>
  <c r="D8" i="5"/>
  <c r="D9" i="5"/>
  <c r="D4" i="5"/>
  <c r="D5" i="5"/>
  <c r="D6" i="5"/>
  <c r="D7" i="5"/>
  <c r="D10" i="5"/>
  <c r="D12" i="5"/>
  <c r="D14" i="5"/>
  <c r="D19" i="1"/>
  <c r="D18" i="4"/>
  <c r="D15" i="4"/>
  <c r="D16" i="4"/>
  <c r="D17" i="4"/>
  <c r="D19" i="4"/>
  <c r="C18" i="4"/>
  <c r="C15" i="4"/>
  <c r="C16" i="4"/>
  <c r="C17" i="4"/>
  <c r="C19" i="4"/>
  <c r="B15" i="4"/>
  <c r="B16" i="4"/>
  <c r="B17" i="4"/>
  <c r="B12" i="3"/>
  <c r="B19" i="3"/>
  <c r="B18" i="4"/>
  <c r="B19" i="4"/>
  <c r="B9" i="4"/>
  <c r="C9" i="4"/>
  <c r="D9" i="4"/>
  <c r="B3" i="4"/>
  <c r="B4" i="4"/>
  <c r="B5" i="4"/>
  <c r="B6" i="4"/>
  <c r="B7" i="4"/>
  <c r="B8" i="4"/>
  <c r="B10" i="4"/>
  <c r="C3" i="4"/>
  <c r="C4" i="4"/>
  <c r="C5" i="4"/>
  <c r="C6" i="4"/>
  <c r="C7" i="4"/>
  <c r="C8" i="4"/>
  <c r="C10" i="4"/>
  <c r="D3" i="4"/>
  <c r="D4" i="4"/>
  <c r="D5" i="4"/>
  <c r="D6" i="4"/>
  <c r="D7" i="4"/>
  <c r="D8" i="4"/>
  <c r="D10" i="4"/>
  <c r="E9" i="4"/>
  <c r="E8" i="4"/>
  <c r="E7" i="4"/>
  <c r="E6" i="4"/>
  <c r="E5" i="4"/>
  <c r="E4" i="4"/>
  <c r="E3" i="4"/>
  <c r="D20" i="1"/>
  <c r="F16" i="1"/>
  <c r="F17" i="1"/>
  <c r="F18" i="1"/>
  <c r="F19" i="1"/>
  <c r="F20" i="1"/>
  <c r="E17" i="1"/>
  <c r="E18" i="1"/>
  <c r="E20" i="1"/>
  <c r="E19" i="1"/>
  <c r="B20" i="1"/>
  <c r="B19" i="1"/>
  <c r="D20" i="2"/>
  <c r="F16" i="2"/>
  <c r="F17" i="2"/>
  <c r="F18" i="2"/>
  <c r="F19" i="2"/>
  <c r="F20" i="2"/>
  <c r="B20" i="2"/>
  <c r="E17" i="2"/>
  <c r="E16" i="2"/>
  <c r="E18" i="2"/>
  <c r="E19" i="2"/>
  <c r="E20" i="2"/>
  <c r="F17" i="3"/>
  <c r="F18" i="3"/>
  <c r="F19" i="3"/>
  <c r="F16" i="3"/>
  <c r="F20" i="3"/>
  <c r="B20" i="3"/>
  <c r="E16" i="3"/>
  <c r="E17" i="3"/>
  <c r="E18" i="3"/>
  <c r="E19" i="3"/>
  <c r="E20" i="3"/>
  <c r="D4" i="3"/>
  <c r="D5" i="3"/>
  <c r="D6" i="3"/>
  <c r="D7" i="3"/>
  <c r="D8" i="3"/>
  <c r="D9" i="3"/>
  <c r="D10" i="3"/>
  <c r="D12" i="3"/>
  <c r="C4" i="3"/>
  <c r="C5" i="3"/>
  <c r="C6" i="3"/>
  <c r="C7" i="3"/>
  <c r="C8" i="3"/>
  <c r="C9" i="3"/>
  <c r="C10" i="3"/>
  <c r="C11" i="3"/>
  <c r="C12" i="3"/>
  <c r="B5" i="2"/>
  <c r="B4" i="2"/>
  <c r="B12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12" i="2"/>
  <c r="C12" i="2"/>
  <c r="D4" i="1"/>
  <c r="D5" i="1"/>
  <c r="D6" i="1"/>
  <c r="D7" i="1"/>
  <c r="D8" i="1"/>
  <c r="D9" i="1"/>
  <c r="D10" i="1"/>
  <c r="D12" i="1"/>
  <c r="C12" i="1"/>
  <c r="E16" i="1"/>
  <c r="D17" i="1"/>
  <c r="D16" i="1"/>
  <c r="C11" i="1"/>
  <c r="C10" i="1"/>
  <c r="C9" i="1"/>
  <c r="C8" i="1"/>
  <c r="C7" i="1"/>
  <c r="C6" i="1"/>
  <c r="C5" i="1"/>
  <c r="C4" i="1"/>
  <c r="B12" i="1"/>
  <c r="E18" i="4"/>
  <c r="E17" i="4"/>
  <c r="E16" i="4"/>
  <c r="E15" i="4"/>
</calcChain>
</file>

<file path=xl/sharedStrings.xml><?xml version="1.0" encoding="utf-8"?>
<sst xmlns="http://schemas.openxmlformats.org/spreadsheetml/2006/main" count="159" uniqueCount="60">
  <si>
    <t>Country-level expenses</t>
  </si>
  <si>
    <t>Branch Offices and Transport</t>
  </si>
  <si>
    <t>Marketing and Promotion</t>
  </si>
  <si>
    <t>Training</t>
  </si>
  <si>
    <t>Sub-Grant to BRAC</t>
  </si>
  <si>
    <t>US-based expenses</t>
  </si>
  <si>
    <t>Sum of "LG International" expenses, includes Program, Fundsraising, Administration, and M&amp;E</t>
  </si>
  <si>
    <t>"Country Operating Expenses" sub-category "G&amp;A - HQ, Product, MIS, HR, Finance"</t>
  </si>
  <si>
    <t>Capital Expenditures</t>
  </si>
  <si>
    <t>Capital Expenditures plus Working Capital and Inventory</t>
  </si>
  <si>
    <t>Notes</t>
  </si>
  <si>
    <t>TOTAL</t>
  </si>
  <si>
    <t>TOTAL with cost of goods</t>
  </si>
  <si>
    <t>TOTAL without cost of goods</t>
  </si>
  <si>
    <t>-</t>
  </si>
  <si>
    <t>Uganda</t>
  </si>
  <si>
    <t>Kenya</t>
  </si>
  <si>
    <t>Partnerships</t>
  </si>
  <si>
    <t>Total expenditures including cost of goods</t>
  </si>
  <si>
    <t>% of expenditures with cost of goods</t>
  </si>
  <si>
    <t>Total expenditures excluding cost of goods</t>
  </si>
  <si>
    <t>% of expenditures without cost of goods</t>
  </si>
  <si>
    <t>Source: Living Goods budget (2014)</t>
  </si>
  <si>
    <t>Source: Living Goods unaudited financials (2013)</t>
  </si>
  <si>
    <t>Cost of goods (full cost recovery + margin expected)</t>
  </si>
  <si>
    <t>"Operating Expenses" sub-category "Admin, Health Mgt, Procurement/Logistics" + Other</t>
  </si>
  <si>
    <t>Expenditures</t>
  </si>
  <si>
    <t>Other (primarily US-based)</t>
  </si>
  <si>
    <t>* I don't know why Other and US-based aren't quite the same. Maybe because some US-based is allocated to partnerships?</t>
  </si>
  <si>
    <t>% of expenditures 2012-2014</t>
  </si>
  <si>
    <t>By type of expenditure – excludes cost of goods</t>
  </si>
  <si>
    <t>By program – excludes cost of goods</t>
  </si>
  <si>
    <t>% of expenditures 2012-2014 | excluding unallocated</t>
  </si>
  <si>
    <t>Unallocated (primarily US-based operations)</t>
  </si>
  <si>
    <t>Source: Living Goods draft budget (2015-2018)</t>
  </si>
  <si>
    <t>"Country Operating Expenses" for Living Goods Uganda sub-category "G&amp;A - HQ, Product, MIS, HR, Finance"</t>
  </si>
  <si>
    <t>Product / Inventory Management</t>
  </si>
  <si>
    <t>Technology</t>
  </si>
  <si>
    <t>Includes BRAC</t>
  </si>
  <si>
    <t>BRAC expenses included in other categories</t>
  </si>
  <si>
    <t>Annual average</t>
  </si>
  <si>
    <t>Living Goods Uganda</t>
  </si>
  <si>
    <t>BRAC Uganda</t>
  </si>
  <si>
    <t>Expected revenue (margin on goods only)</t>
  </si>
  <si>
    <t>Donation revenue required</t>
  </si>
  <si>
    <t>Total revenue</t>
  </si>
  <si>
    <t>Donor funding [calculated]</t>
  </si>
  <si>
    <t>"Net financiing revenue"</t>
  </si>
  <si>
    <t>Amount</t>
  </si>
  <si>
    <t>Final margin on goods sold</t>
  </si>
  <si>
    <t>Net financing revenue</t>
  </si>
  <si>
    <t>Donor funding needed</t>
  </si>
  <si>
    <t>Cost of goods</t>
  </si>
  <si>
    <t>Total</t>
  </si>
  <si>
    <t>Source: Living Goods unaudited financials (2012)</t>
  </si>
  <si>
    <t>Wholesale sales revenue</t>
  </si>
  <si>
    <t>Damages, expired, and write downs</t>
  </si>
  <si>
    <t>Final margin</t>
  </si>
  <si>
    <t>"Initial cost of goods sold"</t>
  </si>
  <si>
    <t>"Final cost of goods sold"; note that the terminology used in the 2013 financial statements and 2014 budget for cost of goods is different, and we're not sure if this indicates a difference in how the figures are 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</si>
</sst>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42" fontId="0" fillId="0" borderId="0" xfId="0" applyNumberFormat="1"/>
    <xf numFmtId="0" fontId="1" fillId="0" borderId="0" xfId="0" applyFont="1"/>
    <xf numFmtId="42" fontId="1" fillId="0" borderId="0" xfId="0" applyNumberFormat="1" applyFont="1"/>
    <xf numFmtId="9" fontId="0" fillId="0" borderId="0" xfId="0" applyNumberFormat="1"/>
    <xf numFmtId="0" fontId="4" fillId="0" borderId="0" xfId="0" applyFont="1"/>
    <xf numFmtId="0" fontId="0" fillId="0" borderId="0" xfId="0" applyAlignment="1">
      <alignment horizontal="center" vertical="center" wrapText="1"/>
    </xf>
    <xf numFmtId="9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center" vertical="center"/>
    </xf>
  </cellXfs>
  <cellStyles count="2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17" sqref="D17"/>
    </sheetView>
  </sheetViews>
  <sheetFormatPr baseColWidth="10" defaultRowHeight="15" x14ac:dyDescent="0"/>
  <cols>
    <col min="1" max="1" width="43.83203125" customWidth="1"/>
    <col min="2" max="5" width="16.1640625" customWidth="1"/>
  </cols>
  <sheetData>
    <row r="1" spans="1:6">
      <c r="A1" s="5" t="s">
        <v>54</v>
      </c>
    </row>
    <row r="3" spans="1:6" ht="45">
      <c r="B3" s="6" t="s">
        <v>26</v>
      </c>
      <c r="C3" s="6" t="s">
        <v>19</v>
      </c>
      <c r="D3" s="6" t="s">
        <v>21</v>
      </c>
      <c r="E3" s="6" t="s">
        <v>10</v>
      </c>
    </row>
    <row r="4" spans="1:6">
      <c r="A4" t="s">
        <v>5</v>
      </c>
      <c r="B4" s="1">
        <f>675649+146467+347149+334</f>
        <v>1169599</v>
      </c>
      <c r="C4" s="4">
        <f>B4/B$12</f>
        <v>0.4489799287067171</v>
      </c>
      <c r="D4" s="4">
        <f>B4/B$13</f>
        <v>0.48086369706219001</v>
      </c>
      <c r="E4" t="s">
        <v>6</v>
      </c>
    </row>
    <row r="5" spans="1:6">
      <c r="A5" t="s">
        <v>0</v>
      </c>
      <c r="B5" s="1">
        <f>290297+610982</f>
        <v>901279</v>
      </c>
      <c r="C5" s="4">
        <f t="shared" ref="C5:C11" si="0">B5/B$12</f>
        <v>0.34597856287912465</v>
      </c>
      <c r="D5" s="4">
        <f t="shared" ref="D5:D10" si="1">B5/B$13</f>
        <v>0.37054781341683224</v>
      </c>
      <c r="E5" t="s">
        <v>25</v>
      </c>
    </row>
    <row r="6" spans="1:6">
      <c r="A6" t="s">
        <v>1</v>
      </c>
      <c r="B6" s="1">
        <v>109432</v>
      </c>
      <c r="C6" s="4">
        <f t="shared" si="0"/>
        <v>4.2008219533561049E-2</v>
      </c>
      <c r="D6" s="4">
        <f t="shared" si="1"/>
        <v>4.4991382599429017E-2</v>
      </c>
    </row>
    <row r="7" spans="1:6">
      <c r="A7" t="s">
        <v>2</v>
      </c>
      <c r="B7" s="1">
        <v>121909</v>
      </c>
      <c r="C7" s="4">
        <f t="shared" si="0"/>
        <v>4.6797829109555648E-2</v>
      </c>
      <c r="D7" s="4">
        <f t="shared" si="1"/>
        <v>5.0121120525200964E-2</v>
      </c>
    </row>
    <row r="8" spans="1:6">
      <c r="A8" t="s">
        <v>3</v>
      </c>
      <c r="B8" s="1">
        <v>54318</v>
      </c>
      <c r="C8" s="4">
        <f t="shared" si="0"/>
        <v>2.0851327478470367E-2</v>
      </c>
      <c r="D8" s="4">
        <f t="shared" si="1"/>
        <v>2.2332059361391415E-2</v>
      </c>
    </row>
    <row r="9" spans="1:6">
      <c r="A9" t="s">
        <v>4</v>
      </c>
      <c r="B9" s="1">
        <v>0</v>
      </c>
      <c r="C9" s="4">
        <f t="shared" si="0"/>
        <v>0</v>
      </c>
      <c r="D9" s="4">
        <f t="shared" si="1"/>
        <v>0</v>
      </c>
    </row>
    <row r="10" spans="1:6">
      <c r="A10" t="s">
        <v>8</v>
      </c>
      <c r="B10" s="1">
        <v>75751</v>
      </c>
      <c r="C10" s="4">
        <f t="shared" si="0"/>
        <v>2.9078922416539796E-2</v>
      </c>
      <c r="D10" s="4">
        <f t="shared" si="1"/>
        <v>3.1143927034956387E-2</v>
      </c>
      <c r="E10" t="s">
        <v>9</v>
      </c>
    </row>
    <row r="11" spans="1:6">
      <c r="A11" t="s">
        <v>24</v>
      </c>
      <c r="B11" s="1">
        <v>172726</v>
      </c>
      <c r="C11" s="4">
        <f t="shared" si="0"/>
        <v>6.6305209876031376E-2</v>
      </c>
      <c r="D11" t="s">
        <v>14</v>
      </c>
    </row>
    <row r="12" spans="1:6">
      <c r="A12" s="2" t="s">
        <v>12</v>
      </c>
      <c r="B12" s="3">
        <f>SUM(B4:B11)</f>
        <v>2605014</v>
      </c>
      <c r="C12" s="7">
        <f>SUM(C4:C11)</f>
        <v>1</v>
      </c>
      <c r="D12" s="7">
        <f>SUM(D4:D11)</f>
        <v>1</v>
      </c>
    </row>
    <row r="13" spans="1:6">
      <c r="A13" s="2" t="s">
        <v>13</v>
      </c>
      <c r="B13" s="3">
        <f>SUM(B4:B10)</f>
        <v>2432288</v>
      </c>
    </row>
    <row r="15" spans="1:6" ht="75">
      <c r="B15" s="6" t="s">
        <v>18</v>
      </c>
      <c r="C15" s="6" t="s">
        <v>52</v>
      </c>
      <c r="D15" s="6" t="s">
        <v>20</v>
      </c>
      <c r="E15" s="6" t="s">
        <v>19</v>
      </c>
      <c r="F15" s="6" t="s">
        <v>21</v>
      </c>
    </row>
    <row r="16" spans="1:6">
      <c r="A16" t="s">
        <v>15</v>
      </c>
      <c r="B16" s="1">
        <v>759340</v>
      </c>
      <c r="C16" s="1">
        <v>172726</v>
      </c>
      <c r="D16" s="1">
        <f>B16-C16</f>
        <v>586614</v>
      </c>
      <c r="E16" s="4">
        <f>B16/B$20</f>
        <v>0.29149171559154768</v>
      </c>
      <c r="F16" s="4">
        <f>D16/D$20</f>
        <v>0.2411778539383494</v>
      </c>
    </row>
    <row r="17" spans="1:6">
      <c r="A17" t="s">
        <v>16</v>
      </c>
      <c r="B17" s="1">
        <v>0</v>
      </c>
      <c r="C17" s="1">
        <v>0</v>
      </c>
      <c r="D17" s="1">
        <f t="shared" ref="D17:D19" si="2">B17-C17</f>
        <v>0</v>
      </c>
      <c r="E17" s="4">
        <f>B17/B$20</f>
        <v>0</v>
      </c>
      <c r="F17" s="4">
        <f>D17/D$20</f>
        <v>0</v>
      </c>
    </row>
    <row r="18" spans="1:6">
      <c r="A18" t="s">
        <v>17</v>
      </c>
      <c r="B18" s="1">
        <v>685550</v>
      </c>
      <c r="C18" s="1">
        <v>0</v>
      </c>
      <c r="D18" s="1">
        <f t="shared" si="2"/>
        <v>685550</v>
      </c>
      <c r="E18" s="4">
        <f>B18/B$20</f>
        <v>0.26316557223876724</v>
      </c>
      <c r="F18" s="4">
        <f>D18/D$20</f>
        <v>0.28185395808391112</v>
      </c>
    </row>
    <row r="19" spans="1:6">
      <c r="A19" t="s">
        <v>27</v>
      </c>
      <c r="B19" s="1">
        <f>B12-SUM(B16:B18)</f>
        <v>1160124</v>
      </c>
      <c r="C19" s="1">
        <v>0</v>
      </c>
      <c r="D19" s="1">
        <f t="shared" si="2"/>
        <v>1160124</v>
      </c>
      <c r="E19" s="4">
        <f>B19/B$20</f>
        <v>0.44534271216968507</v>
      </c>
      <c r="F19" s="4">
        <f>D19/D$20</f>
        <v>0.47696818797773949</v>
      </c>
    </row>
    <row r="20" spans="1:6">
      <c r="A20" s="2" t="s">
        <v>11</v>
      </c>
      <c r="B20" s="3">
        <f>SUM(B16:B19)</f>
        <v>2605014</v>
      </c>
      <c r="C20" s="3">
        <f>SUM(C16:C19)</f>
        <v>172726</v>
      </c>
      <c r="D20" s="3">
        <f>SUM(D16:D19)</f>
        <v>2432288</v>
      </c>
      <c r="E20" s="7">
        <f>SUM(E16:E19)</f>
        <v>1</v>
      </c>
      <c r="F20" s="7">
        <f>SUM(F16:F19)</f>
        <v>1</v>
      </c>
    </row>
    <row r="21" spans="1:6">
      <c r="B21" t="s">
        <v>28</v>
      </c>
    </row>
    <row r="23" spans="1:6">
      <c r="B23" s="9" t="s">
        <v>48</v>
      </c>
      <c r="C23" s="9"/>
      <c r="D23" s="9"/>
      <c r="E23" s="9" t="s">
        <v>10</v>
      </c>
    </row>
    <row r="24" spans="1:6">
      <c r="A24" t="s">
        <v>45</v>
      </c>
      <c r="B24" s="1">
        <v>2920537</v>
      </c>
    </row>
    <row r="25" spans="1:6">
      <c r="A25" t="s">
        <v>49</v>
      </c>
      <c r="B25" s="1">
        <v>75448</v>
      </c>
    </row>
    <row r="26" spans="1:6">
      <c r="A26" t="s">
        <v>50</v>
      </c>
      <c r="B26" s="1">
        <v>3881</v>
      </c>
    </row>
    <row r="27" spans="1:6">
      <c r="A27" t="s">
        <v>46</v>
      </c>
      <c r="B27" s="1">
        <f>B24-SUM(B25:B26)</f>
        <v>2841208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9" sqref="B19"/>
    </sheetView>
  </sheetViews>
  <sheetFormatPr baseColWidth="10" defaultRowHeight="15" x14ac:dyDescent="0"/>
  <cols>
    <col min="1" max="1" width="43.83203125" customWidth="1"/>
    <col min="2" max="5" width="16.1640625" customWidth="1"/>
  </cols>
  <sheetData>
    <row r="1" spans="1:6">
      <c r="A1" s="5" t="s">
        <v>23</v>
      </c>
    </row>
    <row r="3" spans="1:6" ht="45">
      <c r="C3" s="6" t="s">
        <v>19</v>
      </c>
      <c r="D3" s="6" t="s">
        <v>21</v>
      </c>
      <c r="E3" s="6" t="s">
        <v>10</v>
      </c>
    </row>
    <row r="4" spans="1:6">
      <c r="A4" t="s">
        <v>5</v>
      </c>
      <c r="B4" s="1">
        <f>858692+236796+515728+102026</f>
        <v>1713242</v>
      </c>
      <c r="C4" s="4">
        <f>B4/B$12</f>
        <v>0.46056031493251981</v>
      </c>
      <c r="D4" s="4">
        <f>B4/B$13</f>
        <v>0.49578067191508385</v>
      </c>
      <c r="E4" t="s">
        <v>6</v>
      </c>
    </row>
    <row r="5" spans="1:6">
      <c r="A5" t="s">
        <v>0</v>
      </c>
      <c r="B5" s="1">
        <f>1046907+150094</f>
        <v>1197001</v>
      </c>
      <c r="C5" s="4">
        <f t="shared" ref="C5:C11" si="0">B5/B$12</f>
        <v>0.32178242042545141</v>
      </c>
      <c r="D5" s="4">
        <f t="shared" ref="D5:D10" si="1">B5/B$13</f>
        <v>0.34639003717106359</v>
      </c>
      <c r="E5" t="s">
        <v>25</v>
      </c>
    </row>
    <row r="6" spans="1:6">
      <c r="A6" t="s">
        <v>1</v>
      </c>
      <c r="B6" s="1">
        <v>197643</v>
      </c>
      <c r="C6" s="4">
        <f t="shared" si="0"/>
        <v>5.3131152705927137E-2</v>
      </c>
      <c r="D6" s="4">
        <f t="shared" si="1"/>
        <v>5.7194243042905157E-2</v>
      </c>
    </row>
    <row r="7" spans="1:6">
      <c r="A7" t="s">
        <v>2</v>
      </c>
      <c r="B7" s="1">
        <v>105254</v>
      </c>
      <c r="C7" s="4">
        <f t="shared" si="0"/>
        <v>2.8294785785024791E-2</v>
      </c>
      <c r="D7" s="4">
        <f t="shared" si="1"/>
        <v>3.0458568516152557E-2</v>
      </c>
    </row>
    <row r="8" spans="1:6">
      <c r="A8" t="s">
        <v>3</v>
      </c>
      <c r="B8" s="1">
        <v>42854</v>
      </c>
      <c r="C8" s="4">
        <f t="shared" si="0"/>
        <v>1.1520177380730922E-2</v>
      </c>
      <c r="D8" s="4">
        <f t="shared" si="1"/>
        <v>1.2401158105071556E-2</v>
      </c>
    </row>
    <row r="9" spans="1:6">
      <c r="A9" t="s">
        <v>4</v>
      </c>
      <c r="B9" s="1">
        <v>0</v>
      </c>
      <c r="C9" s="4">
        <f t="shared" si="0"/>
        <v>0</v>
      </c>
      <c r="D9" s="4">
        <f t="shared" si="1"/>
        <v>0</v>
      </c>
    </row>
    <row r="10" spans="1:6">
      <c r="A10" t="s">
        <v>8</v>
      </c>
      <c r="B10" s="1">
        <v>199651</v>
      </c>
      <c r="C10" s="4">
        <f t="shared" si="0"/>
        <v>5.3670951002014029E-2</v>
      </c>
      <c r="D10" s="4">
        <f t="shared" si="1"/>
        <v>5.7775321249723281E-2</v>
      </c>
      <c r="E10" t="s">
        <v>9</v>
      </c>
    </row>
    <row r="11" spans="1:6">
      <c r="A11" t="s">
        <v>24</v>
      </c>
      <c r="B11" s="1">
        <v>264263</v>
      </c>
      <c r="C11" s="4">
        <f t="shared" si="0"/>
        <v>7.1040197768331911E-2</v>
      </c>
      <c r="D11" t="s">
        <v>14</v>
      </c>
      <c r="E11" t="s">
        <v>58</v>
      </c>
    </row>
    <row r="12" spans="1:6">
      <c r="A12" s="2" t="s">
        <v>12</v>
      </c>
      <c r="B12" s="3">
        <f>SUM(B4:B11)</f>
        <v>3719908</v>
      </c>
      <c r="C12" s="7">
        <f>SUM(C4:C11)</f>
        <v>1</v>
      </c>
      <c r="D12" s="7">
        <f>SUM(D4:D11)</f>
        <v>1</v>
      </c>
    </row>
    <row r="13" spans="1:6">
      <c r="A13" s="2" t="s">
        <v>13</v>
      </c>
      <c r="B13" s="3">
        <f>SUM(B4:B10)</f>
        <v>3455645</v>
      </c>
    </row>
    <row r="15" spans="1:6" ht="75">
      <c r="B15" s="6" t="s">
        <v>18</v>
      </c>
      <c r="C15" s="6" t="s">
        <v>52</v>
      </c>
      <c r="D15" s="6" t="s">
        <v>20</v>
      </c>
      <c r="E15" s="6" t="s">
        <v>19</v>
      </c>
      <c r="F15" s="6" t="s">
        <v>21</v>
      </c>
    </row>
    <row r="16" spans="1:6">
      <c r="A16" t="s">
        <v>15</v>
      </c>
      <c r="B16" s="1">
        <v>1029911</v>
      </c>
      <c r="C16" s="1">
        <v>247904</v>
      </c>
      <c r="D16" s="1">
        <f>B16-C16</f>
        <v>782007</v>
      </c>
      <c r="E16" s="4">
        <f>B16/B$20</f>
        <v>0.27686464288901769</v>
      </c>
      <c r="F16" s="4">
        <f>D16/D$20</f>
        <v>0.22629841896375352</v>
      </c>
    </row>
    <row r="17" spans="1:6">
      <c r="A17" t="s">
        <v>16</v>
      </c>
      <c r="B17" s="1">
        <v>504255</v>
      </c>
      <c r="C17" s="1">
        <v>16359</v>
      </c>
      <c r="D17" s="1">
        <f t="shared" ref="D17:D19" si="2">B17-C17</f>
        <v>487896</v>
      </c>
      <c r="E17" s="4">
        <f>B17/B$20</f>
        <v>0.13555577180941034</v>
      </c>
      <c r="F17" s="4">
        <f>D17/D$20</f>
        <v>0.14118811394110217</v>
      </c>
    </row>
    <row r="18" spans="1:6">
      <c r="A18" t="s">
        <v>17</v>
      </c>
      <c r="B18" s="1">
        <v>465183</v>
      </c>
      <c r="C18" s="1">
        <v>0</v>
      </c>
      <c r="D18" s="1">
        <f t="shared" si="2"/>
        <v>465183</v>
      </c>
      <c r="E18" s="4">
        <f>B18/B$20</f>
        <v>0.12505228623933709</v>
      </c>
      <c r="F18" s="4">
        <f>D18/D$20</f>
        <v>0.13461539018041493</v>
      </c>
    </row>
    <row r="19" spans="1:6">
      <c r="A19" t="s">
        <v>27</v>
      </c>
      <c r="B19" s="1">
        <f>B12-SUM(B16:B18)</f>
        <v>1720559</v>
      </c>
      <c r="C19" s="1">
        <v>0</v>
      </c>
      <c r="D19" s="1">
        <f t="shared" si="2"/>
        <v>1720559</v>
      </c>
      <c r="E19" s="4">
        <f>B19/B$20</f>
        <v>0.46252729906223489</v>
      </c>
      <c r="F19" s="4">
        <f>D19/D$20</f>
        <v>0.49789807691472937</v>
      </c>
    </row>
    <row r="20" spans="1:6">
      <c r="A20" s="2" t="s">
        <v>11</v>
      </c>
      <c r="B20" s="3">
        <f>SUM(B16:B19)</f>
        <v>3719908</v>
      </c>
      <c r="C20" s="3">
        <f>SUM(C16:C19)</f>
        <v>264263</v>
      </c>
      <c r="D20" s="3">
        <f>SUM(D16:D19)</f>
        <v>3455645</v>
      </c>
      <c r="E20" s="7">
        <f>SUM(E16:E19)</f>
        <v>1</v>
      </c>
      <c r="F20" s="7">
        <f>SUM(F16:F19)</f>
        <v>1</v>
      </c>
    </row>
    <row r="22" spans="1:6">
      <c r="B22" s="9" t="s">
        <v>48</v>
      </c>
      <c r="C22" s="9"/>
      <c r="D22" s="9"/>
      <c r="E22" s="9" t="s">
        <v>10</v>
      </c>
    </row>
    <row r="23" spans="1:6">
      <c r="A23" t="s">
        <v>45</v>
      </c>
      <c r="B23" s="1">
        <v>3409504</v>
      </c>
    </row>
    <row r="24" spans="1:6">
      <c r="A24" t="s">
        <v>49</v>
      </c>
      <c r="B24" s="1">
        <v>74480</v>
      </c>
      <c r="E24" t="s">
        <v>47</v>
      </c>
    </row>
    <row r="25" spans="1:6">
      <c r="A25" t="s">
        <v>50</v>
      </c>
      <c r="B25" s="1">
        <v>28416</v>
      </c>
    </row>
    <row r="26" spans="1:6">
      <c r="A26" t="s">
        <v>46</v>
      </c>
      <c r="B26" s="1">
        <f>B23-SUM(B24:B25)</f>
        <v>3306608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6" sqref="C16"/>
    </sheetView>
  </sheetViews>
  <sheetFormatPr baseColWidth="10" defaultRowHeight="15" x14ac:dyDescent="0"/>
  <cols>
    <col min="1" max="1" width="43.83203125" customWidth="1"/>
    <col min="2" max="5" width="16.1640625" customWidth="1"/>
  </cols>
  <sheetData>
    <row r="1" spans="1:6">
      <c r="A1" s="5" t="s">
        <v>22</v>
      </c>
    </row>
    <row r="3" spans="1:6" ht="45">
      <c r="B3" s="6"/>
      <c r="C3" s="6" t="s">
        <v>19</v>
      </c>
      <c r="D3" s="6" t="s">
        <v>21</v>
      </c>
      <c r="E3" s="6" t="s">
        <v>10</v>
      </c>
    </row>
    <row r="4" spans="1:6">
      <c r="A4" t="s">
        <v>5</v>
      </c>
      <c r="B4" s="1">
        <v>1265716.1061212122</v>
      </c>
      <c r="C4" s="4">
        <f>B4/B$12</f>
        <v>0.27674524815705231</v>
      </c>
      <c r="D4" s="4">
        <f>B4/B$13</f>
        <v>0.29989526711150311</v>
      </c>
      <c r="E4" t="s">
        <v>6</v>
      </c>
    </row>
    <row r="5" spans="1:6">
      <c r="A5" t="s">
        <v>0</v>
      </c>
      <c r="B5" s="1">
        <v>2074276</v>
      </c>
      <c r="C5" s="4">
        <f t="shared" ref="C5:C11" si="0">B5/B$12</f>
        <v>0.45353458298431726</v>
      </c>
      <c r="D5" s="4">
        <f t="shared" ref="D5:D10" si="1">B5/B$13</f>
        <v>0.49147320799235183</v>
      </c>
      <c r="E5" t="s">
        <v>7</v>
      </c>
    </row>
    <row r="6" spans="1:6">
      <c r="A6" t="s">
        <v>1</v>
      </c>
      <c r="B6" s="1">
        <v>226433.7227278683</v>
      </c>
      <c r="C6" s="4">
        <f t="shared" si="0"/>
        <v>4.9509093298563095E-2</v>
      </c>
      <c r="D6" s="4">
        <f t="shared" si="1"/>
        <v>5.3650578855810961E-2</v>
      </c>
    </row>
    <row r="7" spans="1:6">
      <c r="A7" t="s">
        <v>2</v>
      </c>
      <c r="B7" s="1">
        <v>133933.97068321041</v>
      </c>
      <c r="C7" s="4">
        <f t="shared" si="0"/>
        <v>2.928428403030436E-2</v>
      </c>
      <c r="D7" s="4">
        <f t="shared" si="1"/>
        <v>3.1733943906611765E-2</v>
      </c>
    </row>
    <row r="8" spans="1:6">
      <c r="A8" t="s">
        <v>3</v>
      </c>
      <c r="B8" s="1">
        <v>29058.314190414541</v>
      </c>
      <c r="C8" s="4">
        <f t="shared" si="0"/>
        <v>6.3535182437520019E-3</v>
      </c>
      <c r="D8" s="4">
        <f t="shared" si="1"/>
        <v>6.8849964488875712E-3</v>
      </c>
    </row>
    <row r="9" spans="1:6">
      <c r="A9" t="s">
        <v>4</v>
      </c>
      <c r="B9" s="1">
        <v>355000</v>
      </c>
      <c r="C9" s="4">
        <f t="shared" si="0"/>
        <v>7.7619746340136325E-2</v>
      </c>
      <c r="D9" s="4">
        <f t="shared" si="1"/>
        <v>8.4112716358519746E-2</v>
      </c>
    </row>
    <row r="10" spans="1:6">
      <c r="A10" t="s">
        <v>8</v>
      </c>
      <c r="B10" s="1">
        <v>136109</v>
      </c>
      <c r="C10" s="4">
        <f t="shared" si="0"/>
        <v>2.9759848041153846E-2</v>
      </c>
      <c r="D10" s="4">
        <f t="shared" si="1"/>
        <v>3.224928932631483E-2</v>
      </c>
      <c r="E10" t="s">
        <v>9</v>
      </c>
    </row>
    <row r="11" spans="1:6">
      <c r="A11" t="s">
        <v>24</v>
      </c>
      <c r="B11" s="1">
        <v>353051.34715450136</v>
      </c>
      <c r="C11" s="4">
        <f t="shared" si="0"/>
        <v>7.7193678904720578E-2</v>
      </c>
      <c r="D11" t="s">
        <v>14</v>
      </c>
      <c r="E11" t="s">
        <v>59</v>
      </c>
    </row>
    <row r="12" spans="1:6">
      <c r="A12" s="2" t="s">
        <v>12</v>
      </c>
      <c r="B12" s="3">
        <f>SUM(B4:B11)</f>
        <v>4573578.460877208</v>
      </c>
      <c r="C12" s="7">
        <f>SUM(C4:C11)</f>
        <v>0.99999999999999989</v>
      </c>
      <c r="D12" s="7">
        <f>SUM(D4:D11)</f>
        <v>1</v>
      </c>
    </row>
    <row r="13" spans="1:6">
      <c r="A13" s="2" t="s">
        <v>13</v>
      </c>
      <c r="B13" s="3">
        <f>SUM(B4:B10)</f>
        <v>4220527.1137227062</v>
      </c>
    </row>
    <row r="15" spans="1:6" ht="75">
      <c r="B15" s="6" t="s">
        <v>18</v>
      </c>
      <c r="C15" s="6" t="s">
        <v>52</v>
      </c>
      <c r="D15" s="6" t="s">
        <v>20</v>
      </c>
      <c r="E15" s="6" t="s">
        <v>19</v>
      </c>
      <c r="F15" s="6" t="s">
        <v>21</v>
      </c>
    </row>
    <row r="16" spans="1:6">
      <c r="A16" t="s">
        <v>15</v>
      </c>
      <c r="B16" s="1">
        <v>1519801</v>
      </c>
      <c r="C16" s="1">
        <v>261752</v>
      </c>
      <c r="D16" s="1">
        <f>B16-(1483312-1221560)</f>
        <v>1258049</v>
      </c>
      <c r="E16" s="4">
        <f>B16/B$20</f>
        <v>0.33230019185207194</v>
      </c>
      <c r="F16" s="4">
        <f>D16/D$20</f>
        <v>0.2980786442313223</v>
      </c>
    </row>
    <row r="17" spans="1:6">
      <c r="A17" t="s">
        <v>16</v>
      </c>
      <c r="B17" s="1">
        <v>882982</v>
      </c>
      <c r="C17" s="1">
        <v>91300</v>
      </c>
      <c r="D17" s="1">
        <f>B17-(802362-711062)</f>
        <v>791682</v>
      </c>
      <c r="E17" s="4">
        <f>B17/B$20</f>
        <v>0.19306151792367959</v>
      </c>
      <c r="F17" s="4">
        <f>D17/D$20</f>
        <v>0.18757893947083276</v>
      </c>
    </row>
    <row r="18" spans="1:6">
      <c r="A18" t="s">
        <v>17</v>
      </c>
      <c r="B18" s="1">
        <v>886079</v>
      </c>
      <c r="C18" s="1">
        <v>0</v>
      </c>
      <c r="D18" s="1">
        <v>811079</v>
      </c>
      <c r="E18" s="4">
        <f>B18/B$20</f>
        <v>0.19373866821780747</v>
      </c>
      <c r="F18" s="4">
        <f>D18/D$20</f>
        <v>0.19217481090521643</v>
      </c>
    </row>
    <row r="19" spans="1:6">
      <c r="A19" t="s">
        <v>27</v>
      </c>
      <c r="B19" s="1">
        <f>B12-SUM(B16:B18)</f>
        <v>1284716.460877208</v>
      </c>
      <c r="C19" s="1">
        <v>0</v>
      </c>
      <c r="D19" s="1">
        <f>B13-SUM(D16:D18)</f>
        <v>1359717.1137227062</v>
      </c>
      <c r="E19" s="4">
        <f>B19/B$20</f>
        <v>0.28089962200644103</v>
      </c>
      <c r="F19" s="4">
        <f>D19/D$20</f>
        <v>0.32216760539262851</v>
      </c>
    </row>
    <row r="20" spans="1:6">
      <c r="A20" s="2" t="s">
        <v>11</v>
      </c>
      <c r="B20" s="3">
        <f>SUM(B16:B19)</f>
        <v>4573578.460877208</v>
      </c>
      <c r="C20" s="3">
        <f>SUM(C16:C19)</f>
        <v>353052</v>
      </c>
      <c r="D20" s="3">
        <f>SUM(D16:D19)</f>
        <v>4220527.1137227062</v>
      </c>
      <c r="E20" s="7">
        <f>SUM(E16:E19)</f>
        <v>1</v>
      </c>
      <c r="F20" s="7">
        <f>SUM(F16:F19)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17" sqref="D17"/>
    </sheetView>
  </sheetViews>
  <sheetFormatPr baseColWidth="10" defaultRowHeight="15" x14ac:dyDescent="0"/>
  <cols>
    <col min="1" max="1" width="38.5" customWidth="1"/>
    <col min="2" max="5" width="12.33203125" customWidth="1"/>
  </cols>
  <sheetData>
    <row r="1" spans="1:5">
      <c r="A1" s="5" t="s">
        <v>30</v>
      </c>
    </row>
    <row r="2" spans="1:5" ht="45">
      <c r="B2" s="6">
        <v>2012</v>
      </c>
      <c r="C2" s="6">
        <v>2013</v>
      </c>
      <c r="D2" s="6">
        <v>2014</v>
      </c>
      <c r="E2" s="6" t="s">
        <v>29</v>
      </c>
    </row>
    <row r="3" spans="1:5">
      <c r="A3" t="s">
        <v>5</v>
      </c>
      <c r="B3" s="1">
        <f>'2012 financial statements'!B4</f>
        <v>1169599</v>
      </c>
      <c r="C3" s="1">
        <f>'2013 financial statements'!B4</f>
        <v>1713242</v>
      </c>
      <c r="D3" s="1">
        <f>'2014 budget'!B4</f>
        <v>1265716.1061212122</v>
      </c>
      <c r="E3" s="4">
        <f>SUM(B3:D3)/SUM(B$10:D$10)</f>
        <v>0.41040445918061769</v>
      </c>
    </row>
    <row r="4" spans="1:5">
      <c r="A4" t="s">
        <v>0</v>
      </c>
      <c r="B4" s="1">
        <f>'2012 financial statements'!B5</f>
        <v>901279</v>
      </c>
      <c r="C4" s="1">
        <f>'2013 financial statements'!B5</f>
        <v>1197001</v>
      </c>
      <c r="D4" s="1">
        <f>'2014 budget'!B5</f>
        <v>2074276</v>
      </c>
      <c r="E4" s="4">
        <f t="shared" ref="E4:E9" si="0">SUM(B4:D4)/SUM(B$10:D$10)</f>
        <v>0.41277859862508243</v>
      </c>
    </row>
    <row r="5" spans="1:5">
      <c r="A5" t="s">
        <v>1</v>
      </c>
      <c r="B5" s="1">
        <f>'2012 financial statements'!B6</f>
        <v>109432</v>
      </c>
      <c r="C5" s="1">
        <f>'2013 financial statements'!B6</f>
        <v>197643</v>
      </c>
      <c r="D5" s="1">
        <f>'2014 budget'!B6</f>
        <v>226433.7227278683</v>
      </c>
      <c r="E5" s="4">
        <f t="shared" si="0"/>
        <v>5.2778436747611561E-2</v>
      </c>
    </row>
    <row r="6" spans="1:5">
      <c r="A6" t="s">
        <v>2</v>
      </c>
      <c r="B6" s="1">
        <f>'2012 financial statements'!B7</f>
        <v>121909</v>
      </c>
      <c r="C6" s="1">
        <f>'2013 financial statements'!B7</f>
        <v>105254</v>
      </c>
      <c r="D6" s="1">
        <f>'2014 budget'!B7</f>
        <v>133933.97068321041</v>
      </c>
      <c r="E6" s="4">
        <f t="shared" si="0"/>
        <v>3.5722253104902145E-2</v>
      </c>
    </row>
    <row r="7" spans="1:5">
      <c r="A7" t="s">
        <v>3</v>
      </c>
      <c r="B7" s="1">
        <f>'2012 financial statements'!B8</f>
        <v>54318</v>
      </c>
      <c r="C7" s="1">
        <f>'2013 financial statements'!B8</f>
        <v>42854</v>
      </c>
      <c r="D7" s="1">
        <f>'2014 budget'!B8</f>
        <v>29058.314190414541</v>
      </c>
      <c r="E7" s="4">
        <f t="shared" si="0"/>
        <v>1.2487590866491228E-2</v>
      </c>
    </row>
    <row r="8" spans="1:5">
      <c r="A8" t="s">
        <v>4</v>
      </c>
      <c r="B8" s="1">
        <f>'2012 financial statements'!B9</f>
        <v>0</v>
      </c>
      <c r="C8" s="1">
        <f>'2013 financial statements'!B9</f>
        <v>0</v>
      </c>
      <c r="D8" s="1">
        <f>'2014 budget'!B9</f>
        <v>355000</v>
      </c>
      <c r="E8" s="4">
        <f t="shared" si="0"/>
        <v>3.5119097865170479E-2</v>
      </c>
    </row>
    <row r="9" spans="1:5">
      <c r="A9" t="s">
        <v>8</v>
      </c>
      <c r="B9" s="1">
        <f>'2012 financial statements'!B10</f>
        <v>75751</v>
      </c>
      <c r="C9" s="1">
        <f>'2013 financial statements'!B10</f>
        <v>199651</v>
      </c>
      <c r="D9" s="1">
        <f>'2014 budget'!B10</f>
        <v>136109</v>
      </c>
      <c r="E9" s="4">
        <f t="shared" si="0"/>
        <v>4.0709563610124413E-2</v>
      </c>
    </row>
    <row r="10" spans="1:5">
      <c r="A10" s="2" t="s">
        <v>11</v>
      </c>
      <c r="B10" s="3">
        <f>SUM(B3:B9)</f>
        <v>2432288</v>
      </c>
      <c r="C10" s="3">
        <f t="shared" ref="C10:D10" si="1">SUM(C3:C9)</f>
        <v>3455645</v>
      </c>
      <c r="D10" s="3">
        <f t="shared" si="1"/>
        <v>4220527.1137227062</v>
      </c>
      <c r="E10" s="4"/>
    </row>
    <row r="11" spans="1:5">
      <c r="A11" s="5"/>
    </row>
    <row r="13" spans="1:5">
      <c r="A13" s="5" t="s">
        <v>31</v>
      </c>
    </row>
    <row r="14" spans="1:5" ht="75">
      <c r="B14" s="6">
        <v>2012</v>
      </c>
      <c r="C14" s="6">
        <v>2013</v>
      </c>
      <c r="D14" s="6">
        <v>2014</v>
      </c>
      <c r="E14" s="6" t="s">
        <v>32</v>
      </c>
    </row>
    <row r="15" spans="1:5">
      <c r="A15" t="s">
        <v>15</v>
      </c>
      <c r="B15" s="1">
        <f>'2012 financial statements'!D16</f>
        <v>586614</v>
      </c>
      <c r="C15" s="1">
        <f>'2013 financial statements'!D16</f>
        <v>782007</v>
      </c>
      <c r="D15" s="1">
        <f>'2014 budget'!D16</f>
        <v>1258049</v>
      </c>
      <c r="E15" s="1" t="str">
        <f>TEXT(SUM(B15:D15)/SUM(B$19:D$19),"0%")&amp;" | "&amp;TEXT(SUM(B15:D15)/(SUM(B$19:D$19)-SUM(B$18:D$18)),"0%")</f>
        <v>26% | 45%</v>
      </c>
    </row>
    <row r="16" spans="1:5">
      <c r="A16" t="s">
        <v>16</v>
      </c>
      <c r="B16" s="1">
        <f>'2012 financial statements'!D17</f>
        <v>0</v>
      </c>
      <c r="C16" s="1">
        <f>'2013 financial statements'!D17</f>
        <v>487896</v>
      </c>
      <c r="D16" s="1">
        <f>'2014 budget'!D17</f>
        <v>791682</v>
      </c>
      <c r="E16" s="1" t="str">
        <f>TEXT(SUM(B16:D16)/SUM(B$19:D$19),"0%")&amp;" | "&amp;TEXT(SUM(B16:D16)/(SUM(B$19:D$19)-SUM(B$18:D$18)),"0%")</f>
        <v>13% | 22%</v>
      </c>
    </row>
    <row r="17" spans="1:5">
      <c r="A17" t="s">
        <v>17</v>
      </c>
      <c r="B17" s="1">
        <f>'2012 financial statements'!D18</f>
        <v>685550</v>
      </c>
      <c r="C17" s="1">
        <f>'2013 financial statements'!D18</f>
        <v>465183</v>
      </c>
      <c r="D17" s="1">
        <f>'2014 budget'!D18</f>
        <v>811079</v>
      </c>
      <c r="E17" s="1" t="str">
        <f>TEXT(SUM(B17:D17)/SUM(B$19:D$19),"0%")&amp;" | "&amp;TEXT(SUM(B17:D17)/(SUM(B$19:D$19)-SUM(B$18:D$18)),"0%")</f>
        <v>19% | 33%</v>
      </c>
    </row>
    <row r="18" spans="1:5">
      <c r="A18" t="s">
        <v>33</v>
      </c>
      <c r="B18" s="1">
        <f>'2012 financial statements'!D19</f>
        <v>1160124</v>
      </c>
      <c r="C18" s="1">
        <f>'2013 financial statements'!D19</f>
        <v>1720559</v>
      </c>
      <c r="D18" s="1">
        <f>'2014 budget'!D19</f>
        <v>1359717.1137227062</v>
      </c>
      <c r="E18" s="1" t="str">
        <f>TEXT(SUM(B18:D18)/SUM(B$19:D$19),"0%")&amp;" | N/A"</f>
        <v>42% | N/A</v>
      </c>
    </row>
    <row r="19" spans="1:5">
      <c r="A19" s="2" t="s">
        <v>11</v>
      </c>
      <c r="B19" s="3">
        <f>SUM(B15:B18)</f>
        <v>2432288</v>
      </c>
      <c r="C19" s="3">
        <f>SUM(C15:C18)</f>
        <v>3455645</v>
      </c>
      <c r="D19" s="3">
        <f>SUM(D15:D18)</f>
        <v>4220527.1137227062</v>
      </c>
      <c r="E19" s="1"/>
    </row>
    <row r="21" spans="1:5">
      <c r="B21">
        <v>2012</v>
      </c>
      <c r="C21">
        <v>2013</v>
      </c>
      <c r="D21" t="s">
        <v>53</v>
      </c>
    </row>
    <row r="22" spans="1:5">
      <c r="A22" t="s">
        <v>52</v>
      </c>
      <c r="B22" s="1">
        <f>'2012 financial statements'!B11</f>
        <v>172726</v>
      </c>
      <c r="C22" s="1">
        <f>'2013 financial statements'!B11</f>
        <v>264263</v>
      </c>
      <c r="D22" s="1">
        <f>SUM(B22:C22)</f>
        <v>436989</v>
      </c>
    </row>
    <row r="23" spans="1:5">
      <c r="A23" t="s">
        <v>55</v>
      </c>
      <c r="B23" s="1">
        <f>261586</f>
        <v>261586</v>
      </c>
      <c r="C23" s="1">
        <v>373017</v>
      </c>
      <c r="D23" s="1">
        <f>SUM(B23:C23)</f>
        <v>634603</v>
      </c>
    </row>
    <row r="24" spans="1:5">
      <c r="A24" t="s">
        <v>56</v>
      </c>
      <c r="B24" s="1">
        <v>13394</v>
      </c>
      <c r="C24" s="1">
        <v>34274</v>
      </c>
      <c r="D24" s="1">
        <f>SUM(B24:C24)</f>
        <v>47668</v>
      </c>
    </row>
    <row r="25" spans="1:5">
      <c r="A25" t="s">
        <v>57</v>
      </c>
      <c r="B25" s="4">
        <f>(B23-B24-B22)/B23</f>
        <v>0.28849403255525907</v>
      </c>
      <c r="C25" s="4">
        <f>(C23-C24-C22)/C23</f>
        <v>0.1996691839782101</v>
      </c>
      <c r="D25" s="4">
        <f>(D23-D24-D22)/D23</f>
        <v>0.23628315655614612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baseColWidth="10" defaultRowHeight="15" x14ac:dyDescent="0"/>
  <cols>
    <col min="1" max="1" width="43.83203125" customWidth="1"/>
    <col min="2" max="4" width="16.1640625" customWidth="1"/>
    <col min="5" max="7" width="16" customWidth="1"/>
  </cols>
  <sheetData>
    <row r="1" spans="1:5">
      <c r="A1" s="5" t="s">
        <v>34</v>
      </c>
    </row>
    <row r="3" spans="1:5" ht="45">
      <c r="B3" s="6"/>
      <c r="C3" s="6" t="s">
        <v>19</v>
      </c>
      <c r="D3" s="6" t="s">
        <v>21</v>
      </c>
      <c r="E3" s="6" t="s">
        <v>10</v>
      </c>
    </row>
    <row r="4" spans="1:5">
      <c r="A4" t="s">
        <v>5</v>
      </c>
      <c r="B4" s="1">
        <v>6958926.7296094</v>
      </c>
      <c r="C4" s="4">
        <f t="shared" ref="C4:C13" si="0">B4/B$14</f>
        <v>0.12937398974612535</v>
      </c>
      <c r="D4" s="4">
        <f t="shared" ref="D4:D12" si="1">B4/B$15</f>
        <v>0.16868139804322677</v>
      </c>
      <c r="E4" t="s">
        <v>6</v>
      </c>
    </row>
    <row r="5" spans="1:5">
      <c r="A5" t="s">
        <v>0</v>
      </c>
      <c r="B5" s="1">
        <v>15586089.903224109</v>
      </c>
      <c r="C5" s="4">
        <f t="shared" si="0"/>
        <v>0.28976230296292904</v>
      </c>
      <c r="D5" s="4">
        <f t="shared" si="1"/>
        <v>0.37780013169514037</v>
      </c>
      <c r="E5" t="s">
        <v>35</v>
      </c>
    </row>
    <row r="6" spans="1:5">
      <c r="A6" t="s">
        <v>1</v>
      </c>
      <c r="B6" s="1">
        <v>10129425.621427644</v>
      </c>
      <c r="C6" s="4">
        <f t="shared" si="0"/>
        <v>0.18831700022142298</v>
      </c>
      <c r="D6" s="4">
        <f t="shared" si="1"/>
        <v>0.24553293080773697</v>
      </c>
    </row>
    <row r="7" spans="1:5">
      <c r="A7" t="s">
        <v>2</v>
      </c>
      <c r="B7" s="1">
        <v>2417142.1257496858</v>
      </c>
      <c r="C7" s="4">
        <f t="shared" si="0"/>
        <v>4.4937291732229524E-2</v>
      </c>
      <c r="D7" s="4">
        <f t="shared" si="1"/>
        <v>5.8590487999507862E-2</v>
      </c>
    </row>
    <row r="8" spans="1:5">
      <c r="A8" t="s">
        <v>36</v>
      </c>
      <c r="B8" s="1">
        <v>373663.14520000003</v>
      </c>
      <c r="C8" s="4">
        <f t="shared" si="0"/>
        <v>6.9468028323849268E-3</v>
      </c>
      <c r="D8" s="4">
        <f t="shared" si="1"/>
        <v>9.0574343111531914E-3</v>
      </c>
    </row>
    <row r="9" spans="1:5">
      <c r="A9" t="s">
        <v>37</v>
      </c>
      <c r="B9" s="1">
        <v>578668.16852484713</v>
      </c>
      <c r="C9" s="4">
        <f t="shared" si="0"/>
        <v>1.0758068393305934E-2</v>
      </c>
      <c r="D9" s="4">
        <f t="shared" si="1"/>
        <v>1.4026668114576282E-2</v>
      </c>
    </row>
    <row r="10" spans="1:5">
      <c r="A10" t="s">
        <v>3</v>
      </c>
      <c r="B10" s="1">
        <v>2821404.7983165858</v>
      </c>
      <c r="C10" s="4">
        <f t="shared" si="0"/>
        <v>5.2452972941068314E-2</v>
      </c>
      <c r="D10" s="4">
        <f t="shared" si="1"/>
        <v>6.8389641724625971E-2</v>
      </c>
    </row>
    <row r="11" spans="1:5">
      <c r="A11" t="s">
        <v>4</v>
      </c>
      <c r="B11" s="1">
        <v>0</v>
      </c>
      <c r="C11" s="4">
        <f t="shared" si="0"/>
        <v>0</v>
      </c>
      <c r="D11" s="4">
        <f t="shared" si="1"/>
        <v>0</v>
      </c>
      <c r="E11" t="s">
        <v>39</v>
      </c>
    </row>
    <row r="12" spans="1:5">
      <c r="A12" t="s">
        <v>8</v>
      </c>
      <c r="B12" s="1">
        <v>2389535.1727441829</v>
      </c>
      <c r="C12" s="4">
        <f t="shared" si="0"/>
        <v>4.4424048556402009E-2</v>
      </c>
      <c r="D12" s="4">
        <f t="shared" si="1"/>
        <v>5.7921307304032534E-2</v>
      </c>
      <c r="E12" t="s">
        <v>9</v>
      </c>
    </row>
    <row r="13" spans="1:5">
      <c r="A13" t="s">
        <v>24</v>
      </c>
      <c r="B13" s="8">
        <v>12534370</v>
      </c>
      <c r="C13" s="4">
        <f t="shared" si="0"/>
        <v>0.2330275226141319</v>
      </c>
      <c r="D13" t="s">
        <v>14</v>
      </c>
      <c r="E13" t="s">
        <v>38</v>
      </c>
    </row>
    <row r="14" spans="1:5">
      <c r="A14" s="2" t="s">
        <v>12</v>
      </c>
      <c r="B14" s="3">
        <f>SUM(B4:B13)</f>
        <v>53789225.664796457</v>
      </c>
      <c r="C14" s="7">
        <f>SUM(C4:C13)</f>
        <v>1</v>
      </c>
      <c r="D14" s="7">
        <f>SUM(D4:D13)</f>
        <v>1</v>
      </c>
    </row>
    <row r="15" spans="1:5">
      <c r="A15" s="2" t="s">
        <v>13</v>
      </c>
      <c r="B15" s="3">
        <f>SUM(B4:B12)</f>
        <v>41254855.664796457</v>
      </c>
    </row>
    <row r="16" spans="1:5">
      <c r="A16" s="2" t="s">
        <v>40</v>
      </c>
      <c r="B16" s="3">
        <f>B15/4</f>
        <v>10313713.916199114</v>
      </c>
    </row>
    <row r="17" spans="1:7">
      <c r="B17" s="6"/>
      <c r="C17" s="6"/>
      <c r="D17" s="6"/>
      <c r="E17" s="6"/>
    </row>
    <row r="18" spans="1:7" ht="60">
      <c r="B18" s="6" t="s">
        <v>18</v>
      </c>
      <c r="C18" s="6" t="s">
        <v>20</v>
      </c>
      <c r="D18" s="6" t="s">
        <v>19</v>
      </c>
      <c r="E18" s="6" t="s">
        <v>21</v>
      </c>
      <c r="F18" s="6" t="s">
        <v>43</v>
      </c>
      <c r="G18" s="6" t="s">
        <v>51</v>
      </c>
    </row>
    <row r="19" spans="1:7">
      <c r="A19" t="s">
        <v>41</v>
      </c>
      <c r="B19" s="1">
        <v>14096850.302668696</v>
      </c>
      <c r="C19" s="1">
        <f>B19-3846250</f>
        <v>10250600.302668696</v>
      </c>
      <c r="D19" s="4">
        <f>B19/B$23</f>
        <v>0.26207572480253588</v>
      </c>
      <c r="E19" s="4">
        <f>C19/C$23</f>
        <v>0.24847015308832424</v>
      </c>
      <c r="F19" s="1">
        <v>1013845.3987270643</v>
      </c>
      <c r="G19" s="1">
        <f>C19-F19</f>
        <v>9236754.9039416313</v>
      </c>
    </row>
    <row r="20" spans="1:7">
      <c r="A20" t="s">
        <v>42</v>
      </c>
      <c r="B20" s="1">
        <v>27054000</v>
      </c>
      <c r="C20" s="1">
        <f>B20-8688120</f>
        <v>18365880</v>
      </c>
      <c r="D20" s="4">
        <f t="shared" ref="D20:D22" si="2">B20/B$23</f>
        <v>0.502963180183984</v>
      </c>
      <c r="E20" s="4">
        <f t="shared" ref="E20:E22" si="3">C20/C$23</f>
        <v>0.44518105091013443</v>
      </c>
      <c r="F20" s="1">
        <v>1265880</v>
      </c>
      <c r="G20" s="1">
        <f t="shared" ref="G20:G23" si="4">C20-F20</f>
        <v>17100000</v>
      </c>
    </row>
    <row r="21" spans="1:7">
      <c r="A21" t="s">
        <v>17</v>
      </c>
      <c r="B21" s="1">
        <v>5603448.8912499994</v>
      </c>
      <c r="C21" s="1">
        <f>B21</f>
        <v>5603448.8912499994</v>
      </c>
      <c r="D21" s="4">
        <f t="shared" si="2"/>
        <v>0.10417418771130033</v>
      </c>
      <c r="E21" s="4">
        <f t="shared" si="3"/>
        <v>0.13582519683935115</v>
      </c>
      <c r="F21" s="1">
        <v>3250000</v>
      </c>
      <c r="G21" s="1">
        <f t="shared" si="4"/>
        <v>2353448.8912499994</v>
      </c>
    </row>
    <row r="22" spans="1:7">
      <c r="A22" t="s">
        <v>27</v>
      </c>
      <c r="B22" s="1">
        <f>B14-SUM(B19:B21)</f>
        <v>7034926.4708777592</v>
      </c>
      <c r="C22" s="1">
        <f>B15-SUM(C19:C21)</f>
        <v>7034926.4708777592</v>
      </c>
      <c r="D22" s="4">
        <f t="shared" si="2"/>
        <v>0.13078690730217971</v>
      </c>
      <c r="E22" s="4">
        <f t="shared" si="3"/>
        <v>0.17052359916219012</v>
      </c>
      <c r="F22" s="1">
        <v>0</v>
      </c>
      <c r="G22" s="1">
        <f t="shared" si="4"/>
        <v>7034926.4708777592</v>
      </c>
    </row>
    <row r="23" spans="1:7">
      <c r="A23" s="2" t="s">
        <v>11</v>
      </c>
      <c r="B23" s="3">
        <f>SUM(B19:B22)</f>
        <v>53789225.664796457</v>
      </c>
      <c r="C23" s="3">
        <f>SUM(C19:C22)</f>
        <v>41254855.664796457</v>
      </c>
      <c r="D23" s="7">
        <f>SUM(D19:D22)</f>
        <v>0.99999999999999978</v>
      </c>
      <c r="E23" s="7">
        <f>SUM(E19:E22)</f>
        <v>1</v>
      </c>
      <c r="F23" s="3">
        <f>SUM(F19:F22)</f>
        <v>5529725.398727064</v>
      </c>
      <c r="G23" s="3">
        <f t="shared" si="4"/>
        <v>35725130.26606939</v>
      </c>
    </row>
    <row r="25" spans="1:7">
      <c r="A25" s="2" t="s">
        <v>44</v>
      </c>
      <c r="B25" s="1">
        <f>C23-F23</f>
        <v>35725130.26606939</v>
      </c>
    </row>
    <row r="26" spans="1:7">
      <c r="A26" s="2" t="s">
        <v>40</v>
      </c>
      <c r="B26" s="1">
        <f>B25/4</f>
        <v>8931282.5665173475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 financial statements</vt:lpstr>
      <vt:lpstr>2013 financial statements</vt:lpstr>
      <vt:lpstr>2014 budget</vt:lpstr>
      <vt:lpstr>Consolidated</vt:lpstr>
      <vt:lpstr>2015-2018 budget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2014-09-05T16:52:15Z</dcterms:created>
  <dcterms:modified xsi:type="dcterms:W3CDTF">2014-10-08T23:42:05Z</dcterms:modified>
</cp:coreProperties>
</file>