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465" windowWidth="24240" windowHeight="13740" tabRatio="500"/>
  </bookViews>
  <sheets>
    <sheet name="VMMC CEA" sheetId="2" r:id="rId1"/>
    <sheet name="VMMC Extraction + calcs" sheetId="3" r:id="rId2"/>
    <sheet name="HIV Modelling" sheetId="4" r:id="rId3"/>
  </sheets>
  <externalReferences>
    <externalReference r:id="rId4"/>
    <externalReference r:id="rId5"/>
  </externalReferences>
  <definedNames>
    <definedName name="B">'[1]YLL per death'!$C$6</definedName>
    <definedName name="Bkjk">'[2]YLL per death'!$C$6</definedName>
    <definedName name="Const">'[1]YLL per death'!$R$5</definedName>
    <definedName name="discount">'[1]YLL per death'!$C$5</definedName>
    <definedName name="K">'[1]YLL per death'!$R$9</definedName>
    <definedName name="sources1029" localSheetId="0">'VMMC CEA'!$B$4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3" i="2" l="1"/>
  <c r="G28" i="4"/>
  <c r="E5" i="3"/>
  <c r="E7" i="3"/>
  <c r="E8" i="3"/>
  <c r="E9" i="3"/>
  <c r="E10" i="3"/>
  <c r="E11" i="3"/>
  <c r="E12" i="3"/>
  <c r="E13" i="3"/>
  <c r="E14" i="3"/>
  <c r="E15" i="3"/>
  <c r="E16" i="3"/>
  <c r="E17" i="3"/>
  <c r="E18" i="3"/>
  <c r="E19" i="3"/>
  <c r="B19" i="3"/>
  <c r="E20" i="3"/>
  <c r="E28" i="4"/>
  <c r="D4" i="4"/>
  <c r="E3" i="4"/>
  <c r="E4" i="4"/>
  <c r="G4" i="4"/>
  <c r="H4" i="4"/>
  <c r="J4" i="4"/>
  <c r="I4" i="4"/>
  <c r="D5" i="4"/>
  <c r="E5" i="4"/>
  <c r="G5" i="4"/>
  <c r="H5" i="4"/>
  <c r="J5" i="4"/>
  <c r="I5" i="4"/>
  <c r="D6" i="4"/>
  <c r="E6" i="4"/>
  <c r="G6" i="4"/>
  <c r="H6" i="4"/>
  <c r="J6" i="4"/>
  <c r="I6" i="4"/>
  <c r="D7" i="4"/>
  <c r="E7" i="4"/>
  <c r="G7" i="4"/>
  <c r="F7" i="4"/>
  <c r="H7" i="4"/>
  <c r="J7" i="4"/>
  <c r="I7" i="4"/>
  <c r="D8" i="4"/>
  <c r="E8" i="4"/>
  <c r="G8" i="4"/>
  <c r="F8" i="4"/>
  <c r="H8" i="4"/>
  <c r="J8" i="4"/>
  <c r="I8" i="4"/>
  <c r="D9" i="4"/>
  <c r="E9" i="4"/>
  <c r="G9" i="4"/>
  <c r="F9" i="4"/>
  <c r="H9" i="4"/>
  <c r="J9" i="4"/>
  <c r="I9" i="4"/>
  <c r="D10" i="4"/>
  <c r="E10" i="4"/>
  <c r="G10" i="4"/>
  <c r="F10" i="4"/>
  <c r="H10" i="4"/>
  <c r="J10" i="4"/>
  <c r="I10" i="4"/>
  <c r="D11" i="4"/>
  <c r="E11" i="4"/>
  <c r="G11" i="4"/>
  <c r="F11" i="4"/>
  <c r="H11" i="4"/>
  <c r="J11" i="4"/>
  <c r="I11" i="4"/>
  <c r="D12" i="4"/>
  <c r="E12" i="4"/>
  <c r="G12" i="4"/>
  <c r="F12" i="4"/>
  <c r="H12" i="4"/>
  <c r="J12" i="4"/>
  <c r="I12" i="4"/>
  <c r="D13" i="4"/>
  <c r="E13" i="4"/>
  <c r="G13" i="4"/>
  <c r="F13" i="4"/>
  <c r="H13" i="4"/>
  <c r="J13" i="4"/>
  <c r="I13" i="4"/>
  <c r="D14" i="4"/>
  <c r="E14" i="4"/>
  <c r="G14" i="4"/>
  <c r="F14" i="4"/>
  <c r="H14" i="4"/>
  <c r="J14" i="4"/>
  <c r="I14" i="4"/>
  <c r="D15" i="4"/>
  <c r="E15" i="4"/>
  <c r="G15" i="4"/>
  <c r="F15" i="4"/>
  <c r="H15" i="4"/>
  <c r="J15" i="4"/>
  <c r="I15" i="4"/>
  <c r="D16" i="4"/>
  <c r="E16" i="4"/>
  <c r="G16" i="4"/>
  <c r="F16" i="4"/>
  <c r="H16" i="4"/>
  <c r="J16" i="4"/>
  <c r="I16" i="4"/>
  <c r="D17" i="4"/>
  <c r="E17" i="4"/>
  <c r="G17" i="4"/>
  <c r="F17" i="4"/>
  <c r="H17" i="4"/>
  <c r="J17" i="4"/>
  <c r="I17" i="4"/>
  <c r="D18" i="4"/>
  <c r="E18" i="4"/>
  <c r="G18" i="4"/>
  <c r="F18" i="4"/>
  <c r="H18" i="4"/>
  <c r="J18" i="4"/>
  <c r="I18" i="4"/>
  <c r="D19" i="4"/>
  <c r="E19" i="4"/>
  <c r="G19" i="4"/>
  <c r="F19" i="4"/>
  <c r="H19" i="4"/>
  <c r="J19" i="4"/>
  <c r="I19" i="4"/>
  <c r="D20" i="4"/>
  <c r="E20" i="4"/>
  <c r="G20" i="4"/>
  <c r="F20" i="4"/>
  <c r="H20" i="4"/>
  <c r="J20" i="4"/>
  <c r="I20" i="4"/>
  <c r="D21" i="4"/>
  <c r="E21" i="4"/>
  <c r="G21" i="4"/>
  <c r="F21" i="4"/>
  <c r="H21" i="4"/>
  <c r="J21" i="4"/>
  <c r="I21" i="4"/>
  <c r="D22" i="4"/>
  <c r="E22" i="4"/>
  <c r="G22" i="4"/>
  <c r="F22" i="4"/>
  <c r="H22" i="4"/>
  <c r="J22" i="4"/>
  <c r="I22" i="4"/>
  <c r="D23" i="4"/>
  <c r="E23" i="4"/>
  <c r="G23" i="4"/>
  <c r="F23" i="4"/>
  <c r="H23" i="4"/>
  <c r="J23" i="4"/>
  <c r="I23" i="4"/>
  <c r="I24" i="4"/>
  <c r="I25" i="4"/>
  <c r="C92" i="3"/>
  <c r="C95" i="3"/>
  <c r="D92" i="3"/>
  <c r="D95" i="3"/>
  <c r="E96" i="3"/>
  <c r="C81" i="3"/>
  <c r="C82" i="3"/>
  <c r="C83" i="3"/>
  <c r="E84" i="3"/>
  <c r="D84" i="3"/>
  <c r="D85" i="3"/>
  <c r="E76" i="3"/>
  <c r="D76" i="3"/>
  <c r="B57" i="3"/>
  <c r="D19" i="3"/>
  <c r="C19" i="3"/>
  <c r="C8" i="2"/>
  <c r="E8" i="2"/>
  <c r="G8" i="2"/>
  <c r="C5" i="2"/>
  <c r="C6" i="2"/>
  <c r="C7" i="2"/>
  <c r="C12" i="2"/>
  <c r="D21" i="2"/>
  <c r="C13" i="2"/>
  <c r="D22" i="2"/>
  <c r="E22" i="2"/>
  <c r="F22" i="2"/>
  <c r="G22" i="2"/>
  <c r="C14" i="2"/>
  <c r="E23" i="2"/>
  <c r="C18" i="2"/>
  <c r="F23" i="2"/>
  <c r="G23" i="2"/>
  <c r="D24" i="2"/>
  <c r="E24" i="2"/>
  <c r="G24" i="2"/>
  <c r="C32" i="2"/>
  <c r="C31" i="2"/>
  <c r="C33" i="2"/>
  <c r="C27" i="2"/>
  <c r="C29" i="2"/>
  <c r="C30" i="2"/>
  <c r="C34" i="2"/>
  <c r="C36" i="2"/>
  <c r="C38" i="2"/>
  <c r="C39" i="2"/>
  <c r="D45" i="2"/>
  <c r="C42" i="2"/>
  <c r="D46" i="2"/>
  <c r="E46" i="2"/>
  <c r="F46" i="2"/>
  <c r="G46" i="2"/>
  <c r="C43" i="2"/>
  <c r="D47" i="2"/>
  <c r="E47" i="2"/>
  <c r="G47" i="2"/>
  <c r="G48" i="2"/>
  <c r="D49" i="2"/>
  <c r="C11" i="2"/>
  <c r="C16" i="2"/>
  <c r="C15" i="2"/>
  <c r="D8" i="2"/>
</calcChain>
</file>

<file path=xl/comments1.xml><?xml version="1.0" encoding="utf-8"?>
<comments xmlns="http://schemas.openxmlformats.org/spreadsheetml/2006/main">
  <authors>
    <author>Author</author>
  </authors>
  <commentList>
    <comment ref="C4" authorId="0">
      <text>
        <r>
          <rPr>
            <sz val="10"/>
            <color indexed="81"/>
            <rFont val="Calibri"/>
          </rPr>
          <t>Note another estimate: Njeumehli et al 2011 describes the bounds of the cost range per circumcision as $65.85 to $95.15 in 2011 USD, therefore $69.63 to $100.61 in 2015USD includes procedure, supplies, waste management, staffing, overhead and capital costs in 13 of the VMMC priority countries(ie, Botswana, Lesotho, Malawi, Mozambique, Namibia, Rwanda, South Africa, Swaziland, Tanzania, Uganda, Zambia, Zimbabwe, and Nyanza Province in Kenya)</t>
        </r>
      </text>
    </comment>
    <comment ref="B8" authorId="0">
      <text>
        <r>
          <rPr>
            <sz val="10"/>
            <color indexed="81"/>
            <rFont val="Calibri"/>
          </rPr>
          <t xml:space="preserve">Gray et al 2007, adverse events were pre-classified as mild (no treatment required), moderate (treatment required) and severe (surgical intervention, hospitalisation or referral for specialised care required). Recorded 178 adverse events in 2328 surgeries. 94/2328 were mild, 79/2328 were moderate and 5/2328 were severe, see Pg 658. Only moderate and severe events incorporated into the model, ie 84/2328, 3.6%
Auvert et al 2005, 60/100 - pain (13), excessive bleeding (9), damage to the penis (3), swelling or haematoma (10), anasthesia related-events (1), insufficient skin removed (4), delayed wound healing (2), problems with appearance (9), other cause (5)
</t>
        </r>
      </text>
    </comment>
    <comment ref="F8" authorId="0">
      <text>
        <r>
          <rPr>
            <sz val="9"/>
            <color indexed="81"/>
            <rFont val="Arial"/>
          </rPr>
          <t>Arbitrary assumption; interested readers are encouraged to experiment with this value</t>
        </r>
      </text>
    </comment>
    <comment ref="C27" authorId="0">
      <text>
        <r>
          <rPr>
            <sz val="10"/>
            <color indexed="81"/>
            <rFont val="Calibri"/>
          </rPr>
          <t>Note this assumes women are HIV- and in what the study terms "long term relationships" with uncircumcised, HIV- men. HIV infected men and women more likely to contract the disease.</t>
        </r>
      </text>
    </comment>
  </commentList>
</comments>
</file>

<file path=xl/comments2.xml><?xml version="1.0" encoding="utf-8"?>
<comments xmlns="http://schemas.openxmlformats.org/spreadsheetml/2006/main">
  <authors>
    <author>Author</author>
  </authors>
  <commentList>
    <comment ref="E3" authorId="0">
      <text>
        <r>
          <rPr>
            <sz val="10"/>
            <color indexed="81"/>
            <rFont val="Calibri"/>
          </rPr>
          <t xml:space="preserve">See extraction and calcs. This input is adjusted for the fact that our most recent incidence data is from 2014 but circumcisions would be performed in 2016 or later. </t>
        </r>
      </text>
    </comment>
    <comment ref="F4" authorId="0">
      <text>
        <r>
          <rPr>
            <sz val="10"/>
            <color indexed="81"/>
            <rFont val="Calibri"/>
          </rPr>
          <t xml:space="preserve">Siegfried et al 2009 Pg 4, pooled Y1 risk reduction rates from South Africa, Uganda and Kenya trials. Note in the South Africa and Uganda trials participants were 18-24yo, in the Kenya trial participants were 15-49yo, whereas some charities' clients are 10-49.
</t>
        </r>
      </text>
    </comment>
    <comment ref="F5" authorId="0">
      <text>
        <r>
          <rPr>
            <sz val="10"/>
            <color indexed="81"/>
            <rFont val="Calibri"/>
          </rPr>
          <t xml:space="preserve">Siegfried et al 2009 Pg 4, pooled Y2 risk reduction rates from South Africa, Uganda and Kenya trials. </t>
        </r>
      </text>
    </comment>
    <comment ref="F6" authorId="0">
      <text>
        <r>
          <rPr>
            <sz val="10"/>
            <color indexed="81"/>
            <rFont val="Calibri"/>
          </rPr>
          <t xml:space="preserve">average of Y1 and Y2
</t>
        </r>
      </text>
    </comment>
    <comment ref="E27" authorId="0">
      <text>
        <r>
          <rPr>
            <sz val="9"/>
            <color indexed="81"/>
            <rFont val="Calibri"/>
            <family val="2"/>
          </rPr>
          <t>See extraction and calcs. Consider whether this adjustment is sufficient to capture the extent of other interventions contemporaneous with VMMC</t>
        </r>
      </text>
    </comment>
    <comment ref="F27" authorId="0">
      <text>
        <r>
          <rPr>
            <sz val="9"/>
            <color indexed="81"/>
            <rFont val="Arial"/>
          </rPr>
          <t>If you have an intuition that the protective effect of VMMC will increase or decrease over time, you can model it using this input.</t>
        </r>
      </text>
    </comment>
    <comment ref="G27" authorId="0">
      <text>
        <r>
          <rPr>
            <sz val="9"/>
            <color indexed="81"/>
            <rFont val="Arial"/>
          </rPr>
          <t xml:space="preserve">On average, acute physical suffering and death from AIDS occurs ~10 years after infection. Accordingly, our model discounts the benefits of VMMC back 10 years. However, our guess is that significant negative psychological, social and economic impacts occur earlier – both at the time a person discovers their positive status and at the time it becomes known to others. We therefore encourage interested readers to tailor the discount to their assessment of when the negative effects of HIV would accrue.
</t>
        </r>
      </text>
    </comment>
    <comment ref="D28" authorId="0">
      <text>
        <r>
          <rPr>
            <sz val="9"/>
            <color indexed="81"/>
            <rFont val="Calibri"/>
            <family val="2"/>
          </rPr>
          <t>GBD - study, 2013 Namibia statistic - 15-49 males - 92.7 all cause mortality, less 31.9 HIV mortality</t>
        </r>
      </text>
    </comment>
    <comment ref="I28" authorId="0">
      <text>
        <r>
          <rPr>
            <sz val="10"/>
            <color indexed="81"/>
            <rFont val="Calibri"/>
          </rPr>
          <t xml:space="preserve">Note this figure is relatively arbitrary. We have no major concerns about external validity but the intervention may generally be less effective when implemented by charities than it was in RCTs.
</t>
        </r>
      </text>
    </comment>
    <comment ref="J28" authorId="0">
      <text>
        <r>
          <rPr>
            <sz val="10"/>
            <color indexed="81"/>
            <rFont val="Calibri"/>
          </rPr>
          <t xml:space="preserve">Note this figure is relatively arbitrary, assigned to account for potentially overstated effect size due to trials being stopped early. </t>
        </r>
      </text>
    </comment>
    <comment ref="I31" authorId="0">
      <text>
        <r>
          <rPr>
            <sz val="9"/>
            <color indexed="81"/>
            <rFont val="Arial"/>
          </rPr>
          <t>To capture secondary effects -- fewer infected men in turn leading to fewer infected women in turn leading to fewer infected men -- we apply a multiplier of 1.5 to the total number of infections avoided. We have low confidence in the accuracy of this multiplier, and encourage interested readers to experiment with other input values.</t>
        </r>
      </text>
    </comment>
  </commentList>
</comments>
</file>

<file path=xl/sharedStrings.xml><?xml version="1.0" encoding="utf-8"?>
<sst xmlns="http://schemas.openxmlformats.org/spreadsheetml/2006/main" count="236" uniqueCount="167">
  <si>
    <t>Cost-effectiveness analysis for voluntary medical male circumcision</t>
  </si>
  <si>
    <t xml:space="preserve">Source </t>
  </si>
  <si>
    <t>Input values</t>
  </si>
  <si>
    <t>Estimated cost per outcome</t>
  </si>
  <si>
    <t>Events  per $10,000</t>
  </si>
  <si>
    <t xml:space="preserve">No of events equivalent to a life saved </t>
  </si>
  <si>
    <t>Life equivalents saved for $10,000</t>
  </si>
  <si>
    <t>COST OF CIRCUMCISIONS</t>
  </si>
  <si>
    <t>Cost per circumcision performed</t>
  </si>
  <si>
    <t>"CHAPS' total cost of performing a circumcision is ~$130 USD." GiveWell's non-verbatim conversation of a conversation with Dr. Dirk Taljaard, co-CEO of the Centre for HIV and AIDS Prevention Studies, March 22, 2016 (note this excludes the cost of HIV testing supplies which are provided by government). We arbitrarily adjust upward from this estimate to account for other costs which may not be included.</t>
  </si>
  <si>
    <t>Cost per 10,000 men circumcised</t>
  </si>
  <si>
    <t>See calculation</t>
  </si>
  <si>
    <t>Plus cost of tests and counselling for men who are found HIV+</t>
  </si>
  <si>
    <t>Adjusted cost per 10,000 men circumcised</t>
  </si>
  <si>
    <t>Adverse events per 10,000 men treated</t>
  </si>
  <si>
    <t>BENEFITS: HIV INFECTIONS/MORTALITIES AVERTED</t>
  </si>
  <si>
    <t>Total estimated HIV infections avoided per 10,000 men (without external validity and replicability discounts)</t>
  </si>
  <si>
    <t>See sheet "HIV Modelling" for detailed calculations and assumptions</t>
  </si>
  <si>
    <t>Total estimated HIV infections avoided per 10,000 men (including external validity and replicability discounts)</t>
  </si>
  <si>
    <t xml:space="preserve">% men who would receive ART </t>
  </si>
  <si>
    <t>Estimated % of men with HIV who would die ~10 yrs after acquisition (accounting for ART coverage and estimated mortality rate from HIV/AIDS)</t>
  </si>
  <si>
    <t>Number of circumcisions performed to avoid one HIV infection</t>
  </si>
  <si>
    <t>Estimated moderate to serious adverse events per HIV infection avoided</t>
  </si>
  <si>
    <t>DALY estimate for someone with HIV/AIDS, receiving ART</t>
  </si>
  <si>
    <t>Salomon et al 2015 Pg. e717</t>
  </si>
  <si>
    <t>DALY estimate for someone with HIV/AIDS, not receiving ART</t>
  </si>
  <si>
    <t>Salomon et al 2015 Pg. e717; we average the DALY weight for "HIV: symptomatic, pre-AIDS" (0.274) with the DALY weight for "AIDS: not receiving antiretroviral treatment" (0.582)</t>
  </si>
  <si>
    <t>Estimated number of years before negative effects of HIV/AIDS have an impact</t>
  </si>
  <si>
    <t>On average, acute physical suffering and death from AIDS occurs ~10 years after infection. Accordingly, our model discounts the benefits of VMMC back 10 years. However, our guess is that significant negative psychological, social and economic impacts occur earlier – both at the time a person discovers their positive status and at the time it becomes known to others. We therefore encourage interested readers to tailor the discount to their assessment of when the negative effects of HIV would accrue.</t>
  </si>
  <si>
    <t>Estimated cost to avoid one HIV infection</t>
  </si>
  <si>
    <t>Estimated cost to avoid one HIV infection (receiving ART)</t>
  </si>
  <si>
    <t>Estimated cost to avoid one HIV infection (not receiving ART but does not die early)</t>
  </si>
  <si>
    <t>Estimated cost to avoid one mortality due to HIV/AIDS</t>
  </si>
  <si>
    <t>BENEFITS: CERVICAL CANCER EVENTS/MORTALITIES AVERTED</t>
  </si>
  <si>
    <t xml:space="preserve">No of high-risk HPV infections per 10,000 women per year (popn) </t>
  </si>
  <si>
    <t>Wawer et al 2011 abstract: "During the trial, 18 men in the control group underwent circumcision elsewhere, and 31 in the intervention group did not undergo circumcision. At 24-month follow-up, data were available for 544 women in the intervention group and 488 in the control group; 151 (27·8%) women in the intervention group and 189 (38·7%) in the control group had high-risk HPV infection (prevalence risk ratio=0·72, 95% CI 0·60–0·85, p=0·001). During the trial, incidence of high-risk HPV infection in women was lower in the intervention group than in the control group (20·7 infections vs 26·9 infections per 100 person-years; incidence rate ratio=0·77, 0·63–0·93, p=0·008)."</t>
  </si>
  <si>
    <t>Risk reduction for high-risk HPV and cervical cancer (assuming linear relationship)</t>
  </si>
  <si>
    <t>Wawer et al 2011 (risk reduction for HPV acquisition = 26%; increased relative chance of clearance = 10%). We spoke with an HPV expert on a confidential basis who told us that we should interpret Wawer et al 2011 as evidence for an overall risk reduction for HPV of about 30% for the female partners of circumcised men,</t>
  </si>
  <si>
    <t>No of high-risk HPV infections with intervention per 10,000 women per year (based on best evidence)</t>
  </si>
  <si>
    <t>Therefore infections avoided per 10,000 women in year 1</t>
  </si>
  <si>
    <t>High risk HPV incidence rate</t>
  </si>
  <si>
    <t>Cervical cancer incidence rate</t>
  </si>
  <si>
    <t>Arbyn et al 2011, Pg 2676. Table 1 using standardized incidence rates in East Africa from 2008, 207 per 100,000</t>
  </si>
  <si>
    <t>Approx conversion rate of high-risk HPV infection to cervical cancer</t>
  </si>
  <si>
    <t>Cervical cancer incidence avoided per 10,000 women</t>
  </si>
  <si>
    <t>Discount rate for cervical cancer</t>
  </si>
  <si>
    <t>Discounted estimated incidence over a 20 year time horizon assuming monogamy</t>
  </si>
  <si>
    <t>Discount to account for the fact that some of the population are not monogamous</t>
  </si>
  <si>
    <t>Arbitrary assumption</t>
  </si>
  <si>
    <t>Discount for external validity, replicability, and uncertainty about modeling from HPV to cervical cancer</t>
  </si>
  <si>
    <t>Therefore estimated incidences avoided over 20 year time horizon</t>
  </si>
  <si>
    <t>DALY estimate for cancer, diagnosis and primary treatment (not metastatic)</t>
  </si>
  <si>
    <t>Approx cervival cancer mortality rate</t>
  </si>
  <si>
    <t>Arbyn et al 2011, Pg 2676 Table 1 - using age standardized incidence rates (death/diagnosis) Sub-Saharan Africa (see extraction and calcs sheet)</t>
  </si>
  <si>
    <t>Therefore mortalities avoided</t>
  </si>
  <si>
    <t>Estimated cost to avoid one cervical cancer diagnosis</t>
  </si>
  <si>
    <t>Estimated cost to avoid one cervical cancer case (does not result in mortality)</t>
  </si>
  <si>
    <t>Estimated cost to avoid one cervical cancer mortality</t>
  </si>
  <si>
    <t>ESTIMATED COST PER EQUIVALENT LIFE SAVED</t>
  </si>
  <si>
    <t>OTHER BENEFITS (NOT MODELLED)</t>
  </si>
  <si>
    <t>Lower risk of transmission of other STIs</t>
  </si>
  <si>
    <t>See, e.g., Sobnqwi-Tambekou et al 2008 (trichomonas vaginalis)</t>
  </si>
  <si>
    <t>Lower risk of HPV in men</t>
  </si>
  <si>
    <t>Auvert et al 2009 (prevalence rate ratio 0.66), Tobian et al 2009 (prevalence rate ratio 0.65)</t>
  </si>
  <si>
    <t>Lower risk of HSV-2 (herpes) in men</t>
  </si>
  <si>
    <t>Tobian et al 2009 (adjusted hazard ratio 0.72)</t>
  </si>
  <si>
    <t>OTHER COSTS (NOT MODELLED)</t>
  </si>
  <si>
    <t>May reduce penile sensitivity and therefore sexual pleasure</t>
  </si>
  <si>
    <t>May have negative social and cultural impacts</t>
  </si>
  <si>
    <t>May encourage behavioral risk compensation</t>
  </si>
  <si>
    <t>Extraction and calculations</t>
  </si>
  <si>
    <t>1. CALCULATIONS FOR INCIDENCE RATE AND HIV DISCOUNTING OVER TIME</t>
  </si>
  <si>
    <t>Source:</t>
  </si>
  <si>
    <t>Incidence rate among 15-49 adults for VMMC priority countries (2014), from UNAids: http://aidsinfo.unaids.org/#</t>
  </si>
  <si>
    <t>Country</t>
  </si>
  <si>
    <t>Botswana</t>
  </si>
  <si>
    <t>Ethiopia (N/A) - cell says 0</t>
  </si>
  <si>
    <t>Kenya</t>
  </si>
  <si>
    <t>Lesotho</t>
  </si>
  <si>
    <t>Malawi</t>
  </si>
  <si>
    <t>Mozambique</t>
  </si>
  <si>
    <t>Namibia</t>
  </si>
  <si>
    <t>Rwanda</t>
  </si>
  <si>
    <t>South Africa</t>
  </si>
  <si>
    <t>Swaziland</t>
  </si>
  <si>
    <t>Tanzania</t>
  </si>
  <si>
    <t>Uganda</t>
  </si>
  <si>
    <t>Zambia</t>
  </si>
  <si>
    <t>Zimbabwe</t>
  </si>
  <si>
    <t>Weighted average (see population data in (2) below)</t>
  </si>
  <si>
    <t>Compound annual decrease</t>
  </si>
  <si>
    <t>2. CALCULATIONS OF AVERAGE PREVALENCE RATE TO INFORM PROVISION FOR HIV+ MEN NOT CIRCUMCISED</t>
  </si>
  <si>
    <r>
      <rPr>
        <i/>
        <sz val="10"/>
        <rFont val="Arial"/>
      </rPr>
      <t xml:space="preserve">Source: WHO data on prevalence (%) of HIV among adults aged 15-49: details on data: http://apps.who.int/gho/indicatorregistry/App_Main/view_indicator.aspx?iid=334); (source of data: </t>
    </r>
    <r>
      <rPr>
        <sz val="10"/>
        <rFont val="Arial"/>
      </rPr>
      <t>http://apps.who.int/gho/data/node.main.622?lang=en); source of population data: (http://www.prb.org/pdf13/2013-population-data-sheet_eng.pdf)</t>
    </r>
  </si>
  <si>
    <t>Priority countries with confidence intervals</t>
  </si>
  <si>
    <t>Population (millions)</t>
  </si>
  <si>
    <t>21.9 [20.8-23.1]</t>
  </si>
  <si>
    <t>Ethiopia</t>
  </si>
  <si>
    <t>1.2 [1.1-1.4]</t>
  </si>
  <si>
    <t>6.0 [5.6-6.6]</t>
  </si>
  <si>
    <t>22.9 [21.6-24.1]</t>
  </si>
  <si>
    <t>10.3 [9.6-10.8]</t>
  </si>
  <si>
    <t>10.8 [9.6-12.3]</t>
  </si>
  <si>
    <t>14.3 [11.8-17.3]</t>
  </si>
  <si>
    <t>2.9 [2.6-3.1]</t>
  </si>
  <si>
    <t>19.1 [18.1-19.9]</t>
  </si>
  <si>
    <t>27.4 [26.6-28.1]</t>
  </si>
  <si>
    <t>5.0 [4.6-5.3]</t>
  </si>
  <si>
    <t>7.4 [7.0-8.0]</t>
  </si>
  <si>
    <t>12.5 [11.9-13.3]</t>
  </si>
  <si>
    <t>15.0 [14.2-15.7]</t>
  </si>
  <si>
    <t>Priority countries, appearing as prevalence rate/ without CIs</t>
  </si>
  <si>
    <t>Weighted average</t>
  </si>
  <si>
    <t>3. CALCULATIONS FOR MEAN DALYS AND DEATHS FROM HIV</t>
  </si>
  <si>
    <t>Source: IHME - GBD HIV/AIDS Deaths and Disability, downloaded: http://vizhub.healthdata.org/gbd-compare/</t>
  </si>
  <si>
    <t>Year</t>
  </si>
  <si>
    <t>HIV/AIDS DALY number</t>
  </si>
  <si>
    <t>Percent of total DALYs attributable to HIV/AIDS</t>
  </si>
  <si>
    <t>Percent of deaths attributable to HIV/AIDS</t>
  </si>
  <si>
    <t>Percent of global HIV/AIDS deaths</t>
  </si>
  <si>
    <t>Percent change of deaths from peak to present</t>
  </si>
  <si>
    <t>HIV/AIDS DALY rank</t>
  </si>
  <si>
    <t>Tanzania, United Republic of</t>
  </si>
  <si>
    <t>Weighted averages (see population data in (2) above)</t>
  </si>
  <si>
    <t>4. CALCULATIONS FOR WEIGHTED AVERAGE INCIDENCE AND MORTALITY RATES FOR CERVICAL CANCER IN SUB-SAHARAN AFRICA</t>
  </si>
  <si>
    <t>Source: Arbyn et al 2011 Table 1</t>
  </si>
  <si>
    <t>Total female population (mil)</t>
  </si>
  <si>
    <t>Percentage of SSA</t>
  </si>
  <si>
    <t>Cumulative Incidence Rate</t>
  </si>
  <si>
    <t>Cumulative Mortality Rate</t>
  </si>
  <si>
    <t>Eastern Africa</t>
  </si>
  <si>
    <t>Middle</t>
  </si>
  <si>
    <t>Southern</t>
  </si>
  <si>
    <t>Mortality rate</t>
  </si>
  <si>
    <t>5. CALCULATIONS FOR WEIGHTED AVERAGE NO OF ELIGIBLE POPULATION IN SUB-SAHARAN AFRICA ACCESSING ART</t>
  </si>
  <si>
    <t>Source: Population Reference Bureau - http://www.prb.org/publications/datasheets/2013/2013-world-population-data-sheet/world-map.aspx#map/world/population/2013</t>
  </si>
  <si>
    <t>Population (mil)</t>
  </si>
  <si>
    <t xml:space="preserve">Percentage </t>
  </si>
  <si>
    <t>% eligible popn not accessing ART</t>
  </si>
  <si>
    <t>Western</t>
  </si>
  <si>
    <t>Subtotal</t>
  </si>
  <si>
    <t>Eastern</t>
  </si>
  <si>
    <t>Inputs are highlighted in yellow</t>
  </si>
  <si>
    <t>Input Values (Can Be Changed)</t>
  </si>
  <si>
    <t>Calculated Values</t>
  </si>
  <si>
    <t>Sample</t>
  </si>
  <si>
    <t>Incidence</t>
  </si>
  <si>
    <t>Risk Reduction</t>
  </si>
  <si>
    <t>Control Cases</t>
  </si>
  <si>
    <t>Treatment Cases</t>
  </si>
  <si>
    <t>Averted Cases</t>
  </si>
  <si>
    <t>Discount</t>
  </si>
  <si>
    <t>Base Case</t>
  </si>
  <si>
    <t>SUM</t>
  </si>
  <si>
    <t>Adjusted for Validity and Replicability</t>
  </si>
  <si>
    <t>ADJ Val + Rep.</t>
  </si>
  <si>
    <t>Non-HIV Deaths/ 10,000/Per Year for Adolescents/Adults</t>
  </si>
  <si>
    <t>Delta Incidence</t>
  </si>
  <si>
    <t>Delta Risk Reduction</t>
  </si>
  <si>
    <t>Discount years</t>
  </si>
  <si>
    <t>Discount rate</t>
  </si>
  <si>
    <t>External Validity</t>
  </si>
  <si>
    <t>Replicability</t>
  </si>
  <si>
    <t>Multiplier</t>
  </si>
  <si>
    <t>Average of Auvert et al (2005) (3.8%) and Gray et al (2007, 3.6%); Bailey et al (2007) (1.5%) excluded bc authors argue low events due to high quality implementation (see Siegfried et al 2009 Pg 10)</t>
  </si>
  <si>
    <t>((1 - % eligible population not receiving ART in Sub-Saharan Africa (see extraction + calcs)) *1.3) [note that we arbitrarily assume higher ART coverage to account for increases in ART coverage over time and other factors]</t>
  </si>
  <si>
    <t>(1 - % men who would receive ART) * 0.5 (see survival rate at 10 years in Van der Paal et al 2007)</t>
  </si>
  <si>
    <t>Cost per circumcision performed * weighted average of 2013 WHO HIV prevalence rate for VMMC priority countries (see extraction + calcs)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</si>
</sst>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00_-;\-&quot;$&quot;* #,##0.00_-;_-&quot;$&quot;* &quot;-&quot;??_-;_-@_-"/>
    <numFmt numFmtId="165" formatCode="0.000"/>
    <numFmt numFmtId="166" formatCode="0.00000000"/>
    <numFmt numFmtId="167" formatCode="0.0000"/>
    <numFmt numFmtId="168" formatCode="#,##0.00_ ;\-#,##0.00\ "/>
  </numFmts>
  <fonts count="33">
    <font>
      <sz val="12"/>
      <color theme="1"/>
      <name val="Calibri"/>
      <family val="2"/>
      <scheme val="minor"/>
    </font>
    <font>
      <sz val="12"/>
      <color theme="1"/>
      <name val="Calibri"/>
      <family val="2"/>
      <scheme val="minor"/>
    </font>
    <font>
      <b/>
      <sz val="12"/>
      <color theme="1"/>
      <name val="Calibri"/>
      <family val="2"/>
      <scheme val="minor"/>
    </font>
    <font>
      <sz val="10"/>
      <color rgb="FF000000"/>
      <name val="Arial"/>
    </font>
    <font>
      <b/>
      <sz val="16"/>
      <color rgb="FF000000"/>
      <name val="Arial"/>
    </font>
    <font>
      <b/>
      <sz val="10"/>
      <name val="Arial"/>
    </font>
    <font>
      <b/>
      <sz val="10"/>
      <color rgb="FF000000"/>
      <name val="Arial"/>
    </font>
    <font>
      <sz val="10"/>
      <name val="Arial"/>
    </font>
    <font>
      <sz val="10"/>
      <color theme="1"/>
      <name val="Arial"/>
    </font>
    <font>
      <b/>
      <sz val="10"/>
      <color theme="1"/>
      <name val="Arial"/>
    </font>
    <font>
      <i/>
      <sz val="10"/>
      <name val="Arial"/>
    </font>
    <font>
      <sz val="10"/>
      <color rgb="FF980000"/>
      <name val="Arial"/>
    </font>
    <font>
      <u/>
      <sz val="10"/>
      <color theme="10"/>
      <name val="Arial"/>
    </font>
    <font>
      <sz val="10"/>
      <color indexed="81"/>
      <name val="Calibri"/>
    </font>
    <font>
      <sz val="9"/>
      <color indexed="81"/>
      <name val="Arial"/>
    </font>
    <font>
      <i/>
      <sz val="10"/>
      <color rgb="FF000000"/>
      <name val="Arial"/>
    </font>
    <font>
      <sz val="10"/>
      <color theme="4" tint="-0.499984740745262"/>
      <name val="Arial"/>
    </font>
    <font>
      <sz val="10"/>
      <color rgb="FFFF0000"/>
      <name val="Arial"/>
    </font>
    <font>
      <b/>
      <sz val="11"/>
      <name val="Arial"/>
    </font>
    <font>
      <sz val="11"/>
      <name val="Arial"/>
    </font>
    <font>
      <sz val="10"/>
      <color theme="8" tint="-0.249977111117893"/>
      <name val="Arial"/>
    </font>
    <font>
      <sz val="10"/>
      <color rgb="FFC00000"/>
      <name val="Arial"/>
    </font>
    <font>
      <i/>
      <sz val="11"/>
      <color theme="1"/>
      <name val="Calibri"/>
      <scheme val="minor"/>
    </font>
    <font>
      <b/>
      <sz val="11"/>
      <color theme="1"/>
      <name val="Calibri"/>
      <family val="2"/>
      <scheme val="minor"/>
    </font>
    <font>
      <b/>
      <sz val="12"/>
      <name val="Calibri"/>
      <scheme val="minor"/>
    </font>
    <font>
      <u/>
      <sz val="12"/>
      <color theme="1"/>
      <name val="Calibri"/>
      <scheme val="minor"/>
    </font>
    <font>
      <sz val="9"/>
      <color theme="1"/>
      <name val="AdvC2866"/>
    </font>
    <font>
      <sz val="9"/>
      <color indexed="81"/>
      <name val="Calibri"/>
      <family val="2"/>
    </font>
    <font>
      <sz val="11"/>
      <color theme="1"/>
      <name val="Calibri"/>
      <family val="2"/>
      <scheme val="minor"/>
    </font>
    <font>
      <sz val="12"/>
      <color indexed="8"/>
      <name val="Calibri"/>
      <family val="2"/>
    </font>
    <font>
      <b/>
      <u/>
      <sz val="11"/>
      <color indexed="12"/>
      <name val="Arial"/>
    </font>
    <font>
      <u/>
      <sz val="12"/>
      <color indexed="12"/>
      <name val="Calibri"/>
      <family val="2"/>
    </font>
    <font>
      <sz val="11"/>
      <color rgb="FF3F3F76"/>
      <name val="Calibri"/>
      <family val="2"/>
      <scheme val="minor"/>
    </font>
  </fonts>
  <fills count="5">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right/>
      <top style="thin">
        <color auto="1"/>
      </top>
      <bottom style="double">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3">
    <xf numFmtId="0" fontId="0" fillId="0" borderId="0"/>
    <xf numFmtId="0" fontId="3" fillId="0" borderId="0"/>
    <xf numFmtId="164" fontId="3" fillId="0" borderId="0" applyFont="0" applyFill="0" applyBorder="0" applyAlignment="0" applyProtection="0"/>
    <xf numFmtId="0" fontId="12" fillId="0" borderId="0" applyNumberFormat="0" applyFill="0" applyBorder="0" applyAlignment="0" applyProtection="0"/>
    <xf numFmtId="0" fontId="7" fillId="0" borderId="0">
      <alignment vertical="top"/>
    </xf>
    <xf numFmtId="0" fontId="18" fillId="0" borderId="3">
      <alignment vertical="top" wrapText="1"/>
    </xf>
    <xf numFmtId="0" fontId="7" fillId="0" borderId="4">
      <alignment vertical="top"/>
    </xf>
    <xf numFmtId="0" fontId="1" fillId="0" borderId="0"/>
    <xf numFmtId="0" fontId="5" fillId="0" borderId="0" applyNumberFormat="0" applyFill="0" applyBorder="0" applyProtection="0">
      <alignment vertical="top"/>
    </xf>
    <xf numFmtId="43" fontId="7" fillId="0" borderId="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9" fillId="0" borderId="0"/>
    <xf numFmtId="0" fontId="30" fillId="0" borderId="3">
      <alignment vertical="top" wrapText="1"/>
    </xf>
    <xf numFmtId="0" fontId="12" fillId="0" borderId="0" applyNumberFormat="0" applyFill="0" applyBorder="0" applyAlignment="0" applyProtection="0"/>
    <xf numFmtId="0" fontId="31" fillId="0" borderId="0"/>
    <xf numFmtId="0" fontId="32" fillId="2" borderId="1" applyNumberFormat="0" applyAlignment="0" applyProtection="0"/>
    <xf numFmtId="0" fontId="3" fillId="0" borderId="0"/>
    <xf numFmtId="0" fontId="28" fillId="0" borderId="0"/>
    <xf numFmtId="9" fontId="1"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7" fillId="0" borderId="0" applyNumberFormat="0" applyFont="0" applyFill="0" applyBorder="0" applyProtection="0">
      <alignment wrapText="1"/>
    </xf>
  </cellStyleXfs>
  <cellXfs count="106">
    <xf numFmtId="0" fontId="0" fillId="0" borderId="0" xfId="0"/>
    <xf numFmtId="0" fontId="4" fillId="0" borderId="0" xfId="1" applyFont="1" applyAlignment="1"/>
    <xf numFmtId="0" fontId="3" fillId="0" borderId="0" xfId="1" applyFont="1" applyAlignment="1"/>
    <xf numFmtId="2" fontId="3" fillId="0" borderId="0" xfId="1" applyNumberFormat="1" applyFont="1" applyAlignment="1"/>
    <xf numFmtId="0" fontId="5" fillId="0" borderId="0" xfId="1" applyFont="1" applyAlignment="1"/>
    <xf numFmtId="0" fontId="5" fillId="0" borderId="0" xfId="1" applyFont="1" applyAlignment="1">
      <alignment wrapText="1" shrinkToFit="1"/>
    </xf>
    <xf numFmtId="2" fontId="6" fillId="0" borderId="0" xfId="1" applyNumberFormat="1" applyFont="1" applyAlignment="1">
      <alignment wrapText="1"/>
    </xf>
    <xf numFmtId="0" fontId="7" fillId="0" borderId="0" xfId="1" applyFont="1" applyAlignment="1"/>
    <xf numFmtId="164" fontId="8" fillId="0" borderId="0" xfId="2" applyFont="1"/>
    <xf numFmtId="2" fontId="7" fillId="0" borderId="0" xfId="1" applyNumberFormat="1" applyFont="1" applyAlignment="1"/>
    <xf numFmtId="0" fontId="8" fillId="0" borderId="0" xfId="2" applyNumberFormat="1" applyFont="1"/>
    <xf numFmtId="164" fontId="9" fillId="0" borderId="0" xfId="2" applyNumberFormat="1" applyFont="1"/>
    <xf numFmtId="0" fontId="8" fillId="0" borderId="0" xfId="1" applyFont="1"/>
    <xf numFmtId="2" fontId="8" fillId="0" borderId="0" xfId="1" applyNumberFormat="1" applyFont="1"/>
    <xf numFmtId="165" fontId="8" fillId="0" borderId="0" xfId="1" applyNumberFormat="1" applyFont="1"/>
    <xf numFmtId="165" fontId="8" fillId="0" borderId="0" xfId="1" applyNumberFormat="1" applyFont="1" applyAlignment="1"/>
    <xf numFmtId="0" fontId="8" fillId="0" borderId="0" xfId="1" applyFont="1" applyAlignment="1"/>
    <xf numFmtId="2" fontId="8" fillId="0" borderId="0" xfId="2" applyNumberFormat="1" applyFont="1"/>
    <xf numFmtId="165" fontId="8" fillId="0" borderId="0" xfId="2" applyNumberFormat="1" applyFont="1"/>
    <xf numFmtId="164" fontId="9" fillId="0" borderId="0" xfId="2" applyFont="1"/>
    <xf numFmtId="0" fontId="10" fillId="0" borderId="0" xfId="1" applyFont="1" applyAlignment="1"/>
    <xf numFmtId="0" fontId="9" fillId="0" borderId="0" xfId="1" applyFont="1"/>
    <xf numFmtId="44" fontId="9" fillId="0" borderId="0" xfId="2" applyNumberFormat="1" applyFont="1"/>
    <xf numFmtId="0" fontId="6" fillId="0" borderId="0" xfId="1" applyFont="1" applyAlignment="1"/>
    <xf numFmtId="164" fontId="6" fillId="0" borderId="0" xfId="1" applyNumberFormat="1" applyFont="1" applyAlignment="1"/>
    <xf numFmtId="2" fontId="3" fillId="0" borderId="2" xfId="1" applyNumberFormat="1" applyFont="1" applyBorder="1" applyAlignment="1"/>
    <xf numFmtId="0" fontId="11" fillId="0" borderId="0" xfId="1" applyFont="1" applyAlignment="1"/>
    <xf numFmtId="0" fontId="11" fillId="0" borderId="0" xfId="1" applyFont="1"/>
    <xf numFmtId="0" fontId="12" fillId="0" borderId="0" xfId="3" applyAlignment="1"/>
    <xf numFmtId="166" fontId="3" fillId="0" borderId="0" xfId="1" applyNumberFormat="1" applyFont="1" applyAlignment="1"/>
    <xf numFmtId="0" fontId="15" fillId="0" borderId="0" xfId="1" applyFont="1" applyAlignment="1"/>
    <xf numFmtId="0" fontId="16" fillId="0" borderId="0" xfId="1" applyFont="1" applyAlignment="1"/>
    <xf numFmtId="0" fontId="17" fillId="0" borderId="0" xfId="1" applyFont="1" applyAlignment="1"/>
    <xf numFmtId="0" fontId="7" fillId="0" borderId="0" xfId="4" applyFont="1">
      <alignment vertical="top"/>
    </xf>
    <xf numFmtId="0" fontId="7" fillId="0" borderId="0" xfId="4">
      <alignment vertical="top"/>
    </xf>
    <xf numFmtId="0" fontId="5" fillId="0" borderId="0" xfId="4" applyFont="1" applyBorder="1">
      <alignment vertical="top"/>
    </xf>
    <xf numFmtId="0" fontId="18" fillId="0" borderId="0" xfId="5" applyNumberFormat="1" applyFont="1" applyFill="1" applyBorder="1" applyAlignment="1" applyProtection="1">
      <alignment vertical="top" wrapText="1"/>
    </xf>
    <xf numFmtId="0" fontId="16" fillId="0" borderId="0" xfId="6" applyNumberFormat="1" applyFont="1" applyFill="1" applyBorder="1" applyAlignment="1" applyProtection="1">
      <alignment vertical="top"/>
    </xf>
    <xf numFmtId="0" fontId="7" fillId="0" borderId="0" xfId="6" applyNumberFormat="1" applyFont="1" applyFill="1" applyBorder="1" applyAlignment="1" applyProtection="1">
      <alignment vertical="top"/>
    </xf>
    <xf numFmtId="0" fontId="7" fillId="0" borderId="0" xfId="4" applyBorder="1">
      <alignment vertical="top"/>
    </xf>
    <xf numFmtId="0" fontId="19" fillId="0" borderId="0" xfId="5" applyNumberFormat="1" applyFont="1" applyFill="1" applyBorder="1" applyAlignment="1" applyProtection="1">
      <alignment vertical="top" wrapText="1"/>
    </xf>
    <xf numFmtId="0" fontId="20" fillId="0" borderId="0" xfId="6" applyNumberFormat="1" applyFont="1" applyFill="1" applyBorder="1" applyAlignment="1" applyProtection="1">
      <alignment vertical="top"/>
    </xf>
    <xf numFmtId="0" fontId="21" fillId="0" borderId="0" xfId="1" applyFont="1" applyAlignment="1"/>
    <xf numFmtId="0" fontId="3" fillId="0" borderId="0" xfId="1" applyFill="1" applyAlignment="1">
      <alignment wrapText="1"/>
    </xf>
    <xf numFmtId="2" fontId="3" fillId="0" borderId="0" xfId="1" applyNumberFormat="1" applyFill="1" applyAlignment="1">
      <alignment wrapText="1"/>
    </xf>
    <xf numFmtId="10" fontId="3" fillId="0" borderId="0" xfId="1" applyNumberFormat="1" applyFill="1" applyAlignment="1">
      <alignment wrapText="1"/>
    </xf>
    <xf numFmtId="0" fontId="3" fillId="0" borderId="0" xfId="1" applyFill="1"/>
    <xf numFmtId="0" fontId="16" fillId="0" borderId="0" xfId="1" applyFont="1" applyFill="1"/>
    <xf numFmtId="2" fontId="16" fillId="0" borderId="0" xfId="1" applyNumberFormat="1" applyFont="1" applyFill="1" applyAlignment="1"/>
    <xf numFmtId="10" fontId="16" fillId="0" borderId="0" xfId="1" applyNumberFormat="1" applyFont="1" applyFill="1"/>
    <xf numFmtId="0" fontId="23" fillId="0" borderId="0" xfId="1" applyFont="1" applyFill="1"/>
    <xf numFmtId="2" fontId="3" fillId="0" borderId="0" xfId="1" applyNumberFormat="1" applyFill="1" applyAlignment="1"/>
    <xf numFmtId="10" fontId="21" fillId="0" borderId="0" xfId="1" applyNumberFormat="1" applyFont="1" applyAlignment="1"/>
    <xf numFmtId="10" fontId="23" fillId="0" borderId="0" xfId="1" applyNumberFormat="1" applyFont="1" applyFill="1"/>
    <xf numFmtId="0" fontId="1" fillId="3" borderId="0" xfId="7" applyNumberFormat="1" applyFill="1" applyAlignment="1">
      <alignment horizontal="center" vertical="center"/>
    </xf>
    <xf numFmtId="0" fontId="1" fillId="0" borderId="0" xfId="7"/>
    <xf numFmtId="0" fontId="1" fillId="0" borderId="0" xfId="7" applyNumberFormat="1" applyAlignment="1">
      <alignment horizontal="center" vertical="center"/>
    </xf>
    <xf numFmtId="0" fontId="1" fillId="0" borderId="7" xfId="7" applyNumberFormat="1" applyBorder="1" applyAlignment="1">
      <alignment horizontal="center" vertical="center"/>
    </xf>
    <xf numFmtId="0" fontId="1" fillId="0" borderId="8" xfId="7" applyNumberFormat="1" applyBorder="1" applyAlignment="1">
      <alignment horizontal="center" vertical="center"/>
    </xf>
    <xf numFmtId="0" fontId="1" fillId="0" borderId="9" xfId="7" applyNumberFormat="1" applyBorder="1" applyAlignment="1">
      <alignment horizontal="center" vertical="center"/>
    </xf>
    <xf numFmtId="0" fontId="1" fillId="0" borderId="10" xfId="7" applyNumberFormat="1" applyBorder="1" applyAlignment="1">
      <alignment horizontal="center" vertical="center"/>
    </xf>
    <xf numFmtId="0" fontId="1" fillId="3" borderId="10" xfId="7" applyNumberFormat="1" applyFill="1" applyBorder="1" applyAlignment="1">
      <alignment horizontal="center" vertical="center"/>
    </xf>
    <xf numFmtId="0" fontId="1" fillId="3" borderId="0" xfId="7" applyNumberFormat="1" applyFill="1" applyBorder="1" applyAlignment="1">
      <alignment horizontal="center" vertical="center"/>
    </xf>
    <xf numFmtId="2" fontId="1" fillId="0" borderId="10" xfId="7" applyNumberFormat="1" applyBorder="1" applyAlignment="1">
      <alignment horizontal="center" vertical="center"/>
    </xf>
    <xf numFmtId="2" fontId="1" fillId="0" borderId="0" xfId="7" applyNumberFormat="1" applyBorder="1" applyAlignment="1">
      <alignment horizontal="center" vertical="center"/>
    </xf>
    <xf numFmtId="2" fontId="1" fillId="0" borderId="11" xfId="7" applyNumberFormat="1" applyBorder="1" applyAlignment="1">
      <alignment horizontal="center" vertical="center"/>
    </xf>
    <xf numFmtId="167" fontId="1" fillId="0" borderId="0" xfId="7" applyNumberFormat="1" applyBorder="1" applyAlignment="1">
      <alignment horizontal="center" vertical="center"/>
    </xf>
    <xf numFmtId="2" fontId="1" fillId="3" borderId="0" xfId="7" applyNumberFormat="1" applyFill="1" applyBorder="1" applyAlignment="1">
      <alignment horizontal="center" vertical="center"/>
    </xf>
    <xf numFmtId="2" fontId="1" fillId="0" borderId="11" xfId="7" applyNumberFormat="1" applyFont="1" applyBorder="1" applyAlignment="1">
      <alignment horizontal="center" vertical="center"/>
    </xf>
    <xf numFmtId="2" fontId="1" fillId="4" borderId="11" xfId="7" applyNumberFormat="1" applyFill="1" applyBorder="1" applyAlignment="1">
      <alignment horizontal="center" vertical="center"/>
    </xf>
    <xf numFmtId="0" fontId="1" fillId="0" borderId="5" xfId="7" applyNumberFormat="1" applyBorder="1" applyAlignment="1">
      <alignment horizontal="center" vertical="center"/>
    </xf>
    <xf numFmtId="0" fontId="2" fillId="0" borderId="7" xfId="7" applyNumberFormat="1" applyFont="1" applyBorder="1" applyAlignment="1">
      <alignment horizontal="center" vertical="center"/>
    </xf>
    <xf numFmtId="0" fontId="2" fillId="0" borderId="8" xfId="7" applyNumberFormat="1" applyFont="1" applyBorder="1" applyAlignment="1">
      <alignment horizontal="center" vertical="center"/>
    </xf>
    <xf numFmtId="2" fontId="2" fillId="0" borderId="8" xfId="7" applyNumberFormat="1" applyFont="1" applyBorder="1" applyAlignment="1">
      <alignment horizontal="center" vertical="center"/>
    </xf>
    <xf numFmtId="2" fontId="1" fillId="0" borderId="9" xfId="7" applyNumberFormat="1" applyBorder="1" applyAlignment="1">
      <alignment horizontal="center" vertical="center"/>
    </xf>
    <xf numFmtId="0" fontId="2" fillId="0" borderId="5" xfId="7" applyNumberFormat="1" applyFont="1" applyBorder="1" applyAlignment="1">
      <alignment horizontal="center" vertical="center"/>
    </xf>
    <xf numFmtId="0" fontId="2" fillId="0" borderId="6" xfId="7" applyNumberFormat="1" applyFont="1" applyBorder="1" applyAlignment="1">
      <alignment horizontal="center" vertical="center"/>
    </xf>
    <xf numFmtId="168" fontId="2" fillId="0" borderId="6" xfId="7" applyNumberFormat="1" applyFont="1" applyBorder="1" applyAlignment="1">
      <alignment horizontal="center" vertical="center"/>
    </xf>
    <xf numFmtId="168" fontId="1" fillId="0" borderId="4" xfId="7" applyNumberFormat="1" applyBorder="1" applyAlignment="1">
      <alignment horizontal="center" vertical="center"/>
    </xf>
    <xf numFmtId="0" fontId="2" fillId="0" borderId="0" xfId="7" applyNumberFormat="1" applyFont="1" applyAlignment="1">
      <alignment horizontal="center" vertical="center"/>
    </xf>
    <xf numFmtId="0" fontId="24" fillId="0" borderId="0" xfId="7" applyNumberFormat="1" applyFont="1" applyFill="1" applyAlignment="1">
      <alignment horizontal="center" vertical="center"/>
    </xf>
    <xf numFmtId="164" fontId="24" fillId="0" borderId="0" xfId="7" applyNumberFormat="1" applyFont="1" applyFill="1" applyAlignment="1">
      <alignment horizontal="center" vertical="center"/>
    </xf>
    <xf numFmtId="168" fontId="1" fillId="3" borderId="0" xfId="7" applyNumberFormat="1" applyFill="1" applyAlignment="1">
      <alignment horizontal="center" vertical="center"/>
    </xf>
    <xf numFmtId="164" fontId="1" fillId="0" borderId="0" xfId="7" applyNumberFormat="1" applyAlignment="1">
      <alignment horizontal="center" vertical="center"/>
    </xf>
    <xf numFmtId="0" fontId="1" fillId="0" borderId="0" xfId="7" applyNumberFormat="1" applyFill="1" applyAlignment="1">
      <alignment horizontal="center" vertical="center"/>
    </xf>
    <xf numFmtId="0" fontId="1" fillId="0" borderId="0" xfId="7" applyNumberFormat="1" applyAlignment="1">
      <alignment horizontal="center" vertical="center" shrinkToFit="1"/>
    </xf>
    <xf numFmtId="0" fontId="25" fillId="0" borderId="0" xfId="7" applyFont="1"/>
    <xf numFmtId="0" fontId="25" fillId="0" borderId="0" xfId="7" applyFont="1" applyAlignment="1">
      <alignment shrinkToFit="1"/>
    </xf>
    <xf numFmtId="2" fontId="1" fillId="0" borderId="0" xfId="7" applyNumberFormat="1" applyAlignment="1">
      <alignment horizontal="center" vertical="center"/>
    </xf>
    <xf numFmtId="0" fontId="26" fillId="0" borderId="0" xfId="7" applyFont="1"/>
    <xf numFmtId="9" fontId="1" fillId="3" borderId="0" xfId="7" applyNumberFormat="1" applyFill="1" applyAlignment="1">
      <alignment horizontal="center" vertical="center"/>
    </xf>
    <xf numFmtId="0" fontId="7" fillId="0" borderId="0" xfId="1" applyFont="1" applyFill="1" applyAlignment="1"/>
    <xf numFmtId="9" fontId="8" fillId="0" borderId="0" xfId="1" applyNumberFormat="1" applyFont="1" applyFill="1"/>
    <xf numFmtId="0" fontId="8" fillId="0" borderId="0" xfId="1" applyFont="1" applyFill="1"/>
    <xf numFmtId="2" fontId="3" fillId="0" borderId="0" xfId="1" applyNumberFormat="1" applyFont="1" applyFill="1" applyAlignment="1"/>
    <xf numFmtId="0" fontId="3" fillId="0" borderId="0" xfId="1" applyFont="1" applyFill="1" applyAlignment="1"/>
    <xf numFmtId="0" fontId="6" fillId="0" borderId="0" xfId="1" applyFont="1" applyAlignment="1"/>
    <xf numFmtId="0" fontId="22" fillId="0" borderId="0" xfId="1" applyFont="1" applyAlignment="1"/>
    <xf numFmtId="0" fontId="23" fillId="0" borderId="0" xfId="1" applyFont="1" applyAlignment="1"/>
    <xf numFmtId="0" fontId="1" fillId="0" borderId="5" xfId="7" applyNumberFormat="1" applyFill="1" applyBorder="1" applyAlignment="1">
      <alignment horizontal="center" vertical="center"/>
    </xf>
    <xf numFmtId="0" fontId="1" fillId="0" borderId="6" xfId="7" applyNumberFormat="1" applyFill="1" applyBorder="1" applyAlignment="1">
      <alignment horizontal="center" vertical="center"/>
    </xf>
    <xf numFmtId="0" fontId="1" fillId="0" borderId="4" xfId="7" applyNumberFormat="1" applyFill="1" applyBorder="1" applyAlignment="1">
      <alignment horizontal="center" vertical="center"/>
    </xf>
    <xf numFmtId="0" fontId="1" fillId="0" borderId="5" xfId="7" applyNumberFormat="1" applyBorder="1" applyAlignment="1">
      <alignment horizontal="center" vertical="center"/>
    </xf>
    <xf numFmtId="0" fontId="1" fillId="0" borderId="6" xfId="7" applyNumberFormat="1" applyBorder="1" applyAlignment="1">
      <alignment horizontal="center" vertical="center"/>
    </xf>
    <xf numFmtId="0" fontId="1" fillId="0" borderId="4" xfId="7" applyNumberFormat="1" applyBorder="1" applyAlignment="1">
      <alignment horizontal="center" vertical="center"/>
    </xf>
    <xf numFmtId="0" fontId="1" fillId="0" borderId="0" xfId="7" applyNumberFormat="1" applyAlignment="1">
      <alignment horizontal="center" vertical="center" wrapText="1"/>
    </xf>
  </cellXfs>
  <cellStyles count="23">
    <cellStyle name="Bold" xfId="8"/>
    <cellStyle name="Comma 2" xfId="9"/>
    <cellStyle name="Comma 3" xfId="10"/>
    <cellStyle name="Currency 2" xfId="2"/>
    <cellStyle name="Currency 3" xfId="11"/>
    <cellStyle name="Data" xfId="6"/>
    <cellStyle name="Excel Built-in Normal" xfId="12"/>
    <cellStyle name="Header" xfId="5"/>
    <cellStyle name="HeaderHyperlink" xfId="13"/>
    <cellStyle name="Hyperlink 2" xfId="3"/>
    <cellStyle name="Hyperlink 3" xfId="14"/>
    <cellStyle name="Hyperlink 48" xfId="15"/>
    <cellStyle name="Input 2" xfId="16"/>
    <cellStyle name="Normal" xfId="0" builtinId="0"/>
    <cellStyle name="Normal 2" xfId="1"/>
    <cellStyle name="Normal 2 2" xfId="17"/>
    <cellStyle name="Normal 3" xfId="7"/>
    <cellStyle name="Normal 4" xfId="4"/>
    <cellStyle name="Normal 5" xfId="18"/>
    <cellStyle name="Percent 2" xfId="19"/>
    <cellStyle name="Percent 2 2" xfId="20"/>
    <cellStyle name="Percent 3" xfId="21"/>
    <cellStyle name="WordWrap" xfId="2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as/Desktop/GiveWell/Cost%20Effectiveness%20Comparis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icholas/Downloads/GiveWellInterimCEAofNoLeanSeason-July2016-CleanAfterVe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Value of saved lives per age"/>
      <sheetName val="Results"/>
      <sheetName val="Parameters"/>
      <sheetName val="Sources"/>
      <sheetName val="Bednets"/>
      <sheetName val="Deworming"/>
      <sheetName val="Cash"/>
      <sheetName val="Folic Acid CEA"/>
      <sheetName val="Folic Acid Parameters"/>
      <sheetName val="NLS CEA"/>
      <sheetName val="NLS Parameters"/>
      <sheetName val="Hydrocele and lymphedema"/>
      <sheetName val="Prevalence of microfilaremia"/>
      <sheetName val="VMMC CEA"/>
      <sheetName val="VMMC Extraction + calcs"/>
      <sheetName val="HIV Modelling"/>
      <sheetName val="Single application"/>
      <sheetName val="Multiple application"/>
      <sheetName val="Chlorhexidine Parameters"/>
      <sheetName val="Evidence Calculations"/>
      <sheetName val="Zusha!"/>
      <sheetName val="NI CEA"/>
      <sheetName val="NI sources"/>
      <sheetName val="NI case averted to life saved"/>
      <sheetName val="Roof ROI calculations"/>
      <sheetName val="Bednets-IR"/>
      <sheetName val="Intensity of worms"/>
      <sheetName val="YLL per death"/>
      <sheetName val="GW medians"/>
      <sheetName val="Elie"/>
      <sheetName val="Natalie"/>
      <sheetName val="Josh"/>
      <sheetName val="Tim"/>
      <sheetName val="Rebecca"/>
      <sheetName val="Andrew"/>
      <sheetName val="Emma"/>
      <sheetName val="Leon"/>
      <sheetName val="Sophie"/>
      <sheetName val="Sarah"/>
      <sheetName val="Model"/>
      <sheetName val="2015 Model"/>
      <sheetName val="2014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5">
          <cell r="C5">
            <v>0.05</v>
          </cell>
          <cell r="R5">
            <v>0.1658</v>
          </cell>
        </row>
        <row r="6">
          <cell r="C6">
            <v>0.04</v>
          </cell>
        </row>
        <row r="9">
          <cell r="R9">
            <v>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Parameters"/>
      <sheetName val="Sources"/>
      <sheetName val="Bednets"/>
      <sheetName val="Bednets-IR"/>
      <sheetName val="Intensity of worms"/>
      <sheetName val="YLL per death"/>
      <sheetName val="GW medians"/>
      <sheetName val="Elie"/>
      <sheetName val="Natalie"/>
      <sheetName val="Josh"/>
      <sheetName val="Tim"/>
      <sheetName val="Rebecca"/>
      <sheetName val="Andrew"/>
      <sheetName val="Emma"/>
      <sheetName val="Leon"/>
      <sheetName val="Sophie"/>
      <sheetName val="Sarah"/>
      <sheetName val="Model"/>
      <sheetName val="2015 Model"/>
      <sheetName val="2014 model"/>
      <sheetName val="NLS CEA"/>
      <sheetName val="NLS Parameters"/>
    </sheetNames>
    <sheetDataSet>
      <sheetData sheetId="0"/>
      <sheetData sheetId="1">
        <row r="17">
          <cell r="U17">
            <v>4.2500000000000003E-2</v>
          </cell>
        </row>
      </sheetData>
      <sheetData sheetId="2">
        <row r="27">
          <cell r="D27">
            <v>0.26900000000000002</v>
          </cell>
        </row>
      </sheetData>
      <sheetData sheetId="3"/>
      <sheetData sheetId="4"/>
      <sheetData sheetId="5"/>
      <sheetData sheetId="6"/>
      <sheetData sheetId="7">
        <row r="5">
          <cell r="C5">
            <v>0.05</v>
          </cell>
        </row>
        <row r="6">
          <cell r="C6">
            <v>0.04</v>
          </cell>
        </row>
      </sheetData>
      <sheetData sheetId="8">
        <row r="19">
          <cell r="D19">
            <v>0.82799999999999996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5">
          <cell r="E65">
            <v>23.186040749999997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
  <sheetViews>
    <sheetView tabSelected="1" workbookViewId="0">
      <selection activeCell="A2" sqref="A2"/>
    </sheetView>
  </sheetViews>
  <sheetFormatPr defaultColWidth="14.5" defaultRowHeight="15.75" customHeight="1"/>
  <cols>
    <col min="1" max="1" width="48.875" style="2" customWidth="1"/>
    <col min="2" max="2" width="73.125" style="2" customWidth="1"/>
    <col min="3" max="4" width="14.5" style="2"/>
    <col min="5" max="5" width="8.375" style="3" customWidth="1"/>
    <col min="6" max="6" width="11.375" style="3" customWidth="1"/>
    <col min="7" max="7" width="11.5" style="3" customWidth="1"/>
    <col min="8" max="16384" width="14.5" style="2"/>
  </cols>
  <sheetData>
    <row r="1" spans="1:7" ht="24" customHeight="1">
      <c r="A1" s="1" t="s">
        <v>0</v>
      </c>
    </row>
    <row r="2" spans="1:7" ht="78.95" customHeight="1">
      <c r="A2" s="4"/>
      <c r="B2" s="4" t="s">
        <v>1</v>
      </c>
      <c r="C2" s="4" t="s">
        <v>2</v>
      </c>
      <c r="D2" s="5" t="s">
        <v>3</v>
      </c>
      <c r="E2" s="6" t="s">
        <v>4</v>
      </c>
      <c r="F2" s="6" t="s">
        <v>5</v>
      </c>
      <c r="G2" s="6" t="s">
        <v>6</v>
      </c>
    </row>
    <row r="3" spans="1:7" ht="15.75" customHeight="1">
      <c r="A3" s="4" t="s">
        <v>7</v>
      </c>
    </row>
    <row r="4" spans="1:7" ht="15.75" customHeight="1">
      <c r="A4" s="7" t="s">
        <v>8</v>
      </c>
      <c r="B4" s="7" t="s">
        <v>9</v>
      </c>
      <c r="C4" s="8">
        <v>160</v>
      </c>
      <c r="D4" s="8"/>
      <c r="E4" s="9"/>
    </row>
    <row r="5" spans="1:7" ht="15.75" customHeight="1">
      <c r="A5" s="7" t="s">
        <v>10</v>
      </c>
      <c r="B5" s="7" t="s">
        <v>11</v>
      </c>
      <c r="C5" s="8">
        <f>C4*10000</f>
        <v>1600000</v>
      </c>
      <c r="D5" s="8"/>
      <c r="E5" s="9"/>
    </row>
    <row r="6" spans="1:7" ht="15" customHeight="1">
      <c r="A6" s="7" t="s">
        <v>12</v>
      </c>
      <c r="B6" s="7" t="s">
        <v>166</v>
      </c>
      <c r="C6" s="8">
        <f>C5*'VMMC Extraction + calcs'!B57</f>
        <v>129128.02228412255</v>
      </c>
      <c r="D6" s="8"/>
      <c r="E6" s="9"/>
    </row>
    <row r="7" spans="1:7" ht="15.75" customHeight="1">
      <c r="A7" s="7" t="s">
        <v>13</v>
      </c>
      <c r="B7" s="7" t="s">
        <v>11</v>
      </c>
      <c r="C7" s="8">
        <f>C5+C6</f>
        <v>1729128.0222841226</v>
      </c>
      <c r="D7" s="8"/>
      <c r="E7" s="9"/>
    </row>
    <row r="8" spans="1:7" ht="15.75" customHeight="1">
      <c r="A8" s="7" t="s">
        <v>14</v>
      </c>
      <c r="B8" s="7" t="s">
        <v>163</v>
      </c>
      <c r="C8" s="10">
        <f>(0.038+0.036)/2*10000</f>
        <v>370</v>
      </c>
      <c r="D8" s="11">
        <f>C7/C8</f>
        <v>4673.3189791462773</v>
      </c>
      <c r="E8" s="9">
        <f>10000/C8</f>
        <v>27.027027027027028</v>
      </c>
      <c r="F8" s="3">
        <v>-200</v>
      </c>
      <c r="G8" s="3">
        <f>E8/F8</f>
        <v>-0.13513513513513514</v>
      </c>
    </row>
    <row r="9" spans="1:7" ht="15.75" customHeight="1">
      <c r="A9" s="7"/>
      <c r="C9" s="12"/>
      <c r="D9" s="12"/>
    </row>
    <row r="10" spans="1:7" ht="15.75" customHeight="1">
      <c r="A10" s="4" t="s">
        <v>15</v>
      </c>
      <c r="C10" s="12"/>
      <c r="D10" s="12"/>
    </row>
    <row r="11" spans="1:7" ht="15.75" customHeight="1">
      <c r="A11" s="7" t="s">
        <v>16</v>
      </c>
      <c r="B11" s="2" t="s">
        <v>17</v>
      </c>
      <c r="C11" s="13">
        <f>'HIV Modelling'!I24</f>
        <v>185.70463907387546</v>
      </c>
      <c r="D11" s="13"/>
      <c r="E11" s="9"/>
    </row>
    <row r="12" spans="1:7" ht="15.75" customHeight="1">
      <c r="A12" s="7" t="s">
        <v>18</v>
      </c>
      <c r="B12" s="2" t="s">
        <v>17</v>
      </c>
      <c r="C12" s="12">
        <f>'HIV Modelling'!I25</f>
        <v>150.42075764983915</v>
      </c>
      <c r="D12" s="12"/>
      <c r="E12" s="9"/>
    </row>
    <row r="13" spans="1:7" ht="15.75" customHeight="1">
      <c r="A13" s="7" t="s">
        <v>19</v>
      </c>
      <c r="B13" s="2" t="s">
        <v>164</v>
      </c>
      <c r="C13" s="14">
        <f>(1-'VMMC Extraction + calcs'!E96)*1.3</f>
        <v>0.3962914516490913</v>
      </c>
      <c r="D13" s="12"/>
      <c r="E13" s="9"/>
    </row>
    <row r="14" spans="1:7" ht="15.75" customHeight="1">
      <c r="A14" s="7" t="s">
        <v>20</v>
      </c>
      <c r="B14" s="2" t="s">
        <v>165</v>
      </c>
      <c r="C14" s="15">
        <f>(1-C13)*0.5</f>
        <v>0.30185427417545435</v>
      </c>
      <c r="D14" s="16"/>
      <c r="E14" s="9"/>
    </row>
    <row r="15" spans="1:7" ht="15.75" customHeight="1">
      <c r="A15" s="2" t="s">
        <v>21</v>
      </c>
      <c r="B15" s="7" t="s">
        <v>11</v>
      </c>
      <c r="C15" s="13">
        <f>10000/C11</f>
        <v>53.848950946356723</v>
      </c>
      <c r="D15" s="13"/>
    </row>
    <row r="16" spans="1:7" ht="15.75" customHeight="1">
      <c r="A16" s="7" t="s">
        <v>22</v>
      </c>
      <c r="B16" s="7" t="s">
        <v>11</v>
      </c>
      <c r="C16" s="17">
        <f>C8/C11</f>
        <v>1.9924111850151989</v>
      </c>
      <c r="D16" s="17"/>
    </row>
    <row r="17" spans="1:7" ht="15.75" customHeight="1">
      <c r="A17" s="7" t="s">
        <v>23</v>
      </c>
      <c r="B17" s="2" t="s">
        <v>24</v>
      </c>
      <c r="C17" s="18">
        <v>7.8E-2</v>
      </c>
      <c r="D17" s="17"/>
    </row>
    <row r="18" spans="1:7" ht="15.75" customHeight="1">
      <c r="A18" s="7" t="s">
        <v>25</v>
      </c>
      <c r="B18" s="2" t="s">
        <v>26</v>
      </c>
      <c r="C18" s="18">
        <f>(0.274+0.582)/2</f>
        <v>0.42799999999999999</v>
      </c>
      <c r="D18" s="17"/>
    </row>
    <row r="19" spans="1:7" ht="15.75" customHeight="1">
      <c r="A19" s="7" t="s">
        <v>27</v>
      </c>
      <c r="B19" s="7" t="s">
        <v>28</v>
      </c>
      <c r="C19" s="10">
        <v>10</v>
      </c>
      <c r="D19" s="17"/>
    </row>
    <row r="20" spans="1:7" ht="15.75" customHeight="1">
      <c r="B20" s="7"/>
      <c r="D20" s="8"/>
    </row>
    <row r="21" spans="1:7" ht="15.75" customHeight="1">
      <c r="A21" s="4" t="s">
        <v>29</v>
      </c>
      <c r="B21" s="7" t="s">
        <v>11</v>
      </c>
      <c r="C21" s="8"/>
      <c r="D21" s="19">
        <f>$C$7/C12</f>
        <v>11495.275315055373</v>
      </c>
    </row>
    <row r="22" spans="1:7" ht="15.75" customHeight="1">
      <c r="A22" s="4" t="s">
        <v>30</v>
      </c>
      <c r="B22" s="7" t="s">
        <v>11</v>
      </c>
      <c r="C22" s="8"/>
      <c r="D22" s="19">
        <f>D21/C13</f>
        <v>29007.124093189435</v>
      </c>
      <c r="E22" s="3">
        <f>10000/D22</f>
        <v>0.34474289722323398</v>
      </c>
      <c r="F22" s="3">
        <f>1/C17</f>
        <v>12.820512820512821</v>
      </c>
      <c r="G22" s="3">
        <f>E22/F22</f>
        <v>2.6889945983412249E-2</v>
      </c>
    </row>
    <row r="23" spans="1:7" ht="15.75" customHeight="1">
      <c r="A23" s="4" t="s">
        <v>31</v>
      </c>
      <c r="B23" s="7" t="s">
        <v>11</v>
      </c>
      <c r="C23" s="8"/>
      <c r="D23" s="19">
        <f>D21/(1-C14-C13)</f>
        <v>38082.201573775586</v>
      </c>
      <c r="E23" s="3">
        <f>10000/D23</f>
        <v>0.26258986053175731</v>
      </c>
      <c r="F23" s="3">
        <f>1/C18</f>
        <v>2.3364485981308412</v>
      </c>
      <c r="G23" s="3">
        <f>E23/F23</f>
        <v>0.11238846030759213</v>
      </c>
    </row>
    <row r="24" spans="1:7" ht="15.75" customHeight="1">
      <c r="A24" s="4" t="s">
        <v>32</v>
      </c>
      <c r="B24" s="7" t="s">
        <v>11</v>
      </c>
      <c r="C24" s="8"/>
      <c r="D24" s="19">
        <f>D21/C14</f>
        <v>38082.201573775579</v>
      </c>
      <c r="E24" s="3">
        <f>10000/D24</f>
        <v>0.26258986053175737</v>
      </c>
      <c r="G24" s="3">
        <f>E24</f>
        <v>0.26258986053175737</v>
      </c>
    </row>
    <row r="25" spans="1:7" ht="15.75" customHeight="1">
      <c r="A25" s="7"/>
      <c r="B25" s="7"/>
      <c r="C25" s="12"/>
      <c r="D25" s="12"/>
    </row>
    <row r="26" spans="1:7" ht="15.75" customHeight="1">
      <c r="A26" s="4" t="s">
        <v>33</v>
      </c>
      <c r="C26" s="12"/>
      <c r="D26" s="12"/>
      <c r="E26" s="9"/>
    </row>
    <row r="27" spans="1:7" ht="15.75" customHeight="1">
      <c r="A27" s="7" t="s">
        <v>34</v>
      </c>
      <c r="B27" s="7" t="s">
        <v>35</v>
      </c>
      <c r="C27" s="16">
        <f>C31*(100)*(10000/100)</f>
        <v>2689.9999999999995</v>
      </c>
      <c r="D27" s="16"/>
      <c r="E27" s="9"/>
    </row>
    <row r="28" spans="1:7" ht="15.75" customHeight="1">
      <c r="A28" s="7" t="s">
        <v>36</v>
      </c>
      <c r="B28" s="7" t="s">
        <v>37</v>
      </c>
      <c r="C28" s="16">
        <v>0.7</v>
      </c>
      <c r="D28" s="16"/>
      <c r="E28" s="9"/>
    </row>
    <row r="29" spans="1:7" ht="15.75" customHeight="1">
      <c r="A29" s="7" t="s">
        <v>38</v>
      </c>
      <c r="B29" s="7" t="s">
        <v>11</v>
      </c>
      <c r="C29" s="12">
        <f>C28*C27</f>
        <v>1882.9999999999995</v>
      </c>
      <c r="D29" s="12"/>
    </row>
    <row r="30" spans="1:7" ht="15.75" customHeight="1">
      <c r="A30" s="7" t="s">
        <v>39</v>
      </c>
      <c r="B30" s="7" t="s">
        <v>11</v>
      </c>
      <c r="C30" s="16">
        <f>C27-C29</f>
        <v>807</v>
      </c>
      <c r="D30" s="16"/>
    </row>
    <row r="31" spans="1:7" ht="15.75" customHeight="1">
      <c r="A31" s="7" t="s">
        <v>40</v>
      </c>
      <c r="B31" s="7" t="s">
        <v>35</v>
      </c>
      <c r="C31" s="16">
        <f>26.9/100</f>
        <v>0.26899999999999996</v>
      </c>
      <c r="D31" s="16"/>
    </row>
    <row r="32" spans="1:7" ht="15.75" customHeight="1">
      <c r="A32" s="7" t="s">
        <v>41</v>
      </c>
      <c r="B32" s="7" t="s">
        <v>42</v>
      </c>
      <c r="C32" s="12">
        <f>207/100000</f>
        <v>2.0699999999999998E-3</v>
      </c>
      <c r="D32" s="12"/>
    </row>
    <row r="33" spans="1:7" ht="15.75" customHeight="1">
      <c r="A33" s="7" t="s">
        <v>43</v>
      </c>
      <c r="B33" s="7" t="s">
        <v>11</v>
      </c>
      <c r="C33" s="12">
        <f>C32/C31</f>
        <v>7.6951672862453531E-3</v>
      </c>
      <c r="D33" s="12"/>
    </row>
    <row r="34" spans="1:7" ht="15.75" customHeight="1">
      <c r="A34" s="7" t="s">
        <v>44</v>
      </c>
      <c r="B34" s="7" t="s">
        <v>11</v>
      </c>
      <c r="C34" s="12">
        <f>C33*C30</f>
        <v>6.21</v>
      </c>
      <c r="D34" s="12"/>
    </row>
    <row r="35" spans="1:7" s="95" customFormat="1" ht="15.75" customHeight="1">
      <c r="A35" s="91" t="s">
        <v>45</v>
      </c>
      <c r="B35" s="91"/>
      <c r="C35" s="92">
        <v>0.04</v>
      </c>
      <c r="D35" s="93"/>
      <c r="E35" s="94"/>
      <c r="F35" s="94"/>
      <c r="G35" s="94"/>
    </row>
    <row r="36" spans="1:7" ht="15.75" customHeight="1">
      <c r="A36" s="91" t="s">
        <v>46</v>
      </c>
      <c r="B36" s="7" t="s">
        <v>11</v>
      </c>
      <c r="C36" s="93">
        <f>C34*(1-1/(1+C35)^20)/(1-1/(1+C35))</f>
        <v>87.771763666339183</v>
      </c>
      <c r="D36" s="12"/>
    </row>
    <row r="37" spans="1:7" ht="15.75" customHeight="1">
      <c r="A37" s="7" t="s">
        <v>47</v>
      </c>
      <c r="B37" s="7" t="s">
        <v>48</v>
      </c>
      <c r="C37" s="12">
        <v>0.7</v>
      </c>
      <c r="D37" s="12"/>
    </row>
    <row r="38" spans="1:7" ht="15.75" customHeight="1">
      <c r="A38" s="7" t="s">
        <v>49</v>
      </c>
      <c r="B38" s="7" t="s">
        <v>48</v>
      </c>
      <c r="C38" s="12">
        <f>0.8*0.8*0.8</f>
        <v>0.51200000000000012</v>
      </c>
      <c r="D38" s="12"/>
    </row>
    <row r="39" spans="1:7" ht="15.75" customHeight="1">
      <c r="A39" s="20" t="s">
        <v>50</v>
      </c>
      <c r="B39" s="7" t="s">
        <v>11</v>
      </c>
      <c r="C39" s="12">
        <f>C36*C38*C37</f>
        <v>31.45740009801597</v>
      </c>
      <c r="D39" s="12"/>
    </row>
    <row r="40" spans="1:7" ht="15.75" customHeight="1">
      <c r="A40" s="20"/>
      <c r="B40" s="7"/>
      <c r="C40" s="12"/>
      <c r="D40" s="12"/>
    </row>
    <row r="41" spans="1:7" ht="15.75" customHeight="1">
      <c r="A41" s="7" t="s">
        <v>51</v>
      </c>
      <c r="B41" s="2" t="s">
        <v>24</v>
      </c>
      <c r="C41" s="12">
        <v>0.28799999999999998</v>
      </c>
      <c r="D41" s="12"/>
    </row>
    <row r="42" spans="1:7" ht="15.75" customHeight="1">
      <c r="A42" s="7" t="s">
        <v>52</v>
      </c>
      <c r="B42" s="7" t="s">
        <v>53</v>
      </c>
      <c r="C42" s="12">
        <f>'VMMC Extraction + calcs'!D85</f>
        <v>0.7651693320790216</v>
      </c>
      <c r="D42" s="12"/>
      <c r="E42" s="9"/>
    </row>
    <row r="43" spans="1:7" ht="15.75" customHeight="1">
      <c r="A43" s="20" t="s">
        <v>54</v>
      </c>
      <c r="B43" s="7" t="s">
        <v>11</v>
      </c>
      <c r="C43" s="12">
        <f>C39*C42</f>
        <v>24.070237821941429</v>
      </c>
      <c r="D43" s="12"/>
    </row>
    <row r="44" spans="1:7" ht="15.75" customHeight="1">
      <c r="A44" s="20"/>
      <c r="B44" s="7"/>
      <c r="C44" s="12"/>
      <c r="D44" s="12"/>
    </row>
    <row r="45" spans="1:7" ht="15.75" customHeight="1">
      <c r="A45" s="4" t="s">
        <v>55</v>
      </c>
      <c r="B45" s="7" t="s">
        <v>11</v>
      </c>
      <c r="C45" s="21"/>
      <c r="D45" s="22">
        <f>C7/C39</f>
        <v>54967.289632851105</v>
      </c>
    </row>
    <row r="46" spans="1:7" ht="15.75" customHeight="1">
      <c r="A46" s="23" t="s">
        <v>56</v>
      </c>
      <c r="B46" s="7" t="s">
        <v>11</v>
      </c>
      <c r="C46" s="19"/>
      <c r="D46" s="24">
        <f>D45/(1-C42)</f>
        <v>234072.02355421419</v>
      </c>
      <c r="E46" s="3">
        <f>10000/D46</f>
        <v>4.2721893236779176E-2</v>
      </c>
      <c r="F46" s="3">
        <f>1/C41</f>
        <v>3.4722222222222223</v>
      </c>
      <c r="G46" s="3">
        <f>E46/F46</f>
        <v>1.2303905252192403E-2</v>
      </c>
    </row>
    <row r="47" spans="1:7" ht="15.75" customHeight="1">
      <c r="A47" s="4" t="s">
        <v>57</v>
      </c>
      <c r="B47" s="7" t="s">
        <v>11</v>
      </c>
      <c r="C47" s="19"/>
      <c r="D47" s="22">
        <f>C7/C43</f>
        <v>71836.76518176822</v>
      </c>
      <c r="E47" s="3">
        <f>10000/D47</f>
        <v>0.13920448637542418</v>
      </c>
      <c r="G47" s="3">
        <f>E47</f>
        <v>0.13920448637542418</v>
      </c>
    </row>
    <row r="48" spans="1:7" ht="15.75" customHeight="1" thickBot="1">
      <c r="A48" s="4"/>
      <c r="C48" s="19"/>
      <c r="D48" s="22"/>
      <c r="G48" s="25">
        <f>SUM(G4:G47)</f>
        <v>0.41824152331524311</v>
      </c>
    </row>
    <row r="49" spans="1:4" ht="15.75" customHeight="1" thickTop="1">
      <c r="A49" s="4" t="s">
        <v>58</v>
      </c>
      <c r="B49" s="7" t="s">
        <v>11</v>
      </c>
      <c r="C49" s="19"/>
      <c r="D49" s="22">
        <f>10000/G48</f>
        <v>23909.629825211432</v>
      </c>
    </row>
    <row r="51" spans="1:4" s="3" customFormat="1" ht="15.75" customHeight="1">
      <c r="A51" s="4" t="s">
        <v>59</v>
      </c>
      <c r="B51" s="7"/>
      <c r="C51" s="26"/>
      <c r="D51" s="26"/>
    </row>
    <row r="52" spans="1:4" s="3" customFormat="1" ht="15.75" customHeight="1">
      <c r="A52" s="7" t="s">
        <v>60</v>
      </c>
      <c r="B52" s="7" t="s">
        <v>61</v>
      </c>
      <c r="C52" s="26"/>
      <c r="D52" s="26"/>
    </row>
    <row r="53" spans="1:4" s="3" customFormat="1" ht="15.75" customHeight="1">
      <c r="A53" s="7" t="s">
        <v>62</v>
      </c>
      <c r="B53" s="7" t="s">
        <v>63</v>
      </c>
      <c r="C53" s="27"/>
      <c r="D53" s="27"/>
    </row>
    <row r="54" spans="1:4" s="3" customFormat="1" ht="15.75" customHeight="1">
      <c r="A54" s="7" t="s">
        <v>64</v>
      </c>
      <c r="B54" s="7" t="s">
        <v>65</v>
      </c>
      <c r="C54" s="27"/>
      <c r="D54" s="27"/>
    </row>
    <row r="55" spans="1:4" s="3" customFormat="1" ht="15.75" customHeight="1">
      <c r="A55" s="2"/>
      <c r="B55" s="28"/>
      <c r="C55" s="2"/>
      <c r="D55" s="2"/>
    </row>
    <row r="56" spans="1:4" s="3" customFormat="1" ht="15.75" customHeight="1">
      <c r="A56" s="23" t="s">
        <v>66</v>
      </c>
      <c r="B56" s="28"/>
      <c r="C56" s="2"/>
      <c r="D56" s="2"/>
    </row>
    <row r="57" spans="1:4" s="3" customFormat="1" ht="15.75" customHeight="1">
      <c r="A57" s="7" t="s">
        <v>67</v>
      </c>
      <c r="B57" s="28"/>
      <c r="C57" s="2"/>
      <c r="D57" s="2"/>
    </row>
    <row r="58" spans="1:4" s="3" customFormat="1" ht="15.75" customHeight="1">
      <c r="A58" s="7" t="s">
        <v>68</v>
      </c>
      <c r="B58" s="2"/>
      <c r="C58" s="2"/>
      <c r="D58" s="2"/>
    </row>
    <row r="59" spans="1:4" s="3" customFormat="1" ht="15.75" customHeight="1">
      <c r="A59" s="7" t="s">
        <v>69</v>
      </c>
      <c r="B59" s="2"/>
      <c r="C59" s="2"/>
      <c r="D59" s="2"/>
    </row>
    <row r="82" spans="1:2" ht="15.75" customHeight="1">
      <c r="A82" s="29"/>
      <c r="B82" s="29"/>
    </row>
    <row r="84" spans="1:2" ht="15.75" customHeight="1">
      <c r="A84" s="29"/>
    </row>
  </sheetData>
  <pageMargins left="0.7" right="0.7" top="0.75" bottom="0.75" header="0.3" footer="0.3"/>
  <pageSetup orientation="portrait" horizontalDpi="4294967292" verticalDpi="429496729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pane xSplit="1" topLeftCell="B1" activePane="topRight" state="frozen"/>
      <selection activeCell="E30" sqref="E30"/>
      <selection pane="topRight" activeCell="E30" sqref="E30"/>
    </sheetView>
  </sheetViews>
  <sheetFormatPr defaultColWidth="14.5" defaultRowHeight="15.75" customHeight="1"/>
  <cols>
    <col min="1" max="1" width="17" style="2" customWidth="1"/>
    <col min="2" max="2" width="17.5" style="2" customWidth="1"/>
    <col min="3" max="3" width="24.375" style="2" customWidth="1"/>
    <col min="4" max="4" width="23.125" style="2" customWidth="1"/>
    <col min="5" max="5" width="14.5" style="2"/>
    <col min="6" max="6" width="24.125" style="2" customWidth="1"/>
    <col min="7" max="7" width="19.5" style="2" customWidth="1"/>
    <col min="8" max="8" width="19" style="2" customWidth="1"/>
    <col min="9" max="16384" width="14.5" style="2"/>
  </cols>
  <sheetData>
    <row r="1" spans="1:7" ht="15.75" customHeight="1">
      <c r="A1" s="4" t="s">
        <v>70</v>
      </c>
    </row>
    <row r="2" spans="1:7" ht="15.75" customHeight="1">
      <c r="A2" s="96" t="s">
        <v>71</v>
      </c>
      <c r="B2" s="96"/>
      <c r="C2" s="96"/>
      <c r="D2" s="96"/>
      <c r="E2" s="96"/>
      <c r="F2" s="96"/>
      <c r="G2" s="96"/>
    </row>
    <row r="3" spans="1:7" ht="15.75" customHeight="1">
      <c r="A3" s="30" t="s">
        <v>72</v>
      </c>
      <c r="B3" s="30" t="s">
        <v>73</v>
      </c>
    </row>
    <row r="4" spans="1:7" ht="15.75" customHeight="1">
      <c r="A4" s="23" t="s">
        <v>74</v>
      </c>
      <c r="B4" s="23">
        <v>2011</v>
      </c>
      <c r="C4" s="23">
        <v>2012</v>
      </c>
      <c r="D4" s="23">
        <v>2013</v>
      </c>
      <c r="E4" s="23">
        <v>2014</v>
      </c>
    </row>
    <row r="5" spans="1:7" ht="15.75" customHeight="1">
      <c r="A5" s="4" t="s">
        <v>75</v>
      </c>
      <c r="B5" s="31">
        <v>1.5699999999999999E-2</v>
      </c>
      <c r="C5" s="31">
        <v>1.5699999999999999E-2</v>
      </c>
      <c r="D5" s="31">
        <v>1.46E-2</v>
      </c>
      <c r="E5" s="31">
        <f>1.4/100</f>
        <v>1.3999999999999999E-2</v>
      </c>
    </row>
    <row r="6" spans="1:7" ht="15.75" customHeight="1">
      <c r="A6" s="4" t="s">
        <v>76</v>
      </c>
      <c r="B6" s="31">
        <v>0</v>
      </c>
      <c r="C6" s="31">
        <v>0</v>
      </c>
      <c r="D6" s="31">
        <v>0</v>
      </c>
      <c r="E6" s="31">
        <v>0</v>
      </c>
    </row>
    <row r="7" spans="1:7" ht="15.75" customHeight="1">
      <c r="A7" s="4" t="s">
        <v>77</v>
      </c>
      <c r="B7" s="31">
        <v>2.5999999999999999E-3</v>
      </c>
      <c r="C7" s="31">
        <v>2.5000000000000001E-3</v>
      </c>
      <c r="D7" s="31">
        <v>2.3999999999999998E-3</v>
      </c>
      <c r="E7" s="31">
        <f>0.23/100</f>
        <v>2.3E-3</v>
      </c>
    </row>
    <row r="8" spans="1:7" ht="15.75" customHeight="1">
      <c r="A8" s="4" t="s">
        <v>78</v>
      </c>
      <c r="B8" s="31">
        <v>2.1399999999999999E-2</v>
      </c>
      <c r="C8" s="31">
        <v>2.1000000000000001E-2</v>
      </c>
      <c r="D8" s="31">
        <v>2.06E-2</v>
      </c>
      <c r="E8" s="31">
        <f>2.01/100</f>
        <v>2.0099999999999996E-2</v>
      </c>
    </row>
    <row r="9" spans="1:7" ht="15.75" customHeight="1">
      <c r="A9" s="4" t="s">
        <v>79</v>
      </c>
      <c r="B9" s="31">
        <v>6.6E-3</v>
      </c>
      <c r="C9" s="31">
        <v>5.7999999999999996E-3</v>
      </c>
      <c r="D9" s="31">
        <v>5.1000000000000004E-3</v>
      </c>
      <c r="E9" s="31">
        <f>0.45/100</f>
        <v>4.5000000000000005E-3</v>
      </c>
    </row>
    <row r="10" spans="1:7" ht="15.75" customHeight="1">
      <c r="A10" s="4" t="s">
        <v>80</v>
      </c>
      <c r="B10" s="31">
        <v>8.8000000000000005E-3</v>
      </c>
      <c r="C10" s="31">
        <v>8.3999999999999995E-3</v>
      </c>
      <c r="D10" s="31">
        <v>8.0999999999999996E-3</v>
      </c>
      <c r="E10" s="31">
        <f>0.74/100</f>
        <v>7.4000000000000003E-3</v>
      </c>
    </row>
    <row r="11" spans="1:7" ht="15.75" customHeight="1">
      <c r="A11" s="4" t="s">
        <v>81</v>
      </c>
      <c r="B11" s="31">
        <v>1.03E-2</v>
      </c>
      <c r="C11" s="31">
        <v>9.5999999999999992E-3</v>
      </c>
      <c r="D11" s="31">
        <v>9.2999999999999992E-3</v>
      </c>
      <c r="E11" s="31">
        <f>0.91/100</f>
        <v>9.1000000000000004E-3</v>
      </c>
    </row>
    <row r="12" spans="1:7" ht="15.75" customHeight="1">
      <c r="A12" s="4" t="s">
        <v>82</v>
      </c>
      <c r="B12" s="31">
        <v>1.1999999999999999E-3</v>
      </c>
      <c r="C12" s="31">
        <v>1.1999999999999999E-3</v>
      </c>
      <c r="D12" s="31">
        <v>1.1999999999999999E-3</v>
      </c>
      <c r="E12" s="31">
        <f>0.11/100</f>
        <v>1.1000000000000001E-3</v>
      </c>
    </row>
    <row r="13" spans="1:7" ht="15.75" customHeight="1">
      <c r="A13" s="4" t="s">
        <v>83</v>
      </c>
      <c r="B13" s="31">
        <v>1.54E-2</v>
      </c>
      <c r="C13" s="31">
        <v>1.44E-2</v>
      </c>
      <c r="D13" s="31">
        <v>1.32E-2</v>
      </c>
      <c r="E13" s="31">
        <f>1.27/100</f>
        <v>1.2699999999999999E-2</v>
      </c>
    </row>
    <row r="14" spans="1:7" ht="15.75" customHeight="1">
      <c r="A14" s="4" t="s">
        <v>84</v>
      </c>
      <c r="B14" s="31">
        <v>2.5100000000000001E-2</v>
      </c>
      <c r="C14" s="31">
        <v>2.3E-2</v>
      </c>
      <c r="D14" s="31">
        <v>2.1000000000000001E-2</v>
      </c>
      <c r="E14" s="31">
        <f>1.89/100</f>
        <v>1.89E-2</v>
      </c>
    </row>
    <row r="15" spans="1:7" ht="15.75" customHeight="1">
      <c r="A15" s="4" t="s">
        <v>85</v>
      </c>
      <c r="B15" s="31">
        <v>3.5999999999999999E-3</v>
      </c>
      <c r="C15" s="31">
        <v>3.3999999999999998E-3</v>
      </c>
      <c r="D15" s="31">
        <v>2.8999999999999998E-3</v>
      </c>
      <c r="E15" s="31">
        <f>0.26/100</f>
        <v>2.5999999999999999E-3</v>
      </c>
    </row>
    <row r="16" spans="1:7" ht="15.75" customHeight="1">
      <c r="A16" s="4" t="s">
        <v>86</v>
      </c>
      <c r="B16" s="31">
        <v>7.6E-3</v>
      </c>
      <c r="C16" s="31">
        <v>6.8999999999999999E-3</v>
      </c>
      <c r="D16" s="31">
        <v>6.4000000000000003E-3</v>
      </c>
      <c r="E16" s="31">
        <f>0.6/100</f>
        <v>6.0000000000000001E-3</v>
      </c>
    </row>
    <row r="17" spans="1:6" ht="15.75" customHeight="1">
      <c r="A17" s="4" t="s">
        <v>87</v>
      </c>
      <c r="B17" s="31">
        <v>9.2999999999999992E-3</v>
      </c>
      <c r="C17" s="31">
        <v>8.6999999999999994E-3</v>
      </c>
      <c r="D17" s="31">
        <v>8.0999999999999996E-3</v>
      </c>
      <c r="E17" s="31">
        <f>0.75/100</f>
        <v>7.4999999999999997E-3</v>
      </c>
    </row>
    <row r="18" spans="1:6" ht="15.75" customHeight="1">
      <c r="A18" s="4" t="s">
        <v>88</v>
      </c>
      <c r="B18" s="31">
        <v>1.21E-2</v>
      </c>
      <c r="C18" s="31">
        <v>1.0999999999999999E-2</v>
      </c>
      <c r="D18" s="31">
        <v>9.7999999999999997E-3</v>
      </c>
      <c r="E18" s="31">
        <f>0.92/100</f>
        <v>9.1999999999999998E-3</v>
      </c>
    </row>
    <row r="19" spans="1:6" ht="15.75" customHeight="1">
      <c r="A19" s="4" t="s">
        <v>89</v>
      </c>
      <c r="B19" s="32">
        <f>SUMPRODUCT(B5:B18,$C$26:$C$39)/SUM($C$26:$C$39)</f>
        <v>5.9726183844011141E-3</v>
      </c>
      <c r="C19" s="32">
        <f>SUMPRODUCT(C5:C18,$C$26:$C$39)/SUM($C$26:$C$39)</f>
        <v>5.5722562674094698E-3</v>
      </c>
      <c r="D19" s="32">
        <f>SUMPRODUCT(D5:D18,$C$26:$C$39)/SUM($C$26:$C$39)</f>
        <v>5.1267688022284116E-3</v>
      </c>
      <c r="E19" s="32">
        <f>SUMPRODUCT(E5:E18,$C$26:$C$39)/SUM($C$26:$C$39)</f>
        <v>4.8207242339832869E-3</v>
      </c>
    </row>
    <row r="20" spans="1:6" ht="15.75" customHeight="1">
      <c r="A20" s="4" t="s">
        <v>90</v>
      </c>
      <c r="B20" s="32"/>
      <c r="C20" s="32"/>
      <c r="D20" s="32"/>
      <c r="E20" s="32">
        <f>((E19/B19)^(1/3))-1</f>
        <v>-6.8929627302110497E-2</v>
      </c>
    </row>
    <row r="21" spans="1:6" ht="15.75" customHeight="1">
      <c r="A21" s="4"/>
      <c r="B21" s="32"/>
      <c r="C21" s="32"/>
      <c r="D21" s="32"/>
      <c r="E21" s="32"/>
    </row>
    <row r="22" spans="1:6" ht="15.75" customHeight="1">
      <c r="A22" s="4"/>
    </row>
    <row r="23" spans="1:6" ht="15.75" customHeight="1">
      <c r="A23" s="96" t="s">
        <v>91</v>
      </c>
      <c r="B23" s="96"/>
      <c r="C23" s="96"/>
      <c r="D23" s="96"/>
      <c r="E23" s="96"/>
      <c r="F23" s="96"/>
    </row>
    <row r="24" spans="1:6" ht="15.75" customHeight="1">
      <c r="A24" s="33" t="s">
        <v>92</v>
      </c>
      <c r="B24" s="34"/>
      <c r="C24" s="34"/>
      <c r="D24" s="34"/>
      <c r="E24" s="34"/>
    </row>
    <row r="25" spans="1:6" ht="15.75" customHeight="1">
      <c r="A25" s="35" t="s">
        <v>93</v>
      </c>
      <c r="B25" s="36">
        <v>2013</v>
      </c>
      <c r="C25" s="36" t="s">
        <v>94</v>
      </c>
      <c r="D25" s="36"/>
      <c r="E25" s="36"/>
    </row>
    <row r="26" spans="1:6" ht="15.75" customHeight="1">
      <c r="A26" s="36" t="s">
        <v>75</v>
      </c>
      <c r="B26" s="37" t="s">
        <v>95</v>
      </c>
      <c r="C26" s="37">
        <v>1.9</v>
      </c>
      <c r="D26" s="38"/>
      <c r="E26" s="38"/>
    </row>
    <row r="27" spans="1:6" ht="15.75" customHeight="1">
      <c r="A27" s="36" t="s">
        <v>96</v>
      </c>
      <c r="B27" s="37" t="s">
        <v>97</v>
      </c>
      <c r="C27" s="37">
        <v>89.2</v>
      </c>
      <c r="D27" s="38"/>
      <c r="E27" s="38"/>
    </row>
    <row r="28" spans="1:6" ht="15.75" customHeight="1">
      <c r="A28" s="36" t="s">
        <v>77</v>
      </c>
      <c r="B28" s="37" t="s">
        <v>98</v>
      </c>
      <c r="C28" s="37">
        <v>44.2</v>
      </c>
      <c r="D28" s="38"/>
      <c r="E28" s="38"/>
    </row>
    <row r="29" spans="1:6" ht="15.75" customHeight="1">
      <c r="A29" s="36" t="s">
        <v>78</v>
      </c>
      <c r="B29" s="37" t="s">
        <v>99</v>
      </c>
      <c r="C29" s="37">
        <v>2.2000000000000002</v>
      </c>
      <c r="D29" s="38"/>
      <c r="E29" s="38"/>
    </row>
    <row r="30" spans="1:6" ht="15.75" customHeight="1">
      <c r="A30" s="36" t="s">
        <v>79</v>
      </c>
      <c r="B30" s="37" t="s">
        <v>100</v>
      </c>
      <c r="C30" s="37">
        <v>16.3</v>
      </c>
      <c r="D30" s="38"/>
      <c r="E30" s="38"/>
    </row>
    <row r="31" spans="1:6" ht="15.75" customHeight="1">
      <c r="A31" s="36" t="s">
        <v>80</v>
      </c>
      <c r="B31" s="37" t="s">
        <v>101</v>
      </c>
      <c r="C31" s="37">
        <v>24.3</v>
      </c>
      <c r="D31" s="38"/>
      <c r="E31" s="38"/>
    </row>
    <row r="32" spans="1:6" ht="15.75" customHeight="1">
      <c r="A32" s="36" t="s">
        <v>81</v>
      </c>
      <c r="B32" s="37" t="s">
        <v>102</v>
      </c>
      <c r="C32" s="37">
        <v>2.4</v>
      </c>
      <c r="D32" s="38"/>
      <c r="E32" s="38"/>
    </row>
    <row r="33" spans="1:5" ht="15.75" customHeight="1">
      <c r="A33" s="36" t="s">
        <v>82</v>
      </c>
      <c r="B33" s="37" t="s">
        <v>103</v>
      </c>
      <c r="C33" s="37">
        <v>11.1</v>
      </c>
      <c r="D33" s="38"/>
      <c r="E33" s="38"/>
    </row>
    <row r="34" spans="1:5" ht="15.75" customHeight="1">
      <c r="A34" s="36" t="s">
        <v>83</v>
      </c>
      <c r="B34" s="37" t="s">
        <v>104</v>
      </c>
      <c r="C34" s="37">
        <v>53</v>
      </c>
      <c r="D34" s="38"/>
      <c r="E34" s="38"/>
    </row>
    <row r="35" spans="1:5" ht="15.75" customHeight="1">
      <c r="A35" s="36" t="s">
        <v>84</v>
      </c>
      <c r="B35" s="37" t="s">
        <v>105</v>
      </c>
      <c r="C35" s="37">
        <v>1.2</v>
      </c>
      <c r="D35" s="38"/>
      <c r="E35" s="38"/>
    </row>
    <row r="36" spans="1:5" ht="15.75" customHeight="1">
      <c r="A36" s="36" t="s">
        <v>85</v>
      </c>
      <c r="B36" s="37" t="s">
        <v>106</v>
      </c>
      <c r="C36" s="37">
        <v>49.1</v>
      </c>
      <c r="D36" s="38"/>
      <c r="E36" s="38"/>
    </row>
    <row r="37" spans="1:5" ht="15.75" customHeight="1">
      <c r="A37" s="36" t="s">
        <v>86</v>
      </c>
      <c r="B37" s="37" t="s">
        <v>107</v>
      </c>
      <c r="C37" s="37">
        <v>36.9</v>
      </c>
      <c r="D37" s="38"/>
      <c r="E37" s="38"/>
    </row>
    <row r="38" spans="1:5" ht="15.75" customHeight="1">
      <c r="A38" s="36" t="s">
        <v>87</v>
      </c>
      <c r="B38" s="37" t="s">
        <v>108</v>
      </c>
      <c r="C38" s="37">
        <v>14.2</v>
      </c>
      <c r="D38" s="38"/>
      <c r="E38" s="38"/>
    </row>
    <row r="39" spans="1:5" ht="15.75" customHeight="1">
      <c r="A39" s="36" t="s">
        <v>88</v>
      </c>
      <c r="B39" s="37" t="s">
        <v>109</v>
      </c>
      <c r="C39" s="37">
        <v>13</v>
      </c>
      <c r="D39" s="38"/>
      <c r="E39" s="38"/>
    </row>
    <row r="40" spans="1:5" ht="15.75" customHeight="1">
      <c r="A40" s="36"/>
      <c r="B40" s="38"/>
      <c r="C40" s="38"/>
      <c r="D40" s="38"/>
      <c r="E40" s="38"/>
    </row>
    <row r="41" spans="1:5" ht="15.75" customHeight="1">
      <c r="A41" s="35" t="s">
        <v>110</v>
      </c>
      <c r="B41" s="39"/>
      <c r="C41" s="39"/>
      <c r="D41" s="39"/>
      <c r="E41" s="39"/>
    </row>
    <row r="42" spans="1:5" ht="15.75" customHeight="1">
      <c r="A42" s="36"/>
      <c r="B42" s="36">
        <v>2013</v>
      </c>
      <c r="C42" s="40"/>
      <c r="D42" s="36"/>
      <c r="E42" s="36"/>
    </row>
    <row r="43" spans="1:5" ht="15.75" customHeight="1">
      <c r="A43" s="36" t="s">
        <v>75</v>
      </c>
      <c r="B43" s="41">
        <v>0.219</v>
      </c>
      <c r="C43" s="37">
        <v>1.9</v>
      </c>
      <c r="D43" s="38"/>
      <c r="E43" s="38"/>
    </row>
    <row r="44" spans="1:5" ht="15.75" customHeight="1">
      <c r="A44" s="36" t="s">
        <v>96</v>
      </c>
      <c r="B44" s="41">
        <v>1.2E-2</v>
      </c>
      <c r="C44" s="37">
        <v>89.2</v>
      </c>
      <c r="D44" s="38"/>
      <c r="E44" s="38"/>
    </row>
    <row r="45" spans="1:5" ht="15.75" customHeight="1">
      <c r="A45" s="36" t="s">
        <v>77</v>
      </c>
      <c r="B45" s="41">
        <v>0.06</v>
      </c>
      <c r="C45" s="37">
        <v>44.2</v>
      </c>
      <c r="D45" s="38"/>
      <c r="E45" s="38"/>
    </row>
    <row r="46" spans="1:5" ht="15.75" customHeight="1">
      <c r="A46" s="36" t="s">
        <v>78</v>
      </c>
      <c r="B46" s="41">
        <v>0.22900000000000001</v>
      </c>
      <c r="C46" s="37">
        <v>2.2000000000000002</v>
      </c>
      <c r="D46" s="38"/>
      <c r="E46" s="38"/>
    </row>
    <row r="47" spans="1:5" ht="15.75" customHeight="1">
      <c r="A47" s="36" t="s">
        <v>79</v>
      </c>
      <c r="B47" s="41">
        <v>0.10299999999999999</v>
      </c>
      <c r="C47" s="37">
        <v>16.3</v>
      </c>
      <c r="D47" s="38"/>
      <c r="E47" s="38"/>
    </row>
    <row r="48" spans="1:5" ht="15.75" customHeight="1">
      <c r="A48" s="36" t="s">
        <v>80</v>
      </c>
      <c r="B48" s="41">
        <v>0.108</v>
      </c>
      <c r="C48" s="37">
        <v>24.3</v>
      </c>
      <c r="D48" s="38"/>
      <c r="E48" s="38"/>
    </row>
    <row r="49" spans="1:8" ht="15.75" customHeight="1">
      <c r="A49" s="36" t="s">
        <v>81</v>
      </c>
      <c r="B49" s="41">
        <v>0.14299999999999999</v>
      </c>
      <c r="C49" s="37">
        <v>2.4</v>
      </c>
      <c r="D49" s="38"/>
      <c r="E49" s="38"/>
    </row>
    <row r="50" spans="1:8" ht="15.75" customHeight="1">
      <c r="A50" s="36" t="s">
        <v>82</v>
      </c>
      <c r="B50" s="41">
        <v>2.9000000000000001E-2</v>
      </c>
      <c r="C50" s="37">
        <v>11.1</v>
      </c>
      <c r="D50" s="38"/>
      <c r="E50" s="38"/>
    </row>
    <row r="51" spans="1:8" ht="15.75" customHeight="1">
      <c r="A51" s="36" t="s">
        <v>83</v>
      </c>
      <c r="B51" s="41">
        <v>0.191</v>
      </c>
      <c r="C51" s="37">
        <v>53</v>
      </c>
      <c r="D51" s="38"/>
      <c r="E51" s="38"/>
    </row>
    <row r="52" spans="1:8" ht="15.75" customHeight="1">
      <c r="A52" s="36" t="s">
        <v>84</v>
      </c>
      <c r="B52" s="41">
        <v>0.27400000000000002</v>
      </c>
      <c r="C52" s="37">
        <v>1.2</v>
      </c>
      <c r="D52" s="38"/>
      <c r="E52" s="38"/>
    </row>
    <row r="53" spans="1:8" ht="15.75" customHeight="1">
      <c r="A53" s="36" t="s">
        <v>85</v>
      </c>
      <c r="B53" s="41">
        <v>0.05</v>
      </c>
      <c r="C53" s="37">
        <v>49.1</v>
      </c>
      <c r="D53" s="38"/>
      <c r="E53" s="38"/>
    </row>
    <row r="54" spans="1:8" ht="15.75" customHeight="1">
      <c r="A54" s="36" t="s">
        <v>86</v>
      </c>
      <c r="B54" s="41">
        <v>7.3999999999999996E-2</v>
      </c>
      <c r="C54" s="37">
        <v>36.9</v>
      </c>
      <c r="D54" s="38"/>
      <c r="E54" s="38"/>
    </row>
    <row r="55" spans="1:8" ht="15.75" customHeight="1">
      <c r="A55" s="36" t="s">
        <v>87</v>
      </c>
      <c r="B55" s="41">
        <v>0.125</v>
      </c>
      <c r="C55" s="37">
        <v>14.2</v>
      </c>
      <c r="D55" s="38"/>
      <c r="E55" s="38"/>
    </row>
    <row r="56" spans="1:8" ht="15.75" customHeight="1">
      <c r="A56" s="36" t="s">
        <v>88</v>
      </c>
      <c r="B56" s="41">
        <v>0.15</v>
      </c>
      <c r="C56" s="37">
        <v>13</v>
      </c>
      <c r="D56" s="38"/>
      <c r="E56" s="38"/>
    </row>
    <row r="57" spans="1:8" ht="15.75" customHeight="1">
      <c r="A57" s="30" t="s">
        <v>111</v>
      </c>
      <c r="B57" s="42">
        <f>SUMPRODUCT(B43:B56,C43:C56)/SUM(C43:C56)</f>
        <v>8.0705013927576591E-2</v>
      </c>
      <c r="C57" s="23"/>
      <c r="D57" s="23"/>
      <c r="E57" s="23"/>
    </row>
    <row r="59" spans="1:8" ht="15.75" customHeight="1">
      <c r="A59" s="23" t="s">
        <v>112</v>
      </c>
    </row>
    <row r="60" spans="1:8" ht="15.75" customHeight="1">
      <c r="A60" s="97" t="s">
        <v>113</v>
      </c>
      <c r="B60" s="98"/>
      <c r="C60" s="98"/>
      <c r="D60" s="98"/>
      <c r="E60" s="98"/>
      <c r="F60" s="98"/>
      <c r="G60" s="98"/>
      <c r="H60" s="98"/>
    </row>
    <row r="61" spans="1:8" ht="15.75" customHeight="1">
      <c r="A61" s="43" t="s">
        <v>74</v>
      </c>
      <c r="B61" s="43" t="s">
        <v>114</v>
      </c>
      <c r="C61" s="44" t="s">
        <v>115</v>
      </c>
      <c r="D61" s="45" t="s">
        <v>116</v>
      </c>
      <c r="E61" s="45" t="s">
        <v>117</v>
      </c>
      <c r="F61" s="43" t="s">
        <v>118</v>
      </c>
      <c r="G61" s="43" t="s">
        <v>119</v>
      </c>
      <c r="H61" s="43" t="s">
        <v>120</v>
      </c>
    </row>
    <row r="62" spans="1:8" ht="15.75" customHeight="1">
      <c r="A62" s="46" t="s">
        <v>75</v>
      </c>
      <c r="B62" s="47">
        <v>2010</v>
      </c>
      <c r="C62" s="48">
        <v>232000.72</v>
      </c>
      <c r="D62" s="49">
        <v>0.30363600000000002</v>
      </c>
      <c r="E62" s="49">
        <v>0.35396100000000003</v>
      </c>
      <c r="F62" s="49">
        <v>2.8459897E-3</v>
      </c>
      <c r="G62" s="49">
        <v>-0.73961760999999993</v>
      </c>
      <c r="H62" s="47">
        <v>1</v>
      </c>
    </row>
    <row r="63" spans="1:8" ht="15.75" customHeight="1">
      <c r="A63" s="46" t="s">
        <v>96</v>
      </c>
      <c r="B63" s="47">
        <v>2010</v>
      </c>
      <c r="C63" s="48">
        <v>1317545.8</v>
      </c>
      <c r="D63" s="49">
        <v>2.9774700000000001E-2</v>
      </c>
      <c r="E63" s="49">
        <v>3.1069200000000002E-2</v>
      </c>
      <c r="F63" s="49">
        <v>1.6143793E-2</v>
      </c>
      <c r="G63" s="49">
        <v>-0.67556808000000002</v>
      </c>
      <c r="H63" s="47">
        <v>8</v>
      </c>
    </row>
    <row r="64" spans="1:8" ht="15.75" customHeight="1">
      <c r="A64" s="46" t="s">
        <v>77</v>
      </c>
      <c r="B64" s="47">
        <v>2010</v>
      </c>
      <c r="C64" s="48">
        <v>3000991</v>
      </c>
      <c r="D64" s="49">
        <v>0.15270500000000001</v>
      </c>
      <c r="E64" s="49">
        <v>0.180864</v>
      </c>
      <c r="F64" s="49">
        <v>3.6818720999999999E-2</v>
      </c>
      <c r="G64" s="49">
        <v>-0.53477704999999998</v>
      </c>
      <c r="H64" s="47">
        <v>1</v>
      </c>
    </row>
    <row r="65" spans="1:8" ht="15.75" customHeight="1">
      <c r="A65" s="46" t="s">
        <v>78</v>
      </c>
      <c r="B65" s="47">
        <v>2010</v>
      </c>
      <c r="C65" s="48">
        <v>680409.78</v>
      </c>
      <c r="D65" s="49">
        <v>0.32793800000000001</v>
      </c>
      <c r="E65" s="49">
        <v>0.33020899999999997</v>
      </c>
      <c r="F65" s="49">
        <v>8.3461609999999995E-3</v>
      </c>
      <c r="G65" s="49">
        <v>-0.26058787</v>
      </c>
      <c r="H65" s="47">
        <v>1</v>
      </c>
    </row>
    <row r="66" spans="1:8" ht="15.75" customHeight="1">
      <c r="A66" s="46" t="s">
        <v>80</v>
      </c>
      <c r="B66" s="47">
        <v>2010</v>
      </c>
      <c r="C66" s="48">
        <v>3853077.4</v>
      </c>
      <c r="D66" s="49">
        <v>0.195187</v>
      </c>
      <c r="E66" s="49">
        <v>0.216504</v>
      </c>
      <c r="F66" s="49">
        <v>4.7311268000000004E-2</v>
      </c>
      <c r="G66" s="49">
        <v>-0.13034036999999998</v>
      </c>
      <c r="H66" s="47">
        <v>1</v>
      </c>
    </row>
    <row r="67" spans="1:8" ht="15.75" customHeight="1">
      <c r="A67" s="46" t="s">
        <v>79</v>
      </c>
      <c r="B67" s="47">
        <v>2010</v>
      </c>
      <c r="C67" s="48">
        <v>2631088.7999999998</v>
      </c>
      <c r="D67" s="49">
        <v>0.21048800000000001</v>
      </c>
      <c r="E67" s="49">
        <v>0.23569000000000001</v>
      </c>
      <c r="F67" s="49">
        <v>3.2275006000000002E-2</v>
      </c>
      <c r="G67" s="49">
        <v>-0.40750742000000001</v>
      </c>
      <c r="H67" s="47">
        <v>1</v>
      </c>
    </row>
    <row r="68" spans="1:8" ht="15.75" customHeight="1">
      <c r="A68" s="46" t="s">
        <v>81</v>
      </c>
      <c r="B68" s="47">
        <v>2010</v>
      </c>
      <c r="C68" s="48">
        <v>260588.36</v>
      </c>
      <c r="D68" s="49">
        <v>0.23386399999999999</v>
      </c>
      <c r="E68" s="49">
        <v>0.23087199999999999</v>
      </c>
      <c r="F68" s="49">
        <v>3.1799979999999999E-3</v>
      </c>
      <c r="G68" s="49">
        <v>-0.66249385999999999</v>
      </c>
      <c r="H68" s="47">
        <v>1</v>
      </c>
    </row>
    <row r="69" spans="1:8" ht="15.75" customHeight="1">
      <c r="A69" s="46" t="s">
        <v>82</v>
      </c>
      <c r="B69" s="47">
        <v>2010</v>
      </c>
      <c r="C69" s="48">
        <v>286721.56</v>
      </c>
      <c r="D69" s="49">
        <v>5.4624199999999998E-2</v>
      </c>
      <c r="E69" s="49">
        <v>6.2742900000000004E-2</v>
      </c>
      <c r="F69" s="49">
        <v>3.5172538E-3</v>
      </c>
      <c r="G69" s="49">
        <v>-0.83082939</v>
      </c>
      <c r="H69" s="47">
        <v>3</v>
      </c>
    </row>
    <row r="70" spans="1:8" ht="15.75" customHeight="1">
      <c r="A70" s="46" t="s">
        <v>84</v>
      </c>
      <c r="B70" s="47">
        <v>2010</v>
      </c>
      <c r="C70" s="48">
        <v>361429.6</v>
      </c>
      <c r="D70" s="49">
        <v>0.37009599999999998</v>
      </c>
      <c r="E70" s="49">
        <v>0.37473400000000001</v>
      </c>
      <c r="F70" s="49">
        <v>4.4321901000000004E-3</v>
      </c>
      <c r="G70" s="49">
        <v>-0.30263186999999997</v>
      </c>
      <c r="H70" s="47">
        <v>1</v>
      </c>
    </row>
    <row r="71" spans="1:8" ht="15.75" customHeight="1">
      <c r="A71" s="46" t="s">
        <v>121</v>
      </c>
      <c r="B71" s="47">
        <v>2010</v>
      </c>
      <c r="C71" s="48">
        <v>4674415.5999999996</v>
      </c>
      <c r="D71" s="49">
        <v>0.17302100000000001</v>
      </c>
      <c r="E71" s="49">
        <v>0.21222299999999999</v>
      </c>
      <c r="F71" s="49">
        <v>5.7338856000000001E-2</v>
      </c>
      <c r="G71" s="49">
        <v>-0.30157562999999998</v>
      </c>
      <c r="H71" s="47">
        <v>1</v>
      </c>
    </row>
    <row r="72" spans="1:8" ht="15.75" customHeight="1">
      <c r="A72" s="46" t="s">
        <v>86</v>
      </c>
      <c r="B72" s="47">
        <v>2010</v>
      </c>
      <c r="C72" s="48">
        <v>2868064.4</v>
      </c>
      <c r="D72" s="49">
        <v>0.14729100000000001</v>
      </c>
      <c r="E72" s="49">
        <v>0.17206199999999999</v>
      </c>
      <c r="F72" s="49">
        <v>3.5170221000000002E-2</v>
      </c>
      <c r="G72" s="49">
        <v>-0.53314092999999996</v>
      </c>
      <c r="H72" s="47">
        <v>1</v>
      </c>
    </row>
    <row r="73" spans="1:8" ht="15.75" customHeight="1">
      <c r="A73" s="46" t="s">
        <v>83</v>
      </c>
      <c r="B73" s="47">
        <v>2010</v>
      </c>
      <c r="C73" s="48">
        <v>11915619</v>
      </c>
      <c r="D73" s="49">
        <v>0.40031600000000001</v>
      </c>
      <c r="E73" s="49">
        <v>0.41101199999999999</v>
      </c>
      <c r="F73" s="49">
        <v>0.14624726000000002</v>
      </c>
      <c r="G73" s="49">
        <v>-0.32946114999999998</v>
      </c>
      <c r="H73" s="47">
        <v>1</v>
      </c>
    </row>
    <row r="74" spans="1:8" ht="15.75" customHeight="1">
      <c r="A74" s="46" t="s">
        <v>87</v>
      </c>
      <c r="B74" s="47">
        <v>2010</v>
      </c>
      <c r="C74" s="48">
        <v>1831768.5</v>
      </c>
      <c r="D74" s="49">
        <v>0.18343599999999999</v>
      </c>
      <c r="E74" s="49">
        <v>0.199985</v>
      </c>
      <c r="F74" s="49">
        <v>2.2451062000000001E-2</v>
      </c>
      <c r="G74" s="49">
        <v>-0.60543769999999997</v>
      </c>
      <c r="H74" s="47">
        <v>1</v>
      </c>
    </row>
    <row r="75" spans="1:8" ht="15.75" customHeight="1">
      <c r="A75" s="46" t="s">
        <v>88</v>
      </c>
      <c r="B75" s="47">
        <v>2010</v>
      </c>
      <c r="C75" s="48">
        <v>2332784.9</v>
      </c>
      <c r="D75" s="49">
        <v>0.252305</v>
      </c>
      <c r="E75" s="49">
        <v>0.25209399999999998</v>
      </c>
      <c r="F75" s="49">
        <v>2.8616332000000001E-2</v>
      </c>
      <c r="G75" s="49">
        <v>-0.47515202000000001</v>
      </c>
      <c r="H75" s="47">
        <v>1</v>
      </c>
    </row>
    <row r="76" spans="1:8" ht="15.75" customHeight="1">
      <c r="A76" s="50" t="s">
        <v>122</v>
      </c>
      <c r="B76" s="46"/>
      <c r="C76" s="51"/>
      <c r="D76" s="52">
        <f>SUMPRODUCT(D62:D75,C43:C56)/SUM(C43:C56)</f>
        <v>0.18907789097493036</v>
      </c>
      <c r="E76" s="52">
        <f>SUMPRODUCT(E62:E75,C43:C56)/SUM(C43:C56)</f>
        <v>0.20200148727019496</v>
      </c>
      <c r="F76" s="46"/>
      <c r="G76" s="46"/>
      <c r="H76" s="46"/>
    </row>
    <row r="77" spans="1:8" ht="15.75" customHeight="1">
      <c r="A77" s="50"/>
      <c r="B77" s="46"/>
      <c r="C77" s="51"/>
      <c r="D77" s="53"/>
      <c r="E77" s="53"/>
      <c r="F77" s="46"/>
      <c r="G77" s="46"/>
      <c r="H77" s="46"/>
    </row>
    <row r="78" spans="1:8" ht="15.75" customHeight="1">
      <c r="A78" s="23" t="s">
        <v>123</v>
      </c>
    </row>
    <row r="79" spans="1:8" ht="15.75" customHeight="1">
      <c r="A79" s="30" t="s">
        <v>124</v>
      </c>
    </row>
    <row r="80" spans="1:8" ht="15.75" customHeight="1">
      <c r="A80" s="23"/>
      <c r="B80" s="23" t="s">
        <v>125</v>
      </c>
      <c r="C80" s="23" t="s">
        <v>126</v>
      </c>
      <c r="D80" s="23" t="s">
        <v>127</v>
      </c>
      <c r="E80" s="23" t="s">
        <v>128</v>
      </c>
    </row>
    <row r="81" spans="1:5" ht="15.75" customHeight="1">
      <c r="A81" s="2" t="s">
        <v>129</v>
      </c>
      <c r="B81" s="31">
        <v>156</v>
      </c>
      <c r="C81" s="32">
        <f>B81/(SUM($B$81:$B$83))</f>
        <v>0.63157894736842102</v>
      </c>
      <c r="D81" s="31">
        <v>3.9E-2</v>
      </c>
      <c r="E81" s="31">
        <v>3.1E-2</v>
      </c>
    </row>
    <row r="82" spans="1:5" ht="15.75" customHeight="1">
      <c r="A82" s="2" t="s">
        <v>130</v>
      </c>
      <c r="B82" s="31">
        <v>62</v>
      </c>
      <c r="C82" s="32">
        <f t="shared" ref="C82:C83" si="0">B82/(SUM($B$81:$B$83))</f>
        <v>0.25101214574898784</v>
      </c>
      <c r="D82" s="31">
        <v>2.5000000000000001E-2</v>
      </c>
      <c r="E82" s="31">
        <v>1.9E-2</v>
      </c>
    </row>
    <row r="83" spans="1:5" ht="15.75" customHeight="1">
      <c r="A83" s="2" t="s">
        <v>131</v>
      </c>
      <c r="B83" s="31">
        <v>29</v>
      </c>
      <c r="C83" s="32">
        <f t="shared" si="0"/>
        <v>0.11740890688259109</v>
      </c>
      <c r="D83" s="31">
        <v>0.03</v>
      </c>
      <c r="E83" s="31">
        <v>1.7000000000000001E-2</v>
      </c>
    </row>
    <row r="84" spans="1:5" ht="15.75" customHeight="1">
      <c r="A84" s="23" t="s">
        <v>111</v>
      </c>
      <c r="D84" s="32">
        <f>D81*$C$81+$C$82*D82+D83*$C$83</f>
        <v>3.4429149797570849E-2</v>
      </c>
      <c r="E84" s="32">
        <f>E81*$C$81+$C$82*E82+E83*$C$83</f>
        <v>2.6344129554655867E-2</v>
      </c>
    </row>
    <row r="85" spans="1:5" ht="15.75" customHeight="1">
      <c r="A85" s="23" t="s">
        <v>132</v>
      </c>
      <c r="D85" s="32">
        <f>E84/D84</f>
        <v>0.7651693320790216</v>
      </c>
    </row>
    <row r="87" spans="1:5" ht="15.75" customHeight="1">
      <c r="A87" s="23" t="s">
        <v>133</v>
      </c>
    </row>
    <row r="88" spans="1:5" ht="15.75" customHeight="1">
      <c r="A88" s="30" t="s">
        <v>134</v>
      </c>
    </row>
    <row r="89" spans="1:5" ht="15.75" customHeight="1">
      <c r="A89" s="23"/>
      <c r="B89" s="23" t="s">
        <v>135</v>
      </c>
      <c r="D89" s="23" t="s">
        <v>136</v>
      </c>
      <c r="E89" s="23" t="s">
        <v>137</v>
      </c>
    </row>
    <row r="90" spans="1:5" ht="15.75" customHeight="1">
      <c r="A90" s="2" t="s">
        <v>138</v>
      </c>
      <c r="B90" s="31">
        <v>330.7</v>
      </c>
    </row>
    <row r="91" spans="1:5" ht="15.75" customHeight="1">
      <c r="A91" s="2" t="s">
        <v>130</v>
      </c>
      <c r="B91" s="31">
        <v>138</v>
      </c>
    </row>
    <row r="92" spans="1:5" ht="15.75" customHeight="1">
      <c r="A92" s="30" t="s">
        <v>139</v>
      </c>
      <c r="B92" s="31"/>
      <c r="C92" s="32">
        <f>B90+B91</f>
        <v>468.7</v>
      </c>
      <c r="D92" s="32">
        <f>C92/(C92+C95)</f>
        <v>0.52580210904195646</v>
      </c>
      <c r="E92" s="31">
        <v>0.79</v>
      </c>
    </row>
    <row r="93" spans="1:5" ht="15.75" customHeight="1">
      <c r="A93" s="2" t="s">
        <v>140</v>
      </c>
      <c r="B93" s="31">
        <v>362</v>
      </c>
      <c r="C93" s="32"/>
      <c r="D93" s="32"/>
      <c r="E93" s="31"/>
    </row>
    <row r="94" spans="1:5" ht="15.75" customHeight="1">
      <c r="A94" s="2" t="s">
        <v>131</v>
      </c>
      <c r="B94" s="31">
        <v>60.7</v>
      </c>
      <c r="C94" s="32"/>
      <c r="D94" s="32"/>
      <c r="E94" s="31"/>
    </row>
    <row r="95" spans="1:5" ht="15.75" customHeight="1">
      <c r="A95" s="30" t="s">
        <v>139</v>
      </c>
      <c r="C95" s="32">
        <f>B93+B94</f>
        <v>422.7</v>
      </c>
      <c r="D95" s="32">
        <f>C95/(C95+C92)</f>
        <v>0.47419789095804354</v>
      </c>
      <c r="E95" s="31">
        <v>0.59</v>
      </c>
    </row>
    <row r="96" spans="1:5" ht="15.75" customHeight="1">
      <c r="A96" s="30" t="s">
        <v>111</v>
      </c>
      <c r="E96" s="32">
        <f>E92*D92+E95*D95</f>
        <v>0.69516042180839133</v>
      </c>
    </row>
  </sheetData>
  <mergeCells count="3">
    <mergeCell ref="A2:G2"/>
    <mergeCell ref="A23:F23"/>
    <mergeCell ref="A60:H60"/>
  </mergeCells>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46"/>
  <sheetViews>
    <sheetView workbookViewId="0">
      <selection activeCell="D8" sqref="D8"/>
    </sheetView>
  </sheetViews>
  <sheetFormatPr defaultColWidth="10.875" defaultRowHeight="15.75"/>
  <cols>
    <col min="1" max="1" width="5.875" style="55" customWidth="1"/>
    <col min="2" max="2" width="10.875" style="56"/>
    <col min="3" max="3" width="22" style="56" customWidth="1"/>
    <col min="4" max="4" width="24.625" style="56" customWidth="1"/>
    <col min="5" max="5" width="21" style="56" customWidth="1"/>
    <col min="6" max="6" width="17" style="56" customWidth="1"/>
    <col min="7" max="7" width="17.375" style="56" customWidth="1"/>
    <col min="8" max="8" width="16.375" style="56" customWidth="1"/>
    <col min="9" max="10" width="18.625" style="56" customWidth="1"/>
    <col min="11" max="16384" width="10.875" style="55"/>
  </cols>
  <sheetData>
    <row r="1" spans="2:10">
      <c r="B1" s="54"/>
      <c r="C1" s="54" t="s">
        <v>141</v>
      </c>
      <c r="D1" s="99" t="s">
        <v>142</v>
      </c>
      <c r="E1" s="100"/>
      <c r="F1" s="101"/>
      <c r="G1" s="102" t="s">
        <v>143</v>
      </c>
      <c r="H1" s="103"/>
      <c r="I1" s="103"/>
      <c r="J1" s="104"/>
    </row>
    <row r="2" spans="2:10">
      <c r="C2" s="57" t="s">
        <v>114</v>
      </c>
      <c r="D2" s="57" t="s">
        <v>144</v>
      </c>
      <c r="E2" s="58" t="s">
        <v>145</v>
      </c>
      <c r="F2" s="58" t="s">
        <v>146</v>
      </c>
      <c r="G2" s="57" t="s">
        <v>147</v>
      </c>
      <c r="H2" s="58" t="s">
        <v>148</v>
      </c>
      <c r="I2" s="58" t="s">
        <v>149</v>
      </c>
      <c r="J2" s="59" t="s">
        <v>150</v>
      </c>
    </row>
    <row r="3" spans="2:10">
      <c r="B3" s="56" t="s">
        <v>151</v>
      </c>
      <c r="C3" s="60">
        <v>0</v>
      </c>
      <c r="D3" s="61">
        <v>10000</v>
      </c>
      <c r="E3" s="62">
        <f>'VMMC Extraction + calcs'!E19*(E28^2)</f>
        <v>4.1790474602485164E-3</v>
      </c>
      <c r="F3" s="62">
        <v>0</v>
      </c>
      <c r="G3" s="63"/>
      <c r="H3" s="64"/>
      <c r="I3" s="64"/>
      <c r="J3" s="65"/>
    </row>
    <row r="4" spans="2:10">
      <c r="C4" s="60">
        <v>1</v>
      </c>
      <c r="D4" s="63">
        <f>D3</f>
        <v>10000</v>
      </c>
      <c r="E4" s="66">
        <f>E3</f>
        <v>4.1790474602485164E-3</v>
      </c>
      <c r="F4" s="67">
        <v>0.5</v>
      </c>
      <c r="G4" s="63">
        <f t="shared" ref="G4:G23" si="0">D4*E4</f>
        <v>41.790474602485162</v>
      </c>
      <c r="H4" s="64">
        <f t="shared" ref="H4:H23" si="1">D4*E4*(1-F4)</f>
        <v>20.895237301242581</v>
      </c>
      <c r="I4" s="64">
        <f>(G4-H4)*(J4)</f>
        <v>14.680716564625035</v>
      </c>
      <c r="J4" s="68">
        <f>1/(1+$H$28)^($G$28-1+C3)</f>
        <v>0.70258673557883045</v>
      </c>
    </row>
    <row r="5" spans="2:10">
      <c r="C5" s="60">
        <v>2</v>
      </c>
      <c r="D5" s="63">
        <f t="shared" ref="D5:D23" si="2">D4-H4-D$28</f>
        <v>9918.3047626987573</v>
      </c>
      <c r="E5" s="66">
        <f t="shared" ref="E5:E23" si="3">E4*$E$28</f>
        <v>3.8909872763357549E-3</v>
      </c>
      <c r="F5" s="67">
        <v>0.54</v>
      </c>
      <c r="G5" s="63">
        <f t="shared" si="0"/>
        <v>38.591997634481181</v>
      </c>
      <c r="H5" s="64">
        <f t="shared" si="1"/>
        <v>17.752318911861341</v>
      </c>
      <c r="I5" s="64">
        <f>(G5-H5)*(J5)</f>
        <v>14.07854023484335</v>
      </c>
      <c r="J5" s="68">
        <f t="shared" ref="J5:J23" si="4">1/(1+$H$28)^($G$28-1+C4)</f>
        <v>0.67556416882579851</v>
      </c>
    </row>
    <row r="6" spans="2:10">
      <c r="C6" s="60">
        <v>3</v>
      </c>
      <c r="D6" s="63">
        <f t="shared" si="2"/>
        <v>9839.752443786896</v>
      </c>
      <c r="E6" s="66">
        <f t="shared" si="3"/>
        <v>3.6227829735406771E-3</v>
      </c>
      <c r="F6" s="67">
        <v>0.52</v>
      </c>
      <c r="G6" s="63">
        <f t="shared" si="0"/>
        <v>35.647287617206437</v>
      </c>
      <c r="H6" s="64">
        <f t="shared" si="1"/>
        <v>17.110698056259089</v>
      </c>
      <c r="I6" s="64">
        <f t="shared" ref="I6:I23" si="5">(G6-H6)*(J6)</f>
        <v>12.041015115006125</v>
      </c>
      <c r="J6" s="68">
        <f t="shared" si="4"/>
        <v>0.6495809315632679</v>
      </c>
    </row>
    <row r="7" spans="2:10">
      <c r="C7" s="60">
        <v>4</v>
      </c>
      <c r="D7" s="63">
        <f t="shared" si="2"/>
        <v>9761.8417457306368</v>
      </c>
      <c r="E7" s="66">
        <f t="shared" si="3"/>
        <v>3.3730658933780865E-3</v>
      </c>
      <c r="F7" s="69">
        <f>F6*$F$28</f>
        <v>0.52</v>
      </c>
      <c r="G7" s="64">
        <f t="shared" si="0"/>
        <v>32.927335449078413</v>
      </c>
      <c r="H7" s="64">
        <f t="shared" si="1"/>
        <v>15.805121015557638</v>
      </c>
      <c r="I7" s="64">
        <f t="shared" si="5"/>
        <v>10.694484617454282</v>
      </c>
      <c r="J7" s="68">
        <f t="shared" si="4"/>
        <v>0.62459704958006512</v>
      </c>
    </row>
    <row r="8" spans="2:10">
      <c r="C8" s="60">
        <v>5</v>
      </c>
      <c r="D8" s="63">
        <f t="shared" si="2"/>
        <v>9685.2366247150803</v>
      </c>
      <c r="E8" s="66">
        <f t="shared" si="3"/>
        <v>3.1405617184820747E-3</v>
      </c>
      <c r="F8" s="69">
        <f>F7*$F$28</f>
        <v>0.52</v>
      </c>
      <c r="G8" s="63">
        <f t="shared" si="0"/>
        <v>30.41708337802072</v>
      </c>
      <c r="H8" s="64">
        <f t="shared" si="1"/>
        <v>14.600200021449945</v>
      </c>
      <c r="I8" s="64">
        <f t="shared" si="5"/>
        <v>9.499210267371291</v>
      </c>
      <c r="J8" s="68">
        <f t="shared" si="4"/>
        <v>0.600574086134678</v>
      </c>
    </row>
    <row r="9" spans="2:10">
      <c r="C9" s="60">
        <v>6</v>
      </c>
      <c r="D9" s="63">
        <f t="shared" si="2"/>
        <v>9609.8364246936308</v>
      </c>
      <c r="E9" s="66">
        <f t="shared" si="3"/>
        <v>2.9240839697078297E-3</v>
      </c>
      <c r="F9" s="64">
        <f>F8*$F$28</f>
        <v>0.52</v>
      </c>
      <c r="G9" s="63">
        <f t="shared" si="0"/>
        <v>28.099968640961048</v>
      </c>
      <c r="H9" s="64">
        <f t="shared" si="1"/>
        <v>13.487984947661303</v>
      </c>
      <c r="I9" s="64">
        <f t="shared" si="5"/>
        <v>8.4380564934791469</v>
      </c>
      <c r="J9" s="68">
        <f t="shared" si="4"/>
        <v>0.57747508282180582</v>
      </c>
    </row>
    <row r="10" spans="2:10">
      <c r="C10" s="60">
        <v>7</v>
      </c>
      <c r="D10" s="63">
        <f t="shared" si="2"/>
        <v>9535.5484397459695</v>
      </c>
      <c r="E10" s="66">
        <f t="shared" si="3"/>
        <v>2.7225279514757933E-3</v>
      </c>
      <c r="F10" s="64">
        <f t="shared" ref="F10:F23" si="6">F9*$F$28</f>
        <v>0.52</v>
      </c>
      <c r="G10" s="63">
        <f t="shared" si="0"/>
        <v>25.960797159859791</v>
      </c>
      <c r="H10" s="64">
        <f t="shared" si="1"/>
        <v>12.461182636732699</v>
      </c>
      <c r="I10" s="64">
        <f t="shared" si="5"/>
        <v>7.4958567450050664</v>
      </c>
      <c r="J10" s="68">
        <f t="shared" si="4"/>
        <v>0.55526450271327477</v>
      </c>
    </row>
    <row r="11" spans="2:10">
      <c r="C11" s="60">
        <v>8</v>
      </c>
      <c r="D11" s="63">
        <f t="shared" si="2"/>
        <v>9462.2872571092375</v>
      </c>
      <c r="E11" s="66">
        <f t="shared" si="3"/>
        <v>2.5348651144609883E-3</v>
      </c>
      <c r="F11" s="64">
        <f t="shared" si="6"/>
        <v>0.52</v>
      </c>
      <c r="G11" s="63">
        <f t="shared" si="0"/>
        <v>23.98562187105496</v>
      </c>
      <c r="H11" s="64">
        <f t="shared" si="1"/>
        <v>11.51309849810638</v>
      </c>
      <c r="I11" s="64">
        <f t="shared" si="5"/>
        <v>6.6591822002499885</v>
      </c>
      <c r="J11" s="68">
        <f t="shared" si="4"/>
        <v>0.53390817568584104</v>
      </c>
    </row>
    <row r="12" spans="2:10">
      <c r="C12" s="60">
        <v>9</v>
      </c>
      <c r="D12" s="63">
        <f t="shared" si="2"/>
        <v>9389.9741586111322</v>
      </c>
      <c r="E12" s="66">
        <f t="shared" si="3"/>
        <v>2.3601378068600705E-3</v>
      </c>
      <c r="F12" s="64">
        <f t="shared" si="6"/>
        <v>0.52</v>
      </c>
      <c r="G12" s="63">
        <f t="shared" si="0"/>
        <v>22.161633017177213</v>
      </c>
      <c r="H12" s="64">
        <f t="shared" si="1"/>
        <v>10.637583848245061</v>
      </c>
      <c r="I12" s="64">
        <f t="shared" si="5"/>
        <v>5.9161385272100944</v>
      </c>
      <c r="J12" s="68">
        <f t="shared" si="4"/>
        <v>0.51337324585177024</v>
      </c>
    </row>
    <row r="13" spans="2:10">
      <c r="C13" s="60">
        <v>10</v>
      </c>
      <c r="D13" s="63">
        <f t="shared" si="2"/>
        <v>9318.5365747628875</v>
      </c>
      <c r="E13" s="66">
        <f t="shared" si="3"/>
        <v>2.1974543874515853E-3</v>
      </c>
      <c r="F13" s="64">
        <f t="shared" si="6"/>
        <v>0.52</v>
      </c>
      <c r="G13" s="63">
        <f t="shared" si="0"/>
        <v>20.477059080840775</v>
      </c>
      <c r="H13" s="64">
        <f t="shared" si="1"/>
        <v>9.8289883588035707</v>
      </c>
      <c r="I13" s="64">
        <f t="shared" si="5"/>
        <v>5.2561871429148477</v>
      </c>
      <c r="J13" s="68">
        <f t="shared" si="4"/>
        <v>0.49362812101131748</v>
      </c>
    </row>
    <row r="14" spans="2:10">
      <c r="C14" s="60">
        <v>11</v>
      </c>
      <c r="D14" s="63">
        <f t="shared" si="2"/>
        <v>9247.9075864040842</v>
      </c>
      <c r="E14" s="66">
        <f t="shared" si="3"/>
        <v>2.0459846755111599E-3</v>
      </c>
      <c r="F14" s="64">
        <f t="shared" si="6"/>
        <v>0.52</v>
      </c>
      <c r="G14" s="63">
        <f t="shared" si="0"/>
        <v>18.921077202326153</v>
      </c>
      <c r="H14" s="64">
        <f t="shared" si="1"/>
        <v>9.0821170571165535</v>
      </c>
      <c r="I14" s="64">
        <f t="shared" si="5"/>
        <v>4.6699878934471677</v>
      </c>
      <c r="J14" s="68">
        <f t="shared" si="4"/>
        <v>0.47464242404934376</v>
      </c>
    </row>
    <row r="15" spans="2:10">
      <c r="C15" s="60">
        <v>12</v>
      </c>
      <c r="D15" s="63">
        <f t="shared" si="2"/>
        <v>9178.0254693469687</v>
      </c>
      <c r="E15" s="66">
        <f t="shared" si="3"/>
        <v>1.904955714362346E-3</v>
      </c>
      <c r="F15" s="64">
        <f t="shared" si="6"/>
        <v>0.52</v>
      </c>
      <c r="G15" s="63">
        <f t="shared" si="0"/>
        <v>17.48373206439566</v>
      </c>
      <c r="H15" s="64">
        <f t="shared" si="1"/>
        <v>8.3921913909099164</v>
      </c>
      <c r="I15" s="64">
        <f t="shared" si="5"/>
        <v>4.1492604842369971</v>
      </c>
      <c r="J15" s="68">
        <f t="shared" si="4"/>
        <v>0.45638694620129205</v>
      </c>
    </row>
    <row r="16" spans="2:10">
      <c r="C16" s="60">
        <v>13</v>
      </c>
      <c r="D16" s="63">
        <f t="shared" si="2"/>
        <v>9108.8332779560587</v>
      </c>
      <c r="E16" s="66">
        <f t="shared" si="3"/>
        <v>1.7736478269443239E-3</v>
      </c>
      <c r="F16" s="64">
        <f t="shared" si="6"/>
        <v>0.52</v>
      </c>
      <c r="G16" s="63">
        <f t="shared" si="0"/>
        <v>16.155862349444906</v>
      </c>
      <c r="H16" s="64">
        <f t="shared" si="1"/>
        <v>7.7548139277335544</v>
      </c>
      <c r="I16" s="64">
        <f t="shared" si="5"/>
        <v>3.6866623404557952</v>
      </c>
      <c r="J16" s="68">
        <f t="shared" si="4"/>
        <v>0.43883360211662686</v>
      </c>
    </row>
    <row r="17" spans="2:10">
      <c r="C17" s="60">
        <v>14</v>
      </c>
      <c r="D17" s="63">
        <f t="shared" si="2"/>
        <v>9040.2784640283262</v>
      </c>
      <c r="E17" s="66">
        <f t="shared" si="3"/>
        <v>1.6513909432678536E-3</v>
      </c>
      <c r="F17" s="64">
        <f t="shared" si="6"/>
        <v>0.52</v>
      </c>
      <c r="G17" s="63">
        <f t="shared" si="0"/>
        <v>14.929033980115801</v>
      </c>
      <c r="H17" s="64">
        <f t="shared" si="1"/>
        <v>7.1659363104555842</v>
      </c>
      <c r="I17" s="64">
        <f t="shared" si="5"/>
        <v>3.27568087880787</v>
      </c>
      <c r="J17" s="68">
        <f t="shared" si="4"/>
        <v>0.42195538665060278</v>
      </c>
    </row>
    <row r="18" spans="2:10">
      <c r="C18" s="60">
        <v>15</v>
      </c>
      <c r="D18" s="63">
        <f t="shared" si="2"/>
        <v>8972.3125277178715</v>
      </c>
      <c r="E18" s="66">
        <f t="shared" si="3"/>
        <v>1.5375611810183197E-3</v>
      </c>
      <c r="F18" s="64">
        <f t="shared" si="6"/>
        <v>0.52</v>
      </c>
      <c r="G18" s="63">
        <f t="shared" si="0"/>
        <v>13.795479446583355</v>
      </c>
      <c r="H18" s="64">
        <f t="shared" si="1"/>
        <v>6.6218301343600103</v>
      </c>
      <c r="I18" s="64">
        <f t="shared" si="5"/>
        <v>2.9105384319567622</v>
      </c>
      <c r="J18" s="68">
        <f t="shared" si="4"/>
        <v>0.40572633331788732</v>
      </c>
    </row>
    <row r="19" spans="2:10">
      <c r="C19" s="60">
        <v>16</v>
      </c>
      <c r="D19" s="63">
        <f t="shared" si="2"/>
        <v>8904.8906975835125</v>
      </c>
      <c r="E19" s="66">
        <f t="shared" si="3"/>
        <v>1.4315776618565341E-3</v>
      </c>
      <c r="F19" s="64">
        <f t="shared" si="6"/>
        <v>0.52</v>
      </c>
      <c r="G19" s="63">
        <f t="shared" si="0"/>
        <v>12.748042603934605</v>
      </c>
      <c r="H19" s="64">
        <f t="shared" si="1"/>
        <v>6.1190604498886101</v>
      </c>
      <c r="I19" s="64">
        <f t="shared" si="5"/>
        <v>2.5861082913372999</v>
      </c>
      <c r="J19" s="68">
        <f t="shared" si="4"/>
        <v>0.39012147434412242</v>
      </c>
    </row>
    <row r="20" spans="2:10">
      <c r="C20" s="60">
        <v>17</v>
      </c>
      <c r="D20" s="63">
        <f t="shared" si="2"/>
        <v>8837.9716371336253</v>
      </c>
      <c r="E20" s="66">
        <f t="shared" si="3"/>
        <v>1.3328995471707365E-3</v>
      </c>
      <c r="F20" s="64">
        <f t="shared" si="6"/>
        <v>0.52</v>
      </c>
      <c r="G20" s="63">
        <f t="shared" si="0"/>
        <v>11.780128393043222</v>
      </c>
      <c r="H20" s="64">
        <f t="shared" si="1"/>
        <v>5.6544616286607461</v>
      </c>
      <c r="I20" s="64">
        <f t="shared" si="5"/>
        <v>2.2978405283285395</v>
      </c>
      <c r="J20" s="68">
        <f t="shared" si="4"/>
        <v>0.37511680225396377</v>
      </c>
    </row>
    <row r="21" spans="2:10">
      <c r="C21" s="60">
        <v>18</v>
      </c>
      <c r="D21" s="63">
        <f t="shared" si="2"/>
        <v>8771.5171755049651</v>
      </c>
      <c r="E21" s="66">
        <f t="shared" si="3"/>
        <v>1.2410232781531058E-3</v>
      </c>
      <c r="F21" s="64">
        <f t="shared" si="6"/>
        <v>0.52</v>
      </c>
      <c r="G21" s="63">
        <f t="shared" si="0"/>
        <v>10.885656999521443</v>
      </c>
      <c r="H21" s="64">
        <f t="shared" si="1"/>
        <v>5.2251153597702924</v>
      </c>
      <c r="I21" s="64">
        <f t="shared" si="5"/>
        <v>2.0416964220469809</v>
      </c>
      <c r="J21" s="68">
        <f t="shared" si="4"/>
        <v>0.36068923293650368</v>
      </c>
    </row>
    <row r="22" spans="2:10">
      <c r="C22" s="60">
        <v>19</v>
      </c>
      <c r="D22" s="63">
        <f t="shared" si="2"/>
        <v>8705.4920601451959</v>
      </c>
      <c r="E22" s="66">
        <f t="shared" si="3"/>
        <v>1.1554800061167687E-3</v>
      </c>
      <c r="F22" s="64">
        <f t="shared" si="6"/>
        <v>0.52</v>
      </c>
      <c r="G22" s="63">
        <f t="shared" si="0"/>
        <v>10.059022018906052</v>
      </c>
      <c r="H22" s="64">
        <f t="shared" si="1"/>
        <v>4.8283305690749048</v>
      </c>
      <c r="I22" s="64">
        <f t="shared" si="5"/>
        <v>1.8140904680453123</v>
      </c>
      <c r="J22" s="68">
        <f t="shared" si="4"/>
        <v>0.3468165701312535</v>
      </c>
    </row>
    <row r="23" spans="2:10">
      <c r="C23" s="70">
        <v>20</v>
      </c>
      <c r="D23" s="63">
        <f t="shared" si="2"/>
        <v>8639.8637295761218</v>
      </c>
      <c r="E23" s="66">
        <f t="shared" si="3"/>
        <v>1.0758331999400994E-3</v>
      </c>
      <c r="F23" s="64">
        <f t="shared" si="6"/>
        <v>0.52</v>
      </c>
      <c r="G23" s="63">
        <f t="shared" si="0"/>
        <v>9.295052243236281</v>
      </c>
      <c r="H23" s="64">
        <f t="shared" si="1"/>
        <v>4.4616250767534149</v>
      </c>
      <c r="I23" s="64">
        <f t="shared" si="5"/>
        <v>1.6118390690950102</v>
      </c>
      <c r="J23" s="68">
        <f t="shared" si="4"/>
        <v>0.3334774712800514</v>
      </c>
    </row>
    <row r="24" spans="2:10">
      <c r="C24" s="71" t="s">
        <v>152</v>
      </c>
      <c r="D24" s="71"/>
      <c r="E24" s="72"/>
      <c r="F24" s="72"/>
      <c r="G24" s="72"/>
      <c r="H24" s="72"/>
      <c r="I24" s="73">
        <f>SUM(I4:I23)*I32</f>
        <v>185.70463907387546</v>
      </c>
      <c r="J24" s="74"/>
    </row>
    <row r="25" spans="2:10">
      <c r="B25" s="105" t="s">
        <v>153</v>
      </c>
      <c r="C25" s="75" t="s">
        <v>154</v>
      </c>
      <c r="D25" s="75"/>
      <c r="E25" s="76"/>
      <c r="F25" s="76"/>
      <c r="G25" s="76"/>
      <c r="H25" s="76"/>
      <c r="I25" s="77">
        <f>I24*I28*J28</f>
        <v>150.42075764983915</v>
      </c>
      <c r="J25" s="78"/>
    </row>
    <row r="26" spans="2:10">
      <c r="B26" s="105"/>
    </row>
    <row r="27" spans="2:10">
      <c r="B27" s="105"/>
      <c r="D27" s="79" t="s">
        <v>155</v>
      </c>
      <c r="E27" s="79" t="s">
        <v>156</v>
      </c>
      <c r="F27" s="79" t="s">
        <v>157</v>
      </c>
      <c r="G27" s="79" t="s">
        <v>158</v>
      </c>
      <c r="H27" s="79" t="s">
        <v>159</v>
      </c>
      <c r="I27" s="80" t="s">
        <v>160</v>
      </c>
      <c r="J27" s="81" t="s">
        <v>161</v>
      </c>
    </row>
    <row r="28" spans="2:10" s="83" customFormat="1">
      <c r="B28" s="56"/>
      <c r="C28" s="56"/>
      <c r="D28" s="54">
        <v>60.8</v>
      </c>
      <c r="E28" s="54">
        <f>1+'VMMC Extraction + calcs'!E20</f>
        <v>0.9310703726978895</v>
      </c>
      <c r="F28" s="54">
        <v>1</v>
      </c>
      <c r="G28" s="54">
        <f>IF('VMMC CEA'!C19=0,1,'VMMC CEA'!C19)</f>
        <v>10</v>
      </c>
      <c r="H28" s="90">
        <v>0.04</v>
      </c>
      <c r="I28" s="54">
        <v>0.9</v>
      </c>
      <c r="J28" s="82">
        <v>0.9</v>
      </c>
    </row>
    <row r="31" spans="2:10" s="83" customFormat="1">
      <c r="B31" s="56"/>
      <c r="C31" s="56"/>
      <c r="D31" s="56"/>
      <c r="E31" s="56"/>
      <c r="F31" s="56"/>
      <c r="G31" s="56"/>
      <c r="H31" s="56"/>
      <c r="I31" s="79" t="s">
        <v>162</v>
      </c>
      <c r="J31" s="79"/>
    </row>
    <row r="32" spans="2:10" s="83" customFormat="1">
      <c r="B32" s="56"/>
      <c r="C32" s="56"/>
      <c r="D32" s="56"/>
      <c r="E32" s="56"/>
      <c r="F32" s="56"/>
      <c r="G32" s="56"/>
      <c r="H32" s="56"/>
      <c r="I32" s="54">
        <v>1.5</v>
      </c>
      <c r="J32" s="84"/>
    </row>
    <row r="35" spans="2:10" s="83" customFormat="1">
      <c r="B35" s="56"/>
      <c r="C35" s="56"/>
      <c r="D35" s="56"/>
      <c r="E35" s="56"/>
      <c r="F35" s="85"/>
      <c r="G35" s="56"/>
      <c r="H35" s="56"/>
      <c r="I35" s="56"/>
      <c r="J35" s="56"/>
    </row>
    <row r="36" spans="2:10" s="83" customFormat="1">
      <c r="B36" s="56"/>
      <c r="C36" s="86"/>
      <c r="D36" s="55"/>
      <c r="E36" s="55"/>
      <c r="F36" s="87"/>
      <c r="G36" s="55"/>
      <c r="H36" s="88"/>
      <c r="I36" s="56"/>
      <c r="J36" s="56"/>
    </row>
    <row r="37" spans="2:10" s="83" customFormat="1">
      <c r="B37" s="56"/>
      <c r="C37" s="55"/>
      <c r="D37" s="55"/>
      <c r="E37" s="55"/>
      <c r="F37" s="55"/>
      <c r="G37" s="55"/>
      <c r="H37" s="88"/>
      <c r="I37" s="56"/>
      <c r="J37" s="56"/>
    </row>
    <row r="38" spans="2:10" s="83" customFormat="1">
      <c r="B38" s="56"/>
      <c r="C38" s="55"/>
      <c r="D38" s="55"/>
      <c r="E38" s="55"/>
      <c r="F38" s="56"/>
      <c r="G38" s="55"/>
      <c r="H38" s="56"/>
      <c r="I38" s="56"/>
      <c r="J38" s="56"/>
    </row>
    <row r="39" spans="2:10" s="83" customFormat="1">
      <c r="B39" s="56"/>
      <c r="C39" s="55"/>
      <c r="D39" s="55"/>
      <c r="E39" s="55"/>
      <c r="F39" s="56"/>
      <c r="G39" s="55"/>
      <c r="H39" s="56"/>
      <c r="I39" s="56"/>
      <c r="J39" s="56"/>
    </row>
    <row r="40" spans="2:10" s="83" customFormat="1">
      <c r="B40" s="56"/>
      <c r="C40" s="55"/>
      <c r="D40" s="55"/>
      <c r="E40" s="55"/>
      <c r="F40" s="55"/>
      <c r="G40" s="55"/>
      <c r="H40" s="56"/>
      <c r="I40" s="56"/>
      <c r="J40" s="56"/>
    </row>
    <row r="41" spans="2:10" s="83" customFormat="1">
      <c r="B41" s="56"/>
      <c r="C41" s="56"/>
      <c r="D41" s="56"/>
      <c r="E41" s="56"/>
      <c r="F41" s="56"/>
      <c r="G41" s="56"/>
      <c r="H41" s="56"/>
      <c r="I41" s="56"/>
      <c r="J41" s="56"/>
    </row>
    <row r="42" spans="2:10" s="83" customFormat="1">
      <c r="B42" s="56"/>
      <c r="C42" s="56"/>
      <c r="D42" s="56"/>
      <c r="E42" s="56"/>
      <c r="F42" s="56"/>
      <c r="G42" s="56"/>
      <c r="H42" s="56"/>
      <c r="I42" s="56"/>
      <c r="J42" s="56"/>
    </row>
    <row r="44" spans="2:10" s="56" customFormat="1">
      <c r="C44" s="55"/>
      <c r="D44" s="55"/>
    </row>
    <row r="45" spans="2:10" s="56" customFormat="1">
      <c r="C45" s="55"/>
      <c r="D45" s="55"/>
      <c r="E45" s="55"/>
      <c r="F45" s="55"/>
    </row>
    <row r="46" spans="2:10" s="56" customFormat="1">
      <c r="C46" s="89"/>
      <c r="D46" s="55"/>
      <c r="E46" s="55"/>
      <c r="F46" s="55"/>
    </row>
  </sheetData>
  <mergeCells count="3">
    <mergeCell ref="D1:F1"/>
    <mergeCell ref="G1:J1"/>
    <mergeCell ref="B25:B27"/>
  </mergeCells>
  <pageMargins left="0.75" right="0.75" top="1" bottom="1" header="0.5" footer="0.5"/>
  <pageSetup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VMMC CEA</vt:lpstr>
      <vt:lpstr>VMMC Extraction + calcs</vt:lpstr>
      <vt:lpstr>HIV Modelling</vt:lpstr>
      <vt:lpstr>'VMMC CEA'!sources1029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2016-08-09T23:43:58Z</dcterms:created>
  <dcterms:modified xsi:type="dcterms:W3CDTF">2016-08-09T23:44:46Z</dcterms:modified>
</cp:coreProperties>
</file>