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007"/>
  <workbookPr showInkAnnotation="0" autoCompressPictures="0"/>
  <bookViews>
    <workbookView xWindow="0" yWindow="0" windowWidth="28800" windowHeight="16240" tabRatio="500"/>
  </bookViews>
  <sheets>
    <sheet name="Total expenses" sheetId="10" r:id="rId1"/>
    <sheet name="Revenue and transfers" sheetId="1" r:id="rId2"/>
    <sheet name="Campaign efficiency FY 2014" sheetId="8" r:id="rId3"/>
    <sheet name="Campaign efficiency FY 2013" sheetId="7" r:id="rId4"/>
    <sheet name="Set up &amp; marketing costs FY2014" sheetId="9" r:id="rId5"/>
    <sheet name="Set up &amp; marketing costs FY2013" sheetId="11" r:id="rId6"/>
    <sheet name="Funding in the bank" sheetId="4" r:id="rId7"/>
    <sheet name="20141017 RFMF scenarios" sheetId="5" r:id="rId8"/>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L95" i="8" l="1"/>
  <c r="L86" i="8"/>
  <c r="L68" i="8"/>
  <c r="L59" i="8"/>
  <c r="L50" i="8"/>
  <c r="L41" i="8"/>
  <c r="L32" i="8"/>
  <c r="L23" i="8"/>
  <c r="L14" i="8"/>
  <c r="F22" i="10"/>
  <c r="F23" i="10"/>
  <c r="F24" i="10"/>
  <c r="F25" i="10"/>
  <c r="F26" i="10"/>
  <c r="F10" i="1"/>
  <c r="D22" i="10"/>
  <c r="E22" i="10"/>
  <c r="D23" i="10"/>
  <c r="E23" i="10"/>
  <c r="D24" i="10"/>
  <c r="E24" i="10"/>
  <c r="D25" i="10"/>
  <c r="E25" i="10"/>
  <c r="D26" i="10"/>
  <c r="E26" i="10"/>
  <c r="E11" i="10"/>
  <c r="E12" i="10"/>
  <c r="E13" i="10"/>
  <c r="E14" i="10"/>
  <c r="F14" i="10"/>
  <c r="E10" i="1"/>
  <c r="E8" i="10"/>
  <c r="E9" i="10"/>
  <c r="E10" i="10"/>
  <c r="F10" i="10"/>
  <c r="E8" i="1"/>
  <c r="E6" i="1"/>
  <c r="F21" i="10"/>
  <c r="D10" i="1"/>
  <c r="D12" i="1"/>
  <c r="E12" i="1"/>
  <c r="F12" i="1"/>
  <c r="D21" i="10"/>
  <c r="E21" i="10"/>
  <c r="C10" i="1"/>
  <c r="C6" i="1"/>
  <c r="C8" i="1"/>
  <c r="C12" i="1"/>
  <c r="E15" i="10"/>
  <c r="E16" i="10"/>
  <c r="E17" i="10"/>
  <c r="R14" i="9"/>
  <c r="R21" i="9"/>
  <c r="R31" i="9"/>
  <c r="R40" i="9"/>
  <c r="R46" i="9"/>
  <c r="R47" i="9"/>
  <c r="R54" i="9"/>
  <c r="R62" i="9"/>
  <c r="R67" i="9"/>
  <c r="R72" i="9"/>
  <c r="R89" i="9"/>
  <c r="D27" i="10"/>
  <c r="C27" i="10"/>
  <c r="F27" i="10"/>
  <c r="E27" i="10"/>
  <c r="E33" i="10"/>
  <c r="E34" i="10"/>
  <c r="E35" i="10"/>
  <c r="E36" i="10"/>
  <c r="E37" i="10"/>
  <c r="E38" i="10"/>
  <c r="I14" i="9"/>
  <c r="I21" i="9"/>
  <c r="I31" i="9"/>
  <c r="I40" i="9"/>
  <c r="I46" i="9"/>
  <c r="I47" i="9"/>
  <c r="I54" i="9"/>
  <c r="I62" i="9"/>
  <c r="I67" i="9"/>
  <c r="I72" i="9"/>
  <c r="I89" i="9"/>
  <c r="I91" i="9"/>
  <c r="I92" i="9"/>
  <c r="L14" i="9"/>
  <c r="L21" i="9"/>
  <c r="L31" i="9"/>
  <c r="L40" i="9"/>
  <c r="L46" i="9"/>
  <c r="L47" i="9"/>
  <c r="L54" i="9"/>
  <c r="L62" i="9"/>
  <c r="L67" i="9"/>
  <c r="L72" i="9"/>
  <c r="L89" i="9"/>
  <c r="L91" i="9"/>
  <c r="L92" i="9"/>
  <c r="R91" i="9"/>
  <c r="R92" i="9"/>
  <c r="E39" i="10"/>
  <c r="O14" i="9"/>
  <c r="O21" i="9"/>
  <c r="O31" i="9"/>
  <c r="O40" i="9"/>
  <c r="O46" i="9"/>
  <c r="O47" i="9"/>
  <c r="O54" i="9"/>
  <c r="O62" i="9"/>
  <c r="O67" i="9"/>
  <c r="O72" i="9"/>
  <c r="O89" i="9"/>
  <c r="O91" i="9"/>
  <c r="O92" i="9"/>
  <c r="E40" i="10"/>
  <c r="E41" i="10"/>
  <c r="C34" i="10"/>
  <c r="D34" i="10"/>
  <c r="F34" i="10"/>
  <c r="H34" i="10"/>
  <c r="C33" i="10"/>
  <c r="D33" i="10"/>
  <c r="F33" i="10"/>
  <c r="C35" i="10"/>
  <c r="D35" i="10"/>
  <c r="F35" i="10"/>
  <c r="C36" i="10"/>
  <c r="D36" i="10"/>
  <c r="F36" i="10"/>
  <c r="C37" i="10"/>
  <c r="D37" i="10"/>
  <c r="F37" i="10"/>
  <c r="C38" i="10"/>
  <c r="D38" i="10"/>
  <c r="F38" i="10"/>
  <c r="C39" i="10"/>
  <c r="D39" i="10"/>
  <c r="C40" i="10"/>
  <c r="D40" i="10"/>
  <c r="H42" i="10"/>
  <c r="J34" i="10"/>
  <c r="H35" i="10"/>
  <c r="J35" i="10"/>
  <c r="H36" i="10"/>
  <c r="J36" i="10"/>
  <c r="H37" i="10"/>
  <c r="J37" i="10"/>
  <c r="H38" i="10"/>
  <c r="J38" i="10"/>
  <c r="H39" i="10"/>
  <c r="J39" i="10"/>
  <c r="H40" i="10"/>
  <c r="J40" i="10"/>
  <c r="H33" i="10"/>
  <c r="J33" i="10"/>
  <c r="G34" i="10"/>
  <c r="G42" i="10"/>
  <c r="I34" i="10"/>
  <c r="G35" i="10"/>
  <c r="I35" i="10"/>
  <c r="G36" i="10"/>
  <c r="I36" i="10"/>
  <c r="G37" i="10"/>
  <c r="I37" i="10"/>
  <c r="G38" i="10"/>
  <c r="I38" i="10"/>
  <c r="G39" i="10"/>
  <c r="I39" i="10"/>
  <c r="G40" i="10"/>
  <c r="I40" i="10"/>
  <c r="G33" i="10"/>
  <c r="I33" i="10"/>
  <c r="F41" i="10"/>
  <c r="D41" i="10"/>
  <c r="C41" i="10"/>
  <c r="C29" i="10"/>
  <c r="C28" i="10"/>
  <c r="F7" i="10"/>
  <c r="O3" i="7"/>
  <c r="C68" i="7"/>
  <c r="B68" i="7"/>
  <c r="C32" i="7"/>
  <c r="C50" i="7"/>
  <c r="B69" i="7"/>
  <c r="C69" i="7"/>
  <c r="D69" i="7"/>
  <c r="B70" i="7"/>
  <c r="C70" i="7"/>
  <c r="D70" i="7"/>
  <c r="B71" i="7"/>
  <c r="C71" i="7"/>
  <c r="D71" i="7"/>
  <c r="B72" i="7"/>
  <c r="C72" i="7"/>
  <c r="D72" i="7"/>
  <c r="B73" i="7"/>
  <c r="C73" i="7"/>
  <c r="D73" i="7"/>
  <c r="D68" i="7"/>
  <c r="I59" i="7"/>
  <c r="I50" i="7"/>
  <c r="I41" i="7"/>
  <c r="I32" i="7"/>
  <c r="I23" i="7"/>
  <c r="I14" i="7"/>
  <c r="I5" i="7"/>
  <c r="B32" i="7"/>
  <c r="B50" i="7"/>
  <c r="O1" i="7"/>
  <c r="F65" i="7"/>
  <c r="D65" i="7"/>
  <c r="C65" i="7"/>
  <c r="B65" i="7"/>
  <c r="H59" i="7"/>
  <c r="F56" i="7"/>
  <c r="D56" i="7"/>
  <c r="C56" i="7"/>
  <c r="B56" i="7"/>
  <c r="H50" i="7"/>
  <c r="F47" i="7"/>
  <c r="D47" i="7"/>
  <c r="C47" i="7"/>
  <c r="B47" i="7"/>
  <c r="H41" i="7"/>
  <c r="F38" i="7"/>
  <c r="D38" i="7"/>
  <c r="C38" i="7"/>
  <c r="B38" i="7"/>
  <c r="H32" i="7"/>
  <c r="F29" i="7"/>
  <c r="D29" i="7"/>
  <c r="C29" i="7"/>
  <c r="B29" i="7"/>
  <c r="H23" i="7"/>
  <c r="F20" i="7"/>
  <c r="D20" i="7"/>
  <c r="C20" i="7"/>
  <c r="B20" i="7"/>
  <c r="H14" i="7"/>
  <c r="F11" i="7"/>
  <c r="D11" i="7"/>
  <c r="C11" i="7"/>
  <c r="B11" i="7"/>
  <c r="H5" i="7"/>
  <c r="E108" i="8"/>
  <c r="A91" i="8"/>
  <c r="A92" i="8"/>
  <c r="A93" i="8"/>
  <c r="A94" i="8"/>
  <c r="A95" i="8"/>
  <c r="A90" i="8"/>
  <c r="I114" i="8"/>
  <c r="I109" i="8"/>
  <c r="I110" i="8"/>
  <c r="I111" i="8"/>
  <c r="I112" i="8"/>
  <c r="I113" i="8"/>
  <c r="I108" i="8"/>
  <c r="J114" i="8"/>
  <c r="I83" i="11"/>
  <c r="L81" i="11"/>
  <c r="S92" i="9"/>
  <c r="J109" i="8"/>
  <c r="J110" i="8"/>
  <c r="J111" i="8"/>
  <c r="J112" i="8"/>
  <c r="J113" i="8"/>
  <c r="J108" i="8"/>
  <c r="D74" i="7"/>
  <c r="F69" i="7"/>
  <c r="F70" i="7"/>
  <c r="F71" i="7"/>
  <c r="F72" i="7"/>
  <c r="F73" i="7"/>
  <c r="F68" i="7"/>
  <c r="J68" i="7"/>
  <c r="E69" i="7"/>
  <c r="E70" i="7"/>
  <c r="E71" i="7"/>
  <c r="E72" i="7"/>
  <c r="E73" i="7"/>
  <c r="E68" i="7"/>
  <c r="F74" i="7"/>
  <c r="C74" i="7"/>
  <c r="B74" i="7"/>
  <c r="H109" i="8"/>
  <c r="H110" i="8"/>
  <c r="H111" i="8"/>
  <c r="H112" i="8"/>
  <c r="H113" i="8"/>
  <c r="B109" i="8"/>
  <c r="B110" i="8"/>
  <c r="B111" i="8"/>
  <c r="B112" i="8"/>
  <c r="B113" i="8"/>
  <c r="H108" i="8"/>
  <c r="B108" i="8"/>
  <c r="G109" i="8"/>
  <c r="G110" i="8"/>
  <c r="G111" i="8"/>
  <c r="G112" i="8"/>
  <c r="G113" i="8"/>
  <c r="G108" i="8"/>
  <c r="F109" i="8"/>
  <c r="F110" i="8"/>
  <c r="F111" i="8"/>
  <c r="F112" i="8"/>
  <c r="F113" i="8"/>
  <c r="F108" i="8"/>
  <c r="E109" i="8"/>
  <c r="E110" i="8"/>
  <c r="E111" i="8"/>
  <c r="E112" i="8"/>
  <c r="E113" i="8"/>
  <c r="H114" i="8"/>
  <c r="G114" i="8"/>
  <c r="F114" i="8"/>
  <c r="E114" i="8"/>
  <c r="I105" i="8"/>
  <c r="H105" i="8"/>
  <c r="G105" i="8"/>
  <c r="F105" i="8"/>
  <c r="E105" i="8"/>
  <c r="K104" i="8"/>
  <c r="K103" i="8"/>
  <c r="K102" i="8"/>
  <c r="K101" i="8"/>
  <c r="K100" i="8"/>
  <c r="K99" i="8"/>
  <c r="K95" i="8"/>
  <c r="K94" i="8"/>
  <c r="K93" i="8"/>
  <c r="K92" i="8"/>
  <c r="K91" i="8"/>
  <c r="K90" i="8"/>
  <c r="K86" i="8"/>
  <c r="A86" i="8"/>
  <c r="K85" i="8"/>
  <c r="A85" i="8"/>
  <c r="K84" i="8"/>
  <c r="A84" i="8"/>
  <c r="K83" i="8"/>
  <c r="A83" i="8"/>
  <c r="K82" i="8"/>
  <c r="A82" i="8"/>
  <c r="K81" i="8"/>
  <c r="A81" i="8"/>
  <c r="K77" i="8"/>
  <c r="A77" i="8"/>
  <c r="K76" i="8"/>
  <c r="A76" i="8"/>
  <c r="K75" i="8"/>
  <c r="A75" i="8"/>
  <c r="K74" i="8"/>
  <c r="A74" i="8"/>
  <c r="K73" i="8"/>
  <c r="A73" i="8"/>
  <c r="K72" i="8"/>
  <c r="A72" i="8"/>
  <c r="K68" i="8"/>
  <c r="A68" i="8"/>
  <c r="K67" i="8"/>
  <c r="A67" i="8"/>
  <c r="K66" i="8"/>
  <c r="A66" i="8"/>
  <c r="K65" i="8"/>
  <c r="A65" i="8"/>
  <c r="K64" i="8"/>
  <c r="A64" i="8"/>
  <c r="K63" i="8"/>
  <c r="A63" i="8"/>
  <c r="K59" i="8"/>
  <c r="A59" i="8"/>
  <c r="K58" i="8"/>
  <c r="A58" i="8"/>
  <c r="K57" i="8"/>
  <c r="A57" i="8"/>
  <c r="K56" i="8"/>
  <c r="A56" i="8"/>
  <c r="K55" i="8"/>
  <c r="A55" i="8"/>
  <c r="K54" i="8"/>
  <c r="A54" i="8"/>
  <c r="K50" i="8"/>
  <c r="A50" i="8"/>
  <c r="K49" i="8"/>
  <c r="A49" i="8"/>
  <c r="K48" i="8"/>
  <c r="A48" i="8"/>
  <c r="K47" i="8"/>
  <c r="A47" i="8"/>
  <c r="K46" i="8"/>
  <c r="A46" i="8"/>
  <c r="K45" i="8"/>
  <c r="A45" i="8"/>
  <c r="K41" i="8"/>
  <c r="A41" i="8"/>
  <c r="K40" i="8"/>
  <c r="A40" i="8"/>
  <c r="K39" i="8"/>
  <c r="A39" i="8"/>
  <c r="K38" i="8"/>
  <c r="A38" i="8"/>
  <c r="K37" i="8"/>
  <c r="A37" i="8"/>
  <c r="K36" i="8"/>
  <c r="A36" i="8"/>
  <c r="K32" i="8"/>
  <c r="A32" i="8"/>
  <c r="K31" i="8"/>
  <c r="A31" i="8"/>
  <c r="K30" i="8"/>
  <c r="A30" i="8"/>
  <c r="K29" i="8"/>
  <c r="A29" i="8"/>
  <c r="K28" i="8"/>
  <c r="A28" i="8"/>
  <c r="K27" i="8"/>
  <c r="A27" i="8"/>
  <c r="K23" i="8"/>
  <c r="A23" i="8"/>
  <c r="K22" i="8"/>
  <c r="A22" i="8"/>
  <c r="K21" i="8"/>
  <c r="A21" i="8"/>
  <c r="K20" i="8"/>
  <c r="A20" i="8"/>
  <c r="K19" i="8"/>
  <c r="A19" i="8"/>
  <c r="K18" i="8"/>
  <c r="A18" i="8"/>
  <c r="K14" i="8"/>
  <c r="A14" i="8"/>
  <c r="K13" i="8"/>
  <c r="A13" i="8"/>
  <c r="K12" i="8"/>
  <c r="A12" i="8"/>
  <c r="K11" i="8"/>
  <c r="A11" i="8"/>
  <c r="K10" i="8"/>
  <c r="A10" i="8"/>
  <c r="K9" i="8"/>
  <c r="A9" i="8"/>
  <c r="D11" i="5"/>
  <c r="D24" i="5"/>
  <c r="H26" i="5"/>
  <c r="H28" i="5"/>
  <c r="H24" i="5"/>
  <c r="D10" i="5"/>
  <c r="G24" i="5"/>
  <c r="D15" i="5"/>
  <c r="G26" i="5"/>
  <c r="G29" i="5"/>
  <c r="G30" i="5"/>
  <c r="F26" i="5"/>
  <c r="F28" i="5"/>
  <c r="F24" i="5"/>
  <c r="C11" i="5"/>
  <c r="E24" i="5"/>
  <c r="E26" i="5"/>
  <c r="E29" i="5"/>
  <c r="E30" i="5"/>
  <c r="C26" i="5"/>
  <c r="D26" i="5"/>
  <c r="D28" i="5"/>
  <c r="D27" i="5"/>
  <c r="E11" i="5"/>
  <c r="C27" i="5"/>
  <c r="C29" i="5"/>
  <c r="C30" i="5"/>
  <c r="E12" i="5"/>
  <c r="D12" i="5"/>
  <c r="E10" i="5"/>
  <c r="B11" i="4"/>
</calcChain>
</file>

<file path=xl/comments1.xml><?xml version="1.0" encoding="utf-8"?>
<comments xmlns="http://schemas.openxmlformats.org/spreadsheetml/2006/main">
  <authors>
    <author>Eliza Scheffler</author>
  </authors>
  <commentList>
    <comment ref="B4" authorId="0">
      <text>
        <r>
          <rPr>
            <b/>
            <sz val="9"/>
            <color indexed="81"/>
            <rFont val="Calibri"/>
            <family val="2"/>
          </rPr>
          <t>Eliza Scheffler:</t>
        </r>
        <r>
          <rPr>
            <sz val="9"/>
            <color indexed="81"/>
            <rFont val="Calibri"/>
            <family val="2"/>
          </rPr>
          <t xml:space="preserve">
From "GiveDirectly, board spending breakdown"</t>
        </r>
      </text>
    </comment>
    <comment ref="B8" authorId="0">
      <text>
        <r>
          <rPr>
            <b/>
            <sz val="9"/>
            <color indexed="81"/>
            <rFont val="Calibri"/>
            <family val="2"/>
          </rPr>
          <t>Eliza Scheffler:</t>
        </r>
        <r>
          <rPr>
            <sz val="9"/>
            <color indexed="81"/>
            <rFont val="Calibri"/>
            <family val="2"/>
          </rPr>
          <t xml:space="preserve">
From "20131002 Set up and Domestic expenses for GW"</t>
        </r>
      </text>
    </comment>
    <comment ref="C19" authorId="0">
      <text>
        <r>
          <rPr>
            <b/>
            <sz val="9"/>
            <color indexed="81"/>
            <rFont val="Calibri"/>
            <family val="2"/>
          </rPr>
          <t>Eliza Scheffler:</t>
        </r>
        <r>
          <rPr>
            <sz val="9"/>
            <color indexed="81"/>
            <rFont val="Calibri"/>
            <family val="2"/>
          </rPr>
          <t xml:space="preserve">
Source: GiveDirectly, Operating efficiency as of 31 August 2012</t>
        </r>
      </text>
    </comment>
    <comment ref="D19" authorId="0">
      <text>
        <r>
          <rPr>
            <b/>
            <sz val="9"/>
            <color indexed="81"/>
            <rFont val="Calibri"/>
            <family val="2"/>
          </rPr>
          <t>Eliza Scheffler:</t>
        </r>
        <r>
          <rPr>
            <sz val="9"/>
            <color indexed="81"/>
            <rFont val="Calibri"/>
            <family val="2"/>
          </rPr>
          <t xml:space="preserve">
Source: Sheet: Campaign efficiency FY 2013, provided by GiveDirectly</t>
        </r>
      </text>
    </comment>
    <comment ref="E19" authorId="0">
      <text>
        <r>
          <rPr>
            <b/>
            <sz val="9"/>
            <color indexed="81"/>
            <rFont val="Calibri"/>
            <family val="2"/>
          </rPr>
          <t xml:space="preserve">Eliza Scheffler: Campaign costs in the FY 2014+ column actually extend to transfers sent and pending through October 2014.
</t>
        </r>
        <r>
          <rPr>
            <sz val="9"/>
            <color indexed="81"/>
            <rFont val="Calibri"/>
            <family val="2"/>
          </rPr>
          <t>Source: Sheet: Campaign efficiency FY 2014, provided by GiveDirectly</t>
        </r>
      </text>
    </comment>
    <comment ref="C25" authorId="0">
      <text>
        <r>
          <rPr>
            <b/>
            <sz val="9"/>
            <color indexed="81"/>
            <rFont val="Calibri"/>
            <family val="2"/>
          </rPr>
          <t>Eliza Scheffler:</t>
        </r>
        <r>
          <rPr>
            <sz val="9"/>
            <color indexed="81"/>
            <rFont val="Calibri"/>
            <family val="2"/>
          </rPr>
          <t xml:space="preserve">
GiveDirectly did not use this cost category in its pre-FY 2013 campaign efficiency reports.</t>
        </r>
      </text>
    </comment>
    <comment ref="C26" authorId="0">
      <text>
        <r>
          <rPr>
            <b/>
            <sz val="9"/>
            <color indexed="81"/>
            <rFont val="Calibri"/>
            <family val="2"/>
          </rPr>
          <t>Eliza Scheffler:</t>
        </r>
        <r>
          <rPr>
            <sz val="9"/>
            <color indexed="81"/>
            <rFont val="Calibri"/>
            <family val="2"/>
          </rPr>
          <t xml:space="preserve">
GiveDirectly did not use this cost category in its pre-FY 2013 campaign efficiency reports.</t>
        </r>
      </text>
    </comment>
    <comment ref="C31" authorId="0">
      <text>
        <r>
          <rPr>
            <b/>
            <sz val="9"/>
            <color indexed="81"/>
            <rFont val="Calibri"/>
            <family val="2"/>
          </rPr>
          <t>Eliza Scheffler:</t>
        </r>
        <r>
          <rPr>
            <sz val="9"/>
            <color indexed="81"/>
            <rFont val="Calibri"/>
            <family val="2"/>
          </rPr>
          <t xml:space="preserve">
Source: GiveDirectly, Operating efficiency as of 31 August 2012</t>
        </r>
      </text>
    </comment>
    <comment ref="D31" authorId="0">
      <text>
        <r>
          <rPr>
            <b/>
            <sz val="9"/>
            <color indexed="81"/>
            <rFont val="Calibri"/>
            <family val="2"/>
          </rPr>
          <t>Eliza Scheffler:</t>
        </r>
        <r>
          <rPr>
            <sz val="9"/>
            <color indexed="81"/>
            <rFont val="Calibri"/>
            <family val="2"/>
          </rPr>
          <t xml:space="preserve">
Source: Sheet: Campaign efficiency FY 2013, provided by GiveDirectly</t>
        </r>
      </text>
    </comment>
    <comment ref="E31" authorId="0">
      <text>
        <r>
          <rPr>
            <b/>
            <sz val="9"/>
            <color indexed="81"/>
            <rFont val="Calibri"/>
            <family val="2"/>
          </rPr>
          <t>Eliza Scheffler:
Campaign costs in the FY 2014 column actually extend to transfers sent and pending through October 2014.</t>
        </r>
        <r>
          <rPr>
            <sz val="9"/>
            <color indexed="81"/>
            <rFont val="Calibri"/>
            <family val="2"/>
          </rPr>
          <t xml:space="preserve">
Source: Sheet: Campaign efficiency FY 2014, provided by GiveDirectly</t>
        </r>
      </text>
    </comment>
    <comment ref="F32" authorId="0">
      <text>
        <r>
          <rPr>
            <b/>
            <sz val="9"/>
            <color indexed="81"/>
            <rFont val="Calibri"/>
            <family val="2"/>
          </rPr>
          <t>Eliza Scheffler:</t>
        </r>
        <r>
          <rPr>
            <sz val="9"/>
            <color indexed="81"/>
            <rFont val="Calibri"/>
            <family val="2"/>
          </rPr>
          <t xml:space="preserve">
Future costs are based on recipients enrolled through Oct 2014 for in-progress campaigns Ke-201403 and Ug-201404, which extends beyond the end of FY 14 (August 31, 2014).</t>
        </r>
      </text>
    </comment>
    <comment ref="B46" authorId="0">
      <text>
        <r>
          <rPr>
            <b/>
            <sz val="9"/>
            <color indexed="81"/>
            <rFont val="Calibri"/>
            <family val="2"/>
          </rPr>
          <t>Eliza Scheffler:</t>
        </r>
        <r>
          <rPr>
            <sz val="9"/>
            <color indexed="81"/>
            <rFont val="Calibri"/>
            <family val="2"/>
          </rPr>
          <t xml:space="preserve">
Source: "GiveDirectly, GW scratch sheet"
</t>
        </r>
      </text>
    </comment>
    <comment ref="B47" authorId="0">
      <text>
        <r>
          <rPr>
            <b/>
            <sz val="9"/>
            <color indexed="81"/>
            <rFont val="Calibri"/>
            <family val="2"/>
          </rPr>
          <t>Eliza Scheffler:</t>
        </r>
        <r>
          <rPr>
            <sz val="9"/>
            <color indexed="81"/>
            <rFont val="Calibri"/>
            <family val="2"/>
          </rPr>
          <t xml:space="preserve">
Source: "GiveDirectly, GW scratch sheet"</t>
        </r>
      </text>
    </comment>
  </commentList>
</comments>
</file>

<file path=xl/comments2.xml><?xml version="1.0" encoding="utf-8"?>
<comments xmlns="http://schemas.openxmlformats.org/spreadsheetml/2006/main">
  <authors>
    <author>Eliza Scheffler</author>
  </authors>
  <commentList>
    <comment ref="B5" authorId="0">
      <text>
        <r>
          <rPr>
            <b/>
            <sz val="9"/>
            <color indexed="81"/>
            <rFont val="Calibri"/>
            <family val="2"/>
          </rPr>
          <t>Eliza Scheffler:</t>
        </r>
        <r>
          <rPr>
            <sz val="9"/>
            <color indexed="81"/>
            <rFont val="Calibri"/>
            <family val="2"/>
          </rPr>
          <t xml:space="preserve">
FY 2010 revenue from Page 2, GiveDirectly's FY 2010 Form 990, http://www.givedirectly.org/pdf/FY2010Form990.pdf. FY 2011 and FY 2012 revenue from GiveDirectly, 2013 Annual Report, Pg 11 http://www.givedirectly.org/pdf/GiveDirectly2013AnnualReport.pdf</t>
        </r>
      </text>
    </comment>
    <comment ref="B7" authorId="0">
      <text>
        <r>
          <rPr>
            <b/>
            <sz val="9"/>
            <color indexed="81"/>
            <rFont val="Calibri"/>
            <family val="2"/>
          </rPr>
          <t>Eliza Scheffler:</t>
        </r>
        <r>
          <rPr>
            <sz val="9"/>
            <color indexed="81"/>
            <rFont val="Calibri"/>
            <family val="2"/>
          </rPr>
          <t xml:space="preserve">
Eliza Scheffler:
GiveDirectly, 2013 Annual Report, Pg 11 http://www.givedirectly.org/pdf/GiveDirectly2013AnnualReport.pdf</t>
        </r>
      </text>
    </comment>
    <comment ref="B9" authorId="0">
      <text>
        <r>
          <rPr>
            <b/>
            <sz val="9"/>
            <color indexed="81"/>
            <rFont val="Calibri"/>
            <family val="2"/>
          </rPr>
          <t>Eliza Scheffler:</t>
        </r>
        <r>
          <rPr>
            <sz val="9"/>
            <color indexed="81"/>
            <rFont val="Calibri"/>
            <family val="2"/>
          </rPr>
          <t xml:space="preserve">
Graph, Page 5, "20140929 GW-GD annual update"</t>
        </r>
      </text>
    </comment>
    <comment ref="A10" authorId="0">
      <text>
        <r>
          <rPr>
            <b/>
            <sz val="9"/>
            <color indexed="81"/>
            <rFont val="Calibri"/>
            <family val="2"/>
          </rPr>
          <t>Eliza Scheffler:</t>
        </r>
        <r>
          <rPr>
            <sz val="9"/>
            <color indexed="81"/>
            <rFont val="Calibri"/>
            <family val="2"/>
          </rPr>
          <t xml:space="preserve">
Campaign costs for FY 2014+ extend to transfers sent and pending through October 2014 (standard fiscal year ended Aug. 31, 2014)</t>
        </r>
      </text>
    </comment>
  </commentList>
</comments>
</file>

<file path=xl/comments3.xml><?xml version="1.0" encoding="utf-8"?>
<comments xmlns="http://schemas.openxmlformats.org/spreadsheetml/2006/main">
  <authors>
    <author>Joy Sun</author>
  </authors>
  <commentList>
    <comment ref="J7" authorId="0">
      <text>
        <r>
          <rPr>
            <b/>
            <sz val="9"/>
            <color indexed="81"/>
            <rFont val="Tahoma"/>
            <family val="2"/>
          </rPr>
          <t>Joy Sun:</t>
        </r>
        <r>
          <rPr>
            <sz val="9"/>
            <color indexed="81"/>
            <rFont val="Tahoma"/>
            <family val="2"/>
          </rPr>
          <t xml:space="preserve">
this refers to an internal update not reported to GW previously</t>
        </r>
      </text>
    </comment>
    <comment ref="D8" authorId="0">
      <text>
        <r>
          <rPr>
            <b/>
            <sz val="9"/>
            <color indexed="81"/>
            <rFont val="Tahoma"/>
            <family val="2"/>
          </rPr>
          <t>Joy Sun:</t>
        </r>
        <r>
          <rPr>
            <sz val="9"/>
            <color indexed="81"/>
            <rFont val="Tahoma"/>
            <family val="2"/>
          </rPr>
          <t xml:space="preserve">
hard coded; carry over from Q3 FY14 report. Freezing efficiency reporting on this campaign</t>
        </r>
      </text>
    </comment>
    <comment ref="D17" authorId="0">
      <text>
        <r>
          <rPr>
            <b/>
            <sz val="9"/>
            <color indexed="81"/>
            <rFont val="Tahoma"/>
            <family val="2"/>
          </rPr>
          <t>Joy Sun:</t>
        </r>
        <r>
          <rPr>
            <sz val="9"/>
            <color indexed="81"/>
            <rFont val="Tahoma"/>
            <family val="2"/>
          </rPr>
          <t xml:space="preserve">
hard coded; carry over from Q3 FY14 report. Freezing efficiency reporting on this campaign</t>
        </r>
      </text>
    </comment>
    <comment ref="D26" authorId="0">
      <text>
        <r>
          <rPr>
            <b/>
            <sz val="9"/>
            <color indexed="81"/>
            <rFont val="Tahoma"/>
            <family val="2"/>
          </rPr>
          <t>Joy Sun:</t>
        </r>
        <r>
          <rPr>
            <sz val="9"/>
            <color indexed="81"/>
            <rFont val="Tahoma"/>
            <family val="2"/>
          </rPr>
          <t xml:space="preserve">
hard coded; carry over from Q3 FY14 report. Freezing efficiency reporting on this campaign</t>
        </r>
      </text>
    </comment>
  </commentList>
</comments>
</file>

<file path=xl/comments4.xml><?xml version="1.0" encoding="utf-8"?>
<comments xmlns="http://schemas.openxmlformats.org/spreadsheetml/2006/main">
  <authors>
    <author>Joy Sun</author>
  </authors>
  <commentList>
    <comment ref="B5" authorId="0">
      <text>
        <r>
          <rPr>
            <b/>
            <sz val="9"/>
            <color indexed="81"/>
            <rFont val="Calibri"/>
            <family val="2"/>
          </rPr>
          <t>Joy Sun:</t>
        </r>
        <r>
          <rPr>
            <sz val="9"/>
            <color indexed="81"/>
            <rFont val="Calibri"/>
            <family val="2"/>
          </rPr>
          <t xml:space="preserve">
Manually added pmts against committed transfers from FY12 liabilities</t>
        </r>
      </text>
    </comment>
    <comment ref="B23" authorId="0">
      <text>
        <r>
          <rPr>
            <b/>
            <sz val="9"/>
            <color indexed="81"/>
            <rFont val="Calibri"/>
            <family val="2"/>
          </rPr>
          <t>Joy Sun:</t>
        </r>
        <r>
          <rPr>
            <sz val="9"/>
            <color indexed="81"/>
            <rFont val="Calibri"/>
            <family val="2"/>
          </rPr>
          <t xml:space="preserve">
Manually added pmts against committed transfers from FY12 liability</t>
        </r>
      </text>
    </comment>
    <comment ref="A58" authorId="0">
      <text>
        <r>
          <rPr>
            <b/>
            <sz val="9"/>
            <color indexed="81"/>
            <rFont val="Tahoma"/>
            <family val="2"/>
          </rPr>
          <t>Joy Sun:</t>
        </r>
        <r>
          <rPr>
            <sz val="9"/>
            <color indexed="81"/>
            <rFont val="Tahoma"/>
            <family val="2"/>
          </rPr>
          <t xml:space="preserve">
Includes RCT, 200K, Google</t>
        </r>
      </text>
    </comment>
    <comment ref="A67" authorId="0">
      <text>
        <r>
          <rPr>
            <b/>
            <sz val="9"/>
            <color indexed="81"/>
            <rFont val="Tahoma"/>
            <family val="2"/>
          </rPr>
          <t>Joy Sun:</t>
        </r>
        <r>
          <rPr>
            <sz val="9"/>
            <color indexed="81"/>
            <rFont val="Tahoma"/>
            <family val="2"/>
          </rPr>
          <t xml:space="preserve">
Includes RCT, 200K, Google</t>
        </r>
      </text>
    </comment>
  </commentList>
</comments>
</file>

<file path=xl/sharedStrings.xml><?xml version="1.0" encoding="utf-8"?>
<sst xmlns="http://schemas.openxmlformats.org/spreadsheetml/2006/main" count="728" uniqueCount="308">
  <si>
    <t>Revenue</t>
  </si>
  <si>
    <t>FY 2013</t>
  </si>
  <si>
    <t>FY 2014</t>
  </si>
  <si>
    <t>Transfers sent</t>
  </si>
  <si>
    <t>-</t>
  </si>
  <si>
    <t>Total</t>
  </si>
  <si>
    <t>Ke-RCT</t>
  </si>
  <si>
    <t>Ke-200K</t>
  </si>
  <si>
    <t>Ke-Nike</t>
  </si>
  <si>
    <t>Ke-Google</t>
  </si>
  <si>
    <t>Ke-201307</t>
  </si>
  <si>
    <t>Ke-201311</t>
  </si>
  <si>
    <t>Ug-201305</t>
  </si>
  <si>
    <t>Ke-201403</t>
  </si>
  <si>
    <t>Source: Email from Carolina Toth, GiveDirectly, October 17, 2014</t>
  </si>
  <si>
    <t>committed to existing recipients</t>
  </si>
  <si>
    <t>allocated for field (future recipients + expenses)</t>
  </si>
  <si>
    <t>allocated for domestic</t>
  </si>
  <si>
    <t>reserves</t>
  </si>
  <si>
    <t>unallocated</t>
  </si>
  <si>
    <t>Notes</t>
  </si>
  <si>
    <t>Amount</t>
  </si>
  <si>
    <t>Status of funding</t>
  </si>
  <si>
    <t>total</t>
  </si>
  <si>
    <t xml:space="preserve">that Kenya </t>
  </si>
  <si>
    <t xml:space="preserve">Assumptions </t>
  </si>
  <si>
    <t>Pace</t>
  </si>
  <si>
    <t>K hh / month</t>
  </si>
  <si>
    <t>$M/month Kenya</t>
  </si>
  <si>
    <t>$M/month Uganda</t>
  </si>
  <si>
    <t>Increase in transfer size due to inflation in KE</t>
  </si>
  <si>
    <t>Optimal $M/month</t>
  </si>
  <si>
    <t>KE efficiency</t>
  </si>
  <si>
    <t>Intermediate</t>
  </si>
  <si>
    <t>Ug efficiency</t>
  </si>
  <si>
    <t>Comfortable (current FO/FD ratio)</t>
  </si>
  <si>
    <t>Months</t>
  </si>
  <si>
    <t>Uganda pilot</t>
  </si>
  <si>
    <t>K hh</t>
  </si>
  <si>
    <t>$M</t>
  </si>
  <si>
    <t>Size</t>
  </si>
  <si>
    <t>Ug: # months required to increase pace</t>
  </si>
  <si>
    <t>Duration (months)</t>
  </si>
  <si>
    <t>Ke: # months required to increase pace</t>
  </si>
  <si>
    <t>2016 commitments as a % of 2015</t>
  </si>
  <si>
    <t>Note: Total room for funding (RFF) includes funds GD could to commit in both 2015 and 2016, in recognition that having funds ready one year in advance enables better planning and focus on operations</t>
  </si>
  <si>
    <t xml:space="preserve">Scenarios </t>
  </si>
  <si>
    <t>No new approvals in KE (Ugunja and Ukwala only)</t>
  </si>
  <si>
    <t>Unrestricted approvals, vanilla program: intermediate</t>
  </si>
  <si>
    <t>Unrestrited approvals, vanilla program: stretch</t>
  </si>
  <si>
    <t xml:space="preserve">$ M </t>
  </si>
  <si>
    <t>FD-months</t>
  </si>
  <si>
    <t>Kenya- rolling</t>
  </si>
  <si>
    <t>Ke-partnership</t>
  </si>
  <si>
    <t>Uganda- pilot</t>
  </si>
  <si>
    <t>Uganda-rolling</t>
  </si>
  <si>
    <t xml:space="preserve">Set up / buffer </t>
  </si>
  <si>
    <t>Funds committed 2015</t>
  </si>
  <si>
    <t xml:space="preserve">Total RFF </t>
  </si>
  <si>
    <t>Description of activities</t>
  </si>
  <si>
    <t>Finish GE in Kenya, send both FDs to Uganda</t>
  </si>
  <si>
    <t>Intermediate speed in Kenya for full year, pilot in Ug</t>
  </si>
  <si>
    <t>Optimal speed in Kenya for full year, pilot in Ug</t>
  </si>
  <si>
    <t>Room for more funding scenarios</t>
  </si>
  <si>
    <t>Note from GiveDirectly about this document: "We've outlined three scenarios that we think are the most useful, but have set up the excel with assumptions so that you can make and adjust your own scenarios as well. The scenarios are:
A) No new approvals in Kenya. You will notice the amount of funds we could move is higher than the $3M for Ugunja. This is because the approval process in Ukwala is going to be concluded on Tuesday, after a positive first meeting. Although wary of counting our chickens too soon, the official in Ukwala was incredibly supportive and already scheduled follow-on meeting with the Chiefs on Tuesday, at which time she said she would sign the formal agreement. 
B) The most likely scenario which involves increasing pace in Kenya for the whole year
C) A stretch scenario that involves a larger increase in pace and a shorter duration of a pilot in Uganda.
Transfers had not been pegged to inflation in the past, but we expect the board to approve this change in the late Oct. board meeting. We included the inflation assumption in this excel because it has an impact on the RFMF calculation, even though it is not finalized." (Source: Email from Carolina Toth, GiveDirectly, October 17, 2014)</t>
  </si>
  <si>
    <t>Campaign</t>
  </si>
  <si>
    <t>Campaign expenses through end Aug '13</t>
  </si>
  <si>
    <t>Last estimate (9-27-13)</t>
  </si>
  <si>
    <t>Variance</t>
  </si>
  <si>
    <t xml:space="preserve">Incurred </t>
  </si>
  <si>
    <t>Future</t>
  </si>
  <si>
    <t>Total Cost</t>
  </si>
  <si>
    <t>Per HH</t>
  </si>
  <si>
    <t>% of Total</t>
  </si>
  <si>
    <t>Direct Grants To Households</t>
  </si>
  <si>
    <t>Enrollment Costs</t>
  </si>
  <si>
    <t>Transfer Costs</t>
  </si>
  <si>
    <t>Follow-up Costs</t>
  </si>
  <si>
    <t>Core operations</t>
  </si>
  <si>
    <t>Core Operations - general</t>
  </si>
  <si>
    <t>Total spend</t>
  </si>
  <si>
    <t>TOTAL - Ke less Nike</t>
  </si>
  <si>
    <t>notes:</t>
  </si>
  <si>
    <t>-we are no longer updating efficiency for RCT, 200K and Nike as these campaigns are now closed</t>
  </si>
  <si>
    <t>-some changes relative to prior periods are driven by FX variance and revisions to how some costs were allocated either as a result of a policy change or of finding and correcting a bookkeeping error</t>
  </si>
  <si>
    <t>-future expenses based on budgets updated in Oct 2014 for in-progress campaigns Ke-201403 and Ug-201404</t>
  </si>
  <si>
    <t># Recipients</t>
  </si>
  <si>
    <t>Last efficiency estimate (7-23-14)</t>
  </si>
  <si>
    <t>Ug-201404</t>
  </si>
  <si>
    <t>TOTAL - Ug</t>
  </si>
  <si>
    <t>TOTAL</t>
  </si>
  <si>
    <t>GiveWell added this table</t>
  </si>
  <si>
    <t>HHs</t>
  </si>
  <si>
    <t>GiveWell added this column</t>
  </si>
  <si>
    <t>Give Direct Inc.</t>
  </si>
  <si>
    <t>Profit &amp; Loss</t>
  </si>
  <si>
    <t>-All line items &lt;$500 have been annotated; further detail available as needed</t>
  </si>
  <si>
    <t>September 2013 through August 2014</t>
  </si>
  <si>
    <t>-We made a policy change in Q3FY to amortize set-up expenses that are investments in depreciable assets that support ongoing ops (e.g., computers/phones). We continue to keep one-time costs that do not directly support ongoing ops, in Set-up (e.g., legal fees for NGO registration)</t>
  </si>
  <si>
    <t>Ke-Setup</t>
  </si>
  <si>
    <t>notes</t>
  </si>
  <si>
    <t>Ug-Setup</t>
  </si>
  <si>
    <t>Marketing</t>
  </si>
  <si>
    <t>International Expansion</t>
  </si>
  <si>
    <t>Ordinary Income/Expense</t>
  </si>
  <si>
    <t>Expense</t>
  </si>
  <si>
    <t>Direct grants to households</t>
  </si>
  <si>
    <t>Household Transfers</t>
  </si>
  <si>
    <t>Committed Transfers</t>
  </si>
  <si>
    <t>Pmts against committed trsfers</t>
  </si>
  <si>
    <t>Cell phones for recipients</t>
  </si>
  <si>
    <t>Total Direct grants to households</t>
  </si>
  <si>
    <t>Allocated Transfer Fees</t>
  </si>
  <si>
    <t>Mobile Money Fees - Transfers</t>
  </si>
  <si>
    <t>Committed MMT Fees</t>
  </si>
  <si>
    <t>Pmts against committed MMT Fees</t>
  </si>
  <si>
    <t>Foreign Exchange Costs</t>
  </si>
  <si>
    <t>Total Transfer Costs</t>
  </si>
  <si>
    <t>Field staff wage</t>
  </si>
  <si>
    <t>Field staff allowance</t>
  </si>
  <si>
    <t>Field staff insurance</t>
  </si>
  <si>
    <t>Field staff recruit &amp; training</t>
  </si>
  <si>
    <t>FO wage</t>
  </si>
  <si>
    <t>Mobile Money Fees-S&amp;O</t>
  </si>
  <si>
    <t>SFO wage</t>
  </si>
  <si>
    <t>Supplies</t>
  </si>
  <si>
    <t xml:space="preserve">raincoats, boots, helmets for staff; is allocated to campaigns over time </t>
  </si>
  <si>
    <t>Total Enrollment Costs</t>
  </si>
  <si>
    <t>Total Follow-up Costs</t>
  </si>
  <si>
    <t>Management</t>
  </si>
  <si>
    <t>COO time</t>
  </si>
  <si>
    <t>COO-Intl time spent on legal, compliance and govnt affairs</t>
  </si>
  <si>
    <t>COO-Intl time on fundraising</t>
  </si>
  <si>
    <t>FD time</t>
  </si>
  <si>
    <t>SFO time</t>
  </si>
  <si>
    <t>Total Management</t>
  </si>
  <si>
    <t>Total Core Operations - general</t>
  </si>
  <si>
    <t>Accounting</t>
  </si>
  <si>
    <t>Accounting Fees</t>
  </si>
  <si>
    <t>Uganda accountant fees for audit and filings</t>
  </si>
  <si>
    <t>share of accounting fees billed to fundraising operation (shared with field)</t>
  </si>
  <si>
    <t>Bank Fees</t>
  </si>
  <si>
    <t>bank fees (includes reversal of erroneous deposit of $595)</t>
  </si>
  <si>
    <t>Mobile Money Fees</t>
  </si>
  <si>
    <t>Payroll Processing</t>
  </si>
  <si>
    <t>share of payroll fees billed to fundraising operation</t>
  </si>
  <si>
    <t>Total Accounting</t>
  </si>
  <si>
    <t>Infrastructure</t>
  </si>
  <si>
    <t>Office equipment</t>
  </si>
  <si>
    <t>furniture; internet installation; and generator for Kisumu office</t>
  </si>
  <si>
    <t>Office supplies</t>
  </si>
  <si>
    <t>stationery, misc. supplies, whiteboards, office cleaning</t>
  </si>
  <si>
    <t>Postage &amp; Delivery</t>
  </si>
  <si>
    <t>pre-printed, pre-stamped envelopes for receipt mailing</t>
  </si>
  <si>
    <t>Printing and graphics</t>
  </si>
  <si>
    <t>business cards; video for funder presentation</t>
  </si>
  <si>
    <t>Rent/Lease</t>
  </si>
  <si>
    <t>security deposit on Kisumu office</t>
  </si>
  <si>
    <t>NYC office rent</t>
  </si>
  <si>
    <t>Telecommunications</t>
  </si>
  <si>
    <t>VoIP, conference call line, Skype</t>
  </si>
  <si>
    <t>Total Infrastructure</t>
  </si>
  <si>
    <t>IT</t>
  </si>
  <si>
    <t>IT equipment</t>
  </si>
  <si>
    <t>computers; data collection phones and batteries</t>
  </si>
  <si>
    <t>laptops</t>
  </si>
  <si>
    <t>laptops and monitors</t>
  </si>
  <si>
    <t>IT supplies</t>
  </si>
  <si>
    <t>Salesforce implementation (consulting and training fees); software and apps (Dropbox, Asana etc)</t>
  </si>
  <si>
    <t>Website</t>
  </si>
  <si>
    <t>AWS; Github; domain registry</t>
  </si>
  <si>
    <t>Total IT</t>
  </si>
  <si>
    <t>Legal and Compliance</t>
  </si>
  <si>
    <t>Corporate Insurance</t>
  </si>
  <si>
    <t>D&amp;O and general liability insurance</t>
  </si>
  <si>
    <t>Legal Fees</t>
  </si>
  <si>
    <t>lawyer fee for lease review</t>
  </si>
  <si>
    <t>lawyer fee for NGO registration</t>
  </si>
  <si>
    <t>legal fees associated with Segovia split (shared with Segovia)</t>
  </si>
  <si>
    <t>Regulatory filings</t>
  </si>
  <si>
    <t>work permits for US staff in Kenya</t>
  </si>
  <si>
    <t>misc state filings</t>
  </si>
  <si>
    <t>Total Legal and Compliance</t>
  </si>
  <si>
    <t>Employee per diem - other</t>
  </si>
  <si>
    <t xml:space="preserve">COO-Intl time spent on legal &amp; compliance </t>
  </si>
  <si>
    <t>COO-Intl time spent on fundraising</t>
  </si>
  <si>
    <t>Disability Insurance</t>
  </si>
  <si>
    <t>disability insurance policy</t>
  </si>
  <si>
    <t>Domestic time</t>
  </si>
  <si>
    <t>COO-Domestic time on org set-up in 2013</t>
  </si>
  <si>
    <t>domestic staff time spent on fundraising (President, COO-Domestic, Outreach Coordinators (2), Program Assistant, Manager People and Partnerships)</t>
  </si>
  <si>
    <t>Employee travel - airfare</t>
  </si>
  <si>
    <t>COO-Intl travel for govnt relations work (primarily to/from NBO)</t>
  </si>
  <si>
    <t>domestic staff travel for fundraising</t>
  </si>
  <si>
    <t>Employee travel - other</t>
  </si>
  <si>
    <t>COO-Intl travel between Mbale/Kampala</t>
  </si>
  <si>
    <t>Employee travel - per diem</t>
  </si>
  <si>
    <t>COO-Intl per diem costs for travel in NBO on govnt relations work</t>
  </si>
  <si>
    <t>FD time on legal, compliance, govnt relations</t>
  </si>
  <si>
    <t>FD time spent on fundraising</t>
  </si>
  <si>
    <t>FO time</t>
  </si>
  <si>
    <t>Health insurance</t>
  </si>
  <si>
    <t xml:space="preserve">insurance for Kenya staff paid upfront; is allocated to campaigns over time </t>
  </si>
  <si>
    <t>health expense tied to COO-Domestic time (row 76)</t>
  </si>
  <si>
    <t>health expense tied to staff time spent on fundraising</t>
  </si>
  <si>
    <t>In-country Payroll Tax Expense</t>
  </si>
  <si>
    <t>Other field staff time</t>
  </si>
  <si>
    <t>Recruiting and training</t>
  </si>
  <si>
    <t>job postings; team retreat; team events</t>
  </si>
  <si>
    <t>US Payroll Tax Expense</t>
  </si>
  <si>
    <t>payroll expense tied to COO-Domestic time (row 76)</t>
  </si>
  <si>
    <t>payroll expense tied to staff time spent on fundraising</t>
  </si>
  <si>
    <t>Other core ops-campaign</t>
  </si>
  <si>
    <t>Total Core operations</t>
  </si>
  <si>
    <t>Total Expense</t>
  </si>
  <si>
    <t>Kenya</t>
  </si>
  <si>
    <t xml:space="preserve">IT Costs </t>
  </si>
  <si>
    <t>Uganda</t>
  </si>
  <si>
    <t>Registration Fees</t>
  </si>
  <si>
    <t xml:space="preserve">Legal Fees </t>
  </si>
  <si>
    <t>Outreach Costs</t>
  </si>
  <si>
    <t xml:space="preserve">Total Start up and Outreach </t>
  </si>
  <si>
    <t>Total set-up</t>
  </si>
  <si>
    <t>Source: "Set up and Domestic expenses for GW, October 2, 2013"</t>
  </si>
  <si>
    <t>Give Direct, Inc.</t>
  </si>
  <si>
    <t>All line items &lt;$500 have been annotated</t>
  </si>
  <si>
    <t>September 2012 through August 2013</t>
  </si>
  <si>
    <t>Core Operations</t>
  </si>
  <si>
    <t>COO-Intl time spent on, for example, pursuing NGO registration, establishing new payment provider partnerships, meeting with govnt officials</t>
  </si>
  <si>
    <t>COO-Intl time spent on fundraising visits in field</t>
  </si>
  <si>
    <t>FD time spent on, for example, finding office space, setting up office, opening bank accounts, meeting with accountants and lawyers on compliance matters</t>
  </si>
  <si>
    <t>FD time spent on fundraising visits in field</t>
  </si>
  <si>
    <t>COO-Domestic time spent on Ug set up and org systems building</t>
  </si>
  <si>
    <t>COO-Domestic time spent on fundraising work</t>
  </si>
  <si>
    <t xml:space="preserve">Pro-rated health insurance expenses for COO-Intl and COO-Domestic time spent on Ug set up </t>
  </si>
  <si>
    <t>Pro-rated health insurance expenses for COO-Intl and COO-Domestic time spent on fundraising</t>
  </si>
  <si>
    <t>Pro-rated payroll tax expenses for COO-Intl and COO-Domestic time spent on Ug set up</t>
  </si>
  <si>
    <t>Pro-rated payroll tax expenses for COO-Intl and COO-Domestic time spent on Fundraising</t>
  </si>
  <si>
    <t>COO-Domestic RT airfare to Uganda for set up work</t>
  </si>
  <si>
    <t>COO-Intl and COO-Domestic per diems for Ug travel for set up work</t>
  </si>
  <si>
    <t>Deposit for office lease</t>
  </si>
  <si>
    <t>Deposit and 2 mo rent for NYC office space</t>
  </si>
  <si>
    <t>Furniture and equipment (e.g., printer, curtains) for office)</t>
  </si>
  <si>
    <t>Ug bank account charges associated with set up work in Apr-May</t>
  </si>
  <si>
    <t xml:space="preserve">Legal fees for NGO registration </t>
  </si>
  <si>
    <t>Laptops for staff</t>
  </si>
  <si>
    <t>Laptops for staff; smartphones; mobile phones for pilot</t>
  </si>
  <si>
    <t>Software (DropBox, QuickBooks)</t>
  </si>
  <si>
    <t>Source: "GiveDirectly, Board spending breakdown" (http://www.givewell.org/files/DWDA%202009/GiveDirectly/board%20spending.pdf)</t>
  </si>
  <si>
    <t>Pre-FY 2013</t>
  </si>
  <si>
    <t>International expansion</t>
  </si>
  <si>
    <t>Excluded from total expenses</t>
  </si>
  <si>
    <t>Set up</t>
  </si>
  <si>
    <t>% of total incurred</t>
  </si>
  <si>
    <t>% of total</t>
  </si>
  <si>
    <t>Transfers pending</t>
  </si>
  <si>
    <t>total kenya correct+Ug correct #</t>
  </si>
  <si>
    <t>reported FY13 annual report</t>
  </si>
  <si>
    <t>difference</t>
  </si>
  <si>
    <t>likely related to discontinuity in FY12 and FY13 bookkeeping</t>
  </si>
  <si>
    <t>formerly reported (incorrect) values - incurred transfers</t>
  </si>
  <si>
    <t>Total (per year)</t>
  </si>
  <si>
    <t>Total set up (cumulative)</t>
  </si>
  <si>
    <t>Total marketing (cumulative)</t>
  </si>
  <si>
    <t>Set up and marketing costs</t>
  </si>
  <si>
    <t>Campaign costs</t>
  </si>
  <si>
    <t>Incurred</t>
  </si>
  <si>
    <t>Total (incurred)</t>
  </si>
  <si>
    <t>Total (incurred + future)</t>
  </si>
  <si>
    <t>Total costs</t>
  </si>
  <si>
    <t>Total (future + incurred)</t>
  </si>
  <si>
    <t>% of Total (incurred)</t>
  </si>
  <si>
    <t>% of Total (future + incurred)</t>
  </si>
  <si>
    <t>Total (cumulative)</t>
  </si>
  <si>
    <t>From GiveDirectly: "(expected to be allocated to the field in October board meeting)"</t>
  </si>
  <si>
    <t>Pre-FY 2013 revenue</t>
  </si>
  <si>
    <t>Pre-FY 2013 costs</t>
  </si>
  <si>
    <t>FY 2013 revenue</t>
  </si>
  <si>
    <t>FY 2013 costs</t>
  </si>
  <si>
    <t>FY 2014 revenue</t>
  </si>
  <si>
    <t>Total revenue</t>
  </si>
  <si>
    <t>Other set up, marketing, and campaign costs</t>
  </si>
  <si>
    <t>Other set up, marketing, and campaign costs pending</t>
  </si>
  <si>
    <t>$2 M</t>
  </si>
  <si>
    <t>$1.8 M</t>
  </si>
  <si>
    <t>laptop for secondee from USAID</t>
  </si>
  <si>
    <t>COO-Intl time spent on expansion work</t>
  </si>
  <si>
    <t>COO-Intl per diem related to expansion work</t>
  </si>
  <si>
    <t>~40 hours/weekpre-2014</t>
  </si>
  <si>
    <t>Research costs of independently-run studies of GiveDirectly's program</t>
  </si>
  <si>
    <t>No estimate</t>
  </si>
  <si>
    <t>Total set up and marketing (cumulative)</t>
  </si>
  <si>
    <t>FY 2014+</t>
  </si>
  <si>
    <t>FY 2014+ costs</t>
  </si>
  <si>
    <t>Reserves for staff salaries in the event of funding shortfall</t>
  </si>
  <si>
    <t>Fundraising (marketing) budget for 2015 (set aside, not yet incurred)</t>
  </si>
  <si>
    <t>President's volunteer hours pre-FY 2014</t>
  </si>
  <si>
    <t>GW added this column</t>
  </si>
  <si>
    <t>% of total costs incurred</t>
  </si>
  <si>
    <t>Author: GiveDirectly</t>
  </si>
  <si>
    <t>20141111 efficiency update</t>
  </si>
  <si>
    <t>Author: GiveWell</t>
  </si>
  <si>
    <t>Sum total expense (GiveWell added)</t>
  </si>
  <si>
    <t>20141017_Room for more funding scenarios</t>
  </si>
  <si>
    <r>
      <t>Funding in the bank </t>
    </r>
    <r>
      <rPr>
        <sz val="13"/>
        <color theme="4"/>
        <rFont val="Arial"/>
      </rPr>
      <t>(as of September ~3rd) </t>
    </r>
  </si>
  <si>
    <t>From GiveWell: Considered incurred cost in GiveDirectly's accounting</t>
  </si>
  <si>
    <t>From GiveWell: Will be "committed" once recipients are enrolled</t>
  </si>
  <si>
    <t>Sources: see comments and references to other sheets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</si>
</sst>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_);_(* \(#,##0\);_(* &quot;-&quot;_);_(@_)"/>
    <numFmt numFmtId="165" formatCode="_(* #,##0_);_(* \(#,##0\);_(* &quot;-&quot;??_);_(@_)"/>
    <numFmt numFmtId="167" formatCode="0.0%"/>
    <numFmt numFmtId="168" formatCode="&quot;$&quot;#,##0;[Red]&quot;$&quot;#,##0"/>
    <numFmt numFmtId="169" formatCode="0.0"/>
    <numFmt numFmtId="170" formatCode="_-* #,##0_-;\-* #,##0_-;_-* &quot;-&quot;??_-;_-@_-"/>
    <numFmt numFmtId="171" formatCode="_-&quot;$&quot;* #,##0_-;\-&quot;$&quot;* #,##0_-;_-&quot;$&quot;* &quot;-&quot;??_-;_-@_-"/>
  </numFmts>
  <fonts count="46" x14ac:knownFonts="1">
    <font>
      <sz val="12"/>
      <color theme="1"/>
      <name val="Calibri"/>
      <family val="2"/>
      <scheme val="minor"/>
    </font>
    <font>
      <sz val="9"/>
      <color indexed="81"/>
      <name val="Calibri"/>
      <family val="2"/>
    </font>
    <font>
      <b/>
      <sz val="9"/>
      <color indexed="81"/>
      <name val="Calibri"/>
      <family val="2"/>
    </font>
    <font>
      <b/>
      <sz val="10"/>
      <name val="Arial"/>
      <family val="2"/>
    </font>
    <font>
      <sz val="10"/>
      <name val="Arial"/>
      <family val="2"/>
    </font>
    <font>
      <sz val="11"/>
      <name val="Arial"/>
      <family val="2"/>
    </font>
    <font>
      <b/>
      <i/>
      <sz val="10"/>
      <name val="Arial"/>
      <family val="2"/>
    </font>
    <font>
      <b/>
      <sz val="9"/>
      <color indexed="81"/>
      <name val="Tahoma"/>
      <family val="2"/>
    </font>
    <font>
      <sz val="9"/>
      <color indexed="81"/>
      <name val="Tahoma"/>
      <family val="2"/>
    </font>
    <font>
      <sz val="12"/>
      <color theme="1"/>
      <name val="Calibri"/>
      <family val="2"/>
      <scheme val="minor"/>
    </font>
    <font>
      <sz val="12"/>
      <name val="Calibri"/>
      <scheme val="minor"/>
    </font>
    <font>
      <b/>
      <sz val="10"/>
      <color theme="1"/>
      <name val="Calibri"/>
      <family val="2"/>
      <scheme val="minor"/>
    </font>
    <font>
      <sz val="10"/>
      <color theme="1"/>
      <name val="Calibri"/>
      <family val="2"/>
      <scheme val="minor"/>
    </font>
    <font>
      <b/>
      <sz val="14"/>
      <color theme="1"/>
      <name val="Calibri"/>
      <scheme val="minor"/>
    </font>
    <font>
      <sz val="10"/>
      <color theme="1"/>
      <name val="Arial"/>
      <family val="2"/>
    </font>
    <font>
      <sz val="11"/>
      <color theme="1"/>
      <name val="Arial"/>
      <family val="2"/>
    </font>
    <font>
      <b/>
      <sz val="10"/>
      <color theme="1"/>
      <name val="Arial"/>
      <family val="2"/>
    </font>
    <font>
      <sz val="10"/>
      <color theme="0" tint="-0.499984740745262"/>
      <name val="Arial"/>
      <family val="2"/>
    </font>
    <font>
      <b/>
      <sz val="10"/>
      <color theme="0" tint="-0.499984740745262"/>
      <name val="Arial"/>
      <family val="2"/>
    </font>
    <font>
      <sz val="11"/>
      <color theme="0" tint="-0.499984740745262"/>
      <name val="Arial"/>
      <family val="2"/>
    </font>
    <font>
      <b/>
      <i/>
      <sz val="10"/>
      <color theme="0" tint="-0.499984740745262"/>
      <name val="Arial"/>
      <family val="2"/>
    </font>
    <font>
      <b/>
      <sz val="12"/>
      <color rgb="FF000080"/>
      <name val="Arial"/>
      <family val="2"/>
    </font>
    <font>
      <b/>
      <sz val="8"/>
      <color rgb="FF000000"/>
      <name val="Arial"/>
      <family val="2"/>
    </font>
    <font>
      <sz val="9"/>
      <color theme="1"/>
      <name val="Arial"/>
      <family val="2"/>
    </font>
    <font>
      <b/>
      <sz val="14"/>
      <color rgb="FF000080"/>
      <name val="Arial"/>
      <family val="2"/>
    </font>
    <font>
      <b/>
      <sz val="10"/>
      <color rgb="FF000080"/>
      <name val="Arial"/>
      <family val="2"/>
    </font>
    <font>
      <b/>
      <sz val="9"/>
      <color theme="1"/>
      <name val="Arial"/>
      <family val="2"/>
    </font>
    <font>
      <sz val="8"/>
      <color rgb="FF000000"/>
      <name val="Arial"/>
      <family val="2"/>
    </font>
    <font>
      <b/>
      <sz val="12"/>
      <color theme="4"/>
      <name val="Calibri"/>
      <scheme val="minor"/>
    </font>
    <font>
      <sz val="12"/>
      <color theme="4"/>
      <name val="Calibri"/>
      <scheme val="minor"/>
    </font>
    <font>
      <b/>
      <sz val="11"/>
      <color theme="1"/>
      <name val="Calibri"/>
      <family val="2"/>
      <scheme val="minor"/>
    </font>
    <font>
      <u/>
      <sz val="12"/>
      <color theme="10"/>
      <name val="Calibri"/>
      <family val="2"/>
      <scheme val="minor"/>
    </font>
    <font>
      <u/>
      <sz val="12"/>
      <color theme="11"/>
      <name val="Calibri"/>
      <family val="2"/>
      <scheme val="minor"/>
    </font>
    <font>
      <b/>
      <sz val="10"/>
      <color theme="4"/>
      <name val="Arial"/>
      <family val="2"/>
    </font>
    <font>
      <sz val="10"/>
      <color theme="4"/>
      <name val="Arial"/>
      <family val="2"/>
    </font>
    <font>
      <b/>
      <i/>
      <sz val="10"/>
      <color theme="4"/>
      <name val="Arial"/>
      <family val="2"/>
    </font>
    <font>
      <sz val="12"/>
      <color theme="4"/>
      <name val="Arial"/>
    </font>
    <font>
      <b/>
      <sz val="11"/>
      <color theme="4"/>
      <name val="Calibri"/>
      <family val="2"/>
      <scheme val="minor"/>
    </font>
    <font>
      <i/>
      <sz val="11"/>
      <color theme="4"/>
      <name val="Calibri"/>
      <scheme val="minor"/>
    </font>
    <font>
      <b/>
      <i/>
      <sz val="11"/>
      <color theme="4"/>
      <name val="Calibri"/>
      <scheme val="minor"/>
    </font>
    <font>
      <sz val="11"/>
      <color theme="4"/>
      <name val="Calibri"/>
      <scheme val="minor"/>
    </font>
    <font>
      <b/>
      <sz val="12"/>
      <color theme="1"/>
      <name val="Calibri"/>
      <family val="2"/>
      <scheme val="minor"/>
    </font>
    <font>
      <sz val="11"/>
      <color theme="4"/>
      <name val="Arial"/>
      <family val="2"/>
    </font>
    <font>
      <b/>
      <sz val="12"/>
      <color theme="4"/>
      <name val="Arial"/>
    </font>
    <font>
      <b/>
      <sz val="13"/>
      <color theme="4"/>
      <name val="Arial"/>
    </font>
    <font>
      <sz val="13"/>
      <color theme="4"/>
      <name val="Arial"/>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26">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ck">
        <color auto="1"/>
      </bottom>
      <diagonal/>
    </border>
    <border>
      <left/>
      <right/>
      <top/>
      <bottom style="medium">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top/>
      <bottom style="double">
        <color auto="1"/>
      </bottom>
      <diagonal/>
    </border>
  </borders>
  <cellStyleXfs count="386">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218">
    <xf numFmtId="0" fontId="0" fillId="0" borderId="0" xfId="0"/>
    <xf numFmtId="169" fontId="12" fillId="0" borderId="0" xfId="0" applyNumberFormat="1" applyFont="1"/>
    <xf numFmtId="169" fontId="12" fillId="0" borderId="0" xfId="0" applyNumberFormat="1" applyFont="1" applyFill="1" applyAlignment="1"/>
    <xf numFmtId="169" fontId="12" fillId="0" borderId="0" xfId="0" applyNumberFormat="1" applyFont="1" applyAlignment="1">
      <alignment wrapText="1"/>
    </xf>
    <xf numFmtId="169" fontId="12" fillId="0" borderId="0" xfId="0" applyNumberFormat="1" applyFont="1" applyFill="1" applyAlignment="1">
      <alignment wrapText="1"/>
    </xf>
    <xf numFmtId="9" fontId="12" fillId="0" borderId="0" xfId="3" applyFont="1" applyFill="1"/>
    <xf numFmtId="169" fontId="12" fillId="0" borderId="0" xfId="0" applyNumberFormat="1" applyFont="1" applyFill="1"/>
    <xf numFmtId="9" fontId="12" fillId="0" borderId="0" xfId="3" applyFont="1"/>
    <xf numFmtId="169" fontId="12" fillId="0" borderId="0" xfId="0" applyNumberFormat="1" applyFont="1" applyAlignment="1">
      <alignment horizontal="left" wrapText="1"/>
    </xf>
    <xf numFmtId="169" fontId="12" fillId="0" borderId="5" xfId="0" applyNumberFormat="1" applyFont="1" applyBorder="1"/>
    <xf numFmtId="169" fontId="12" fillId="0" borderId="6" xfId="0" applyNumberFormat="1" applyFont="1" applyBorder="1"/>
    <xf numFmtId="1" fontId="12" fillId="0" borderId="0" xfId="0" applyNumberFormat="1" applyFont="1" applyAlignment="1">
      <alignment horizontal="right"/>
    </xf>
    <xf numFmtId="169" fontId="12" fillId="0" borderId="7" xfId="0" applyNumberFormat="1" applyFont="1" applyBorder="1"/>
    <xf numFmtId="169" fontId="12" fillId="0" borderId="2" xfId="0" applyNumberFormat="1" applyFont="1" applyBorder="1"/>
    <xf numFmtId="169" fontId="12" fillId="0" borderId="8" xfId="0" applyNumberFormat="1" applyFont="1" applyBorder="1"/>
    <xf numFmtId="169" fontId="12" fillId="0" borderId="9" xfId="0" applyNumberFormat="1" applyFont="1" applyBorder="1"/>
    <xf numFmtId="169" fontId="12" fillId="0" borderId="9" xfId="0" applyNumberFormat="1" applyFont="1" applyFill="1" applyBorder="1"/>
    <xf numFmtId="169" fontId="12" fillId="0" borderId="8" xfId="0" applyNumberFormat="1" applyFont="1" applyFill="1" applyBorder="1"/>
    <xf numFmtId="1" fontId="12" fillId="0" borderId="0" xfId="2" applyNumberFormat="1" applyFont="1" applyFill="1" applyAlignment="1">
      <alignment horizontal="right"/>
    </xf>
    <xf numFmtId="169" fontId="12" fillId="0" borderId="0" xfId="1" applyNumberFormat="1" applyFont="1" applyFill="1"/>
    <xf numFmtId="169" fontId="12" fillId="0" borderId="10" xfId="0" applyNumberFormat="1" applyFont="1" applyBorder="1" applyAlignment="1">
      <alignment horizontal="right"/>
    </xf>
    <xf numFmtId="1" fontId="12" fillId="0" borderId="10" xfId="0" applyNumberFormat="1" applyFont="1" applyBorder="1"/>
    <xf numFmtId="169" fontId="12" fillId="0" borderId="10" xfId="0" applyNumberFormat="1" applyFont="1" applyBorder="1"/>
    <xf numFmtId="0" fontId="13" fillId="0" borderId="0" xfId="0" applyFont="1"/>
    <xf numFmtId="0" fontId="0" fillId="0" borderId="0" xfId="0" applyAlignment="1"/>
    <xf numFmtId="0" fontId="14" fillId="0" borderId="0" xfId="0" applyFont="1"/>
    <xf numFmtId="167" fontId="14" fillId="0" borderId="0" xfId="3" applyNumberFormat="1" applyFont="1" applyAlignment="1">
      <alignment wrapText="1"/>
    </xf>
    <xf numFmtId="0" fontId="3" fillId="4" borderId="11" xfId="0" applyFont="1" applyFill="1" applyBorder="1" applyAlignment="1">
      <alignment horizontal="left"/>
    </xf>
    <xf numFmtId="164" fontId="3" fillId="4" borderId="12" xfId="0" applyNumberFormat="1" applyFont="1" applyFill="1" applyBorder="1" applyAlignment="1">
      <alignment horizontal="left"/>
    </xf>
    <xf numFmtId="164" fontId="3" fillId="4" borderId="12" xfId="0" applyNumberFormat="1" applyFont="1" applyFill="1" applyBorder="1" applyAlignment="1"/>
    <xf numFmtId="167" fontId="3" fillId="4" borderId="13" xfId="0" quotePrefix="1" applyNumberFormat="1" applyFont="1" applyFill="1" applyBorder="1" applyAlignment="1"/>
    <xf numFmtId="167" fontId="14" fillId="0" borderId="0" xfId="3" applyNumberFormat="1" applyFont="1"/>
    <xf numFmtId="0" fontId="4" fillId="0" borderId="0" xfId="0" applyFont="1"/>
    <xf numFmtId="0" fontId="4" fillId="2" borderId="14" xfId="0" applyFont="1" applyFill="1" applyBorder="1" applyAlignment="1">
      <alignment horizontal="left"/>
    </xf>
    <xf numFmtId="165" fontId="4" fillId="2" borderId="0" xfId="1" applyNumberFormat="1" applyFont="1" applyFill="1" applyBorder="1" applyAlignment="1">
      <alignment horizontal="left"/>
    </xf>
    <xf numFmtId="164" fontId="4" fillId="2" borderId="0" xfId="0" applyNumberFormat="1" applyFont="1" applyFill="1" applyBorder="1" applyAlignment="1">
      <alignment horizontal="left"/>
    </xf>
    <xf numFmtId="165" fontId="4" fillId="2" borderId="0" xfId="0" applyNumberFormat="1" applyFont="1" applyFill="1" applyBorder="1" applyAlignment="1"/>
    <xf numFmtId="167" fontId="4" fillId="2" borderId="15" xfId="3" applyNumberFormat="1" applyFont="1" applyFill="1" applyBorder="1" applyAlignment="1"/>
    <xf numFmtId="167" fontId="4" fillId="0" borderId="0" xfId="3" applyNumberFormat="1" applyFont="1"/>
    <xf numFmtId="0" fontId="5" fillId="0" borderId="0" xfId="0" applyFont="1"/>
    <xf numFmtId="0" fontId="6" fillId="2" borderId="16" xfId="0" applyFont="1" applyFill="1" applyBorder="1" applyAlignment="1">
      <alignment horizontal="left"/>
    </xf>
    <xf numFmtId="164" fontId="3" fillId="2" borderId="17" xfId="0" applyNumberFormat="1" applyFont="1" applyFill="1" applyBorder="1" applyAlignment="1">
      <alignment horizontal="left"/>
    </xf>
    <xf numFmtId="164" fontId="3" fillId="2" borderId="17" xfId="0" applyNumberFormat="1" applyFont="1" applyFill="1" applyBorder="1" applyAlignment="1"/>
    <xf numFmtId="167" fontId="3" fillId="2" borderId="18" xfId="0" applyNumberFormat="1" applyFont="1" applyFill="1" applyBorder="1" applyAlignment="1"/>
    <xf numFmtId="0" fontId="14" fillId="2" borderId="0" xfId="0" applyFont="1" applyFill="1"/>
    <xf numFmtId="0" fontId="4" fillId="2" borderId="0" xfId="0" applyFont="1" applyFill="1"/>
    <xf numFmtId="165" fontId="4" fillId="0" borderId="0" xfId="1" applyNumberFormat="1" applyFont="1" applyFill="1" applyBorder="1" applyAlignment="1">
      <alignment horizontal="left"/>
    </xf>
    <xf numFmtId="0" fontId="15" fillId="0" borderId="0" xfId="0" applyFont="1"/>
    <xf numFmtId="0" fontId="0" fillId="2" borderId="0" xfId="0" applyFill="1"/>
    <xf numFmtId="0" fontId="14" fillId="2" borderId="0" xfId="0" quotePrefix="1" applyFont="1" applyFill="1"/>
    <xf numFmtId="0" fontId="16" fillId="2" borderId="0" xfId="0" applyFont="1" applyFill="1"/>
    <xf numFmtId="165" fontId="14" fillId="2" borderId="0" xfId="0" applyNumberFormat="1" applyFont="1" applyFill="1"/>
    <xf numFmtId="167" fontId="14" fillId="2" borderId="0" xfId="3" applyNumberFormat="1" applyFont="1" applyFill="1" applyAlignment="1">
      <alignment wrapText="1"/>
    </xf>
    <xf numFmtId="0" fontId="15" fillId="2" borderId="0" xfId="0" applyFont="1" applyFill="1"/>
    <xf numFmtId="0" fontId="17" fillId="2" borderId="0" xfId="0" applyFont="1" applyFill="1"/>
    <xf numFmtId="0" fontId="18" fillId="4" borderId="11" xfId="0" applyFont="1" applyFill="1" applyBorder="1" applyAlignment="1">
      <alignment horizontal="left"/>
    </xf>
    <xf numFmtId="164" fontId="18" fillId="4" borderId="12" xfId="0" applyNumberFormat="1" applyFont="1" applyFill="1" applyBorder="1" applyAlignment="1">
      <alignment horizontal="left"/>
    </xf>
    <xf numFmtId="164" fontId="18" fillId="4" borderId="12" xfId="0" applyNumberFormat="1" applyFont="1" applyFill="1" applyBorder="1" applyAlignment="1"/>
    <xf numFmtId="167" fontId="18" fillId="4" borderId="13" xfId="0" quotePrefix="1" applyNumberFormat="1" applyFont="1" applyFill="1" applyBorder="1" applyAlignment="1"/>
    <xf numFmtId="167" fontId="17" fillId="2" borderId="0" xfId="3" applyNumberFormat="1" applyFont="1" applyFill="1"/>
    <xf numFmtId="0" fontId="19" fillId="2" borderId="0" xfId="0" applyFont="1" applyFill="1"/>
    <xf numFmtId="0" fontId="17" fillId="2" borderId="14" xfId="0" applyFont="1" applyFill="1" applyBorder="1" applyAlignment="1">
      <alignment horizontal="left"/>
    </xf>
    <xf numFmtId="165" fontId="17" fillId="2" borderId="0" xfId="1" applyNumberFormat="1" applyFont="1" applyFill="1" applyBorder="1" applyAlignment="1">
      <alignment horizontal="left"/>
    </xf>
    <xf numFmtId="165" fontId="17" fillId="2" borderId="0" xfId="0" applyNumberFormat="1" applyFont="1" applyFill="1" applyBorder="1" applyAlignment="1"/>
    <xf numFmtId="167" fontId="17" fillId="2" borderId="15" xfId="3" applyNumberFormat="1" applyFont="1" applyFill="1" applyBorder="1" applyAlignment="1"/>
    <xf numFmtId="167" fontId="17" fillId="2" borderId="0" xfId="0" applyNumberFormat="1" applyFont="1" applyFill="1"/>
    <xf numFmtId="0" fontId="20" fillId="2" borderId="16" xfId="0" applyFont="1" applyFill="1" applyBorder="1" applyAlignment="1">
      <alignment horizontal="left"/>
    </xf>
    <xf numFmtId="164" fontId="18" fillId="2" borderId="17" xfId="0" applyNumberFormat="1" applyFont="1" applyFill="1" applyBorder="1" applyAlignment="1">
      <alignment horizontal="left"/>
    </xf>
    <xf numFmtId="165" fontId="18" fillId="2" borderId="17" xfId="0" applyNumberFormat="1" applyFont="1" applyFill="1" applyBorder="1" applyAlignment="1">
      <alignment horizontal="left"/>
    </xf>
    <xf numFmtId="167" fontId="18" fillId="2" borderId="18" xfId="0" applyNumberFormat="1" applyFont="1" applyFill="1" applyBorder="1" applyAlignment="1"/>
    <xf numFmtId="165" fontId="17" fillId="2" borderId="0" xfId="0" applyNumberFormat="1" applyFont="1" applyFill="1"/>
    <xf numFmtId="165" fontId="18" fillId="4" borderId="12" xfId="0" applyNumberFormat="1" applyFont="1" applyFill="1" applyBorder="1" applyAlignment="1"/>
    <xf numFmtId="165" fontId="18" fillId="2" borderId="17" xfId="0" applyNumberFormat="1" applyFont="1" applyFill="1" applyBorder="1" applyAlignment="1"/>
    <xf numFmtId="167" fontId="14" fillId="2" borderId="0" xfId="3" applyNumberFormat="1" applyFont="1" applyFill="1"/>
    <xf numFmtId="167" fontId="4" fillId="2" borderId="0" xfId="3" applyNumberFormat="1" applyFont="1" applyFill="1"/>
    <xf numFmtId="165" fontId="3" fillId="4" borderId="12" xfId="0" applyNumberFormat="1" applyFont="1" applyFill="1" applyBorder="1" applyAlignment="1"/>
    <xf numFmtId="167" fontId="4" fillId="2" borderId="0" xfId="3" applyNumberFormat="1" applyFont="1" applyFill="1" applyBorder="1" applyAlignment="1"/>
    <xf numFmtId="167" fontId="4" fillId="2" borderId="0" xfId="3" applyNumberFormat="1" applyFont="1" applyFill="1" applyBorder="1"/>
    <xf numFmtId="165" fontId="3" fillId="2" borderId="17" xfId="0" applyNumberFormat="1" applyFont="1" applyFill="1" applyBorder="1" applyAlignment="1">
      <alignment horizontal="left"/>
    </xf>
    <xf numFmtId="167" fontId="14" fillId="2" borderId="0" xfId="0" applyNumberFormat="1" applyFont="1" applyFill="1"/>
    <xf numFmtId="10" fontId="14" fillId="2" borderId="0" xfId="0" applyNumberFormat="1" applyFont="1" applyFill="1"/>
    <xf numFmtId="165" fontId="4" fillId="2" borderId="0" xfId="1" applyNumberFormat="1" applyFont="1" applyFill="1" applyBorder="1" applyAlignment="1">
      <alignment horizontal="right"/>
    </xf>
    <xf numFmtId="164" fontId="3" fillId="2" borderId="17" xfId="0" applyNumberFormat="1" applyFont="1" applyFill="1" applyBorder="1" applyAlignment="1">
      <alignment horizontal="right"/>
    </xf>
    <xf numFmtId="0" fontId="6" fillId="2" borderId="0" xfId="0" applyFont="1" applyFill="1" applyBorder="1" applyAlignment="1">
      <alignment horizontal="left"/>
    </xf>
    <xf numFmtId="164" fontId="3" fillId="2" borderId="0" xfId="0" applyNumberFormat="1" applyFont="1" applyFill="1" applyBorder="1" applyAlignment="1">
      <alignment horizontal="left"/>
    </xf>
    <xf numFmtId="165" fontId="3" fillId="2" borderId="0" xfId="0" applyNumberFormat="1" applyFont="1" applyFill="1" applyBorder="1" applyAlignment="1"/>
    <xf numFmtId="167" fontId="3" fillId="2" borderId="0" xfId="0" applyNumberFormat="1" applyFont="1" applyFill="1" applyBorder="1" applyAlignment="1"/>
    <xf numFmtId="167" fontId="15" fillId="2" borderId="0" xfId="0" applyNumberFormat="1" applyFont="1" applyFill="1"/>
    <xf numFmtId="165" fontId="3" fillId="2" borderId="0" xfId="0" applyNumberFormat="1" applyFont="1" applyFill="1" applyBorder="1" applyAlignment="1">
      <alignment horizontal="left"/>
    </xf>
    <xf numFmtId="167" fontId="4" fillId="0" borderId="0" xfId="3" applyNumberFormat="1" applyFont="1" applyBorder="1"/>
    <xf numFmtId="49" fontId="21" fillId="0" borderId="0" xfId="0" applyNumberFormat="1" applyFont="1" applyAlignment="1">
      <alignment horizontal="centerContinuous"/>
    </xf>
    <xf numFmtId="49" fontId="22" fillId="0" borderId="0" xfId="0" applyNumberFormat="1" applyFont="1" applyAlignment="1">
      <alignment horizontal="centerContinuous"/>
    </xf>
    <xf numFmtId="0" fontId="23" fillId="0" borderId="0" xfId="0" applyNumberFormat="1" applyFont="1"/>
    <xf numFmtId="49" fontId="23" fillId="0" borderId="0" xfId="0" applyNumberFormat="1" applyFont="1"/>
    <xf numFmtId="49" fontId="0" fillId="0" borderId="0" xfId="0" applyNumberFormat="1"/>
    <xf numFmtId="0" fontId="23" fillId="0" borderId="0" xfId="0" applyFont="1"/>
    <xf numFmtId="49" fontId="24" fillId="0" borderId="0" xfId="0" applyNumberFormat="1" applyFont="1" applyAlignment="1">
      <alignment horizontal="centerContinuous"/>
    </xf>
    <xf numFmtId="49" fontId="23" fillId="0" borderId="0" xfId="0" quotePrefix="1" applyNumberFormat="1" applyFont="1"/>
    <xf numFmtId="49" fontId="25" fillId="0" borderId="0" xfId="0" applyNumberFormat="1" applyFont="1" applyAlignment="1">
      <alignment horizontal="centerContinuous"/>
    </xf>
    <xf numFmtId="49" fontId="22" fillId="0" borderId="0" xfId="0" applyNumberFormat="1" applyFont="1" applyAlignment="1">
      <alignment horizontal="center"/>
    </xf>
    <xf numFmtId="0" fontId="0" fillId="0" borderId="0" xfId="0" applyAlignment="1">
      <alignment horizontal="center"/>
    </xf>
    <xf numFmtId="49" fontId="0" fillId="0" borderId="0" xfId="0" applyNumberFormat="1" applyAlignment="1">
      <alignment horizontal="center"/>
    </xf>
    <xf numFmtId="0" fontId="23" fillId="0" borderId="0" xfId="0" applyFont="1" applyAlignment="1">
      <alignment horizontal="center"/>
    </xf>
    <xf numFmtId="49" fontId="22" fillId="0" borderId="0" xfId="0" applyNumberFormat="1" applyFont="1" applyAlignment="1">
      <alignment horizontal="center" wrapText="1"/>
    </xf>
    <xf numFmtId="49" fontId="22" fillId="0" borderId="21" xfId="0" applyNumberFormat="1" applyFont="1" applyBorder="1" applyAlignment="1">
      <alignment horizontal="center" wrapText="1"/>
    </xf>
    <xf numFmtId="0" fontId="26" fillId="0" borderId="0" xfId="0" applyFont="1" applyAlignment="1">
      <alignment horizontal="center" wrapText="1"/>
    </xf>
    <xf numFmtId="0" fontId="0" fillId="0" borderId="0" xfId="0" applyAlignment="1">
      <alignment horizontal="center" wrapText="1"/>
    </xf>
    <xf numFmtId="49" fontId="22" fillId="0" borderId="0" xfId="0" applyNumberFormat="1" applyFont="1"/>
    <xf numFmtId="40" fontId="27" fillId="0" borderId="0" xfId="0" applyNumberFormat="1" applyFont="1"/>
    <xf numFmtId="40" fontId="27" fillId="0" borderId="22" xfId="0" applyNumberFormat="1" applyFont="1" applyBorder="1"/>
    <xf numFmtId="40" fontId="27" fillId="0" borderId="0" xfId="0" applyNumberFormat="1" applyFont="1" applyBorder="1"/>
    <xf numFmtId="40" fontId="27" fillId="0" borderId="12" xfId="0" applyNumberFormat="1" applyFont="1" applyBorder="1"/>
    <xf numFmtId="40" fontId="27" fillId="0" borderId="0" xfId="0" applyNumberFormat="1" applyFont="1" applyFill="1"/>
    <xf numFmtId="0" fontId="22" fillId="0" borderId="0" xfId="0" applyNumberFormat="1" applyFont="1"/>
    <xf numFmtId="0" fontId="0" fillId="0" borderId="0" xfId="0" applyNumberFormat="1"/>
    <xf numFmtId="0" fontId="28" fillId="0" borderId="0" xfId="0" applyFont="1"/>
    <xf numFmtId="40" fontId="29" fillId="0" borderId="0" xfId="0" applyNumberFormat="1" applyFont="1"/>
    <xf numFmtId="38" fontId="0" fillId="0" borderId="0" xfId="0" applyNumberFormat="1"/>
    <xf numFmtId="49" fontId="30" fillId="0" borderId="0" xfId="0" applyNumberFormat="1" applyFont="1"/>
    <xf numFmtId="38" fontId="0" fillId="0" borderId="0" xfId="0" applyNumberFormat="1" applyFill="1"/>
    <xf numFmtId="0" fontId="28" fillId="2" borderId="0" xfId="0" applyFont="1" applyFill="1"/>
    <xf numFmtId="0" fontId="29" fillId="2" borderId="0" xfId="0" applyFont="1" applyFill="1"/>
    <xf numFmtId="0" fontId="33" fillId="4" borderId="11" xfId="0" applyFont="1" applyFill="1" applyBorder="1" applyAlignment="1">
      <alignment horizontal="left"/>
    </xf>
    <xf numFmtId="164" fontId="33" fillId="4" borderId="12" xfId="0" applyNumberFormat="1" applyFont="1" applyFill="1" applyBorder="1" applyAlignment="1">
      <alignment horizontal="left"/>
    </xf>
    <xf numFmtId="167" fontId="33" fillId="4" borderId="13" xfId="0" quotePrefix="1" applyNumberFormat="1" applyFont="1" applyFill="1" applyBorder="1" applyAlignment="1"/>
    <xf numFmtId="165" fontId="34" fillId="2" borderId="0" xfId="1" applyNumberFormat="1" applyFont="1" applyFill="1" applyBorder="1" applyAlignment="1">
      <alignment horizontal="left"/>
    </xf>
    <xf numFmtId="0" fontId="34" fillId="2" borderId="14" xfId="0" applyFont="1" applyFill="1" applyBorder="1" applyAlignment="1">
      <alignment horizontal="left"/>
    </xf>
    <xf numFmtId="165" fontId="34" fillId="2" borderId="0" xfId="0" applyNumberFormat="1" applyFont="1" applyFill="1" applyBorder="1" applyAlignment="1"/>
    <xf numFmtId="167" fontId="34" fillId="2" borderId="15" xfId="3" applyNumberFormat="1" applyFont="1" applyFill="1" applyBorder="1" applyAlignment="1"/>
    <xf numFmtId="0" fontId="35" fillId="2" borderId="16" xfId="0" applyFont="1" applyFill="1" applyBorder="1" applyAlignment="1">
      <alignment horizontal="left"/>
    </xf>
    <xf numFmtId="164" fontId="33" fillId="2" borderId="17" xfId="0" applyNumberFormat="1" applyFont="1" applyFill="1" applyBorder="1" applyAlignment="1">
      <alignment horizontal="left"/>
    </xf>
    <xf numFmtId="165" fontId="33" fillId="2" borderId="17" xfId="0" applyNumberFormat="1" applyFont="1" applyFill="1" applyBorder="1" applyAlignment="1">
      <alignment horizontal="left"/>
    </xf>
    <xf numFmtId="167" fontId="33" fillId="2" borderId="18" xfId="0" applyNumberFormat="1" applyFont="1" applyFill="1" applyBorder="1" applyAlignment="1"/>
    <xf numFmtId="164" fontId="33" fillId="4" borderId="12" xfId="0" applyNumberFormat="1" applyFont="1" applyFill="1" applyBorder="1" applyAlignment="1"/>
    <xf numFmtId="164" fontId="33" fillId="0" borderId="0" xfId="0" applyNumberFormat="1" applyFont="1" applyFill="1" applyBorder="1" applyAlignment="1">
      <alignment horizontal="left"/>
    </xf>
    <xf numFmtId="0" fontId="29" fillId="0" borderId="0" xfId="0" applyFont="1"/>
    <xf numFmtId="164" fontId="33" fillId="2" borderId="17" xfId="0" applyNumberFormat="1" applyFont="1" applyFill="1" applyBorder="1" applyAlignment="1"/>
    <xf numFmtId="1" fontId="29" fillId="0" borderId="0" xfId="0" applyNumberFormat="1" applyFont="1"/>
    <xf numFmtId="0" fontId="36" fillId="0" borderId="0" xfId="0" applyFont="1"/>
    <xf numFmtId="167" fontId="29" fillId="2" borderId="0" xfId="3" applyNumberFormat="1" applyFont="1" applyFill="1"/>
    <xf numFmtId="0" fontId="4" fillId="2" borderId="0" xfId="0" applyFont="1" applyFill="1" applyBorder="1" applyAlignment="1">
      <alignment horizontal="left"/>
    </xf>
    <xf numFmtId="165" fontId="0" fillId="0" borderId="0" xfId="0" applyNumberFormat="1"/>
    <xf numFmtId="165" fontId="0" fillId="0" borderId="0" xfId="1" applyNumberFormat="1" applyFont="1"/>
    <xf numFmtId="40" fontId="29" fillId="2" borderId="0" xfId="0" applyNumberFormat="1" applyFont="1" applyFill="1"/>
    <xf numFmtId="170" fontId="29" fillId="2" borderId="0" xfId="0" applyNumberFormat="1" applyFont="1" applyFill="1"/>
    <xf numFmtId="165" fontId="29" fillId="2" borderId="0" xfId="0" applyNumberFormat="1" applyFont="1" applyFill="1"/>
    <xf numFmtId="0" fontId="28" fillId="0" borderId="0" xfId="0" applyFont="1" applyAlignment="1"/>
    <xf numFmtId="0" fontId="37" fillId="0" borderId="0" xfId="0" applyFont="1"/>
    <xf numFmtId="3" fontId="37" fillId="0" borderId="0" xfId="0" applyNumberFormat="1" applyFont="1" applyFill="1"/>
    <xf numFmtId="0" fontId="29" fillId="0" borderId="0" xfId="0" applyFont="1" applyAlignment="1">
      <alignment horizontal="center"/>
    </xf>
    <xf numFmtId="170" fontId="29" fillId="0" borderId="0" xfId="1" applyNumberFormat="1" applyFont="1"/>
    <xf numFmtId="167" fontId="29" fillId="0" borderId="0" xfId="3" applyNumberFormat="1" applyFont="1"/>
    <xf numFmtId="43" fontId="29" fillId="0" borderId="0" xfId="0" applyNumberFormat="1" applyFont="1"/>
    <xf numFmtId="0" fontId="29" fillId="0" borderId="0" xfId="0" applyFont="1" applyFill="1"/>
    <xf numFmtId="0" fontId="35" fillId="0" borderId="0" xfId="0" applyFont="1" applyFill="1" applyBorder="1" applyAlignment="1">
      <alignment horizontal="left"/>
    </xf>
    <xf numFmtId="0" fontId="39" fillId="0" borderId="0" xfId="0" applyFont="1"/>
    <xf numFmtId="3" fontId="40" fillId="0" borderId="0" xfId="0" applyNumberFormat="1" applyFont="1"/>
    <xf numFmtId="0" fontId="40" fillId="0" borderId="0" xfId="0" applyFont="1"/>
    <xf numFmtId="0" fontId="28" fillId="0" borderId="0" xfId="0" applyFont="1" applyAlignment="1">
      <alignment vertical="center"/>
    </xf>
    <xf numFmtId="0" fontId="28" fillId="0" borderId="0" xfId="0" applyFont="1" applyAlignment="1">
      <alignment horizontal="center" vertical="center" wrapText="1"/>
    </xf>
    <xf numFmtId="0" fontId="28" fillId="0" borderId="0" xfId="0" applyFont="1" applyAlignment="1">
      <alignment horizontal="left"/>
    </xf>
    <xf numFmtId="44" fontId="29" fillId="0" borderId="0" xfId="2" applyFont="1"/>
    <xf numFmtId="171" fontId="29" fillId="0" borderId="0" xfId="2" applyNumberFormat="1" applyFont="1"/>
    <xf numFmtId="171" fontId="29" fillId="0" borderId="0" xfId="2" applyNumberFormat="1" applyFont="1" applyAlignment="1">
      <alignment horizontal="right"/>
    </xf>
    <xf numFmtId="171" fontId="29" fillId="0" borderId="0" xfId="0" applyNumberFormat="1" applyFont="1"/>
    <xf numFmtId="44" fontId="28" fillId="0" borderId="0" xfId="0" applyNumberFormat="1" applyFont="1"/>
    <xf numFmtId="171" fontId="28" fillId="0" borderId="0" xfId="0" applyNumberFormat="1" applyFont="1"/>
    <xf numFmtId="165" fontId="33" fillId="4" borderId="24" xfId="0" applyNumberFormat="1" applyFont="1" applyFill="1" applyBorder="1" applyAlignment="1"/>
    <xf numFmtId="0" fontId="28" fillId="4" borderId="24" xfId="0" applyFont="1" applyFill="1" applyBorder="1"/>
    <xf numFmtId="167" fontId="33" fillId="4" borderId="23" xfId="0" quotePrefix="1" applyNumberFormat="1" applyFont="1" applyFill="1" applyBorder="1" applyAlignment="1"/>
    <xf numFmtId="167" fontId="29" fillId="2" borderId="25" xfId="3" applyNumberFormat="1" applyFont="1" applyFill="1" applyBorder="1"/>
    <xf numFmtId="167" fontId="29" fillId="0" borderId="17" xfId="3" applyNumberFormat="1" applyFont="1" applyFill="1" applyBorder="1"/>
    <xf numFmtId="165" fontId="34" fillId="0" borderId="0" xfId="1" applyNumberFormat="1" applyFont="1" applyFill="1" applyBorder="1" applyAlignment="1">
      <alignment horizontal="left"/>
    </xf>
    <xf numFmtId="0" fontId="33" fillId="0" borderId="0" xfId="0" applyFont="1" applyFill="1" applyBorder="1" applyAlignment="1">
      <alignment horizontal="left"/>
    </xf>
    <xf numFmtId="0" fontId="0" fillId="0" borderId="0" xfId="0" applyFill="1" applyBorder="1"/>
    <xf numFmtId="0" fontId="34" fillId="0" borderId="0" xfId="0" applyFont="1" applyFill="1" applyBorder="1" applyAlignment="1">
      <alignment horizontal="left"/>
    </xf>
    <xf numFmtId="0" fontId="29" fillId="0" borderId="0" xfId="0" applyFont="1" applyFill="1" applyBorder="1"/>
    <xf numFmtId="170" fontId="29" fillId="0" borderId="0" xfId="1" applyNumberFormat="1" applyFont="1" applyAlignment="1"/>
    <xf numFmtId="0" fontId="28" fillId="0" borderId="0" xfId="0" applyFont="1" applyFill="1"/>
    <xf numFmtId="171" fontId="28" fillId="0" borderId="0" xfId="3" applyNumberFormat="1" applyFont="1"/>
    <xf numFmtId="171" fontId="28" fillId="0" borderId="0" xfId="1" applyNumberFormat="1" applyFont="1"/>
    <xf numFmtId="0" fontId="38" fillId="0" borderId="0" xfId="0" applyFont="1" applyFill="1" applyAlignment="1">
      <alignment horizontal="center" wrapText="1"/>
    </xf>
    <xf numFmtId="44" fontId="0" fillId="0" borderId="0" xfId="2" applyFont="1"/>
    <xf numFmtId="0" fontId="41" fillId="0" borderId="0" xfId="0" applyFont="1"/>
    <xf numFmtId="170" fontId="29" fillId="0" borderId="0" xfId="1" applyNumberFormat="1" applyFont="1" applyFill="1" applyAlignment="1">
      <alignment horizontal="center"/>
    </xf>
    <xf numFmtId="0" fontId="40" fillId="0" borderId="0" xfId="0" applyFont="1" applyFill="1"/>
    <xf numFmtId="0" fontId="40" fillId="0" borderId="0" xfId="0" applyFont="1" applyFill="1" applyAlignment="1">
      <alignment vertical="center"/>
    </xf>
    <xf numFmtId="0" fontId="28" fillId="0" borderId="0" xfId="0" applyFont="1" applyAlignment="1">
      <alignment horizontal="center" vertical="center" wrapText="1"/>
    </xf>
    <xf numFmtId="171" fontId="28" fillId="0" borderId="0" xfId="0" applyNumberFormat="1" applyFont="1" applyAlignment="1">
      <alignment horizontal="center"/>
    </xf>
    <xf numFmtId="0" fontId="28" fillId="0" borderId="0" xfId="0" applyFont="1" applyAlignment="1">
      <alignment horizontal="center" vertical="center"/>
    </xf>
    <xf numFmtId="169" fontId="11" fillId="0" borderId="4" xfId="0" applyNumberFormat="1" applyFont="1" applyBorder="1" applyAlignment="1">
      <alignment horizontal="left"/>
    </xf>
    <xf numFmtId="169" fontId="12" fillId="0" borderId="19" xfId="0" applyNumberFormat="1" applyFont="1" applyBorder="1" applyAlignment="1">
      <alignment horizontal="left" wrapText="1"/>
    </xf>
    <xf numFmtId="169" fontId="12" fillId="0" borderId="20" xfId="0" applyNumberFormat="1" applyFont="1" applyBorder="1" applyAlignment="1">
      <alignment horizontal="left" wrapText="1"/>
    </xf>
    <xf numFmtId="169" fontId="12" fillId="0" borderId="1" xfId="0" applyNumberFormat="1" applyFont="1" applyBorder="1" applyAlignment="1">
      <alignment horizontal="left" wrapText="1"/>
    </xf>
    <xf numFmtId="169" fontId="12" fillId="0" borderId="5" xfId="0" applyNumberFormat="1" applyFont="1" applyBorder="1" applyAlignment="1">
      <alignment horizontal="left" vertical="top" wrapText="1"/>
    </xf>
    <xf numFmtId="169" fontId="12" fillId="0" borderId="7" xfId="0" applyNumberFormat="1" applyFont="1" applyBorder="1" applyAlignment="1">
      <alignment horizontal="left" vertical="top" wrapText="1"/>
    </xf>
    <xf numFmtId="169" fontId="12" fillId="0" borderId="8" xfId="0" applyNumberFormat="1" applyFont="1" applyBorder="1" applyAlignment="1">
      <alignment horizontal="left" vertical="top" wrapText="1"/>
    </xf>
    <xf numFmtId="169" fontId="12" fillId="0" borderId="3" xfId="0" applyNumberFormat="1" applyFont="1" applyBorder="1" applyAlignment="1">
      <alignment horizontal="left" vertical="top" wrapText="1"/>
    </xf>
    <xf numFmtId="169" fontId="12" fillId="0" borderId="0" xfId="0" applyNumberFormat="1" applyFont="1" applyBorder="1" applyAlignment="1">
      <alignment horizontal="left" vertical="top" wrapText="1"/>
    </xf>
    <xf numFmtId="169" fontId="12" fillId="0" borderId="4" xfId="0" applyNumberFormat="1" applyFont="1" applyBorder="1" applyAlignment="1">
      <alignment horizontal="left" vertical="top" wrapText="1"/>
    </xf>
    <xf numFmtId="3" fontId="29" fillId="0" borderId="0" xfId="0" applyNumberFormat="1" applyFont="1"/>
    <xf numFmtId="9" fontId="42" fillId="2" borderId="0" xfId="3" applyFont="1" applyFill="1"/>
    <xf numFmtId="0" fontId="42" fillId="2" borderId="0" xfId="0" applyFont="1" applyFill="1"/>
    <xf numFmtId="9" fontId="42" fillId="3" borderId="0" xfId="0" applyNumberFormat="1" applyFont="1" applyFill="1"/>
    <xf numFmtId="0" fontId="34" fillId="2" borderId="0" xfId="0" applyFont="1" applyFill="1"/>
    <xf numFmtId="167" fontId="42" fillId="2" borderId="0" xfId="0" applyNumberFormat="1" applyFont="1" applyFill="1"/>
    <xf numFmtId="10" fontId="42" fillId="2" borderId="0" xfId="0" applyNumberFormat="1" applyFont="1" applyFill="1"/>
    <xf numFmtId="167" fontId="34" fillId="2" borderId="0" xfId="0" applyNumberFormat="1" applyFont="1" applyFill="1"/>
    <xf numFmtId="167" fontId="33" fillId="2" borderId="0" xfId="0" applyNumberFormat="1" applyFont="1" applyFill="1"/>
    <xf numFmtId="0" fontId="34" fillId="2" borderId="0" xfId="0" applyFont="1" applyFill="1" applyAlignment="1"/>
    <xf numFmtId="0" fontId="33" fillId="2" borderId="0" xfId="0" applyFont="1" applyFill="1" applyAlignment="1"/>
    <xf numFmtId="0" fontId="30" fillId="0" borderId="0" xfId="0" applyFont="1"/>
    <xf numFmtId="0" fontId="41" fillId="2" borderId="0" xfId="0" applyFont="1" applyFill="1"/>
    <xf numFmtId="0" fontId="16" fillId="0" borderId="0" xfId="0" applyFont="1"/>
    <xf numFmtId="0" fontId="10" fillId="0" borderId="0" xfId="0" applyFont="1" applyAlignment="1"/>
    <xf numFmtId="168" fontId="36" fillId="0" borderId="0" xfId="0" applyNumberFormat="1" applyFont="1"/>
    <xf numFmtId="0" fontId="43" fillId="0" borderId="0" xfId="0" applyFont="1"/>
    <xf numFmtId="0" fontId="44" fillId="0" borderId="0" xfId="0" applyFont="1"/>
  </cellXfs>
  <cellStyles count="386">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Normal" xfId="0" builtinId="0"/>
    <cellStyle name="Percent" xfId="3" builtinId="5"/>
  </cellStyles>
  <dxfs count="61">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stacked"/>
        <c:varyColors val="0"/>
        <c:ser>
          <c:idx val="0"/>
          <c:order val="0"/>
          <c:tx>
            <c:strRef>
              <c:f>'Revenue and transfers'!$B$4</c:f>
              <c:strCache>
                <c:ptCount val="1"/>
                <c:pt idx="0">
                  <c:v>Revenue</c:v>
                </c:pt>
              </c:strCache>
            </c:strRef>
          </c:tx>
          <c:invertIfNegative val="0"/>
          <c:cat>
            <c:strRef>
              <c:f>'Revenue and transfers'!$A$5:$A$12</c:f>
              <c:strCache>
                <c:ptCount val="8"/>
                <c:pt idx="0">
                  <c:v>Pre-FY 2013 revenue</c:v>
                </c:pt>
                <c:pt idx="1">
                  <c:v>Pre-FY 2013 costs</c:v>
                </c:pt>
                <c:pt idx="2">
                  <c:v>FY 2013 revenue</c:v>
                </c:pt>
                <c:pt idx="3">
                  <c:v>FY 2013 costs</c:v>
                </c:pt>
                <c:pt idx="4">
                  <c:v>FY 2014 revenue</c:v>
                </c:pt>
                <c:pt idx="5">
                  <c:v>FY 2014+ costs</c:v>
                </c:pt>
                <c:pt idx="6">
                  <c:v>Total revenue</c:v>
                </c:pt>
                <c:pt idx="7">
                  <c:v>Total costs</c:v>
                </c:pt>
              </c:strCache>
            </c:strRef>
          </c:cat>
          <c:val>
            <c:numRef>
              <c:f>'Revenue and transfers'!$B$5:$B$12</c:f>
              <c:numCache>
                <c:formatCode>_-"$"* #,##0.00_-;\-"$"* #,##0.00_-;_-"$"* "-"??_-;_-@_-</c:formatCode>
                <c:ptCount val="8"/>
                <c:pt idx="0" formatCode="_-&quot;$&quot;* #,##0_-;\-&quot;$&quot;* #,##0_-;_-&quot;$&quot;* &quot;-&quot;??_-;_-@_-">
                  <c:v>604700.0</c:v>
                </c:pt>
                <c:pt idx="2" formatCode="_-&quot;$&quot;* #,##0_-;\-&quot;$&quot;* #,##0_-;_-&quot;$&quot;* &quot;-&quot;??_-;_-@_-">
                  <c:v>5.406189E6</c:v>
                </c:pt>
                <c:pt idx="4" formatCode="_-&quot;$&quot;* #,##0_-;\-&quot;$&quot;* #,##0_-;_-&quot;$&quot;* &quot;-&quot;??_-;_-@_-">
                  <c:v>1.74E7</c:v>
                </c:pt>
                <c:pt idx="6" formatCode="_-&quot;$&quot;* #,##0_-;\-&quot;$&quot;* #,##0_-;_-&quot;$&quot;* &quot;-&quot;??_-;_-@_-">
                  <c:v>2.3410889E7</c:v>
                </c:pt>
              </c:numCache>
            </c:numRef>
          </c:val>
        </c:ser>
        <c:ser>
          <c:idx val="1"/>
          <c:order val="1"/>
          <c:tx>
            <c:strRef>
              <c:f>'Revenue and transfers'!$C$4</c:f>
              <c:strCache>
                <c:ptCount val="1"/>
                <c:pt idx="0">
                  <c:v>Transfers sent</c:v>
                </c:pt>
              </c:strCache>
            </c:strRef>
          </c:tx>
          <c:invertIfNegative val="0"/>
          <c:cat>
            <c:strRef>
              <c:f>'Revenue and transfers'!$A$5:$A$12</c:f>
              <c:strCache>
                <c:ptCount val="8"/>
                <c:pt idx="0">
                  <c:v>Pre-FY 2013 revenue</c:v>
                </c:pt>
                <c:pt idx="1">
                  <c:v>Pre-FY 2013 costs</c:v>
                </c:pt>
                <c:pt idx="2">
                  <c:v>FY 2013 revenue</c:v>
                </c:pt>
                <c:pt idx="3">
                  <c:v>FY 2013 costs</c:v>
                </c:pt>
                <c:pt idx="4">
                  <c:v>FY 2014 revenue</c:v>
                </c:pt>
                <c:pt idx="5">
                  <c:v>FY 2014+ costs</c:v>
                </c:pt>
                <c:pt idx="6">
                  <c:v>Total revenue</c:v>
                </c:pt>
                <c:pt idx="7">
                  <c:v>Total costs</c:v>
                </c:pt>
              </c:strCache>
            </c:strRef>
          </c:cat>
          <c:val>
            <c:numRef>
              <c:f>'Revenue and transfers'!$C$5:$C$12</c:f>
              <c:numCache>
                <c:formatCode>_-"$"* #,##0_-;\-"$"* #,##0_-;_-"$"* "-"??_-;_-@_-</c:formatCode>
                <c:ptCount val="8"/>
                <c:pt idx="1">
                  <c:v>333994.0</c:v>
                </c:pt>
                <c:pt idx="3">
                  <c:v>1.0610577318902E6</c:v>
                </c:pt>
                <c:pt idx="5">
                  <c:v>4.98631479E6</c:v>
                </c:pt>
                <c:pt idx="7">
                  <c:v>6.3813665218902E6</c:v>
                </c:pt>
              </c:numCache>
            </c:numRef>
          </c:val>
        </c:ser>
        <c:ser>
          <c:idx val="2"/>
          <c:order val="2"/>
          <c:tx>
            <c:strRef>
              <c:f>'Revenue and transfers'!$D$4</c:f>
              <c:strCache>
                <c:ptCount val="1"/>
                <c:pt idx="0">
                  <c:v>Transfers pending</c:v>
                </c:pt>
              </c:strCache>
            </c:strRef>
          </c:tx>
          <c:invertIfNegative val="0"/>
          <c:cat>
            <c:strRef>
              <c:f>'Revenue and transfers'!$A$5:$A$12</c:f>
              <c:strCache>
                <c:ptCount val="8"/>
                <c:pt idx="0">
                  <c:v>Pre-FY 2013 revenue</c:v>
                </c:pt>
                <c:pt idx="1">
                  <c:v>Pre-FY 2013 costs</c:v>
                </c:pt>
                <c:pt idx="2">
                  <c:v>FY 2013 revenue</c:v>
                </c:pt>
                <c:pt idx="3">
                  <c:v>FY 2013 costs</c:v>
                </c:pt>
                <c:pt idx="4">
                  <c:v>FY 2014 revenue</c:v>
                </c:pt>
                <c:pt idx="5">
                  <c:v>FY 2014+ costs</c:v>
                </c:pt>
                <c:pt idx="6">
                  <c:v>Total revenue</c:v>
                </c:pt>
                <c:pt idx="7">
                  <c:v>Total costs</c:v>
                </c:pt>
              </c:strCache>
            </c:strRef>
          </c:cat>
          <c:val>
            <c:numRef>
              <c:f>'Revenue and transfers'!$D$5:$D$12</c:f>
              <c:numCache>
                <c:formatCode>_-"$"* #,##0_-;\-"$"* #,##0_-;_-"$"* "-"??_-;_-@_-</c:formatCode>
                <c:ptCount val="8"/>
                <c:pt idx="1">
                  <c:v>0.0</c:v>
                </c:pt>
                <c:pt idx="3">
                  <c:v>0.0</c:v>
                </c:pt>
                <c:pt idx="5">
                  <c:v>8.60921730714286E6</c:v>
                </c:pt>
                <c:pt idx="7">
                  <c:v>8.60921730714286E6</c:v>
                </c:pt>
              </c:numCache>
            </c:numRef>
          </c:val>
        </c:ser>
        <c:ser>
          <c:idx val="3"/>
          <c:order val="3"/>
          <c:tx>
            <c:strRef>
              <c:f>'Revenue and transfers'!$E$4</c:f>
              <c:strCache>
                <c:ptCount val="1"/>
                <c:pt idx="0">
                  <c:v>Other set up, marketing, and campaign costs</c:v>
                </c:pt>
              </c:strCache>
            </c:strRef>
          </c:tx>
          <c:invertIfNegative val="0"/>
          <c:cat>
            <c:strRef>
              <c:f>'Revenue and transfers'!$A$5:$A$12</c:f>
              <c:strCache>
                <c:ptCount val="8"/>
                <c:pt idx="0">
                  <c:v>Pre-FY 2013 revenue</c:v>
                </c:pt>
                <c:pt idx="1">
                  <c:v>Pre-FY 2013 costs</c:v>
                </c:pt>
                <c:pt idx="2">
                  <c:v>FY 2013 revenue</c:v>
                </c:pt>
                <c:pt idx="3">
                  <c:v>FY 2013 costs</c:v>
                </c:pt>
                <c:pt idx="4">
                  <c:v>FY 2014 revenue</c:v>
                </c:pt>
                <c:pt idx="5">
                  <c:v>FY 2014+ costs</c:v>
                </c:pt>
                <c:pt idx="6">
                  <c:v>Total revenue</c:v>
                </c:pt>
                <c:pt idx="7">
                  <c:v>Total costs</c:v>
                </c:pt>
              </c:strCache>
            </c:strRef>
          </c:cat>
          <c:val>
            <c:numRef>
              <c:f>'Revenue and transfers'!$E$5:$E$12</c:f>
              <c:numCache>
                <c:formatCode>_-"$"* #,##0_-;\-"$"* #,##0_-;_-"$"* "-"??_-;_-@_-</c:formatCode>
                <c:ptCount val="8"/>
                <c:pt idx="1">
                  <c:v>70200.0</c:v>
                </c:pt>
                <c:pt idx="3">
                  <c:v>368341.5841700651</c:v>
                </c:pt>
                <c:pt idx="5">
                  <c:v>1.11707841925528E6</c:v>
                </c:pt>
                <c:pt idx="7">
                  <c:v>1.55562000342534E6</c:v>
                </c:pt>
              </c:numCache>
            </c:numRef>
          </c:val>
        </c:ser>
        <c:ser>
          <c:idx val="4"/>
          <c:order val="4"/>
          <c:tx>
            <c:strRef>
              <c:f>'Revenue and transfers'!$F$4</c:f>
              <c:strCache>
                <c:ptCount val="1"/>
                <c:pt idx="0">
                  <c:v>Other set up, marketing, and campaign costs pending</c:v>
                </c:pt>
              </c:strCache>
            </c:strRef>
          </c:tx>
          <c:invertIfNegative val="0"/>
          <c:cat>
            <c:strRef>
              <c:f>'Revenue and transfers'!$A$5:$A$12</c:f>
              <c:strCache>
                <c:ptCount val="8"/>
                <c:pt idx="0">
                  <c:v>Pre-FY 2013 revenue</c:v>
                </c:pt>
                <c:pt idx="1">
                  <c:v>Pre-FY 2013 costs</c:v>
                </c:pt>
                <c:pt idx="2">
                  <c:v>FY 2013 revenue</c:v>
                </c:pt>
                <c:pt idx="3">
                  <c:v>FY 2013 costs</c:v>
                </c:pt>
                <c:pt idx="4">
                  <c:v>FY 2014 revenue</c:v>
                </c:pt>
                <c:pt idx="5">
                  <c:v>FY 2014+ costs</c:v>
                </c:pt>
                <c:pt idx="6">
                  <c:v>Total revenue</c:v>
                </c:pt>
                <c:pt idx="7">
                  <c:v>Total costs</c:v>
                </c:pt>
              </c:strCache>
            </c:strRef>
          </c:cat>
          <c:val>
            <c:numRef>
              <c:f>'Revenue and transfers'!$F$5:$F$12</c:f>
              <c:numCache>
                <c:formatCode>_-"$"* #,##0_-;\-"$"* #,##0_-;_-"$"* "-"??_-;_-@_-</c:formatCode>
                <c:ptCount val="8"/>
                <c:pt idx="1">
                  <c:v>0.0</c:v>
                </c:pt>
                <c:pt idx="3">
                  <c:v>0.0</c:v>
                </c:pt>
                <c:pt idx="5">
                  <c:v>738782.6817597316</c:v>
                </c:pt>
                <c:pt idx="7">
                  <c:v>738782.6817597316</c:v>
                </c:pt>
              </c:numCache>
            </c:numRef>
          </c:val>
        </c:ser>
        <c:dLbls>
          <c:showLegendKey val="0"/>
          <c:showVal val="0"/>
          <c:showCatName val="0"/>
          <c:showSerName val="0"/>
          <c:showPercent val="0"/>
          <c:showBubbleSize val="0"/>
        </c:dLbls>
        <c:gapWidth val="150"/>
        <c:overlap val="100"/>
        <c:axId val="-2015406936"/>
        <c:axId val="2127278680"/>
      </c:barChart>
      <c:catAx>
        <c:axId val="-2015406936"/>
        <c:scaling>
          <c:orientation val="minMax"/>
        </c:scaling>
        <c:delete val="0"/>
        <c:axPos val="b"/>
        <c:majorTickMark val="out"/>
        <c:minorTickMark val="none"/>
        <c:tickLblPos val="nextTo"/>
        <c:crossAx val="2127278680"/>
        <c:crosses val="autoZero"/>
        <c:auto val="1"/>
        <c:lblAlgn val="ctr"/>
        <c:lblOffset val="100"/>
        <c:noMultiLvlLbl val="0"/>
      </c:catAx>
      <c:valAx>
        <c:axId val="2127278680"/>
        <c:scaling>
          <c:orientation val="minMax"/>
        </c:scaling>
        <c:delete val="0"/>
        <c:axPos val="l"/>
        <c:majorGridlines/>
        <c:numFmt formatCode="_-&quot;$&quot;* #,##0_-;\-&quot;$&quot;* #,##0_-;_-&quot;$&quot;* &quot;-&quot;??_-;_-@_-" sourceLinked="1"/>
        <c:majorTickMark val="out"/>
        <c:minorTickMark val="none"/>
        <c:tickLblPos val="nextTo"/>
        <c:crossAx val="-2015406936"/>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196850</xdr:colOff>
      <xdr:row>13</xdr:row>
      <xdr:rowOff>50800</xdr:rowOff>
    </xdr:from>
    <xdr:to>
      <xdr:col>9</xdr:col>
      <xdr:colOff>977900</xdr:colOff>
      <xdr:row>48</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1206500</xdr:colOff>
      <xdr:row>2</xdr:row>
      <xdr:rowOff>25400</xdr:rowOff>
    </xdr:to>
    <xdr:sp macro="" textlink="">
      <xdr:nvSpPr>
        <xdr:cNvPr id="2" name="FILTER" hidden="1">
          <a:extLst>
            <a:ext uri="{63B3BB69-23CF-44E3-9099-C40C66FF867C}">
              <a14:compatExt xmlns:a14="http://schemas.microsoft.com/office/drawing/2010/main" spid="_x0000_s43009"/>
            </a:ext>
          </a:extLst>
        </xdr:cNvPr>
        <xdr:cNvSpPr/>
      </xdr:nvSpPr>
      <xdr:spPr>
        <a:xfrm>
          <a:off x="0" y="0"/>
          <a:ext cx="0" cy="0"/>
        </a:xfrm>
        <a:prstGeom prst="rect">
          <a:avLst/>
        </a:prstGeom>
      </xdr:spPr>
    </xdr:sp>
    <xdr:clientData/>
  </xdr:twoCellAnchor>
  <xdr:twoCellAnchor editAs="oneCell">
    <xdr:from>
      <xdr:col>0</xdr:col>
      <xdr:colOff>0</xdr:colOff>
      <xdr:row>1</xdr:row>
      <xdr:rowOff>0</xdr:rowOff>
    </xdr:from>
    <xdr:to>
      <xdr:col>7</xdr:col>
      <xdr:colOff>1206500</xdr:colOff>
      <xdr:row>2</xdr:row>
      <xdr:rowOff>25400</xdr:rowOff>
    </xdr:to>
    <xdr:sp macro="" textlink="">
      <xdr:nvSpPr>
        <xdr:cNvPr id="3" name="HEADER" hidden="1">
          <a:extLst>
            <a:ext uri="{63B3BB69-23CF-44E3-9099-C40C66FF867C}">
              <a14:compatExt xmlns:a14="http://schemas.microsoft.com/office/drawing/2010/main" spid="_x0000_s43010"/>
            </a:ext>
          </a:extLst>
        </xdr:cNvPr>
        <xdr:cNvSpPr/>
      </xdr:nvSpPr>
      <xdr:spPr>
        <a:xfrm>
          <a:off x="0" y="0"/>
          <a:ext cx="0" cy="0"/>
        </a:xfrm>
        <a:prstGeom prst="rect">
          <a:avLst/>
        </a:prstGeom>
      </xdr:spPr>
    </xdr:sp>
    <xdr:clientData/>
  </xdr:twoCellAnchor>
  <xdr:twoCellAnchor editAs="oneCell">
    <xdr:from>
      <xdr:col>0</xdr:col>
      <xdr:colOff>0</xdr:colOff>
      <xdr:row>1</xdr:row>
      <xdr:rowOff>0</xdr:rowOff>
    </xdr:from>
    <xdr:to>
      <xdr:col>7</xdr:col>
      <xdr:colOff>1206500</xdr:colOff>
      <xdr:row>2</xdr:row>
      <xdr:rowOff>25400</xdr:rowOff>
    </xdr:to>
    <xdr:pic>
      <xdr:nvPicPr>
        <xdr:cNvPr id="43009" name="FILTER"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06700" cy="215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7</xdr:col>
      <xdr:colOff>1206500</xdr:colOff>
      <xdr:row>2</xdr:row>
      <xdr:rowOff>25400</xdr:rowOff>
    </xdr:to>
    <xdr:pic>
      <xdr:nvPicPr>
        <xdr:cNvPr id="43010" name="HEADER" hidden="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806700" cy="215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3"/>
  <sheetViews>
    <sheetView tabSelected="1" workbookViewId="0">
      <selection activeCell="H24" sqref="H24"/>
    </sheetView>
  </sheetViews>
  <sheetFormatPr baseColWidth="10" defaultRowHeight="15" x14ac:dyDescent="0"/>
  <cols>
    <col min="1" max="1" width="17.5" style="135" customWidth="1"/>
    <col min="2" max="2" width="23.5" style="135" customWidth="1"/>
    <col min="3" max="3" width="13.83203125" style="135" bestFit="1" customWidth="1"/>
    <col min="4" max="4" width="13" style="135" customWidth="1"/>
    <col min="5" max="5" width="15" style="135" bestFit="1" customWidth="1"/>
    <col min="6" max="7" width="14.1640625" style="135" bestFit="1" customWidth="1"/>
    <col min="8" max="8" width="16.1640625" style="135" bestFit="1" customWidth="1"/>
    <col min="9" max="9" width="17.83203125" style="135" customWidth="1"/>
    <col min="10" max="10" width="25.33203125" style="135" customWidth="1"/>
    <col min="11" max="16384" width="10.83203125" style="135"/>
  </cols>
  <sheetData>
    <row r="1" spans="1:6">
      <c r="A1" s="115" t="s">
        <v>301</v>
      </c>
    </row>
    <row r="2" spans="1:6">
      <c r="A2" s="115" t="s">
        <v>307</v>
      </c>
    </row>
    <row r="3" spans="1:6">
      <c r="F3" s="115" t="s">
        <v>261</v>
      </c>
    </row>
    <row r="4" spans="1:6">
      <c r="A4" s="187" t="s">
        <v>264</v>
      </c>
      <c r="B4" s="115" t="s">
        <v>249</v>
      </c>
      <c r="C4" s="115" t="s">
        <v>252</v>
      </c>
      <c r="D4" s="115" t="s">
        <v>216</v>
      </c>
      <c r="E4" s="162">
        <v>7632</v>
      </c>
    </row>
    <row r="5" spans="1:6">
      <c r="A5" s="187"/>
      <c r="C5" s="115" t="s">
        <v>252</v>
      </c>
      <c r="D5" s="115" t="s">
        <v>218</v>
      </c>
      <c r="E5" s="162">
        <v>850</v>
      </c>
    </row>
    <row r="6" spans="1:6">
      <c r="A6" s="187"/>
      <c r="C6" s="115" t="s">
        <v>252</v>
      </c>
      <c r="D6" s="115" t="s">
        <v>219</v>
      </c>
      <c r="E6" s="162">
        <v>3484</v>
      </c>
      <c r="F6" s="115"/>
    </row>
    <row r="7" spans="1:6">
      <c r="A7" s="187"/>
      <c r="C7" s="115" t="s">
        <v>102</v>
      </c>
      <c r="D7" s="115" t="s">
        <v>220</v>
      </c>
      <c r="E7" s="162">
        <v>20000</v>
      </c>
      <c r="F7" s="166">
        <f>SUM(E4:E7)</f>
        <v>31966</v>
      </c>
    </row>
    <row r="8" spans="1:6">
      <c r="A8" s="187"/>
      <c r="B8" s="146" t="s">
        <v>1</v>
      </c>
      <c r="C8" s="115" t="s">
        <v>252</v>
      </c>
      <c r="D8" s="160" t="s">
        <v>215</v>
      </c>
      <c r="E8" s="163">
        <f>'Set up &amp; marketing costs FY2013'!F80</f>
        <v>7906</v>
      </c>
      <c r="F8" s="166"/>
    </row>
    <row r="9" spans="1:6">
      <c r="A9" s="187"/>
      <c r="C9" s="115" t="s">
        <v>252</v>
      </c>
      <c r="D9" s="160" t="s">
        <v>217</v>
      </c>
      <c r="E9" s="163">
        <f>'Set up &amp; marketing costs FY2013'!I80</f>
        <v>83229</v>
      </c>
      <c r="F9" s="166"/>
    </row>
    <row r="10" spans="1:6">
      <c r="A10" s="187"/>
      <c r="C10" s="115" t="s">
        <v>102</v>
      </c>
      <c r="D10" s="160" t="s">
        <v>102</v>
      </c>
      <c r="E10" s="163">
        <f>'Set up &amp; marketing costs FY2013'!L80</f>
        <v>33698</v>
      </c>
      <c r="F10" s="166">
        <f>SUM(E8:E10)</f>
        <v>124833</v>
      </c>
    </row>
    <row r="11" spans="1:6">
      <c r="A11" s="187"/>
      <c r="B11" s="115" t="s">
        <v>2</v>
      </c>
      <c r="C11" s="115" t="s">
        <v>252</v>
      </c>
      <c r="D11" s="115" t="s">
        <v>215</v>
      </c>
      <c r="E11" s="162">
        <f>'Set up &amp; marketing costs FY2014'!I92</f>
        <v>44984.61</v>
      </c>
      <c r="F11" s="166"/>
    </row>
    <row r="12" spans="1:6">
      <c r="A12" s="187"/>
      <c r="C12" s="115" t="s">
        <v>252</v>
      </c>
      <c r="D12" s="115" t="s">
        <v>217</v>
      </c>
      <c r="E12" s="162">
        <f>'Set up &amp; marketing costs FY2014'!L92</f>
        <v>47959.53</v>
      </c>
      <c r="F12" s="166"/>
    </row>
    <row r="13" spans="1:6">
      <c r="A13" s="187"/>
      <c r="C13" s="115" t="s">
        <v>252</v>
      </c>
      <c r="D13" s="115" t="s">
        <v>250</v>
      </c>
      <c r="E13" s="162">
        <f>'Set up &amp; marketing costs FY2014'!R92</f>
        <v>3916.4</v>
      </c>
      <c r="F13" s="166"/>
    </row>
    <row r="14" spans="1:6">
      <c r="A14" s="187"/>
      <c r="C14" s="115" t="s">
        <v>102</v>
      </c>
      <c r="D14" s="115" t="s">
        <v>102</v>
      </c>
      <c r="E14" s="162">
        <f>'Set up &amp; marketing costs FY2014'!O92</f>
        <v>318318.46999999997</v>
      </c>
      <c r="F14" s="166">
        <f>SUM(E11:E14)</f>
        <v>415179.00999999995</v>
      </c>
    </row>
    <row r="15" spans="1:6">
      <c r="A15" s="187"/>
      <c r="B15" s="115" t="s">
        <v>262</v>
      </c>
      <c r="C15" s="115" t="s">
        <v>252</v>
      </c>
      <c r="D15" s="135" t="s">
        <v>4</v>
      </c>
      <c r="E15" s="166">
        <f>SUMIF($C$4:$C$14,C15,$E$4:$E$14)</f>
        <v>199961.53999999998</v>
      </c>
      <c r="F15" s="115"/>
    </row>
    <row r="16" spans="1:6">
      <c r="A16" s="187"/>
      <c r="B16" s="115" t="s">
        <v>263</v>
      </c>
      <c r="C16" s="115" t="s">
        <v>102</v>
      </c>
      <c r="D16" s="135" t="s">
        <v>4</v>
      </c>
      <c r="E16" s="166">
        <f>SUMIF($C$4:$C$14,C16,$E$4:$E$14)</f>
        <v>372016.47</v>
      </c>
    </row>
    <row r="17" spans="1:13">
      <c r="A17" s="159"/>
      <c r="B17" s="115" t="s">
        <v>291</v>
      </c>
      <c r="C17" s="115"/>
      <c r="E17" s="166">
        <f>SUM(E15:E16)</f>
        <v>571978.01</v>
      </c>
    </row>
    <row r="18" spans="1:13">
      <c r="A18" s="159"/>
      <c r="B18" s="115"/>
      <c r="C18" s="115"/>
      <c r="E18" s="164"/>
    </row>
    <row r="19" spans="1:13">
      <c r="A19" s="187" t="s">
        <v>265</v>
      </c>
      <c r="C19" s="115" t="s">
        <v>249</v>
      </c>
      <c r="D19" s="115" t="s">
        <v>1</v>
      </c>
      <c r="E19" s="188" t="s">
        <v>292</v>
      </c>
      <c r="F19" s="188"/>
    </row>
    <row r="20" spans="1:13">
      <c r="A20" s="187"/>
      <c r="C20" s="115" t="s">
        <v>266</v>
      </c>
      <c r="D20" s="115" t="s">
        <v>266</v>
      </c>
      <c r="E20" s="166" t="s">
        <v>266</v>
      </c>
      <c r="F20" s="115" t="s">
        <v>70</v>
      </c>
    </row>
    <row r="21" spans="1:13">
      <c r="A21" s="187"/>
      <c r="B21" s="115" t="s">
        <v>74</v>
      </c>
      <c r="C21" s="164">
        <v>333994</v>
      </c>
      <c r="D21" s="164">
        <f>'Campaign efficiency FY 2013'!B68-'Total expenses'!C21</f>
        <v>1061057.7318901997</v>
      </c>
      <c r="E21" s="164">
        <f>'Campaign efficiency FY 2014'!E108-SUM(C21:D21)</f>
        <v>4986314.79</v>
      </c>
      <c r="F21" s="164">
        <f>'Campaign efficiency FY 2014'!F108</f>
        <v>8609217.3071428593</v>
      </c>
    </row>
    <row r="22" spans="1:13">
      <c r="A22" s="187"/>
      <c r="B22" s="115" t="s">
        <v>75</v>
      </c>
      <c r="C22" s="164">
        <v>25271</v>
      </c>
      <c r="D22" s="164">
        <f>'Campaign efficiency FY 2013'!B69-'Total expenses'!C22</f>
        <v>59672.000000000015</v>
      </c>
      <c r="E22" s="164">
        <f>'Campaign efficiency FY 2014'!E109-SUM(C22:D22)</f>
        <v>149754.79999999999</v>
      </c>
      <c r="F22" s="164">
        <f>'Campaign efficiency FY 2014'!F109</f>
        <v>45577.244566465684</v>
      </c>
    </row>
    <row r="23" spans="1:13">
      <c r="A23" s="187"/>
      <c r="B23" s="115" t="s">
        <v>76</v>
      </c>
      <c r="C23" s="164">
        <v>11740</v>
      </c>
      <c r="D23" s="164">
        <f>'Campaign efficiency FY 2013'!B70-'Total expenses'!C23</f>
        <v>56179.584170065122</v>
      </c>
      <c r="E23" s="164">
        <f>'Campaign efficiency FY 2014'!E110-SUM(C23:D23)</f>
        <v>135027.38925527985</v>
      </c>
      <c r="F23" s="164">
        <f>'Campaign efficiency FY 2014'!F110</f>
        <v>271696.8664220192</v>
      </c>
    </row>
    <row r="24" spans="1:13">
      <c r="A24" s="187"/>
      <c r="B24" s="115" t="s">
        <v>77</v>
      </c>
      <c r="C24" s="164">
        <v>1223</v>
      </c>
      <c r="D24" s="164">
        <f>'Campaign efficiency FY 2013'!B71-'Total expenses'!C24</f>
        <v>7551</v>
      </c>
      <c r="E24" s="164">
        <f>'Campaign efficiency FY 2014'!E111-SUM(C24:D24)</f>
        <v>36817.11</v>
      </c>
      <c r="F24" s="164">
        <f>'Campaign efficiency FY 2014'!F111</f>
        <v>99665.966129142194</v>
      </c>
    </row>
    <row r="25" spans="1:13">
      <c r="A25" s="187"/>
      <c r="B25" s="115" t="s">
        <v>78</v>
      </c>
      <c r="C25" s="135">
        <v>0</v>
      </c>
      <c r="D25" s="164">
        <f>'Campaign efficiency FY 2013'!B72-'Total expenses'!C25</f>
        <v>117787</v>
      </c>
      <c r="E25" s="164">
        <f>'Campaign efficiency FY 2014'!E112-SUM(C25:D25)</f>
        <v>334017.23</v>
      </c>
      <c r="F25" s="164">
        <f>'Campaign efficiency FY 2014'!F112</f>
        <v>283560.42418027762</v>
      </c>
      <c r="L25" s="200"/>
    </row>
    <row r="26" spans="1:13">
      <c r="A26" s="187"/>
      <c r="B26" s="115" t="s">
        <v>79</v>
      </c>
      <c r="C26" s="135">
        <v>0</v>
      </c>
      <c r="D26" s="164">
        <f>'Campaign efficiency FY 2013'!B73-'Total expenses'!C26</f>
        <v>2319</v>
      </c>
      <c r="E26" s="164">
        <f>'Campaign efficiency FY 2014'!E113-SUM(C26:D26)</f>
        <v>46282.879999999997</v>
      </c>
      <c r="F26" s="164">
        <f>'Campaign efficiency FY 2014'!F113</f>
        <v>38282.180461827011</v>
      </c>
      <c r="L26" s="200"/>
      <c r="M26" s="200"/>
    </row>
    <row r="27" spans="1:13">
      <c r="A27" s="187"/>
      <c r="B27" s="159" t="s">
        <v>261</v>
      </c>
      <c r="C27" s="166">
        <f>SUM(C21:C26)</f>
        <v>372228</v>
      </c>
      <c r="D27" s="166">
        <f>SUM(D21:D26)</f>
        <v>1304566.3160602648</v>
      </c>
      <c r="E27" s="166">
        <f>SUM(E21:E26)</f>
        <v>5688214.1992552793</v>
      </c>
      <c r="F27" s="166">
        <f>SUM(F21:F26)</f>
        <v>9347999.9889025912</v>
      </c>
      <c r="L27" s="200"/>
    </row>
    <row r="28" spans="1:13">
      <c r="A28" s="187"/>
      <c r="B28" s="159" t="s">
        <v>267</v>
      </c>
      <c r="C28" s="166">
        <f>SUM(C27:E27)</f>
        <v>7365008.5153155439</v>
      </c>
      <c r="D28" s="166"/>
      <c r="E28" s="166"/>
      <c r="F28" s="166"/>
    </row>
    <row r="29" spans="1:13">
      <c r="A29" s="187"/>
      <c r="B29" s="159" t="s">
        <v>268</v>
      </c>
      <c r="C29" s="166">
        <f>SUM(C27:F27)</f>
        <v>16713008.504218135</v>
      </c>
      <c r="E29" s="164"/>
    </row>
    <row r="30" spans="1:13">
      <c r="A30" s="159"/>
      <c r="B30" s="159"/>
      <c r="C30" s="166"/>
      <c r="E30" s="164"/>
    </row>
    <row r="31" spans="1:13">
      <c r="C31" s="115" t="s">
        <v>249</v>
      </c>
      <c r="D31" s="115" t="s">
        <v>1</v>
      </c>
      <c r="E31" s="188" t="s">
        <v>292</v>
      </c>
      <c r="F31" s="188"/>
    </row>
    <row r="32" spans="1:13">
      <c r="A32" s="189" t="s">
        <v>269</v>
      </c>
      <c r="B32" s="115"/>
      <c r="C32" s="115" t="s">
        <v>266</v>
      </c>
      <c r="D32" s="115" t="s">
        <v>266</v>
      </c>
      <c r="E32" s="166" t="s">
        <v>266</v>
      </c>
      <c r="F32" s="115" t="s">
        <v>70</v>
      </c>
      <c r="G32" s="115" t="s">
        <v>267</v>
      </c>
      <c r="H32" s="115" t="s">
        <v>270</v>
      </c>
      <c r="I32" s="146" t="s">
        <v>271</v>
      </c>
      <c r="J32" s="146" t="s">
        <v>272</v>
      </c>
    </row>
    <row r="33" spans="1:10">
      <c r="A33" s="189"/>
      <c r="B33" s="115" t="s">
        <v>74</v>
      </c>
      <c r="C33" s="150">
        <f>C21</f>
        <v>333994</v>
      </c>
      <c r="D33" s="150">
        <f t="shared" ref="D33:F33" si="0">D21</f>
        <v>1061057.7318901997</v>
      </c>
      <c r="E33" s="150">
        <f t="shared" si="0"/>
        <v>4986314.79</v>
      </c>
      <c r="F33" s="150">
        <f t="shared" si="0"/>
        <v>8609217.3071428593</v>
      </c>
      <c r="G33" s="179">
        <f>SUM(C33:E33)</f>
        <v>6381366.5218901997</v>
      </c>
      <c r="H33" s="179">
        <f>SUM(C33:F33)</f>
        <v>14990583.829033058</v>
      </c>
      <c r="I33" s="151">
        <f t="shared" ref="I33:I40" si="1">G33/$G$42</f>
        <v>0.8040036985745671</v>
      </c>
      <c r="J33" s="151">
        <f t="shared" ref="J33:J40" si="2">H33/$H$42</f>
        <v>0.86726037169321668</v>
      </c>
    </row>
    <row r="34" spans="1:10">
      <c r="A34" s="189"/>
      <c r="B34" s="115" t="s">
        <v>75</v>
      </c>
      <c r="C34" s="150">
        <f t="shared" ref="C34:F38" si="3">C22</f>
        <v>25271</v>
      </c>
      <c r="D34" s="150">
        <f t="shared" si="3"/>
        <v>59672.000000000015</v>
      </c>
      <c r="E34" s="150">
        <f t="shared" si="3"/>
        <v>149754.79999999999</v>
      </c>
      <c r="F34" s="150">
        <f t="shared" si="3"/>
        <v>45577.244566465684</v>
      </c>
      <c r="G34" s="179">
        <f t="shared" ref="G34:G40" si="4">SUM(C34:E34)</f>
        <v>234697.8</v>
      </c>
      <c r="H34" s="179">
        <f t="shared" ref="H34:H40" si="5">SUM(C34:F34)</f>
        <v>280275.04456646566</v>
      </c>
      <c r="I34" s="151">
        <f t="shared" si="1"/>
        <v>2.9570139655827284E-2</v>
      </c>
      <c r="J34" s="151">
        <f t="shared" si="2"/>
        <v>1.6214941465873833E-2</v>
      </c>
    </row>
    <row r="35" spans="1:10">
      <c r="A35" s="189"/>
      <c r="B35" s="115" t="s">
        <v>76</v>
      </c>
      <c r="C35" s="150">
        <f t="shared" si="3"/>
        <v>11740</v>
      </c>
      <c r="D35" s="150">
        <f t="shared" si="3"/>
        <v>56179.584170065122</v>
      </c>
      <c r="E35" s="150">
        <f t="shared" si="3"/>
        <v>135027.38925527985</v>
      </c>
      <c r="F35" s="150">
        <f t="shared" si="3"/>
        <v>271696.8664220192</v>
      </c>
      <c r="G35" s="179">
        <f t="shared" si="4"/>
        <v>202946.97342534497</v>
      </c>
      <c r="H35" s="179">
        <f t="shared" si="5"/>
        <v>474643.83984736417</v>
      </c>
      <c r="I35" s="151">
        <f t="shared" si="1"/>
        <v>2.5569776738064522E-2</v>
      </c>
      <c r="J35" s="151">
        <f t="shared" si="2"/>
        <v>2.7459890666211146E-2</v>
      </c>
    </row>
    <row r="36" spans="1:10">
      <c r="A36" s="189"/>
      <c r="B36" s="115" t="s">
        <v>77</v>
      </c>
      <c r="C36" s="150">
        <f t="shared" si="3"/>
        <v>1223</v>
      </c>
      <c r="D36" s="150">
        <f t="shared" si="3"/>
        <v>7551</v>
      </c>
      <c r="E36" s="150">
        <f t="shared" si="3"/>
        <v>36817.11</v>
      </c>
      <c r="F36" s="150">
        <f t="shared" si="3"/>
        <v>99665.966129142194</v>
      </c>
      <c r="G36" s="179">
        <f t="shared" si="4"/>
        <v>45591.11</v>
      </c>
      <c r="H36" s="179">
        <f t="shared" si="5"/>
        <v>145257.07612914219</v>
      </c>
      <c r="I36" s="151">
        <f t="shared" si="1"/>
        <v>5.7441334761731211E-3</v>
      </c>
      <c r="J36" s="151">
        <f t="shared" si="2"/>
        <v>8.4036557396014091E-3</v>
      </c>
    </row>
    <row r="37" spans="1:10">
      <c r="A37" s="189"/>
      <c r="B37" s="115" t="s">
        <v>78</v>
      </c>
      <c r="C37" s="177">
        <f t="shared" si="3"/>
        <v>0</v>
      </c>
      <c r="D37" s="150">
        <f t="shared" si="3"/>
        <v>117787</v>
      </c>
      <c r="E37" s="150">
        <f t="shared" si="3"/>
        <v>334017.23</v>
      </c>
      <c r="F37" s="150">
        <f t="shared" si="3"/>
        <v>283560.42418027762</v>
      </c>
      <c r="G37" s="179">
        <f t="shared" si="4"/>
        <v>451804.23</v>
      </c>
      <c r="H37" s="179">
        <f t="shared" si="5"/>
        <v>735364.6541802776</v>
      </c>
      <c r="I37" s="151">
        <f t="shared" si="1"/>
        <v>5.6923900344159645E-2</v>
      </c>
      <c r="J37" s="151">
        <f t="shared" si="2"/>
        <v>4.2543548042423267E-2</v>
      </c>
    </row>
    <row r="38" spans="1:10">
      <c r="A38" s="189"/>
      <c r="B38" s="115" t="s">
        <v>79</v>
      </c>
      <c r="C38" s="150">
        <f t="shared" si="3"/>
        <v>0</v>
      </c>
      <c r="D38" s="150">
        <f t="shared" si="3"/>
        <v>2319</v>
      </c>
      <c r="E38" s="150">
        <f t="shared" si="3"/>
        <v>46282.879999999997</v>
      </c>
      <c r="F38" s="150">
        <f t="shared" si="3"/>
        <v>38282.180461827011</v>
      </c>
      <c r="G38" s="179">
        <f t="shared" si="4"/>
        <v>48601.88</v>
      </c>
      <c r="H38" s="179">
        <f t="shared" si="5"/>
        <v>86884.060461827001</v>
      </c>
      <c r="I38" s="151">
        <f t="shared" si="1"/>
        <v>6.1234676214935073E-3</v>
      </c>
      <c r="J38" s="151">
        <f t="shared" si="2"/>
        <v>5.0265622359819979E-3</v>
      </c>
    </row>
    <row r="39" spans="1:10">
      <c r="A39" s="189"/>
      <c r="B39" s="115" t="s">
        <v>252</v>
      </c>
      <c r="C39" s="135">
        <f>SUMIF($C$4:$C$7,C15,$E$4:$E$7)</f>
        <v>11966</v>
      </c>
      <c r="D39" s="135">
        <f>SUMIF($C$8:$C$10,C15,$E$8:$E$10)</f>
        <v>91135</v>
      </c>
      <c r="E39" s="137">
        <f>SUMIF($C$11:$C$14,C15,$E$11:$E$14)</f>
        <v>96860.54</v>
      </c>
      <c r="F39" s="149" t="s">
        <v>4</v>
      </c>
      <c r="G39" s="179">
        <f t="shared" si="4"/>
        <v>199961.53999999998</v>
      </c>
      <c r="H39" s="179">
        <f t="shared" si="5"/>
        <v>199961.53999999998</v>
      </c>
      <c r="I39" s="151">
        <f t="shared" si="1"/>
        <v>2.5193634808653057E-2</v>
      </c>
      <c r="J39" s="151">
        <f t="shared" si="2"/>
        <v>1.1568510038206702E-2</v>
      </c>
    </row>
    <row r="40" spans="1:10">
      <c r="A40" s="189"/>
      <c r="B40" s="178" t="s">
        <v>102</v>
      </c>
      <c r="C40" s="135">
        <f>SUMIF($C$4:$C$7,C16,$E$4:$E$7)</f>
        <v>20000</v>
      </c>
      <c r="D40" s="135">
        <f>SUMIF($C$8:$C$10,C16,$E$8:$E$10)</f>
        <v>33698</v>
      </c>
      <c r="E40" s="137">
        <f>SUMIF($C$11:$C$14,C16,$E$11:$E$14)</f>
        <v>318318.46999999997</v>
      </c>
      <c r="F40" s="184" t="s">
        <v>4</v>
      </c>
      <c r="G40" s="179">
        <f t="shared" si="4"/>
        <v>372016.47</v>
      </c>
      <c r="H40" s="179">
        <f t="shared" si="5"/>
        <v>372016.47</v>
      </c>
      <c r="I40" s="151">
        <f t="shared" si="1"/>
        <v>4.6871248781061775E-2</v>
      </c>
      <c r="J40" s="151">
        <f t="shared" si="2"/>
        <v>2.1522520118484895E-2</v>
      </c>
    </row>
    <row r="41" spans="1:10">
      <c r="A41" s="189"/>
      <c r="B41" s="115" t="s">
        <v>261</v>
      </c>
      <c r="C41" s="180">
        <f>SUM(C33:C40)</f>
        <v>404194</v>
      </c>
      <c r="D41" s="180">
        <f>SUM(D33:D40)</f>
        <v>1429399.3160602648</v>
      </c>
      <c r="E41" s="180">
        <f>SUM(E33:E40)</f>
        <v>6103393.209255279</v>
      </c>
      <c r="F41" s="180">
        <f>SUM(F33:F40)</f>
        <v>9347999.9889025912</v>
      </c>
      <c r="G41" s="151"/>
      <c r="H41" s="151"/>
    </row>
    <row r="42" spans="1:10">
      <c r="A42" s="189"/>
      <c r="B42" s="115" t="s">
        <v>273</v>
      </c>
      <c r="C42" s="150"/>
      <c r="D42" s="150"/>
      <c r="E42" s="150"/>
      <c r="F42" s="150"/>
      <c r="G42" s="179">
        <f>SUM(C33:E40)</f>
        <v>7936986.5253155446</v>
      </c>
      <c r="H42" s="179">
        <f>SUM(C33:F40)</f>
        <v>17284986.514218137</v>
      </c>
    </row>
    <row r="43" spans="1:10">
      <c r="A43" s="158"/>
      <c r="B43" s="115"/>
      <c r="C43" s="150"/>
      <c r="D43" s="150"/>
      <c r="E43" s="150"/>
      <c r="F43" s="150"/>
      <c r="G43" s="151"/>
      <c r="H43" s="151"/>
    </row>
    <row r="44" spans="1:10" ht="28">
      <c r="A44" s="181" t="s">
        <v>251</v>
      </c>
      <c r="B44" s="185" t="s">
        <v>296</v>
      </c>
      <c r="C44" s="153" t="s">
        <v>288</v>
      </c>
      <c r="E44" s="150"/>
      <c r="F44" s="150"/>
      <c r="G44" s="151"/>
      <c r="H44" s="151"/>
    </row>
    <row r="45" spans="1:10">
      <c r="B45" s="186" t="s">
        <v>289</v>
      </c>
      <c r="C45" s="153" t="s">
        <v>290</v>
      </c>
      <c r="E45" s="150"/>
      <c r="F45" s="150"/>
      <c r="G45" s="151"/>
      <c r="H45" s="151"/>
    </row>
    <row r="46" spans="1:10">
      <c r="B46" s="135" t="s">
        <v>294</v>
      </c>
      <c r="C46" s="135" t="s">
        <v>283</v>
      </c>
    </row>
    <row r="47" spans="1:10">
      <c r="B47" s="135" t="s">
        <v>295</v>
      </c>
      <c r="C47" s="135" t="s">
        <v>284</v>
      </c>
      <c r="E47" s="152"/>
      <c r="F47" s="152"/>
    </row>
    <row r="52" spans="2:8">
      <c r="B52" s="161"/>
    </row>
    <row r="53" spans="2:8">
      <c r="B53" s="165"/>
      <c r="C53" s="115"/>
      <c r="D53" s="115"/>
      <c r="E53" s="115"/>
      <c r="F53" s="115"/>
      <c r="G53" s="115"/>
      <c r="H53" s="115"/>
    </row>
    <row r="54" spans="2:8">
      <c r="B54" s="115"/>
    </row>
    <row r="55" spans="2:8">
      <c r="B55" s="115"/>
      <c r="C55" s="150"/>
      <c r="D55" s="150"/>
      <c r="E55" s="150"/>
      <c r="F55" s="150"/>
      <c r="G55" s="151"/>
      <c r="H55" s="151"/>
    </row>
    <row r="56" spans="2:8">
      <c r="B56" s="115"/>
      <c r="C56" s="150"/>
      <c r="D56" s="150"/>
      <c r="E56" s="150"/>
      <c r="F56" s="150"/>
      <c r="G56" s="151"/>
      <c r="H56" s="151"/>
    </row>
    <row r="57" spans="2:8">
      <c r="B57" s="115"/>
      <c r="C57" s="150"/>
      <c r="D57" s="150"/>
      <c r="E57" s="150"/>
      <c r="F57" s="150"/>
      <c r="G57" s="151"/>
      <c r="H57" s="151"/>
    </row>
    <row r="58" spans="2:8">
      <c r="B58" s="115"/>
      <c r="C58" s="150"/>
      <c r="D58" s="150"/>
      <c r="E58" s="150"/>
      <c r="F58" s="150"/>
      <c r="G58" s="151"/>
      <c r="H58" s="151"/>
    </row>
    <row r="59" spans="2:8">
      <c r="B59" s="115"/>
      <c r="C59" s="150"/>
      <c r="D59" s="150"/>
      <c r="E59" s="150"/>
      <c r="F59" s="150"/>
      <c r="G59" s="151"/>
      <c r="H59" s="151"/>
    </row>
    <row r="60" spans="2:8">
      <c r="B60" s="115"/>
      <c r="C60" s="150"/>
      <c r="D60" s="150"/>
      <c r="E60" s="150"/>
      <c r="F60" s="150"/>
      <c r="G60" s="151"/>
      <c r="H60" s="151"/>
    </row>
    <row r="61" spans="2:8">
      <c r="B61" s="115"/>
      <c r="C61" s="150"/>
      <c r="D61" s="150"/>
      <c r="E61" s="150"/>
      <c r="F61" s="150"/>
      <c r="G61" s="151"/>
      <c r="H61" s="151"/>
    </row>
    <row r="62" spans="2:8">
      <c r="B62" s="115"/>
      <c r="C62" s="150"/>
      <c r="D62" s="150"/>
      <c r="E62" s="150"/>
      <c r="F62" s="150"/>
      <c r="G62" s="151"/>
      <c r="H62" s="151"/>
    </row>
    <row r="63" spans="2:8">
      <c r="C63" s="150"/>
      <c r="D63" s="150"/>
      <c r="E63" s="150"/>
      <c r="F63" s="150"/>
      <c r="G63" s="151"/>
      <c r="H63" s="151"/>
    </row>
  </sheetData>
  <mergeCells count="5">
    <mergeCell ref="A4:A16"/>
    <mergeCell ref="A19:A29"/>
    <mergeCell ref="E19:F19"/>
    <mergeCell ref="E31:F31"/>
    <mergeCell ref="A32:A42"/>
  </mergeCell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3"/>
  <sheetViews>
    <sheetView topLeftCell="A13" workbookViewId="0">
      <selection activeCell="E12" sqref="E12"/>
    </sheetView>
  </sheetViews>
  <sheetFormatPr baseColWidth="10" defaultRowHeight="15" x14ac:dyDescent="0"/>
  <cols>
    <col min="2" max="2" width="15.1640625" bestFit="1" customWidth="1"/>
    <col min="3" max="5" width="14.1640625" bestFit="1" customWidth="1"/>
    <col min="6" max="6" width="14" bestFit="1" customWidth="1"/>
    <col min="8" max="8" width="13.6640625" customWidth="1"/>
    <col min="9" max="9" width="14.33203125" bestFit="1" customWidth="1"/>
    <col min="10" max="10" width="14.1640625" bestFit="1" customWidth="1"/>
    <col min="11" max="11" width="15.5" customWidth="1"/>
    <col min="12" max="12" width="12.5" bestFit="1" customWidth="1"/>
  </cols>
  <sheetData>
    <row r="1" spans="1:8">
      <c r="A1" s="115" t="s">
        <v>301</v>
      </c>
      <c r="B1" s="135"/>
      <c r="C1" s="135"/>
      <c r="D1" s="135"/>
      <c r="E1" s="135"/>
      <c r="F1" s="135"/>
      <c r="G1" s="135"/>
      <c r="H1" s="135"/>
    </row>
    <row r="2" spans="1:8">
      <c r="A2" s="115" t="s">
        <v>307</v>
      </c>
      <c r="B2" s="135"/>
      <c r="C2" s="135"/>
      <c r="D2" s="135"/>
      <c r="E2" s="135"/>
      <c r="F2" s="135"/>
      <c r="G2" s="135"/>
      <c r="H2" s="135"/>
    </row>
    <row r="3" spans="1:8">
      <c r="A3" s="135"/>
      <c r="B3" s="135"/>
      <c r="C3" s="135"/>
      <c r="D3" s="135"/>
      <c r="E3" s="135"/>
      <c r="F3" s="135"/>
      <c r="G3" s="135"/>
      <c r="H3" s="135"/>
    </row>
    <row r="4" spans="1:8">
      <c r="A4" s="135"/>
      <c r="B4" s="115" t="s">
        <v>0</v>
      </c>
      <c r="C4" s="115" t="s">
        <v>3</v>
      </c>
      <c r="D4" s="115" t="s">
        <v>255</v>
      </c>
      <c r="E4" s="115" t="s">
        <v>281</v>
      </c>
      <c r="F4" s="115" t="s">
        <v>282</v>
      </c>
      <c r="G4" s="135"/>
      <c r="H4" s="135"/>
    </row>
    <row r="5" spans="1:8">
      <c r="A5" s="115" t="s">
        <v>275</v>
      </c>
      <c r="B5" s="164">
        <v>604700</v>
      </c>
      <c r="C5" s="161"/>
      <c r="D5" s="161"/>
      <c r="E5" s="161"/>
      <c r="F5" s="161"/>
      <c r="G5" s="135"/>
      <c r="H5" s="135"/>
    </row>
    <row r="6" spans="1:8">
      <c r="A6" s="115" t="s">
        <v>276</v>
      </c>
      <c r="B6" s="161"/>
      <c r="C6" s="162">
        <f>'Total expenses'!$C$21</f>
        <v>333994</v>
      </c>
      <c r="D6" s="162" t="s">
        <v>4</v>
      </c>
      <c r="E6" s="162">
        <f>'Total expenses'!$F$7+SUM('Total expenses'!$C$22:$C$26)</f>
        <v>70200</v>
      </c>
      <c r="F6" s="162" t="s">
        <v>4</v>
      </c>
      <c r="G6" s="135"/>
      <c r="H6" s="135"/>
    </row>
    <row r="7" spans="1:8">
      <c r="A7" s="115" t="s">
        <v>277</v>
      </c>
      <c r="B7" s="164">
        <v>5406189</v>
      </c>
      <c r="C7" s="162"/>
      <c r="D7" s="162"/>
      <c r="E7" s="162"/>
      <c r="F7" s="162"/>
      <c r="G7" s="135"/>
      <c r="H7" s="135"/>
    </row>
    <row r="8" spans="1:8">
      <c r="A8" s="115" t="s">
        <v>278</v>
      </c>
      <c r="B8" s="161"/>
      <c r="C8" s="162">
        <f>'Total expenses'!$D$21</f>
        <v>1061057.7318901997</v>
      </c>
      <c r="D8" s="162" t="s">
        <v>4</v>
      </c>
      <c r="E8" s="162">
        <f>'Total expenses'!$F$10+SUM('Total expenses'!$D$22:$D$26)</f>
        <v>368341.58417006512</v>
      </c>
      <c r="F8" s="162" t="s">
        <v>4</v>
      </c>
      <c r="G8" s="164"/>
      <c r="H8" s="135"/>
    </row>
    <row r="9" spans="1:8">
      <c r="A9" s="115" t="s">
        <v>279</v>
      </c>
      <c r="B9" s="164">
        <v>17400000</v>
      </c>
      <c r="C9" s="162"/>
      <c r="D9" s="162"/>
      <c r="E9" s="162"/>
      <c r="F9" s="162"/>
      <c r="G9" s="164"/>
      <c r="H9" s="135"/>
    </row>
    <row r="10" spans="1:8">
      <c r="A10" s="115" t="s">
        <v>293</v>
      </c>
      <c r="B10" s="161"/>
      <c r="C10" s="162">
        <f>'Total expenses'!$E$21</f>
        <v>4986314.79</v>
      </c>
      <c r="D10" s="162">
        <f>'Total expenses'!$F$21</f>
        <v>8609217.3071428593</v>
      </c>
      <c r="E10" s="162">
        <f>'Total expenses'!$F$14+SUM('Total expenses'!$E$22:$E$26)</f>
        <v>1117078.4192552797</v>
      </c>
      <c r="F10" s="162">
        <f>SUM('Total expenses'!$F$22:$F$26)</f>
        <v>738782.68175973161</v>
      </c>
      <c r="G10" s="164"/>
      <c r="H10" s="135"/>
    </row>
    <row r="11" spans="1:8">
      <c r="A11" s="115" t="s">
        <v>280</v>
      </c>
      <c r="B11" s="162">
        <v>23410889</v>
      </c>
      <c r="C11" s="162"/>
      <c r="D11" s="162"/>
      <c r="E11" s="162"/>
      <c r="F11" s="162"/>
      <c r="G11" s="164"/>
      <c r="H11" s="135"/>
    </row>
    <row r="12" spans="1:8">
      <c r="A12" s="115" t="s">
        <v>269</v>
      </c>
      <c r="B12" s="161"/>
      <c r="C12" s="162">
        <f>SUM(C5:C11)</f>
        <v>6381366.5218901997</v>
      </c>
      <c r="D12" s="162">
        <f t="shared" ref="D12:F12" si="0">SUM(D5:D11)</f>
        <v>8609217.3071428593</v>
      </c>
      <c r="E12" s="162">
        <f t="shared" si="0"/>
        <v>1555620.0034253448</v>
      </c>
      <c r="F12" s="162">
        <f t="shared" si="0"/>
        <v>738782.68175973161</v>
      </c>
      <c r="G12" s="135"/>
      <c r="H12" s="135"/>
    </row>
    <row r="53" spans="3:3">
      <c r="C53" s="182"/>
    </row>
  </sheetData>
  <pageMargins left="0.75" right="0.75" top="1" bottom="1" header="0.5" footer="0.5"/>
  <pageSetup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5"/>
  <sheetViews>
    <sheetView workbookViewId="0">
      <selection activeCell="C114" sqref="C114"/>
    </sheetView>
  </sheetViews>
  <sheetFormatPr baseColWidth="10" defaultColWidth="8.83203125" defaultRowHeight="15" x14ac:dyDescent="0"/>
  <cols>
    <col min="1" max="3" width="8.83203125" style="48"/>
    <col min="4" max="4" width="47.1640625" style="48" customWidth="1"/>
    <col min="5" max="8" width="11.5" style="48" customWidth="1"/>
    <col min="9" max="9" width="11.6640625" style="48" customWidth="1"/>
    <col min="10" max="10" width="10.5" style="48" bestFit="1" customWidth="1"/>
    <col min="11" max="16384" width="8.83203125" style="48"/>
  </cols>
  <sheetData>
    <row r="1" spans="1:17">
      <c r="A1" s="212" t="s">
        <v>300</v>
      </c>
    </row>
    <row r="2" spans="1:17">
      <c r="A2" s="212" t="s">
        <v>299</v>
      </c>
      <c r="D2" s="44" t="s">
        <v>82</v>
      </c>
    </row>
    <row r="3" spans="1:17">
      <c r="D3" s="49" t="s">
        <v>83</v>
      </c>
    </row>
    <row r="4" spans="1:17">
      <c r="D4" s="49" t="s">
        <v>84</v>
      </c>
    </row>
    <row r="5" spans="1:17">
      <c r="D5" s="49" t="s">
        <v>85</v>
      </c>
    </row>
    <row r="6" spans="1:17">
      <c r="D6" s="44"/>
      <c r="L6" s="210" t="s">
        <v>297</v>
      </c>
    </row>
    <row r="7" spans="1:17" s="44" customFormat="1" ht="49" thickBot="1">
      <c r="A7" s="50" t="s">
        <v>65</v>
      </c>
      <c r="B7" s="50" t="s">
        <v>86</v>
      </c>
      <c r="E7" s="51"/>
      <c r="J7" s="52" t="s">
        <v>87</v>
      </c>
      <c r="K7" s="44" t="s">
        <v>68</v>
      </c>
      <c r="L7" s="209" t="s">
        <v>298</v>
      </c>
      <c r="Q7" s="53"/>
    </row>
    <row r="8" spans="1:17" s="54" customFormat="1" ht="14" thickBot="1">
      <c r="D8" s="55" t="s">
        <v>6</v>
      </c>
      <c r="E8" s="56" t="s">
        <v>69</v>
      </c>
      <c r="F8" s="56" t="s">
        <v>70</v>
      </c>
      <c r="G8" s="56" t="s">
        <v>5</v>
      </c>
      <c r="H8" s="57" t="s">
        <v>72</v>
      </c>
      <c r="I8" s="58" t="s">
        <v>73</v>
      </c>
      <c r="J8" s="59"/>
      <c r="Q8" s="60"/>
    </row>
    <row r="9" spans="1:17" s="54" customFormat="1" ht="13">
      <c r="A9" s="54" t="str">
        <f>D8</f>
        <v>Ke-RCT</v>
      </c>
      <c r="B9" s="54">
        <v>538</v>
      </c>
      <c r="D9" s="61" t="s">
        <v>74</v>
      </c>
      <c r="E9" s="62">
        <v>506974.30714408203</v>
      </c>
      <c r="F9" s="62">
        <v>0</v>
      </c>
      <c r="G9" s="62">
        <v>506974.30714408203</v>
      </c>
      <c r="H9" s="63">
        <v>942.33142591836804</v>
      </c>
      <c r="I9" s="64">
        <v>0.91826789245593632</v>
      </c>
      <c r="J9" s="65">
        <v>0.91826789245593632</v>
      </c>
      <c r="K9" s="59">
        <f t="shared" ref="K9:K14" si="0">I9-J9</f>
        <v>0</v>
      </c>
      <c r="O9" s="60"/>
      <c r="Q9" s="60"/>
    </row>
    <row r="10" spans="1:17" s="54" customFormat="1" ht="13">
      <c r="A10" s="54" t="str">
        <f>D8</f>
        <v>Ke-RCT</v>
      </c>
      <c r="B10" s="54">
        <v>538</v>
      </c>
      <c r="D10" s="61" t="s">
        <v>75</v>
      </c>
      <c r="E10" s="62">
        <v>18823.614880181001</v>
      </c>
      <c r="F10" s="62">
        <v>0</v>
      </c>
      <c r="G10" s="62">
        <v>18823.614880181001</v>
      </c>
      <c r="H10" s="63">
        <v>34.98813174754833</v>
      </c>
      <c r="I10" s="64">
        <v>3.4094668942490573E-2</v>
      </c>
      <c r="J10" s="59">
        <v>3.4094668942490573E-2</v>
      </c>
      <c r="K10" s="59">
        <f t="shared" si="0"/>
        <v>0</v>
      </c>
      <c r="O10" s="60"/>
      <c r="Q10" s="60"/>
    </row>
    <row r="11" spans="1:17" s="54" customFormat="1" ht="13">
      <c r="A11" s="54" t="str">
        <f>D8</f>
        <v>Ke-RCT</v>
      </c>
      <c r="B11" s="54">
        <v>538</v>
      </c>
      <c r="D11" s="61" t="s">
        <v>76</v>
      </c>
      <c r="E11" s="62">
        <v>14512.247416375165</v>
      </c>
      <c r="F11" s="62">
        <v>0</v>
      </c>
      <c r="G11" s="62">
        <v>14512.247416375165</v>
      </c>
      <c r="H11" s="63">
        <v>26.974437576905512</v>
      </c>
      <c r="I11" s="64">
        <v>2.6285613811286582E-2</v>
      </c>
      <c r="J11" s="59">
        <v>2.6285613811286582E-2</v>
      </c>
      <c r="K11" s="59">
        <f t="shared" si="0"/>
        <v>0</v>
      </c>
      <c r="L11" s="60"/>
      <c r="M11" s="60"/>
      <c r="N11" s="60"/>
      <c r="O11" s="60"/>
      <c r="Q11" s="60"/>
    </row>
    <row r="12" spans="1:17" s="54" customFormat="1" ht="13">
      <c r="A12" s="54" t="str">
        <f>D8</f>
        <v>Ke-RCT</v>
      </c>
      <c r="B12" s="54">
        <v>538</v>
      </c>
      <c r="D12" s="61" t="s">
        <v>77</v>
      </c>
      <c r="E12" s="62">
        <v>2469.41</v>
      </c>
      <c r="F12" s="62">
        <v>0</v>
      </c>
      <c r="G12" s="62">
        <v>2469.41</v>
      </c>
      <c r="H12" s="63">
        <v>4.5899814126394052</v>
      </c>
      <c r="I12" s="64">
        <v>4.4727708768585927E-3</v>
      </c>
      <c r="J12" s="59">
        <v>4.4727708768585927E-3</v>
      </c>
      <c r="K12" s="59">
        <f t="shared" si="0"/>
        <v>0</v>
      </c>
      <c r="L12" s="60"/>
      <c r="M12" s="60"/>
      <c r="N12" s="60"/>
      <c r="O12" s="60"/>
      <c r="Q12" s="60"/>
    </row>
    <row r="13" spans="1:17" s="54" customFormat="1" ht="13">
      <c r="A13" s="54" t="str">
        <f>D8</f>
        <v>Ke-RCT</v>
      </c>
      <c r="B13" s="54">
        <v>538</v>
      </c>
      <c r="D13" s="61" t="s">
        <v>78</v>
      </c>
      <c r="E13" s="62">
        <v>9181.23</v>
      </c>
      <c r="F13" s="62">
        <v>0</v>
      </c>
      <c r="G13" s="62">
        <v>9181.23</v>
      </c>
      <c r="H13" s="63">
        <v>17.065483271375463</v>
      </c>
      <c r="I13" s="64">
        <v>1.662969622611896E-2</v>
      </c>
      <c r="J13" s="59">
        <v>1.662969622611896E-2</v>
      </c>
      <c r="K13" s="59">
        <f t="shared" si="0"/>
        <v>0</v>
      </c>
      <c r="L13" s="60"/>
      <c r="M13" s="60"/>
      <c r="N13" s="60"/>
      <c r="O13" s="60"/>
      <c r="Q13" s="60"/>
    </row>
    <row r="14" spans="1:17" s="54" customFormat="1" ht="14" thickBot="1">
      <c r="A14" s="54" t="str">
        <f>D8</f>
        <v>Ke-RCT</v>
      </c>
      <c r="B14" s="54">
        <v>538</v>
      </c>
      <c r="D14" s="61" t="s">
        <v>79</v>
      </c>
      <c r="E14" s="62">
        <v>137.66999999999999</v>
      </c>
      <c r="F14" s="62">
        <v>0</v>
      </c>
      <c r="G14" s="62">
        <v>137.66999999999999</v>
      </c>
      <c r="H14" s="63">
        <v>0.25589219330855018</v>
      </c>
      <c r="I14" s="64">
        <v>2.4935768730875897E-4</v>
      </c>
      <c r="J14" s="59">
        <v>2.4935768730875897E-4</v>
      </c>
      <c r="K14" s="59">
        <f t="shared" si="0"/>
        <v>0</v>
      </c>
      <c r="L14" s="201">
        <f>E15/G15</f>
        <v>1</v>
      </c>
      <c r="M14" s="60"/>
      <c r="N14" s="60"/>
      <c r="O14" s="60"/>
      <c r="Q14" s="60"/>
    </row>
    <row r="15" spans="1:17" s="54" customFormat="1" thickTop="1" thickBot="1">
      <c r="D15" s="66" t="s">
        <v>80</v>
      </c>
      <c r="E15" s="67">
        <v>552098.47944063833</v>
      </c>
      <c r="F15" s="67">
        <v>0</v>
      </c>
      <c r="G15" s="67">
        <v>552098.47944063833</v>
      </c>
      <c r="H15" s="68">
        <v>1026.2053521201453</v>
      </c>
      <c r="I15" s="69">
        <v>0.99999999999999978</v>
      </c>
      <c r="J15" s="59"/>
      <c r="K15" s="59"/>
      <c r="L15" s="202"/>
      <c r="M15" s="60"/>
      <c r="N15" s="60"/>
      <c r="O15" s="60"/>
      <c r="Q15" s="60"/>
    </row>
    <row r="16" spans="1:17" s="54" customFormat="1" ht="14" thickBot="1">
      <c r="H16" s="70"/>
      <c r="J16" s="59"/>
      <c r="K16" s="59"/>
      <c r="L16" s="202"/>
      <c r="M16" s="60"/>
      <c r="N16" s="60"/>
      <c r="O16" s="60"/>
      <c r="Q16" s="60"/>
    </row>
    <row r="17" spans="1:17" s="54" customFormat="1" ht="14" thickBot="1">
      <c r="D17" s="55" t="s">
        <v>7</v>
      </c>
      <c r="E17" s="56" t="s">
        <v>69</v>
      </c>
      <c r="F17" s="56" t="s">
        <v>70</v>
      </c>
      <c r="G17" s="56" t="s">
        <v>71</v>
      </c>
      <c r="H17" s="71" t="s">
        <v>72</v>
      </c>
      <c r="I17" s="58" t="s">
        <v>73</v>
      </c>
      <c r="J17" s="59"/>
      <c r="K17" s="59"/>
      <c r="L17" s="202"/>
      <c r="M17" s="60"/>
      <c r="N17" s="60"/>
      <c r="O17" s="60"/>
      <c r="Q17" s="60"/>
    </row>
    <row r="18" spans="1:17" s="54" customFormat="1" ht="13">
      <c r="A18" s="54" t="str">
        <f>D17</f>
        <v>Ke-200K</v>
      </c>
      <c r="B18" s="54">
        <v>199</v>
      </c>
      <c r="D18" s="61" t="s">
        <v>74</v>
      </c>
      <c r="E18" s="62">
        <v>191846.71625001577</v>
      </c>
      <c r="F18" s="62">
        <v>0</v>
      </c>
      <c r="G18" s="62">
        <v>191846.71625001577</v>
      </c>
      <c r="H18" s="63">
        <v>964.05385050259179</v>
      </c>
      <c r="I18" s="64">
        <v>0.92478673369384568</v>
      </c>
      <c r="J18" s="65">
        <v>0.92478673369384568</v>
      </c>
      <c r="K18" s="59">
        <f t="shared" ref="K18:K23" si="1">I18-J18</f>
        <v>0</v>
      </c>
      <c r="L18" s="202"/>
      <c r="M18" s="60"/>
      <c r="N18" s="60"/>
      <c r="O18" s="60"/>
      <c r="Q18" s="60"/>
    </row>
    <row r="19" spans="1:17" s="54" customFormat="1" ht="13">
      <c r="A19" s="54" t="str">
        <f>D17</f>
        <v>Ke-200K</v>
      </c>
      <c r="B19" s="54">
        <v>199</v>
      </c>
      <c r="D19" s="61" t="s">
        <v>75</v>
      </c>
      <c r="E19" s="62">
        <v>4531.2584683002315</v>
      </c>
      <c r="F19" s="62">
        <v>0</v>
      </c>
      <c r="G19" s="62">
        <v>4531.2584683002315</v>
      </c>
      <c r="H19" s="63">
        <v>22.770143056785084</v>
      </c>
      <c r="I19" s="64">
        <v>2.1842686704946948E-2</v>
      </c>
      <c r="J19" s="59">
        <v>2.1842686704946948E-2</v>
      </c>
      <c r="K19" s="59">
        <f t="shared" si="1"/>
        <v>0</v>
      </c>
      <c r="L19" s="202"/>
      <c r="M19" s="60"/>
      <c r="N19" s="60"/>
      <c r="O19" s="60"/>
      <c r="Q19" s="60"/>
    </row>
    <row r="20" spans="1:17" s="54" customFormat="1" ht="13">
      <c r="A20" s="54" t="str">
        <f>D17</f>
        <v>Ke-200K</v>
      </c>
      <c r="B20" s="54">
        <v>199</v>
      </c>
      <c r="D20" s="61" t="s">
        <v>76</v>
      </c>
      <c r="E20" s="62">
        <v>2410.9199065148605</v>
      </c>
      <c r="F20" s="62">
        <v>0</v>
      </c>
      <c r="G20" s="62">
        <v>2410.9199065148605</v>
      </c>
      <c r="H20" s="63">
        <v>12.115175409622415</v>
      </c>
      <c r="I20" s="64">
        <v>1.1621709191194802E-2</v>
      </c>
      <c r="J20" s="59">
        <v>1.1621709191194802E-2</v>
      </c>
      <c r="K20" s="59">
        <f t="shared" si="1"/>
        <v>0</v>
      </c>
      <c r="L20" s="202"/>
      <c r="M20" s="60"/>
      <c r="N20" s="60"/>
      <c r="O20" s="60"/>
      <c r="Q20" s="60"/>
    </row>
    <row r="21" spans="1:17" s="54" customFormat="1" ht="13">
      <c r="A21" s="54" t="str">
        <f>D17</f>
        <v>Ke-200K</v>
      </c>
      <c r="B21" s="54">
        <v>199</v>
      </c>
      <c r="D21" s="61" t="s">
        <v>77</v>
      </c>
      <c r="E21" s="62">
        <v>744.7</v>
      </c>
      <c r="F21" s="62">
        <v>0</v>
      </c>
      <c r="G21" s="62">
        <v>744.7</v>
      </c>
      <c r="H21" s="63">
        <v>3.7422110552763823</v>
      </c>
      <c r="I21" s="64">
        <v>3.5897861274013353E-3</v>
      </c>
      <c r="J21" s="59">
        <v>3.5897861274013353E-3</v>
      </c>
      <c r="K21" s="59">
        <f t="shared" si="1"/>
        <v>0</v>
      </c>
      <c r="L21" s="202"/>
      <c r="M21" s="60"/>
      <c r="N21" s="60"/>
      <c r="O21" s="60"/>
      <c r="Q21" s="60"/>
    </row>
    <row r="22" spans="1:17" s="54" customFormat="1" ht="13">
      <c r="A22" s="54" t="str">
        <f>D17</f>
        <v>Ke-200K</v>
      </c>
      <c r="B22" s="54">
        <v>199</v>
      </c>
      <c r="D22" s="61" t="s">
        <v>78</v>
      </c>
      <c r="E22" s="62">
        <v>7909.39</v>
      </c>
      <c r="F22" s="62">
        <v>0</v>
      </c>
      <c r="G22" s="62">
        <v>7909.39</v>
      </c>
      <c r="H22" s="63">
        <v>39.7456783919598</v>
      </c>
      <c r="I22" s="64">
        <v>3.8126787294490191E-2</v>
      </c>
      <c r="J22" s="59">
        <v>3.8126787294490191E-2</v>
      </c>
      <c r="K22" s="59">
        <f t="shared" si="1"/>
        <v>0</v>
      </c>
      <c r="L22" s="202"/>
      <c r="M22" s="60"/>
      <c r="N22" s="60"/>
      <c r="O22" s="60"/>
      <c r="Q22" s="60"/>
    </row>
    <row r="23" spans="1:17" s="54" customFormat="1" ht="14" thickBot="1">
      <c r="A23" s="54" t="str">
        <f>D17</f>
        <v>Ke-200K</v>
      </c>
      <c r="B23" s="54">
        <v>199</v>
      </c>
      <c r="D23" s="61" t="s">
        <v>79</v>
      </c>
      <c r="E23" s="62">
        <v>6.7</v>
      </c>
      <c r="F23" s="62">
        <v>0</v>
      </c>
      <c r="G23" s="62">
        <v>6.7</v>
      </c>
      <c r="H23" s="63">
        <v>3.3668341708542715E-2</v>
      </c>
      <c r="I23" s="64">
        <v>3.229698812083919E-5</v>
      </c>
      <c r="J23" s="59">
        <v>3.229698812083919E-5</v>
      </c>
      <c r="K23" s="59">
        <f t="shared" si="1"/>
        <v>0</v>
      </c>
      <c r="L23" s="201">
        <f>E24/G24</f>
        <v>1</v>
      </c>
      <c r="M23" s="60"/>
      <c r="N23" s="60"/>
      <c r="O23" s="60"/>
      <c r="Q23" s="60"/>
    </row>
    <row r="24" spans="1:17" s="54" customFormat="1" thickTop="1" thickBot="1">
      <c r="D24" s="66" t="s">
        <v>80</v>
      </c>
      <c r="E24" s="67">
        <v>207449.6846248309</v>
      </c>
      <c r="F24" s="67">
        <v>0</v>
      </c>
      <c r="G24" s="67">
        <v>207449.6846248309</v>
      </c>
      <c r="H24" s="72"/>
      <c r="I24" s="69">
        <v>0.99999999999999967</v>
      </c>
      <c r="J24" s="59"/>
      <c r="K24" s="59"/>
      <c r="L24" s="203"/>
      <c r="O24" s="60"/>
      <c r="Q24" s="60"/>
    </row>
    <row r="25" spans="1:17" s="54" customFormat="1" ht="14" thickBot="1">
      <c r="H25" s="70"/>
      <c r="J25" s="59"/>
      <c r="K25" s="59"/>
      <c r="L25" s="204"/>
      <c r="Q25" s="60"/>
    </row>
    <row r="26" spans="1:17" s="54" customFormat="1" ht="14" thickBot="1">
      <c r="D26" s="55" t="s">
        <v>8</v>
      </c>
      <c r="E26" s="56" t="s">
        <v>69</v>
      </c>
      <c r="F26" s="56" t="s">
        <v>70</v>
      </c>
      <c r="G26" s="56" t="s">
        <v>71</v>
      </c>
      <c r="H26" s="71" t="s">
        <v>72</v>
      </c>
      <c r="I26" s="58" t="s">
        <v>73</v>
      </c>
      <c r="J26" s="59"/>
      <c r="K26" s="59"/>
      <c r="L26" s="204"/>
      <c r="Q26" s="60"/>
    </row>
    <row r="27" spans="1:17" s="54" customFormat="1" ht="13">
      <c r="A27" s="54" t="str">
        <f>D26</f>
        <v>Ke-Nike</v>
      </c>
      <c r="B27" s="54">
        <v>77</v>
      </c>
      <c r="D27" s="61" t="s">
        <v>74</v>
      </c>
      <c r="E27" s="62">
        <v>66175.638496101776</v>
      </c>
      <c r="F27" s="62">
        <v>0</v>
      </c>
      <c r="G27" s="62">
        <v>66175.638496101776</v>
      </c>
      <c r="H27" s="63">
        <v>859.42387657275037</v>
      </c>
      <c r="I27" s="64">
        <v>0.79178378302327312</v>
      </c>
      <c r="J27" s="65">
        <v>0.79178378302327312</v>
      </c>
      <c r="K27" s="59">
        <f t="shared" ref="K27:K32" si="2">I27-J27</f>
        <v>0</v>
      </c>
      <c r="L27" s="205"/>
      <c r="O27" s="60"/>
      <c r="Q27" s="60"/>
    </row>
    <row r="28" spans="1:17" s="54" customFormat="1" ht="13">
      <c r="A28" s="54" t="str">
        <f>D26</f>
        <v>Ke-Nike</v>
      </c>
      <c r="B28" s="54">
        <v>77</v>
      </c>
      <c r="D28" s="61" t="s">
        <v>75</v>
      </c>
      <c r="E28" s="62">
        <v>6508.4066515187797</v>
      </c>
      <c r="F28" s="62">
        <v>0</v>
      </c>
      <c r="G28" s="62">
        <v>6508.4066515187797</v>
      </c>
      <c r="H28" s="63">
        <v>84.524761708036095</v>
      </c>
      <c r="I28" s="64">
        <v>7.7872325180465565E-2</v>
      </c>
      <c r="J28" s="59">
        <v>7.7872325180465565E-2</v>
      </c>
      <c r="K28" s="59">
        <f t="shared" si="2"/>
        <v>0</v>
      </c>
      <c r="L28" s="202"/>
      <c r="O28" s="60"/>
      <c r="Q28" s="60"/>
    </row>
    <row r="29" spans="1:17" s="54" customFormat="1" ht="13">
      <c r="A29" s="54" t="str">
        <f>D26</f>
        <v>Ke-Nike</v>
      </c>
      <c r="B29" s="54">
        <v>77</v>
      </c>
      <c r="D29" s="61" t="s">
        <v>76</v>
      </c>
      <c r="E29" s="62">
        <v>3812.2308377547947</v>
      </c>
      <c r="F29" s="62">
        <v>0</v>
      </c>
      <c r="G29" s="62">
        <v>3812.2308377547947</v>
      </c>
      <c r="H29" s="63">
        <v>49.509491399412916</v>
      </c>
      <c r="I29" s="64">
        <v>4.5612896574519377E-2</v>
      </c>
      <c r="J29" s="59">
        <v>4.5612896574519377E-2</v>
      </c>
      <c r="K29" s="59">
        <f t="shared" si="2"/>
        <v>0</v>
      </c>
      <c r="L29" s="202"/>
      <c r="O29" s="60"/>
      <c r="Q29" s="60"/>
    </row>
    <row r="30" spans="1:17" s="54" customFormat="1" ht="13">
      <c r="A30" s="54" t="str">
        <f>D26</f>
        <v>Ke-Nike</v>
      </c>
      <c r="B30" s="54">
        <v>77</v>
      </c>
      <c r="D30" s="61" t="s">
        <v>77</v>
      </c>
      <c r="E30" s="62">
        <v>705.12</v>
      </c>
      <c r="F30" s="62">
        <v>0</v>
      </c>
      <c r="G30" s="62">
        <v>705.12</v>
      </c>
      <c r="H30" s="63">
        <v>9.1574025974025979</v>
      </c>
      <c r="I30" s="64">
        <v>8.4366784178177348E-3</v>
      </c>
      <c r="J30" s="59">
        <v>8.4366784178177348E-3</v>
      </c>
      <c r="K30" s="59">
        <f t="shared" si="2"/>
        <v>0</v>
      </c>
      <c r="L30" s="202"/>
      <c r="O30" s="60"/>
      <c r="Q30" s="60"/>
    </row>
    <row r="31" spans="1:17" s="54" customFormat="1" ht="13">
      <c r="A31" s="54" t="str">
        <f>D26</f>
        <v>Ke-Nike</v>
      </c>
      <c r="B31" s="54">
        <v>77</v>
      </c>
      <c r="D31" s="61" t="s">
        <v>78</v>
      </c>
      <c r="E31" s="62">
        <v>6296.16</v>
      </c>
      <c r="F31" s="62">
        <v>0</v>
      </c>
      <c r="G31" s="62">
        <v>6296.16</v>
      </c>
      <c r="H31" s="63">
        <v>81.768311688311684</v>
      </c>
      <c r="I31" s="64">
        <v>7.5332818792726505E-2</v>
      </c>
      <c r="J31" s="59">
        <v>7.5332818792726505E-2</v>
      </c>
      <c r="K31" s="59">
        <f t="shared" si="2"/>
        <v>0</v>
      </c>
      <c r="L31" s="202"/>
      <c r="O31" s="60"/>
      <c r="Q31" s="60"/>
    </row>
    <row r="32" spans="1:17" s="54" customFormat="1" ht="14" thickBot="1">
      <c r="A32" s="54" t="str">
        <f>D26</f>
        <v>Ke-Nike</v>
      </c>
      <c r="B32" s="54">
        <v>77</v>
      </c>
      <c r="D32" s="61" t="s">
        <v>79</v>
      </c>
      <c r="E32" s="62">
        <v>80.360000000000127</v>
      </c>
      <c r="F32" s="62">
        <v>0</v>
      </c>
      <c r="G32" s="62">
        <v>80.360000000000127</v>
      </c>
      <c r="H32" s="63">
        <v>1.0436363636363652</v>
      </c>
      <c r="I32" s="64">
        <v>9.6149801119785891E-4</v>
      </c>
      <c r="J32" s="59">
        <v>9.6149801119785891E-4</v>
      </c>
      <c r="K32" s="59">
        <f t="shared" si="2"/>
        <v>0</v>
      </c>
      <c r="L32" s="201">
        <f>E33/G33</f>
        <v>1</v>
      </c>
      <c r="O32" s="60"/>
      <c r="Q32" s="60"/>
    </row>
    <row r="33" spans="1:17" s="54" customFormat="1" thickTop="1" thickBot="1">
      <c r="D33" s="66" t="s">
        <v>80</v>
      </c>
      <c r="E33" s="67">
        <v>83577.915985375337</v>
      </c>
      <c r="F33" s="67">
        <v>0</v>
      </c>
      <c r="G33" s="67">
        <v>83577.915985375337</v>
      </c>
      <c r="H33" s="72"/>
      <c r="I33" s="69">
        <v>1.0000000000000002</v>
      </c>
      <c r="J33" s="59"/>
      <c r="K33" s="59"/>
      <c r="L33" s="202"/>
      <c r="O33" s="60"/>
      <c r="Q33" s="60"/>
    </row>
    <row r="34" spans="1:17" s="44" customFormat="1" ht="14" thickBot="1">
      <c r="H34" s="51"/>
      <c r="I34" s="45"/>
      <c r="J34" s="73"/>
      <c r="K34" s="74"/>
      <c r="L34" s="202"/>
      <c r="Q34" s="53"/>
    </row>
    <row r="35" spans="1:17" s="44" customFormat="1" ht="14" thickBot="1">
      <c r="D35" s="27" t="s">
        <v>9</v>
      </c>
      <c r="E35" s="28" t="s">
        <v>69</v>
      </c>
      <c r="F35" s="28" t="s">
        <v>70</v>
      </c>
      <c r="G35" s="28" t="s">
        <v>71</v>
      </c>
      <c r="H35" s="75" t="s">
        <v>72</v>
      </c>
      <c r="I35" s="30" t="s">
        <v>73</v>
      </c>
      <c r="J35" s="73"/>
      <c r="K35" s="74"/>
      <c r="L35" s="202"/>
      <c r="Q35" s="53"/>
    </row>
    <row r="36" spans="1:17" s="44" customFormat="1" ht="13">
      <c r="A36" s="44" t="str">
        <f>D35</f>
        <v>Ke-Google</v>
      </c>
      <c r="B36" s="44">
        <v>861</v>
      </c>
      <c r="D36" s="33" t="s">
        <v>74</v>
      </c>
      <c r="E36" s="34">
        <v>857733.63</v>
      </c>
      <c r="F36" s="34">
        <v>8645.48</v>
      </c>
      <c r="G36" s="34">
        <v>866379.11</v>
      </c>
      <c r="H36" s="36">
        <v>1006.2475145180023</v>
      </c>
      <c r="I36" s="37">
        <v>0.89976811437956883</v>
      </c>
      <c r="J36" s="76">
        <v>0.89782543269364001</v>
      </c>
      <c r="K36" s="77">
        <f t="shared" ref="K36:K41" si="3">I36-J36</f>
        <v>1.9426816859288154E-3</v>
      </c>
      <c r="L36" s="202"/>
      <c r="Q36" s="53"/>
    </row>
    <row r="37" spans="1:17" s="44" customFormat="1" ht="13">
      <c r="A37" s="44" t="str">
        <f>D35</f>
        <v>Ke-Google</v>
      </c>
      <c r="B37" s="44">
        <v>861</v>
      </c>
      <c r="D37" s="33" t="s">
        <v>75</v>
      </c>
      <c r="E37" s="34">
        <v>20225.61</v>
      </c>
      <c r="F37" s="34">
        <v>0</v>
      </c>
      <c r="G37" s="34">
        <v>20225.61</v>
      </c>
      <c r="H37" s="36">
        <v>23.490836236933799</v>
      </c>
      <c r="I37" s="37">
        <v>2.1005075909409393E-2</v>
      </c>
      <c r="J37" s="76">
        <v>2.1052415939555237E-2</v>
      </c>
      <c r="K37" s="77">
        <f t="shared" si="3"/>
        <v>-4.7340030145844036E-5</v>
      </c>
      <c r="L37" s="202"/>
      <c r="Q37" s="53"/>
    </row>
    <row r="38" spans="1:17" s="44" customFormat="1" ht="13">
      <c r="A38" s="44" t="str">
        <f>D35</f>
        <v>Ke-Google</v>
      </c>
      <c r="B38" s="44">
        <v>861</v>
      </c>
      <c r="D38" s="33" t="s">
        <v>76</v>
      </c>
      <c r="E38" s="34">
        <v>21354.495328267712</v>
      </c>
      <c r="F38" s="34">
        <v>3814.5899999999997</v>
      </c>
      <c r="G38" s="34">
        <v>25169.085328267713</v>
      </c>
      <c r="H38" s="36">
        <v>29.232387140845194</v>
      </c>
      <c r="I38" s="37">
        <v>2.613906566430706E-2</v>
      </c>
      <c r="J38" s="76">
        <v>2.5923017746028731E-2</v>
      </c>
      <c r="K38" s="77">
        <f t="shared" si="3"/>
        <v>2.1604791827832884E-4</v>
      </c>
      <c r="L38" s="202"/>
      <c r="Q38" s="53"/>
    </row>
    <row r="39" spans="1:17" s="44" customFormat="1" ht="13">
      <c r="A39" s="44" t="str">
        <f>D35</f>
        <v>Ke-Google</v>
      </c>
      <c r="B39" s="44">
        <v>861</v>
      </c>
      <c r="D39" s="33" t="s">
        <v>77</v>
      </c>
      <c r="E39" s="34">
        <v>5108.29</v>
      </c>
      <c r="F39" s="34">
        <v>0</v>
      </c>
      <c r="G39" s="34">
        <v>5108.29</v>
      </c>
      <c r="H39" s="36">
        <v>5.9329732868757254</v>
      </c>
      <c r="I39" s="37">
        <v>5.3051561469481959E-3</v>
      </c>
      <c r="J39" s="76">
        <v>5.3171126022834719E-3</v>
      </c>
      <c r="K39" s="77">
        <f t="shared" si="3"/>
        <v>-1.1956455335276027E-5</v>
      </c>
      <c r="L39" s="202"/>
      <c r="Q39" s="53"/>
    </row>
    <row r="40" spans="1:17" s="44" customFormat="1" ht="13">
      <c r="A40" s="44" t="str">
        <f>D35</f>
        <v>Ke-Google</v>
      </c>
      <c r="B40" s="44">
        <v>861</v>
      </c>
      <c r="D40" s="33" t="s">
        <v>78</v>
      </c>
      <c r="E40" s="34">
        <v>45083.93</v>
      </c>
      <c r="F40" s="34">
        <v>463.22989770192436</v>
      </c>
      <c r="G40" s="34">
        <v>45547.159897701924</v>
      </c>
      <c r="H40" s="36">
        <v>52.90030185563522</v>
      </c>
      <c r="I40" s="37">
        <v>4.7302481908295287E-2</v>
      </c>
      <c r="J40" s="76">
        <v>4.9410908702057908E-2</v>
      </c>
      <c r="K40" s="77">
        <f t="shared" si="3"/>
        <v>-2.1084267937626217E-3</v>
      </c>
      <c r="L40" s="202"/>
      <c r="Q40" s="53"/>
    </row>
    <row r="41" spans="1:17" s="44" customFormat="1" ht="14" thickBot="1">
      <c r="A41" s="44" t="str">
        <f>D35</f>
        <v>Ke-Google</v>
      </c>
      <c r="B41" s="44">
        <v>861</v>
      </c>
      <c r="D41" s="33" t="s">
        <v>79</v>
      </c>
      <c r="E41" s="34">
        <v>462.29</v>
      </c>
      <c r="F41" s="34">
        <v>0</v>
      </c>
      <c r="G41" s="34">
        <v>462.29</v>
      </c>
      <c r="H41" s="36">
        <v>0.53692218350754939</v>
      </c>
      <c r="I41" s="37">
        <v>4.8010599147125198E-4</v>
      </c>
      <c r="J41" s="76">
        <v>4.7111231643456468E-4</v>
      </c>
      <c r="K41" s="77">
        <f t="shared" si="3"/>
        <v>8.9936750366873008E-6</v>
      </c>
      <c r="L41" s="201">
        <f>E42/G42</f>
        <v>0.98657865471789041</v>
      </c>
      <c r="Q41" s="53"/>
    </row>
    <row r="42" spans="1:17" s="44" customFormat="1" thickTop="1" thickBot="1">
      <c r="D42" s="40" t="s">
        <v>80</v>
      </c>
      <c r="E42" s="41">
        <v>949968.2453282678</v>
      </c>
      <c r="F42" s="41">
        <v>12923.299897701923</v>
      </c>
      <c r="G42" s="41">
        <v>962891.54522596963</v>
      </c>
      <c r="H42" s="78">
        <v>1118.3409352218</v>
      </c>
      <c r="I42" s="43">
        <v>1</v>
      </c>
      <c r="J42" s="73"/>
      <c r="K42" s="77"/>
      <c r="L42" s="202"/>
      <c r="Q42" s="53"/>
    </row>
    <row r="43" spans="1:17" s="44" customFormat="1" ht="14" thickBot="1">
      <c r="H43" s="51"/>
      <c r="I43" s="45"/>
      <c r="J43" s="73"/>
      <c r="K43" s="74"/>
      <c r="L43" s="202"/>
      <c r="Q43" s="53"/>
    </row>
    <row r="44" spans="1:17" s="44" customFormat="1" ht="14" thickBot="1">
      <c r="D44" s="27" t="s">
        <v>10</v>
      </c>
      <c r="E44" s="28" t="s">
        <v>69</v>
      </c>
      <c r="F44" s="28" t="s">
        <v>70</v>
      </c>
      <c r="G44" s="28" t="s">
        <v>71</v>
      </c>
      <c r="H44" s="75" t="s">
        <v>72</v>
      </c>
      <c r="I44" s="30" t="s">
        <v>73</v>
      </c>
      <c r="J44" s="73"/>
      <c r="K44" s="74"/>
      <c r="L44" s="202"/>
      <c r="Q44" s="53"/>
    </row>
    <row r="45" spans="1:17" s="44" customFormat="1" ht="13">
      <c r="A45" s="44" t="str">
        <f>D44</f>
        <v>Ke-201307</v>
      </c>
      <c r="B45" s="44">
        <v>2055</v>
      </c>
      <c r="D45" s="33" t="s">
        <v>74</v>
      </c>
      <c r="E45" s="34">
        <v>2010113.21</v>
      </c>
      <c r="F45" s="34">
        <v>87499.62</v>
      </c>
      <c r="G45" s="34">
        <v>2097612.83</v>
      </c>
      <c r="H45" s="36">
        <v>1020.7361703163017</v>
      </c>
      <c r="I45" s="37">
        <v>0.90805202834051268</v>
      </c>
      <c r="J45" s="79">
        <v>0.92790642754637265</v>
      </c>
      <c r="K45" s="74">
        <f t="shared" ref="K45:K50" si="4">I45-J45</f>
        <v>-1.9854399205859963E-2</v>
      </c>
      <c r="L45" s="206"/>
      <c r="M45" s="80"/>
      <c r="Q45" s="53"/>
    </row>
    <row r="46" spans="1:17" s="44" customFormat="1" ht="13">
      <c r="A46" s="44" t="str">
        <f>D44</f>
        <v>Ke-201307</v>
      </c>
      <c r="B46" s="44">
        <v>2055</v>
      </c>
      <c r="D46" s="33" t="s">
        <v>75</v>
      </c>
      <c r="E46" s="34">
        <v>37412.03</v>
      </c>
      <c r="F46" s="34">
        <v>0</v>
      </c>
      <c r="G46" s="34">
        <v>37412.03</v>
      </c>
      <c r="H46" s="36">
        <v>18.205367396593672</v>
      </c>
      <c r="I46" s="37">
        <v>1.6195586354149114E-2</v>
      </c>
      <c r="J46" s="73">
        <v>1.5510033180886224E-2</v>
      </c>
      <c r="K46" s="74">
        <f t="shared" si="4"/>
        <v>6.8555317326289035E-4</v>
      </c>
      <c r="L46" s="206"/>
      <c r="M46" s="80"/>
      <c r="Q46" s="53"/>
    </row>
    <row r="47" spans="1:17" s="44" customFormat="1" ht="13">
      <c r="A47" s="44" t="str">
        <f>D44</f>
        <v>Ke-201307</v>
      </c>
      <c r="B47" s="44">
        <v>2055</v>
      </c>
      <c r="D47" s="33" t="s">
        <v>76</v>
      </c>
      <c r="E47" s="34">
        <v>75246.60388136188</v>
      </c>
      <c r="F47" s="34">
        <v>0</v>
      </c>
      <c r="G47" s="34">
        <v>75246.60388136188</v>
      </c>
      <c r="H47" s="36">
        <v>36.616352253704079</v>
      </c>
      <c r="I47" s="37">
        <v>3.2574091034810147E-2</v>
      </c>
      <c r="J47" s="73">
        <v>1.6283595372922767E-2</v>
      </c>
      <c r="K47" s="74">
        <f t="shared" si="4"/>
        <v>1.629049566188738E-2</v>
      </c>
      <c r="L47" s="206"/>
      <c r="M47" s="80"/>
      <c r="Q47" s="53"/>
    </row>
    <row r="48" spans="1:17" s="44" customFormat="1" ht="13">
      <c r="A48" s="44" t="str">
        <f>D44</f>
        <v>Ke-201307</v>
      </c>
      <c r="B48" s="44">
        <v>2055</v>
      </c>
      <c r="D48" s="33" t="s">
        <v>77</v>
      </c>
      <c r="E48" s="34">
        <v>4299.04</v>
      </c>
      <c r="F48" s="34">
        <v>0</v>
      </c>
      <c r="G48" s="34">
        <v>4299.04</v>
      </c>
      <c r="H48" s="36">
        <v>2.0919902676399027</v>
      </c>
      <c r="I48" s="37">
        <v>1.8610450584996647E-3</v>
      </c>
      <c r="J48" s="73">
        <v>1.4936295246280029E-3</v>
      </c>
      <c r="K48" s="74">
        <f t="shared" si="4"/>
        <v>3.6741553387166178E-4</v>
      </c>
      <c r="L48" s="206"/>
      <c r="M48" s="80"/>
      <c r="Q48" s="53"/>
    </row>
    <row r="49" spans="1:17" s="44" customFormat="1" ht="13">
      <c r="A49" s="44" t="str">
        <f>D44</f>
        <v>Ke-201307</v>
      </c>
      <c r="B49" s="44">
        <v>2055</v>
      </c>
      <c r="D49" s="33" t="s">
        <v>78</v>
      </c>
      <c r="E49" s="34">
        <v>79525.56</v>
      </c>
      <c r="F49" s="34">
        <v>9910.8715938104106</v>
      </c>
      <c r="G49" s="34">
        <v>89436.431593810412</v>
      </c>
      <c r="H49" s="36">
        <v>43.521377904530617</v>
      </c>
      <c r="I49" s="37">
        <v>3.8716836565257401E-2</v>
      </c>
      <c r="J49" s="73">
        <v>3.7262319250314507E-2</v>
      </c>
      <c r="K49" s="74">
        <f t="shared" si="4"/>
        <v>1.4545173149428936E-3</v>
      </c>
      <c r="L49" s="206"/>
      <c r="M49" s="80"/>
      <c r="Q49" s="53"/>
    </row>
    <row r="50" spans="1:17" s="44" customFormat="1" ht="14" thickBot="1">
      <c r="A50" s="44" t="str">
        <f>D44</f>
        <v>Ke-201307</v>
      </c>
      <c r="B50" s="44">
        <v>2055</v>
      </c>
      <c r="D50" s="33" t="s">
        <v>79</v>
      </c>
      <c r="E50" s="34">
        <v>3602.84</v>
      </c>
      <c r="F50" s="34">
        <v>2404.1494245267659</v>
      </c>
      <c r="G50" s="34">
        <v>6006.989424526766</v>
      </c>
      <c r="H50" s="36">
        <v>2.923109209015458</v>
      </c>
      <c r="I50" s="37">
        <v>2.6004126467712055E-3</v>
      </c>
      <c r="J50" s="73">
        <v>1.5439951248758885E-3</v>
      </c>
      <c r="K50" s="74">
        <f t="shared" si="4"/>
        <v>1.0564175218953169E-3</v>
      </c>
      <c r="L50" s="201">
        <f>E51/G51</f>
        <v>0.95679045916458227</v>
      </c>
      <c r="M50" s="80"/>
      <c r="Q50" s="53"/>
    </row>
    <row r="51" spans="1:17" s="44" customFormat="1" thickTop="1" thickBot="1">
      <c r="D51" s="40" t="s">
        <v>80</v>
      </c>
      <c r="E51" s="41">
        <v>2210199.2838813616</v>
      </c>
      <c r="F51" s="41">
        <v>99814.641018337177</v>
      </c>
      <c r="G51" s="41">
        <v>2310013.9248996987</v>
      </c>
      <c r="H51" s="78">
        <v>1124.0943673477852</v>
      </c>
      <c r="I51" s="43">
        <v>1.0000000000000002</v>
      </c>
      <c r="J51" s="73"/>
      <c r="K51" s="74"/>
      <c r="L51" s="206"/>
      <c r="M51" s="80"/>
      <c r="Q51" s="53"/>
    </row>
    <row r="52" spans="1:17" s="44" customFormat="1" ht="14" thickBot="1">
      <c r="H52" s="51"/>
      <c r="I52" s="45"/>
      <c r="J52" s="73"/>
      <c r="K52" s="74"/>
      <c r="L52" s="202"/>
      <c r="Q52" s="53"/>
    </row>
    <row r="53" spans="1:17" s="44" customFormat="1" ht="14" thickBot="1">
      <c r="D53" s="27" t="s">
        <v>11</v>
      </c>
      <c r="E53" s="28" t="s">
        <v>69</v>
      </c>
      <c r="F53" s="28" t="s">
        <v>70</v>
      </c>
      <c r="G53" s="28" t="s">
        <v>71</v>
      </c>
      <c r="H53" s="75" t="s">
        <v>72</v>
      </c>
      <c r="I53" s="30" t="s">
        <v>73</v>
      </c>
      <c r="J53" s="73"/>
      <c r="K53" s="74"/>
      <c r="L53" s="202"/>
      <c r="Q53" s="53"/>
    </row>
    <row r="54" spans="1:17" s="44" customFormat="1" ht="13">
      <c r="A54" s="44" t="str">
        <f>D53</f>
        <v>Ke-201311</v>
      </c>
      <c r="B54" s="44">
        <v>1200</v>
      </c>
      <c r="D54" s="33" t="s">
        <v>74</v>
      </c>
      <c r="E54" s="81">
        <v>639383.72</v>
      </c>
      <c r="F54" s="34">
        <v>538589.56999999995</v>
      </c>
      <c r="G54" s="35">
        <v>1177973.29</v>
      </c>
      <c r="H54" s="36">
        <v>981.64440833333333</v>
      </c>
      <c r="I54" s="37">
        <v>0.90616285954759479</v>
      </c>
      <c r="J54" s="73">
        <v>0.92135333292587107</v>
      </c>
      <c r="K54" s="77">
        <f t="shared" ref="K54:K59" si="5">I54-J54</f>
        <v>-1.5190473378276281E-2</v>
      </c>
      <c r="L54" s="202"/>
      <c r="Q54" s="53"/>
    </row>
    <row r="55" spans="1:17" s="44" customFormat="1" ht="13">
      <c r="A55" s="44" t="str">
        <f>D53</f>
        <v>Ke-201311</v>
      </c>
      <c r="B55" s="44">
        <v>1200</v>
      </c>
      <c r="D55" s="33" t="s">
        <v>75</v>
      </c>
      <c r="E55" s="81">
        <v>25128.33</v>
      </c>
      <c r="F55" s="34">
        <v>0</v>
      </c>
      <c r="G55" s="35">
        <v>25128.33</v>
      </c>
      <c r="H55" s="36">
        <v>20.940275</v>
      </c>
      <c r="I55" s="37">
        <v>1.9330115174729993E-2</v>
      </c>
      <c r="J55" s="73">
        <v>1.948452984337759E-2</v>
      </c>
      <c r="K55" s="77">
        <f t="shared" si="5"/>
        <v>-1.5441466864759765E-4</v>
      </c>
      <c r="L55" s="202"/>
      <c r="Q55" s="53"/>
    </row>
    <row r="56" spans="1:17" s="44" customFormat="1" ht="13">
      <c r="A56" s="44" t="str">
        <f>D53</f>
        <v>Ke-201311</v>
      </c>
      <c r="B56" s="44">
        <v>1200</v>
      </c>
      <c r="D56" s="33" t="s">
        <v>76</v>
      </c>
      <c r="E56" s="81">
        <v>25178.536529874102</v>
      </c>
      <c r="F56" s="34">
        <v>17564.41</v>
      </c>
      <c r="G56" s="35">
        <v>42742.946529874098</v>
      </c>
      <c r="H56" s="36">
        <v>35.619122108228417</v>
      </c>
      <c r="I56" s="37">
        <v>3.2880262211209099E-2</v>
      </c>
      <c r="J56" s="73">
        <v>2.7895474201863214E-2</v>
      </c>
      <c r="K56" s="77">
        <f t="shared" si="5"/>
        <v>4.9847880093458856E-3</v>
      </c>
      <c r="L56" s="202"/>
      <c r="Q56" s="53"/>
    </row>
    <row r="57" spans="1:17" s="44" customFormat="1" ht="13">
      <c r="A57" s="44" t="str">
        <f>D53</f>
        <v>Ke-201311</v>
      </c>
      <c r="B57" s="44">
        <v>1200</v>
      </c>
      <c r="D57" s="33" t="s">
        <v>77</v>
      </c>
      <c r="E57" s="81">
        <v>4589.17</v>
      </c>
      <c r="F57" s="34">
        <v>7799.5639534883721</v>
      </c>
      <c r="G57" s="35">
        <v>12388.733953488372</v>
      </c>
      <c r="H57" s="36">
        <v>10.32394496124031</v>
      </c>
      <c r="I57" s="37">
        <v>9.5301062263197858E-3</v>
      </c>
      <c r="J57" s="73">
        <v>3.4288774851403093E-3</v>
      </c>
      <c r="K57" s="77">
        <f t="shared" si="5"/>
        <v>6.1012287411794765E-3</v>
      </c>
      <c r="L57" s="202"/>
      <c r="Q57" s="53"/>
    </row>
    <row r="58" spans="1:17" s="44" customFormat="1" ht="13">
      <c r="A58" s="44" t="str">
        <f>D53</f>
        <v>Ke-201311</v>
      </c>
      <c r="B58" s="44">
        <v>1200</v>
      </c>
      <c r="D58" s="33" t="s">
        <v>78</v>
      </c>
      <c r="E58" s="81">
        <v>31620.85</v>
      </c>
      <c r="F58" s="34">
        <v>4965.192777641063</v>
      </c>
      <c r="G58" s="35">
        <v>36586.042777641065</v>
      </c>
      <c r="H58" s="36">
        <v>30.488368981367554</v>
      </c>
      <c r="I58" s="37">
        <v>2.8144027903143586E-2</v>
      </c>
      <c r="J58" s="73">
        <v>2.3760337554096646E-2</v>
      </c>
      <c r="K58" s="77">
        <f t="shared" si="5"/>
        <v>4.3836903490469398E-3</v>
      </c>
      <c r="L58" s="202"/>
      <c r="Q58" s="53"/>
    </row>
    <row r="59" spans="1:17" s="44" customFormat="1" ht="14" thickBot="1">
      <c r="A59" s="44" t="str">
        <f>D53</f>
        <v>Ke-201311</v>
      </c>
      <c r="B59" s="44">
        <v>1200</v>
      </c>
      <c r="D59" s="33" t="s">
        <v>79</v>
      </c>
      <c r="E59" s="81">
        <v>5138.25</v>
      </c>
      <c r="F59" s="34">
        <v>0</v>
      </c>
      <c r="G59" s="35">
        <v>5138.25</v>
      </c>
      <c r="H59" s="36">
        <v>4.2818750000000003</v>
      </c>
      <c r="I59" s="37">
        <v>3.9526289370028318E-3</v>
      </c>
      <c r="J59" s="73">
        <v>4.0774479896512226E-3</v>
      </c>
      <c r="K59" s="77">
        <f t="shared" si="5"/>
        <v>-1.2481905264839083E-4</v>
      </c>
      <c r="L59" s="201">
        <f>E60/G60</f>
        <v>0.56235592631604958</v>
      </c>
      <c r="Q59" s="53"/>
    </row>
    <row r="60" spans="1:17" s="44" customFormat="1" thickTop="1" thickBot="1">
      <c r="D60" s="40" t="s">
        <v>80</v>
      </c>
      <c r="E60" s="82">
        <v>731038.85652987403</v>
      </c>
      <c r="F60" s="41">
        <v>568918.73673112947</v>
      </c>
      <c r="G60" s="41">
        <v>1299957.5932610035</v>
      </c>
      <c r="H60" s="78">
        <v>1083.2979943841697</v>
      </c>
      <c r="I60" s="43">
        <v>1.0000000000000002</v>
      </c>
      <c r="J60" s="73"/>
      <c r="K60" s="77"/>
      <c r="L60" s="202"/>
      <c r="Q60" s="53"/>
    </row>
    <row r="61" spans="1:17" s="44" customFormat="1" ht="14" thickBot="1">
      <c r="D61" s="83"/>
      <c r="E61" s="84"/>
      <c r="F61" s="84"/>
      <c r="G61" s="84"/>
      <c r="H61" s="85"/>
      <c r="I61" s="86"/>
      <c r="J61" s="73"/>
      <c r="K61" s="74"/>
      <c r="L61" s="202"/>
      <c r="Q61" s="53"/>
    </row>
    <row r="62" spans="1:17" s="44" customFormat="1" ht="14" thickBot="1">
      <c r="D62" s="27" t="s">
        <v>13</v>
      </c>
      <c r="E62" s="28" t="s">
        <v>69</v>
      </c>
      <c r="F62" s="28" t="s">
        <v>70</v>
      </c>
      <c r="G62" s="28" t="s">
        <v>71</v>
      </c>
      <c r="H62" s="75" t="s">
        <v>72</v>
      </c>
      <c r="I62" s="30" t="s">
        <v>73</v>
      </c>
      <c r="J62" s="73"/>
      <c r="K62" s="74"/>
      <c r="L62" s="202"/>
      <c r="Q62" s="53"/>
    </row>
    <row r="63" spans="1:17" s="44" customFormat="1" ht="13">
      <c r="A63" s="44" t="str">
        <f>D62</f>
        <v>Ke-201403</v>
      </c>
      <c r="B63" s="44">
        <v>7116</v>
      </c>
      <c r="D63" s="33" t="s">
        <v>74</v>
      </c>
      <c r="E63" s="81">
        <v>1108838.98</v>
      </c>
      <c r="F63" s="34">
        <v>6007303.8771428596</v>
      </c>
      <c r="G63" s="35">
        <v>7116142.8571428601</v>
      </c>
      <c r="H63" s="36">
        <v>1000.0200754838196</v>
      </c>
      <c r="I63" s="37">
        <v>0.91112417599632667</v>
      </c>
      <c r="J63" s="73">
        <v>0.90516989958854954</v>
      </c>
      <c r="K63" s="77">
        <f t="shared" ref="K63:K68" si="6">I63-J63</f>
        <v>5.954276407777126E-3</v>
      </c>
      <c r="L63" s="202"/>
      <c r="Q63" s="53"/>
    </row>
    <row r="64" spans="1:17" s="44" customFormat="1" ht="13">
      <c r="A64" s="44" t="str">
        <f>D62</f>
        <v>Ke-201403</v>
      </c>
      <c r="B64" s="44">
        <v>7116</v>
      </c>
      <c r="D64" s="33" t="s">
        <v>75</v>
      </c>
      <c r="E64" s="81">
        <v>78633.14</v>
      </c>
      <c r="F64" s="34">
        <v>37578.244566465684</v>
      </c>
      <c r="G64" s="35">
        <v>116211.38456646568</v>
      </c>
      <c r="H64" s="36">
        <v>16.330998393263869</v>
      </c>
      <c r="I64" s="37">
        <v>1.4879268745740923E-2</v>
      </c>
      <c r="J64" s="73">
        <v>1.330120664940721E-2</v>
      </c>
      <c r="K64" s="77">
        <f t="shared" si="6"/>
        <v>1.5780620963337134E-3</v>
      </c>
      <c r="L64" s="202"/>
      <c r="Q64" s="53"/>
    </row>
    <row r="65" spans="1:17" s="44" customFormat="1" ht="13">
      <c r="A65" s="44" t="str">
        <f>D62</f>
        <v>Ke-201403</v>
      </c>
      <c r="B65" s="44">
        <v>7116</v>
      </c>
      <c r="D65" s="33" t="s">
        <v>76</v>
      </c>
      <c r="E65" s="81">
        <v>26478.276330539498</v>
      </c>
      <c r="F65" s="34">
        <v>180017.18197757474</v>
      </c>
      <c r="G65" s="35">
        <v>206495.45830811423</v>
      </c>
      <c r="H65" s="36">
        <v>29.018473623962091</v>
      </c>
      <c r="I65" s="37">
        <v>2.6438902095552372E-2</v>
      </c>
      <c r="J65" s="73">
        <v>2.7372778122546376E-2</v>
      </c>
      <c r="K65" s="77">
        <f t="shared" si="6"/>
        <v>-9.338760269940044E-4</v>
      </c>
      <c r="L65" s="202"/>
      <c r="Q65" s="53"/>
    </row>
    <row r="66" spans="1:17" s="44" customFormat="1" ht="13">
      <c r="A66" s="44" t="str">
        <f>D62</f>
        <v>Ke-201403</v>
      </c>
      <c r="B66" s="44">
        <v>7116</v>
      </c>
      <c r="D66" s="33" t="s">
        <v>77</v>
      </c>
      <c r="E66" s="81">
        <v>11858.66</v>
      </c>
      <c r="F66" s="34">
        <v>45267.342175653816</v>
      </c>
      <c r="G66" s="35">
        <v>57126.002175653819</v>
      </c>
      <c r="H66" s="36">
        <v>8.0278249263144765</v>
      </c>
      <c r="I66" s="37">
        <v>7.3141985349567075E-3</v>
      </c>
      <c r="J66" s="73">
        <v>4.8190585716582817E-3</v>
      </c>
      <c r="K66" s="77">
        <f t="shared" si="6"/>
        <v>2.4951399632984258E-3</v>
      </c>
      <c r="L66" s="202"/>
      <c r="Q66" s="53"/>
    </row>
    <row r="67" spans="1:17" s="44" customFormat="1" ht="13">
      <c r="A67" s="44" t="str">
        <f>D62</f>
        <v>Ke-201403</v>
      </c>
      <c r="B67" s="44">
        <v>7116</v>
      </c>
      <c r="D67" s="33" t="s">
        <v>78</v>
      </c>
      <c r="E67" s="81">
        <v>125789.38</v>
      </c>
      <c r="F67" s="34">
        <v>137275.01293513138</v>
      </c>
      <c r="G67" s="35">
        <v>263064.39293513139</v>
      </c>
      <c r="H67" s="36">
        <v>36.968014746364723</v>
      </c>
      <c r="I67" s="37">
        <v>3.3681775796056607E-2</v>
      </c>
      <c r="J67" s="73">
        <v>4.3058258285561486E-2</v>
      </c>
      <c r="K67" s="77">
        <f t="shared" si="6"/>
        <v>-9.3764824895048796E-3</v>
      </c>
      <c r="L67" s="202"/>
      <c r="Q67" s="53"/>
    </row>
    <row r="68" spans="1:17" s="44" customFormat="1" ht="14" thickBot="1">
      <c r="A68" s="44" t="str">
        <f>D62</f>
        <v>Ke-201403</v>
      </c>
      <c r="B68" s="44">
        <v>7116</v>
      </c>
      <c r="D68" s="33" t="s">
        <v>79</v>
      </c>
      <c r="E68" s="81">
        <v>18197.7</v>
      </c>
      <c r="F68" s="34">
        <v>33050.906037300243</v>
      </c>
      <c r="G68" s="35">
        <v>51248.60603730024</v>
      </c>
      <c r="H68" s="36">
        <v>7.2018839287943006</v>
      </c>
      <c r="I68" s="37">
        <v>6.561678831366686E-3</v>
      </c>
      <c r="J68" s="73">
        <v>6.2787987822769892E-3</v>
      </c>
      <c r="K68" s="77">
        <f t="shared" si="6"/>
        <v>2.8288004908969683E-4</v>
      </c>
      <c r="L68" s="201">
        <f>E69/G69</f>
        <v>0.17538354710577153</v>
      </c>
      <c r="Q68" s="53"/>
    </row>
    <row r="69" spans="1:17" s="44" customFormat="1" thickTop="1" thickBot="1">
      <c r="D69" s="40" t="s">
        <v>80</v>
      </c>
      <c r="E69" s="82">
        <v>1369796.1363305391</v>
      </c>
      <c r="F69" s="41">
        <v>6440492.5648349859</v>
      </c>
      <c r="G69" s="41">
        <v>7810288.7011655262</v>
      </c>
      <c r="H69" s="78">
        <v>1097.567271102519</v>
      </c>
      <c r="I69" s="43">
        <v>1</v>
      </c>
      <c r="J69" s="73"/>
      <c r="K69" s="77"/>
      <c r="L69" s="202"/>
      <c r="Q69" s="53"/>
    </row>
    <row r="70" spans="1:17" s="44" customFormat="1" ht="14" thickBot="1">
      <c r="H70" s="51"/>
      <c r="I70" s="45"/>
      <c r="J70" s="73"/>
      <c r="K70" s="74"/>
      <c r="L70" s="202"/>
      <c r="Q70" s="53"/>
    </row>
    <row r="71" spans="1:17" s="44" customFormat="1" ht="14" thickBot="1">
      <c r="D71" s="27" t="s">
        <v>81</v>
      </c>
      <c r="E71" s="28" t="s">
        <v>69</v>
      </c>
      <c r="F71" s="28" t="s">
        <v>70</v>
      </c>
      <c r="G71" s="28" t="s">
        <v>71</v>
      </c>
      <c r="H71" s="75" t="s">
        <v>72</v>
      </c>
      <c r="I71" s="30" t="s">
        <v>73</v>
      </c>
      <c r="J71" s="87"/>
      <c r="L71" s="204"/>
      <c r="Q71" s="53"/>
    </row>
    <row r="72" spans="1:17" s="44" customFormat="1" ht="13">
      <c r="A72" s="44" t="str">
        <f>D71</f>
        <v>TOTAL - Ke less Nike</v>
      </c>
      <c r="B72" s="44">
        <v>11969</v>
      </c>
      <c r="D72" s="33" t="s">
        <v>74</v>
      </c>
      <c r="E72" s="34">
        <v>5314890.5633940976</v>
      </c>
      <c r="F72" s="34">
        <v>6642038.5471428595</v>
      </c>
      <c r="G72" s="34">
        <v>11956929.110536959</v>
      </c>
      <c r="H72" s="36">
        <v>998.9914872200651</v>
      </c>
      <c r="I72" s="37">
        <v>0.90977722807938854</v>
      </c>
      <c r="J72" s="79">
        <v>0.90538582056549932</v>
      </c>
      <c r="K72" s="74">
        <f t="shared" ref="K72:K77" si="7">I72-J72</f>
        <v>4.3914075138892228E-3</v>
      </c>
      <c r="L72" s="207"/>
      <c r="Q72" s="53"/>
    </row>
    <row r="73" spans="1:17" s="44" customFormat="1" ht="13">
      <c r="A73" s="44" t="str">
        <f>D71</f>
        <v>TOTAL - Ke less Nike</v>
      </c>
      <c r="B73" s="44">
        <v>11969</v>
      </c>
      <c r="D73" s="33" t="s">
        <v>75</v>
      </c>
      <c r="E73" s="34">
        <v>184753.98334848124</v>
      </c>
      <c r="F73" s="34">
        <v>37578.244566465684</v>
      </c>
      <c r="G73" s="34">
        <v>222332.22791494691</v>
      </c>
      <c r="H73" s="36">
        <v>18.575672814349311</v>
      </c>
      <c r="I73" s="37">
        <v>1.6916784916532104E-2</v>
      </c>
      <c r="J73" s="87">
        <v>1.5831881942152116E-2</v>
      </c>
      <c r="K73" s="74">
        <f t="shared" si="7"/>
        <v>1.0849029743799886E-3</v>
      </c>
      <c r="L73" s="207"/>
      <c r="Q73" s="53"/>
    </row>
    <row r="74" spans="1:17" s="44" customFormat="1" ht="13">
      <c r="A74" s="44" t="str">
        <f>D71</f>
        <v>TOTAL - Ke less Nike</v>
      </c>
      <c r="B74" s="44">
        <v>11969</v>
      </c>
      <c r="D74" s="33" t="s">
        <v>76</v>
      </c>
      <c r="E74" s="34">
        <v>165181.0793929332</v>
      </c>
      <c r="F74" s="34">
        <v>201396.18197757474</v>
      </c>
      <c r="G74" s="34">
        <v>366577.261370508</v>
      </c>
      <c r="H74" s="36">
        <v>30.627225446612751</v>
      </c>
      <c r="I74" s="37">
        <v>2.7892081791527606E-2</v>
      </c>
      <c r="J74" s="87">
        <v>2.499984749448976E-2</v>
      </c>
      <c r="K74" s="74">
        <f t="shared" si="7"/>
        <v>2.8922342970378462E-3</v>
      </c>
      <c r="L74" s="208"/>
      <c r="Q74" s="53"/>
    </row>
    <row r="75" spans="1:17" s="44" customFormat="1" ht="13">
      <c r="A75" s="44" t="str">
        <f>D71</f>
        <v>TOTAL - Ke less Nike</v>
      </c>
      <c r="B75" s="44">
        <v>11969</v>
      </c>
      <c r="D75" s="33" t="s">
        <v>77</v>
      </c>
      <c r="E75" s="34">
        <v>29069.27</v>
      </c>
      <c r="F75" s="34">
        <v>53066.906129142189</v>
      </c>
      <c r="G75" s="34">
        <v>82136.176129142186</v>
      </c>
      <c r="H75" s="36">
        <v>6.8624092346179451</v>
      </c>
      <c r="I75" s="37">
        <v>6.2495664190197458E-3</v>
      </c>
      <c r="J75" s="87">
        <v>4.5892972706179985E-3</v>
      </c>
      <c r="K75" s="74">
        <f t="shared" si="7"/>
        <v>1.6602691484017473E-3</v>
      </c>
      <c r="L75" s="207"/>
      <c r="Q75" s="53"/>
    </row>
    <row r="76" spans="1:17" s="44" customFormat="1" ht="13">
      <c r="A76" s="44" t="str">
        <f>D71</f>
        <v>TOTAL - Ke less Nike</v>
      </c>
      <c r="B76" s="44">
        <v>11969</v>
      </c>
      <c r="D76" s="33" t="s">
        <v>78</v>
      </c>
      <c r="E76" s="34">
        <v>299110.33999999997</v>
      </c>
      <c r="F76" s="34">
        <v>152614.30720428476</v>
      </c>
      <c r="G76" s="34">
        <v>451724.64720428479</v>
      </c>
      <c r="H76" s="36">
        <v>37.741218748791447</v>
      </c>
      <c r="I76" s="37">
        <v>3.4370764733102799E-2</v>
      </c>
      <c r="J76" s="87">
        <v>4.4807105065788014E-2</v>
      </c>
      <c r="K76" s="74">
        <f t="shared" si="7"/>
        <v>-1.0436340332685215E-2</v>
      </c>
      <c r="L76" s="208"/>
      <c r="Q76" s="53"/>
    </row>
    <row r="77" spans="1:17" s="44" customFormat="1" ht="14" thickBot="1">
      <c r="A77" s="44" t="str">
        <f>D71</f>
        <v>TOTAL - Ke less Nike</v>
      </c>
      <c r="B77" s="44">
        <v>11969</v>
      </c>
      <c r="D77" s="33" t="s">
        <v>79</v>
      </c>
      <c r="E77" s="34">
        <v>27545.45</v>
      </c>
      <c r="F77" s="34">
        <v>35455.055461827011</v>
      </c>
      <c r="G77" s="34">
        <v>63000.505461827008</v>
      </c>
      <c r="H77" s="36">
        <v>5.263639858119058</v>
      </c>
      <c r="I77" s="37">
        <v>4.7935740604292502E-3</v>
      </c>
      <c r="J77" s="87">
        <v>4.3860476614526953E-3</v>
      </c>
      <c r="K77" s="74">
        <f t="shared" si="7"/>
        <v>4.0752639897655499E-4</v>
      </c>
      <c r="L77" s="207"/>
      <c r="Q77" s="53"/>
    </row>
    <row r="78" spans="1:17" s="44" customFormat="1" thickTop="1" thickBot="1">
      <c r="D78" s="40" t="s">
        <v>80</v>
      </c>
      <c r="E78" s="41">
        <v>6020550.6861355118</v>
      </c>
      <c r="F78" s="41">
        <v>7122149.2424821537</v>
      </c>
      <c r="G78" s="41">
        <v>13142699.928617667</v>
      </c>
      <c r="H78" s="78">
        <v>1098.0616533225555</v>
      </c>
      <c r="I78" s="43">
        <v>1</v>
      </c>
      <c r="J78" s="87"/>
      <c r="L78" s="204"/>
      <c r="Q78" s="53"/>
    </row>
    <row r="79" spans="1:17" s="44" customFormat="1" ht="14" thickBot="1">
      <c r="H79" s="51"/>
      <c r="I79" s="45"/>
      <c r="J79" s="73"/>
      <c r="K79" s="74"/>
      <c r="L79" s="202"/>
      <c r="Q79" s="53"/>
    </row>
    <row r="80" spans="1:17" s="44" customFormat="1" ht="14" thickBot="1">
      <c r="D80" s="27" t="s">
        <v>12</v>
      </c>
      <c r="E80" s="28" t="s">
        <v>69</v>
      </c>
      <c r="F80" s="28" t="s">
        <v>70</v>
      </c>
      <c r="G80" s="28" t="s">
        <v>71</v>
      </c>
      <c r="H80" s="75" t="s">
        <v>72</v>
      </c>
      <c r="I80" s="30" t="s">
        <v>73</v>
      </c>
      <c r="J80" s="73"/>
      <c r="K80" s="74"/>
      <c r="L80" s="202"/>
      <c r="Q80" s="53"/>
    </row>
    <row r="81" spans="1:17" s="44" customFormat="1" ht="13">
      <c r="A81" s="44" t="str">
        <f>D80</f>
        <v>Ug-201305</v>
      </c>
      <c r="B81" s="44">
        <v>960</v>
      </c>
      <c r="D81" s="33" t="s">
        <v>74</v>
      </c>
      <c r="E81" s="34">
        <v>961542.72</v>
      </c>
      <c r="F81" s="34">
        <v>5936.36</v>
      </c>
      <c r="G81" s="35">
        <v>967479.08</v>
      </c>
      <c r="H81" s="36">
        <v>1007.7907083333333</v>
      </c>
      <c r="I81" s="37">
        <v>0.84985745147868763</v>
      </c>
      <c r="J81" s="79">
        <v>0.86429609661264928</v>
      </c>
      <c r="K81" s="74">
        <f t="shared" ref="K81:K86" si="8">I81-J81</f>
        <v>-1.4438645133961647E-2</v>
      </c>
      <c r="L81" s="204"/>
      <c r="Q81" s="53"/>
    </row>
    <row r="82" spans="1:17" s="44" customFormat="1" ht="13">
      <c r="A82" s="44" t="str">
        <f>D80</f>
        <v>Ug-201305</v>
      </c>
      <c r="B82" s="44">
        <v>960</v>
      </c>
      <c r="D82" s="33" t="s">
        <v>75</v>
      </c>
      <c r="E82" s="34">
        <v>17962.75</v>
      </c>
      <c r="F82" s="34">
        <v>0</v>
      </c>
      <c r="G82" s="35">
        <v>17962.75</v>
      </c>
      <c r="H82" s="36">
        <v>18.711197916666666</v>
      </c>
      <c r="I82" s="37">
        <v>1.5778921996482648E-2</v>
      </c>
      <c r="J82" s="73">
        <v>1.5027751400917737E-2</v>
      </c>
      <c r="K82" s="74">
        <f t="shared" si="8"/>
        <v>7.5117059556491055E-4</v>
      </c>
      <c r="L82" s="202"/>
      <c r="Q82" s="53"/>
    </row>
    <row r="83" spans="1:17" s="44" customFormat="1" ht="13">
      <c r="A83" s="44" t="str">
        <f>D80</f>
        <v>Ug-201305</v>
      </c>
      <c r="B83" s="44">
        <v>960</v>
      </c>
      <c r="D83" s="33" t="s">
        <v>76</v>
      </c>
      <c r="E83" s="34">
        <v>33788.607016840448</v>
      </c>
      <c r="F83" s="34">
        <v>4272.2400000000016</v>
      </c>
      <c r="G83" s="35">
        <v>38060.847016840446</v>
      </c>
      <c r="H83" s="36">
        <v>39.646715642542134</v>
      </c>
      <c r="I83" s="37">
        <v>3.3433585403058255E-2</v>
      </c>
      <c r="J83" s="73">
        <v>3.2890173824464811E-2</v>
      </c>
      <c r="K83" s="74">
        <f t="shared" si="8"/>
        <v>5.4341157859344458E-4</v>
      </c>
      <c r="L83" s="202"/>
      <c r="Q83" s="53"/>
    </row>
    <row r="84" spans="1:17" s="44" customFormat="1" ht="13">
      <c r="A84" s="44" t="str">
        <f>D80</f>
        <v>Ug-201305</v>
      </c>
      <c r="B84" s="44">
        <v>960</v>
      </c>
      <c r="D84" s="33" t="s">
        <v>77</v>
      </c>
      <c r="E84" s="34">
        <v>15816.72</v>
      </c>
      <c r="F84" s="34">
        <v>0</v>
      </c>
      <c r="G84" s="35">
        <v>15816.72</v>
      </c>
      <c r="H84" s="36">
        <v>16.475749999999998</v>
      </c>
      <c r="I84" s="37">
        <v>1.3893796390875953E-2</v>
      </c>
      <c r="J84" s="73">
        <v>1.311768221187453E-2</v>
      </c>
      <c r="K84" s="74">
        <f t="shared" si="8"/>
        <v>7.7611417900142268E-4</v>
      </c>
      <c r="L84" s="202"/>
      <c r="Q84" s="53"/>
    </row>
    <row r="85" spans="1:17" s="44" customFormat="1" ht="13">
      <c r="A85" s="44" t="str">
        <f>D80</f>
        <v>Ug-201305</v>
      </c>
      <c r="B85" s="44">
        <v>960</v>
      </c>
      <c r="D85" s="33" t="s">
        <v>78</v>
      </c>
      <c r="E85" s="34">
        <v>88280.69</v>
      </c>
      <c r="F85" s="34">
        <v>0</v>
      </c>
      <c r="G85" s="35">
        <v>88280.69</v>
      </c>
      <c r="H85" s="36">
        <v>91.959052083333333</v>
      </c>
      <c r="I85" s="37">
        <v>7.7547932321368709E-2</v>
      </c>
      <c r="J85" s="79">
        <v>6.6306757318714798E-2</v>
      </c>
      <c r="K85" s="74">
        <f t="shared" si="8"/>
        <v>1.1241175002653911E-2</v>
      </c>
      <c r="L85" s="202"/>
      <c r="Q85" s="53"/>
    </row>
    <row r="86" spans="1:17" s="44" customFormat="1" ht="14" thickBot="1">
      <c r="A86" s="44" t="str">
        <f>D80</f>
        <v>Ug-201305</v>
      </c>
      <c r="B86" s="44">
        <v>960</v>
      </c>
      <c r="D86" s="33" t="s">
        <v>79</v>
      </c>
      <c r="E86" s="34">
        <v>10801.51</v>
      </c>
      <c r="F86" s="34">
        <v>0</v>
      </c>
      <c r="G86" s="35">
        <v>10801.51</v>
      </c>
      <c r="H86" s="36">
        <v>11.251572916666667</v>
      </c>
      <c r="I86" s="37">
        <v>9.488312409526788E-3</v>
      </c>
      <c r="J86" s="79">
        <v>8.3615386313786975E-3</v>
      </c>
      <c r="K86" s="74">
        <f t="shared" si="8"/>
        <v>1.1267737781480904E-3</v>
      </c>
      <c r="L86" s="201">
        <f>E87/G87</f>
        <v>0.99103251433698658</v>
      </c>
      <c r="Q86" s="53"/>
    </row>
    <row r="87" spans="1:17" s="44" customFormat="1" thickTop="1" thickBot="1">
      <c r="D87" s="40" t="s">
        <v>80</v>
      </c>
      <c r="E87" s="41">
        <v>1128192.9970168404</v>
      </c>
      <c r="F87" s="41">
        <v>10208.600000000002</v>
      </c>
      <c r="G87" s="41">
        <v>1138401.5970168405</v>
      </c>
      <c r="H87" s="78">
        <v>1185.8349968925422</v>
      </c>
      <c r="I87" s="43">
        <v>1</v>
      </c>
      <c r="J87" s="79"/>
      <c r="K87" s="74"/>
      <c r="L87" s="202"/>
      <c r="Q87" s="53"/>
    </row>
    <row r="88" spans="1:17" s="44" customFormat="1" ht="14" thickBot="1">
      <c r="D88" s="83"/>
      <c r="E88" s="84"/>
      <c r="F88" s="84"/>
      <c r="G88" s="84"/>
      <c r="H88" s="88"/>
      <c r="I88" s="86"/>
      <c r="J88" s="79"/>
      <c r="K88" s="74"/>
      <c r="L88" s="202"/>
      <c r="Q88" s="53"/>
    </row>
    <row r="89" spans="1:17" s="44" customFormat="1" ht="14" thickBot="1">
      <c r="D89" s="27" t="s">
        <v>88</v>
      </c>
      <c r="E89" s="28" t="s">
        <v>69</v>
      </c>
      <c r="F89" s="28" t="s">
        <v>70</v>
      </c>
      <c r="G89" s="28" t="s">
        <v>71</v>
      </c>
      <c r="H89" s="75" t="s">
        <v>72</v>
      </c>
      <c r="I89" s="30" t="s">
        <v>73</v>
      </c>
      <c r="J89" s="79"/>
      <c r="K89" s="74"/>
      <c r="L89" s="202"/>
      <c r="Q89" s="53"/>
    </row>
    <row r="90" spans="1:17" s="44" customFormat="1" ht="13">
      <c r="A90" s="44" t="str">
        <f>$D$89</f>
        <v>Ug-201404</v>
      </c>
      <c r="B90" s="44">
        <v>2000</v>
      </c>
      <c r="D90" s="33" t="s">
        <v>74</v>
      </c>
      <c r="E90" s="34">
        <v>38757.599999999999</v>
      </c>
      <c r="F90" s="34">
        <v>1961242.4</v>
      </c>
      <c r="G90" s="35">
        <v>2000000</v>
      </c>
      <c r="H90" s="36">
        <v>1000</v>
      </c>
      <c r="I90" s="37">
        <v>0.85166939840498612</v>
      </c>
      <c r="J90" s="79">
        <v>0.86295121956310039</v>
      </c>
      <c r="K90" s="77">
        <f t="shared" ref="K90:K95" si="9">I90-J90</f>
        <v>-1.1281821158114269E-2</v>
      </c>
      <c r="L90" s="202"/>
      <c r="Q90" s="53"/>
    </row>
    <row r="91" spans="1:17" s="44" customFormat="1" ht="13">
      <c r="A91" s="44" t="str">
        <f t="shared" ref="A91:A95" si="10">$D$89</f>
        <v>Ug-201404</v>
      </c>
      <c r="B91" s="44">
        <v>2000</v>
      </c>
      <c r="D91" s="33" t="s">
        <v>75</v>
      </c>
      <c r="E91" s="34">
        <v>25472.660000000003</v>
      </c>
      <c r="F91" s="34">
        <v>7999</v>
      </c>
      <c r="G91" s="35">
        <v>33471.660000000003</v>
      </c>
      <c r="H91" s="36">
        <v>16.73583</v>
      </c>
      <c r="I91" s="37">
        <v>1.425339426790812E-2</v>
      </c>
      <c r="J91" s="79">
        <v>1.6007818415425708E-2</v>
      </c>
      <c r="K91" s="77">
        <f t="shared" si="9"/>
        <v>-1.7544241475175876E-3</v>
      </c>
      <c r="L91" s="202"/>
      <c r="Q91" s="53"/>
    </row>
    <row r="92" spans="1:17" s="44" customFormat="1" ht="13">
      <c r="A92" s="44" t="str">
        <f t="shared" si="10"/>
        <v>Ug-201404</v>
      </c>
      <c r="B92" s="44">
        <v>2000</v>
      </c>
      <c r="D92" s="33" t="s">
        <v>76</v>
      </c>
      <c r="E92" s="34">
        <v>165.05617781650199</v>
      </c>
      <c r="F92" s="34">
        <v>66028.444444444453</v>
      </c>
      <c r="G92" s="35">
        <v>66193.500622260952</v>
      </c>
      <c r="H92" s="36">
        <v>33.096750311130478</v>
      </c>
      <c r="I92" s="37">
        <v>2.8187489426640528E-2</v>
      </c>
      <c r="J92" s="79">
        <v>3.3004930707770767E-2</v>
      </c>
      <c r="K92" s="77">
        <f t="shared" si="9"/>
        <v>-4.8174412811302393E-3</v>
      </c>
      <c r="L92" s="202"/>
      <c r="Q92" s="53"/>
    </row>
    <row r="93" spans="1:17" s="44" customFormat="1" ht="13">
      <c r="A93" s="44" t="str">
        <f t="shared" si="10"/>
        <v>Ug-201404</v>
      </c>
      <c r="B93" s="44">
        <v>2000</v>
      </c>
      <c r="D93" s="33" t="s">
        <v>77</v>
      </c>
      <c r="E93" s="34">
        <v>0</v>
      </c>
      <c r="F93" s="34">
        <v>46599.060000000005</v>
      </c>
      <c r="G93" s="35">
        <v>46599.060000000005</v>
      </c>
      <c r="H93" s="36">
        <v>23.299530000000001</v>
      </c>
      <c r="I93" s="37">
        <v>1.9843496698218929E-2</v>
      </c>
      <c r="J93" s="79">
        <v>1.8206456294070025E-2</v>
      </c>
      <c r="K93" s="77">
        <f t="shared" si="9"/>
        <v>1.6370404041489046E-3</v>
      </c>
      <c r="L93" s="202"/>
      <c r="Q93" s="53"/>
    </row>
    <row r="94" spans="1:17" s="44" customFormat="1" ht="13">
      <c r="A94" s="44" t="str">
        <f t="shared" si="10"/>
        <v>Ug-201404</v>
      </c>
      <c r="B94" s="44">
        <v>2000</v>
      </c>
      <c r="D94" s="33" t="s">
        <v>78</v>
      </c>
      <c r="E94" s="34">
        <v>58117.04</v>
      </c>
      <c r="F94" s="34">
        <v>130946.11697599286</v>
      </c>
      <c r="G94" s="35">
        <v>189063.15697599287</v>
      </c>
      <c r="H94" s="36">
        <v>94.531578487996427</v>
      </c>
      <c r="I94" s="37">
        <v>8.0509652581145646E-2</v>
      </c>
      <c r="J94" s="79">
        <v>6.4302430985384545E-2</v>
      </c>
      <c r="K94" s="77">
        <f t="shared" si="9"/>
        <v>1.6207221595761101E-2</v>
      </c>
      <c r="L94" s="202"/>
      <c r="Q94" s="53"/>
    </row>
    <row r="95" spans="1:17" s="44" customFormat="1" ht="14" thickBot="1">
      <c r="A95" s="44" t="str">
        <f t="shared" si="10"/>
        <v>Ug-201404</v>
      </c>
      <c r="B95" s="44">
        <v>2000</v>
      </c>
      <c r="D95" s="33" t="s">
        <v>79</v>
      </c>
      <c r="E95" s="34">
        <v>10174.56</v>
      </c>
      <c r="F95" s="34">
        <v>2827.1249999999991</v>
      </c>
      <c r="G95" s="35">
        <v>13001.684999999998</v>
      </c>
      <c r="H95" s="36">
        <v>6.5008424999999992</v>
      </c>
      <c r="I95" s="37">
        <v>5.5365686211005646E-3</v>
      </c>
      <c r="J95" s="79">
        <v>5.527144034248704E-3</v>
      </c>
      <c r="K95" s="77">
        <f t="shared" si="9"/>
        <v>9.4245868518605738E-6</v>
      </c>
      <c r="L95" s="201">
        <f>E96/G96</f>
        <v>5.6502693038686908E-2</v>
      </c>
      <c r="Q95" s="53"/>
    </row>
    <row r="96" spans="1:17" s="44" customFormat="1" thickTop="1" thickBot="1">
      <c r="D96" s="40" t="s">
        <v>80</v>
      </c>
      <c r="E96" s="41">
        <v>132686.91617781651</v>
      </c>
      <c r="F96" s="41">
        <v>2215642.1464204374</v>
      </c>
      <c r="G96" s="41">
        <v>2348329.0625982541</v>
      </c>
      <c r="H96" s="78">
        <v>1174.164531299127</v>
      </c>
      <c r="I96" s="43">
        <v>0.99999999999999989</v>
      </c>
      <c r="J96" s="79"/>
      <c r="K96" s="77"/>
      <c r="L96" s="202"/>
      <c r="Q96" s="53"/>
    </row>
    <row r="97" spans="1:17" ht="16" thickBot="1">
      <c r="L97" s="121"/>
    </row>
    <row r="98" spans="1:17" s="44" customFormat="1" ht="14" thickBot="1">
      <c r="D98" s="27" t="s">
        <v>89</v>
      </c>
      <c r="E98" s="28" t="s">
        <v>69</v>
      </c>
      <c r="F98" s="28" t="s">
        <v>70</v>
      </c>
      <c r="G98" s="28" t="s">
        <v>71</v>
      </c>
      <c r="H98" s="75" t="s">
        <v>72</v>
      </c>
      <c r="I98" s="30" t="s">
        <v>73</v>
      </c>
      <c r="J98" s="79"/>
      <c r="L98" s="204"/>
      <c r="Q98" s="53"/>
    </row>
    <row r="99" spans="1:17" s="44" customFormat="1" ht="13">
      <c r="A99" s="44" t="s">
        <v>89</v>
      </c>
      <c r="B99" s="44">
        <v>2960</v>
      </c>
      <c r="D99" s="33" t="s">
        <v>74</v>
      </c>
      <c r="E99" s="34">
        <v>1000300.32</v>
      </c>
      <c r="F99" s="34">
        <v>1967178.76</v>
      </c>
      <c r="G99" s="34">
        <v>2967479.08</v>
      </c>
      <c r="H99" s="36">
        <v>1002.5267162162162</v>
      </c>
      <c r="I99" s="37">
        <v>0.85107780602921157</v>
      </c>
      <c r="J99" s="79">
        <v>0.86471001889508925</v>
      </c>
      <c r="K99" s="89">
        <f t="shared" ref="K99:K104" si="11">I99-J99</f>
        <v>-1.363221286587768E-2</v>
      </c>
      <c r="L99" s="204"/>
      <c r="Q99" s="53"/>
    </row>
    <row r="100" spans="1:17" s="44" customFormat="1" ht="13">
      <c r="A100" s="44" t="s">
        <v>89</v>
      </c>
      <c r="B100" s="44">
        <v>2960</v>
      </c>
      <c r="D100" s="33" t="s">
        <v>75</v>
      </c>
      <c r="E100" s="34">
        <v>43435.41</v>
      </c>
      <c r="F100" s="34">
        <v>7999</v>
      </c>
      <c r="G100" s="34">
        <v>51434.41</v>
      </c>
      <c r="H100" s="36">
        <v>17.376489864864865</v>
      </c>
      <c r="I100" s="37">
        <v>1.4751472086942882E-2</v>
      </c>
      <c r="J100" s="79">
        <v>2.1506189380344001E-2</v>
      </c>
      <c r="K100" s="89">
        <f t="shared" si="11"/>
        <v>-6.7547172934011197E-3</v>
      </c>
      <c r="L100" s="204"/>
      <c r="Q100" s="53"/>
    </row>
    <row r="101" spans="1:17" s="44" customFormat="1" ht="13">
      <c r="A101" s="44" t="s">
        <v>89</v>
      </c>
      <c r="B101" s="44">
        <v>2960</v>
      </c>
      <c r="D101" s="33" t="s">
        <v>76</v>
      </c>
      <c r="E101" s="34">
        <v>33953.663194656947</v>
      </c>
      <c r="F101" s="34">
        <v>70300.684444444458</v>
      </c>
      <c r="G101" s="34">
        <v>104254.3476391014</v>
      </c>
      <c r="H101" s="36">
        <v>35.221063391588309</v>
      </c>
      <c r="I101" s="37">
        <v>2.9900315744666724E-2</v>
      </c>
      <c r="J101" s="79">
        <v>3.3071756599538558E-2</v>
      </c>
      <c r="K101" s="89">
        <f t="shared" si="11"/>
        <v>-3.1714408548718341E-3</v>
      </c>
      <c r="L101" s="204"/>
      <c r="Q101" s="53"/>
    </row>
    <row r="102" spans="1:17" s="44" customFormat="1" ht="13">
      <c r="A102" s="44" t="s">
        <v>89</v>
      </c>
      <c r="B102" s="44">
        <v>2960</v>
      </c>
      <c r="D102" s="33" t="s">
        <v>77</v>
      </c>
      <c r="E102" s="34">
        <v>15816.72</v>
      </c>
      <c r="F102" s="34">
        <v>46599.060000000005</v>
      </c>
      <c r="G102" s="34">
        <v>62415.780000000006</v>
      </c>
      <c r="H102" s="36">
        <v>21.086412162162166</v>
      </c>
      <c r="I102" s="37">
        <v>1.7900946787467141E-2</v>
      </c>
      <c r="J102" s="79">
        <v>1.7440270213875231E-2</v>
      </c>
      <c r="K102" s="89">
        <f t="shared" si="11"/>
        <v>4.6067657359191022E-4</v>
      </c>
      <c r="L102" s="204"/>
      <c r="Q102" s="53"/>
    </row>
    <row r="103" spans="1:17" s="44" customFormat="1" ht="13">
      <c r="A103" s="44" t="s">
        <v>89</v>
      </c>
      <c r="B103" s="44">
        <v>2960</v>
      </c>
      <c r="D103" s="33" t="s">
        <v>78</v>
      </c>
      <c r="E103" s="34">
        <v>146397.73000000001</v>
      </c>
      <c r="F103" s="34">
        <v>130946.11697599286</v>
      </c>
      <c r="G103" s="34">
        <v>277343.8469759929</v>
      </c>
      <c r="H103" s="36">
        <v>93.697245599997601</v>
      </c>
      <c r="I103" s="37">
        <v>7.9542664476013561E-2</v>
      </c>
      <c r="J103" s="79">
        <v>5.9389432455961233E-2</v>
      </c>
      <c r="K103" s="89">
        <f t="shared" si="11"/>
        <v>2.0153232020052328E-2</v>
      </c>
      <c r="Q103" s="53"/>
    </row>
    <row r="104" spans="1:17" s="44" customFormat="1" ht="14" thickBot="1">
      <c r="A104" s="44" t="s">
        <v>89</v>
      </c>
      <c r="B104" s="44">
        <v>2960</v>
      </c>
      <c r="D104" s="33" t="s">
        <v>79</v>
      </c>
      <c r="E104" s="34">
        <v>20976.07</v>
      </c>
      <c r="F104" s="34">
        <v>2827.1249999999991</v>
      </c>
      <c r="G104" s="34">
        <v>23803.195</v>
      </c>
      <c r="H104" s="36">
        <v>8.0416199324324324</v>
      </c>
      <c r="I104" s="37">
        <v>6.8267948756981622E-3</v>
      </c>
      <c r="J104" s="79">
        <v>3.8823324551917585E-3</v>
      </c>
      <c r="K104" s="89">
        <f t="shared" si="11"/>
        <v>2.9444624205064037E-3</v>
      </c>
      <c r="Q104" s="53"/>
    </row>
    <row r="105" spans="1:17" s="44" customFormat="1" thickTop="1" thickBot="1">
      <c r="D105" s="40" t="s">
        <v>80</v>
      </c>
      <c r="E105" s="41">
        <f>SUM(E99:E104)</f>
        <v>1260879.9131946568</v>
      </c>
      <c r="F105" s="41">
        <f>SUM(F99:F104)</f>
        <v>2225850.7464204375</v>
      </c>
      <c r="G105" s="41">
        <f>SUM(G99:G104)</f>
        <v>3486730.6596150943</v>
      </c>
      <c r="H105" s="78">
        <f>SUM(H99:H104)</f>
        <v>1177.9495471672615</v>
      </c>
      <c r="I105" s="43">
        <f>SUM(I99:I104)</f>
        <v>0.99999999999999989</v>
      </c>
      <c r="J105" s="79"/>
      <c r="K105" s="77"/>
      <c r="Q105" s="53"/>
    </row>
    <row r="106" spans="1:17" ht="16" thickBot="1"/>
    <row r="107" spans="1:17" ht="16" thickBot="1">
      <c r="A107" s="120" t="s">
        <v>91</v>
      </c>
      <c r="B107" s="121"/>
      <c r="C107" s="121"/>
      <c r="D107" s="122" t="s">
        <v>90</v>
      </c>
      <c r="E107" s="123" t="s">
        <v>69</v>
      </c>
      <c r="F107" s="123" t="s">
        <v>70</v>
      </c>
      <c r="G107" s="123" t="s">
        <v>71</v>
      </c>
      <c r="H107" s="167" t="s">
        <v>72</v>
      </c>
      <c r="I107" s="168" t="s">
        <v>253</v>
      </c>
      <c r="J107" s="169" t="s">
        <v>254</v>
      </c>
    </row>
    <row r="108" spans="1:17">
      <c r="A108" s="121" t="s">
        <v>90</v>
      </c>
      <c r="B108" s="125">
        <f t="shared" ref="B108:B113" si="12">B9+B18+B27+B36+B45+B54+B63+B81+B90</f>
        <v>15006</v>
      </c>
      <c r="C108" s="121"/>
      <c r="D108" s="126" t="s">
        <v>74</v>
      </c>
      <c r="E108" s="125">
        <f>E9+E18+E27+E36+E45+E54+E63+E81+E90</f>
        <v>6381366.5218901997</v>
      </c>
      <c r="F108" s="125">
        <f t="shared" ref="E108:F113" si="13">F9+F18+F27+F36+F45+F54+F63+F81+F90</f>
        <v>8609217.3071428593</v>
      </c>
      <c r="G108" s="125">
        <f t="shared" ref="G108:G113" si="14">E108+F108</f>
        <v>14990583.829033058</v>
      </c>
      <c r="H108" s="127">
        <f t="shared" ref="H108:H113" si="15">G108/B108</f>
        <v>998.97266620238963</v>
      </c>
      <c r="I108" s="139">
        <f>E108/$E$114</f>
        <v>0.86644387560722291</v>
      </c>
      <c r="J108" s="128">
        <f t="shared" ref="J108:J113" si="16">G108/$G$114</f>
        <v>0.89694107588407201</v>
      </c>
    </row>
    <row r="109" spans="1:17">
      <c r="A109" s="121" t="s">
        <v>90</v>
      </c>
      <c r="B109" s="125">
        <f t="shared" si="12"/>
        <v>15006</v>
      </c>
      <c r="C109" s="121"/>
      <c r="D109" s="126" t="s">
        <v>75</v>
      </c>
      <c r="E109" s="125">
        <f t="shared" si="13"/>
        <v>234697.80000000002</v>
      </c>
      <c r="F109" s="125">
        <f t="shared" si="13"/>
        <v>45577.244566465684</v>
      </c>
      <c r="G109" s="125">
        <f t="shared" si="14"/>
        <v>280275.04456646572</v>
      </c>
      <c r="H109" s="127">
        <f t="shared" si="15"/>
        <v>18.67753195831439</v>
      </c>
      <c r="I109" s="139">
        <f t="shared" ref="I109:I113" si="17">E109/$E$114</f>
        <v>3.1866602667457292E-2</v>
      </c>
      <c r="J109" s="128">
        <f t="shared" si="16"/>
        <v>1.6769873867755657E-2</v>
      </c>
    </row>
    <row r="110" spans="1:17">
      <c r="A110" s="121" t="s">
        <v>90</v>
      </c>
      <c r="B110" s="125">
        <f t="shared" si="12"/>
        <v>15006</v>
      </c>
      <c r="C110" s="121"/>
      <c r="D110" s="126" t="s">
        <v>76</v>
      </c>
      <c r="E110" s="125">
        <f t="shared" si="13"/>
        <v>202946.97342534497</v>
      </c>
      <c r="F110" s="125">
        <f t="shared" si="13"/>
        <v>271696.8664220192</v>
      </c>
      <c r="G110" s="125">
        <f t="shared" si="14"/>
        <v>474643.83984736417</v>
      </c>
      <c r="H110" s="127">
        <f t="shared" si="15"/>
        <v>31.630270548271636</v>
      </c>
      <c r="I110" s="139">
        <f t="shared" si="17"/>
        <v>2.7555565347048339E-2</v>
      </c>
      <c r="J110" s="128">
        <f t="shared" si="16"/>
        <v>2.8399664831593344E-2</v>
      </c>
    </row>
    <row r="111" spans="1:17">
      <c r="A111" s="121" t="s">
        <v>90</v>
      </c>
      <c r="B111" s="125">
        <f t="shared" si="12"/>
        <v>15006</v>
      </c>
      <c r="C111" s="121"/>
      <c r="D111" s="126" t="s">
        <v>77</v>
      </c>
      <c r="E111" s="125">
        <f t="shared" si="13"/>
        <v>45591.11</v>
      </c>
      <c r="F111" s="125">
        <f t="shared" si="13"/>
        <v>99665.966129142194</v>
      </c>
      <c r="G111" s="125">
        <f t="shared" si="14"/>
        <v>145257.07612914219</v>
      </c>
      <c r="H111" s="127">
        <f t="shared" si="15"/>
        <v>9.6799331020353314</v>
      </c>
      <c r="I111" s="139">
        <f t="shared" si="17"/>
        <v>6.1902318110282194E-3</v>
      </c>
      <c r="J111" s="128">
        <f t="shared" si="16"/>
        <v>8.6912584345590037E-3</v>
      </c>
    </row>
    <row r="112" spans="1:17">
      <c r="A112" s="121" t="s">
        <v>90</v>
      </c>
      <c r="B112" s="125">
        <f t="shared" si="12"/>
        <v>15006</v>
      </c>
      <c r="C112" s="121"/>
      <c r="D112" s="126" t="s">
        <v>78</v>
      </c>
      <c r="E112" s="125">
        <f t="shared" si="13"/>
        <v>451804.23</v>
      </c>
      <c r="F112" s="125">
        <f t="shared" si="13"/>
        <v>283560.42418027762</v>
      </c>
      <c r="G112" s="125">
        <f t="shared" si="14"/>
        <v>735364.6541802776</v>
      </c>
      <c r="H112" s="127">
        <f t="shared" si="15"/>
        <v>49.004708395327043</v>
      </c>
      <c r="I112" s="139">
        <f t="shared" si="17"/>
        <v>6.1344698931504626E-2</v>
      </c>
      <c r="J112" s="128">
        <f t="shared" si="16"/>
        <v>4.399953808404284E-2</v>
      </c>
    </row>
    <row r="113" spans="1:11" ht="16" thickBot="1">
      <c r="A113" s="121" t="s">
        <v>90</v>
      </c>
      <c r="B113" s="125">
        <f t="shared" si="12"/>
        <v>15006</v>
      </c>
      <c r="C113" s="121"/>
      <c r="D113" s="126" t="s">
        <v>79</v>
      </c>
      <c r="E113" s="125">
        <f t="shared" si="13"/>
        <v>48601.88</v>
      </c>
      <c r="F113" s="125">
        <f t="shared" si="13"/>
        <v>38282.180461827011</v>
      </c>
      <c r="G113" s="125">
        <f t="shared" si="14"/>
        <v>86884.060461827001</v>
      </c>
      <c r="H113" s="127">
        <f t="shared" si="15"/>
        <v>5.7899547155689062</v>
      </c>
      <c r="I113" s="170">
        <f t="shared" si="17"/>
        <v>6.59902563573855E-3</v>
      </c>
      <c r="J113" s="128">
        <f t="shared" si="16"/>
        <v>5.1985888979772053E-3</v>
      </c>
    </row>
    <row r="114" spans="1:11" ht="17" thickTop="1" thickBot="1">
      <c r="A114" s="121"/>
      <c r="B114" s="121"/>
      <c r="C114" s="121"/>
      <c r="D114" s="129" t="s">
        <v>80</v>
      </c>
      <c r="E114" s="130">
        <f t="shared" ref="E114:J114" si="18">SUM(E108:E113)</f>
        <v>7365008.5153155448</v>
      </c>
      <c r="F114" s="130">
        <f t="shared" si="18"/>
        <v>9347999.9889025912</v>
      </c>
      <c r="G114" s="130">
        <f t="shared" si="18"/>
        <v>16713008.504218133</v>
      </c>
      <c r="H114" s="131">
        <f t="shared" si="18"/>
        <v>1113.755064921907</v>
      </c>
      <c r="I114" s="171">
        <f t="shared" si="18"/>
        <v>0.99999999999999989</v>
      </c>
      <c r="J114" s="132">
        <f t="shared" si="18"/>
        <v>1.0000000000000002</v>
      </c>
    </row>
    <row r="115" spans="1:11">
      <c r="A115" s="121"/>
      <c r="B115" s="121"/>
      <c r="C115" s="121"/>
      <c r="D115" s="121"/>
      <c r="E115" s="121"/>
      <c r="F115" s="121"/>
      <c r="G115" s="121"/>
      <c r="H115" s="121"/>
      <c r="I115" s="121"/>
    </row>
    <row r="116" spans="1:11">
      <c r="A116" s="120"/>
      <c r="B116" s="121"/>
      <c r="C116" s="121"/>
      <c r="D116" s="173"/>
      <c r="E116" s="134"/>
      <c r="F116" s="174"/>
      <c r="I116" s="121"/>
    </row>
    <row r="117" spans="1:11">
      <c r="A117" s="121"/>
      <c r="B117" s="121"/>
      <c r="C117" s="121"/>
      <c r="D117" s="175"/>
      <c r="E117" s="172"/>
      <c r="F117" s="174"/>
      <c r="I117" s="121"/>
    </row>
    <row r="118" spans="1:11">
      <c r="A118" s="121"/>
      <c r="B118" s="121"/>
      <c r="C118" s="121"/>
      <c r="D118" s="175"/>
      <c r="E118" s="172"/>
      <c r="F118" s="176"/>
      <c r="G118" s="121"/>
      <c r="H118" s="121"/>
      <c r="I118" s="121"/>
      <c r="J118" s="121"/>
      <c r="K118" s="121"/>
    </row>
    <row r="119" spans="1:11">
      <c r="A119" s="121"/>
      <c r="B119" s="121"/>
      <c r="C119" s="121"/>
      <c r="D119" s="175"/>
      <c r="E119" s="172"/>
      <c r="F119" s="176"/>
      <c r="G119" s="143"/>
      <c r="H119" s="143"/>
      <c r="I119" s="121"/>
      <c r="J119" s="121"/>
      <c r="K119" s="121"/>
    </row>
    <row r="120" spans="1:11">
      <c r="A120" s="121"/>
      <c r="B120" s="121"/>
      <c r="C120" s="121"/>
      <c r="D120" s="175"/>
      <c r="E120" s="172"/>
      <c r="F120" s="176"/>
      <c r="G120" s="143"/>
      <c r="H120" s="143"/>
      <c r="I120" s="121"/>
      <c r="J120" s="121"/>
      <c r="K120" s="121"/>
    </row>
    <row r="121" spans="1:11">
      <c r="A121" s="121"/>
      <c r="B121" s="121"/>
      <c r="C121" s="121"/>
      <c r="D121" s="175"/>
      <c r="E121" s="172"/>
      <c r="F121" s="176"/>
      <c r="G121" s="143"/>
      <c r="H121" s="143"/>
      <c r="I121" s="121"/>
      <c r="J121" s="121"/>
      <c r="K121" s="121"/>
    </row>
    <row r="122" spans="1:11">
      <c r="A122" s="121"/>
      <c r="B122" s="121"/>
      <c r="C122" s="121"/>
      <c r="D122" s="175"/>
      <c r="E122" s="172"/>
      <c r="F122" s="176"/>
      <c r="G122" s="143"/>
      <c r="H122" s="143"/>
      <c r="I122" s="121"/>
      <c r="J122" s="121"/>
      <c r="K122" s="121"/>
    </row>
    <row r="123" spans="1:11">
      <c r="A123" s="121"/>
      <c r="B123" s="121"/>
      <c r="C123" s="121"/>
      <c r="D123" s="154"/>
      <c r="E123" s="134"/>
      <c r="F123" s="176"/>
      <c r="G123" s="143"/>
      <c r="H123" s="143"/>
      <c r="I123" s="120"/>
      <c r="J123" s="144"/>
      <c r="K123" s="121"/>
    </row>
    <row r="124" spans="1:11">
      <c r="D124" s="174"/>
      <c r="E124" s="174"/>
      <c r="F124" s="176"/>
      <c r="G124" s="121"/>
      <c r="H124" s="121"/>
      <c r="I124" s="121"/>
      <c r="J124" s="144"/>
      <c r="K124" s="121"/>
    </row>
    <row r="125" spans="1:11">
      <c r="F125" s="121"/>
      <c r="G125" s="121"/>
      <c r="H125" s="121"/>
      <c r="I125" s="121"/>
      <c r="J125" s="145"/>
      <c r="K125" s="121"/>
    </row>
  </sheetData>
  <conditionalFormatting sqref="K9 K18 K27 K36 K45 K81">
    <cfRule type="cellIs" dxfId="60" priority="55" operator="lessThan">
      <formula>0</formula>
    </cfRule>
    <cfRule type="cellIs" dxfId="59" priority="56" operator="greaterThan">
      <formula>0</formula>
    </cfRule>
  </conditionalFormatting>
  <conditionalFormatting sqref="K72">
    <cfRule type="cellIs" dxfId="58" priority="53" operator="lessThan">
      <formula>0</formula>
    </cfRule>
    <cfRule type="cellIs" dxfId="57" priority="54" operator="greaterThan">
      <formula>0</formula>
    </cfRule>
  </conditionalFormatting>
  <conditionalFormatting sqref="K10">
    <cfRule type="cellIs" dxfId="56" priority="51" operator="lessThan">
      <formula>0</formula>
    </cfRule>
    <cfRule type="cellIs" dxfId="55" priority="52" operator="greaterThan">
      <formula>0</formula>
    </cfRule>
  </conditionalFormatting>
  <conditionalFormatting sqref="K11:K14">
    <cfRule type="cellIs" dxfId="54" priority="49" operator="lessThan">
      <formula>0</formula>
    </cfRule>
    <cfRule type="cellIs" dxfId="53" priority="50" operator="greaterThan">
      <formula>0</formula>
    </cfRule>
  </conditionalFormatting>
  <conditionalFormatting sqref="K19">
    <cfRule type="cellIs" dxfId="52" priority="47" operator="lessThan">
      <formula>0</formula>
    </cfRule>
    <cfRule type="cellIs" dxfId="51" priority="48" operator="greaterThan">
      <formula>0</formula>
    </cfRule>
  </conditionalFormatting>
  <conditionalFormatting sqref="K20:K23">
    <cfRule type="cellIs" dxfId="50" priority="45" operator="lessThan">
      <formula>0</formula>
    </cfRule>
    <cfRule type="cellIs" dxfId="49" priority="46" operator="greaterThan">
      <formula>0</formula>
    </cfRule>
  </conditionalFormatting>
  <conditionalFormatting sqref="K28">
    <cfRule type="cellIs" dxfId="48" priority="43" operator="lessThan">
      <formula>0</formula>
    </cfRule>
    <cfRule type="cellIs" dxfId="47" priority="44" operator="greaterThan">
      <formula>0</formula>
    </cfRule>
  </conditionalFormatting>
  <conditionalFormatting sqref="K29:K32">
    <cfRule type="cellIs" dxfId="46" priority="41" operator="lessThan">
      <formula>0</formula>
    </cfRule>
    <cfRule type="cellIs" dxfId="45" priority="42" operator="greaterThan">
      <formula>0</formula>
    </cfRule>
  </conditionalFormatting>
  <conditionalFormatting sqref="K37">
    <cfRule type="cellIs" dxfId="44" priority="39" operator="lessThan">
      <formula>0</formula>
    </cfRule>
    <cfRule type="cellIs" dxfId="43" priority="40" operator="greaterThan">
      <formula>0</formula>
    </cfRule>
  </conditionalFormatting>
  <conditionalFormatting sqref="K38:K41">
    <cfRule type="cellIs" dxfId="42" priority="37" operator="lessThan">
      <formula>0</formula>
    </cfRule>
    <cfRule type="cellIs" dxfId="41" priority="38" operator="greaterThan">
      <formula>0</formula>
    </cfRule>
  </conditionalFormatting>
  <conditionalFormatting sqref="K46">
    <cfRule type="cellIs" dxfId="40" priority="35" operator="lessThan">
      <formula>0</formula>
    </cfRule>
    <cfRule type="cellIs" dxfId="39" priority="36" operator="greaterThan">
      <formula>0</formula>
    </cfRule>
  </conditionalFormatting>
  <conditionalFormatting sqref="K47:K50">
    <cfRule type="cellIs" dxfId="38" priority="33" operator="lessThan">
      <formula>0</formula>
    </cfRule>
    <cfRule type="cellIs" dxfId="37" priority="34" operator="greaterThan">
      <formula>0</formula>
    </cfRule>
  </conditionalFormatting>
  <conditionalFormatting sqref="K82">
    <cfRule type="cellIs" dxfId="36" priority="31" operator="lessThan">
      <formula>0</formula>
    </cfRule>
    <cfRule type="cellIs" dxfId="35" priority="32" operator="greaterThan">
      <formula>0</formula>
    </cfRule>
  </conditionalFormatting>
  <conditionalFormatting sqref="K83:K86">
    <cfRule type="cellIs" dxfId="34" priority="29" operator="lessThan">
      <formula>0</formula>
    </cfRule>
    <cfRule type="cellIs" dxfId="33" priority="30" operator="greaterThan">
      <formula>0</formula>
    </cfRule>
  </conditionalFormatting>
  <conditionalFormatting sqref="K73">
    <cfRule type="cellIs" dxfId="32" priority="27" operator="lessThan">
      <formula>0</formula>
    </cfRule>
    <cfRule type="cellIs" dxfId="31" priority="28" operator="greaterThan">
      <formula>0</formula>
    </cfRule>
  </conditionalFormatting>
  <conditionalFormatting sqref="K74:K77">
    <cfRule type="cellIs" dxfId="30" priority="25" operator="lessThan">
      <formula>0</formula>
    </cfRule>
    <cfRule type="cellIs" dxfId="29" priority="26" operator="greaterThan">
      <formula>0</formula>
    </cfRule>
  </conditionalFormatting>
  <conditionalFormatting sqref="K54">
    <cfRule type="cellIs" dxfId="28" priority="23" operator="lessThan">
      <formula>0</formula>
    </cfRule>
    <cfRule type="cellIs" dxfId="27" priority="24" operator="greaterThan">
      <formula>0</formula>
    </cfRule>
  </conditionalFormatting>
  <conditionalFormatting sqref="K55">
    <cfRule type="cellIs" dxfId="26" priority="21" operator="lessThan">
      <formula>0</formula>
    </cfRule>
    <cfRule type="cellIs" dxfId="25" priority="22" operator="greaterThan">
      <formula>0</formula>
    </cfRule>
  </conditionalFormatting>
  <conditionalFormatting sqref="K56:K59">
    <cfRule type="cellIs" dxfId="24" priority="19" operator="lessThan">
      <formula>0</formula>
    </cfRule>
    <cfRule type="cellIs" dxfId="23" priority="20" operator="greaterThan">
      <formula>0</formula>
    </cfRule>
  </conditionalFormatting>
  <conditionalFormatting sqref="K63">
    <cfRule type="cellIs" dxfId="22" priority="17" operator="lessThan">
      <formula>0</formula>
    </cfRule>
    <cfRule type="cellIs" dxfId="21" priority="18" operator="greaterThan">
      <formula>0</formula>
    </cfRule>
  </conditionalFormatting>
  <conditionalFormatting sqref="K64">
    <cfRule type="cellIs" dxfId="20" priority="15" operator="lessThan">
      <formula>0</formula>
    </cfRule>
    <cfRule type="cellIs" dxfId="19" priority="16" operator="greaterThan">
      <formula>0</formula>
    </cfRule>
  </conditionalFormatting>
  <conditionalFormatting sqref="K65:K68">
    <cfRule type="cellIs" dxfId="18" priority="13" operator="lessThan">
      <formula>0</formula>
    </cfRule>
    <cfRule type="cellIs" dxfId="17" priority="14" operator="greaterThan">
      <formula>0</formula>
    </cfRule>
  </conditionalFormatting>
  <conditionalFormatting sqref="K90">
    <cfRule type="cellIs" dxfId="16" priority="11" operator="lessThan">
      <formula>0</formula>
    </cfRule>
    <cfRule type="cellIs" dxfId="15" priority="12" operator="greaterThan">
      <formula>0</formula>
    </cfRule>
  </conditionalFormatting>
  <conditionalFormatting sqref="K91">
    <cfRule type="cellIs" dxfId="14" priority="9" operator="lessThan">
      <formula>0</formula>
    </cfRule>
    <cfRule type="cellIs" dxfId="13" priority="10" operator="greaterThan">
      <formula>0</formula>
    </cfRule>
  </conditionalFormatting>
  <conditionalFormatting sqref="K92:K95">
    <cfRule type="cellIs" dxfId="12" priority="7" operator="lessThan">
      <formula>0</formula>
    </cfRule>
    <cfRule type="cellIs" dxfId="11" priority="8" operator="greaterThan">
      <formula>0</formula>
    </cfRule>
  </conditionalFormatting>
  <conditionalFormatting sqref="K99">
    <cfRule type="cellIs" dxfId="10" priority="5" operator="lessThan">
      <formula>0</formula>
    </cfRule>
    <cfRule type="cellIs" dxfId="9" priority="6" operator="greaterThan">
      <formula>0</formula>
    </cfRule>
  </conditionalFormatting>
  <conditionalFormatting sqref="K100">
    <cfRule type="cellIs" dxfId="8" priority="3" operator="lessThan">
      <formula>0</formula>
    </cfRule>
    <cfRule type="cellIs" dxfId="7" priority="4" operator="greaterThan">
      <formula>0</formula>
    </cfRule>
  </conditionalFormatting>
  <conditionalFormatting sqref="K101:K104">
    <cfRule type="cellIs" dxfId="6" priority="1" operator="lessThan">
      <formula>0</formula>
    </cfRule>
    <cfRule type="cellIs" dxfId="5" priority="2" operator="greaterThan">
      <formula>0</formula>
    </cfRule>
  </conditionalFormatting>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4"/>
  <sheetViews>
    <sheetView workbookViewId="0">
      <selection activeCell="J68" sqref="J68"/>
    </sheetView>
  </sheetViews>
  <sheetFormatPr baseColWidth="10" defaultColWidth="8.83203125" defaultRowHeight="15" x14ac:dyDescent="0"/>
  <cols>
    <col min="1" max="1" width="25.33203125" bestFit="1" customWidth="1"/>
    <col min="2" max="6" width="12.33203125" customWidth="1"/>
    <col min="13" max="13" width="25.33203125" bestFit="1" customWidth="1"/>
    <col min="14" max="18" width="12.33203125" customWidth="1"/>
    <col min="21" max="21" width="8.83203125" style="135"/>
    <col min="27" max="27" width="12.83203125" customWidth="1"/>
  </cols>
  <sheetData>
    <row r="1" spans="1:16">
      <c r="A1" s="213" t="s">
        <v>66</v>
      </c>
      <c r="I1" s="135"/>
      <c r="N1" s="140" t="s">
        <v>256</v>
      </c>
      <c r="O1" s="141">
        <f>SUM(B5,B14,B23,B32,B41,B50)</f>
        <v>1395051.7318901997</v>
      </c>
    </row>
    <row r="2" spans="1:16">
      <c r="A2" s="183" t="s">
        <v>299</v>
      </c>
      <c r="I2" s="115" t="s">
        <v>93</v>
      </c>
      <c r="N2" s="140" t="s">
        <v>257</v>
      </c>
      <c r="O2" s="142">
        <v>1494130</v>
      </c>
    </row>
    <row r="3" spans="1:16" ht="38" thickBot="1">
      <c r="G3" s="26" t="s">
        <v>67</v>
      </c>
      <c r="H3" s="25" t="s">
        <v>68</v>
      </c>
      <c r="I3" s="135" t="s">
        <v>92</v>
      </c>
      <c r="N3" s="140" t="s">
        <v>258</v>
      </c>
      <c r="O3" s="141">
        <f>O1-O2</f>
        <v>-99078.268109800294</v>
      </c>
      <c r="P3" t="s">
        <v>259</v>
      </c>
    </row>
    <row r="4" spans="1:16" ht="16" thickBot="1">
      <c r="A4" s="27" t="s">
        <v>6</v>
      </c>
      <c r="B4" s="28" t="s">
        <v>69</v>
      </c>
      <c r="C4" s="28" t="s">
        <v>70</v>
      </c>
      <c r="D4" s="28" t="s">
        <v>71</v>
      </c>
      <c r="E4" s="29" t="s">
        <v>72</v>
      </c>
      <c r="F4" s="30" t="s">
        <v>73</v>
      </c>
      <c r="G4" s="31"/>
      <c r="H4" s="32"/>
      <c r="I4" s="135"/>
      <c r="J4" t="s">
        <v>260</v>
      </c>
    </row>
    <row r="5" spans="1:16">
      <c r="A5" s="33" t="s">
        <v>74</v>
      </c>
      <c r="B5" s="34">
        <v>516071.54714408203</v>
      </c>
      <c r="C5" s="34"/>
      <c r="D5" s="35">
        <v>516071.54714408203</v>
      </c>
      <c r="E5" s="36">
        <v>959.24079394810781</v>
      </c>
      <c r="F5" s="37">
        <v>0.91996943412704213</v>
      </c>
      <c r="G5" s="31">
        <v>0.91475188854010914</v>
      </c>
      <c r="H5" s="38">
        <f>F5-G5</f>
        <v>5.2175455869329923E-3</v>
      </c>
      <c r="I5" s="135">
        <f>D5/E5</f>
        <v>538</v>
      </c>
    </row>
    <row r="6" spans="1:16">
      <c r="A6" s="33" t="s">
        <v>75</v>
      </c>
      <c r="B6" s="34">
        <v>18776.324880181</v>
      </c>
      <c r="C6" s="34">
        <v>0</v>
      </c>
      <c r="D6" s="35">
        <v>18776.324880181</v>
      </c>
      <c r="E6" s="36">
        <v>34.900232119295538</v>
      </c>
      <c r="F6" s="37">
        <v>3.3471415098540569E-2</v>
      </c>
      <c r="G6" s="31"/>
      <c r="H6" s="38"/>
      <c r="I6" s="135"/>
    </row>
    <row r="7" spans="1:16">
      <c r="A7" s="33" t="s">
        <v>76</v>
      </c>
      <c r="B7" s="34">
        <v>14800.186438956389</v>
      </c>
      <c r="C7" s="34"/>
      <c r="D7" s="35">
        <v>14800.186438956389</v>
      </c>
      <c r="E7" s="36">
        <v>27.50964022110853</v>
      </c>
      <c r="F7" s="37">
        <v>2.6383394354077924E-2</v>
      </c>
      <c r="G7" s="31"/>
      <c r="H7" s="38"/>
      <c r="I7" s="135"/>
    </row>
    <row r="8" spans="1:16">
      <c r="A8" s="33" t="s">
        <v>77</v>
      </c>
      <c r="B8" s="34">
        <v>2443</v>
      </c>
      <c r="C8" s="34">
        <v>54.873037996693533</v>
      </c>
      <c r="D8" s="35">
        <v>2497.8730379966937</v>
      </c>
      <c r="E8" s="36">
        <v>4.6428866877261967</v>
      </c>
      <c r="F8" s="37">
        <v>4.4528067048142158E-3</v>
      </c>
      <c r="G8" s="31"/>
      <c r="H8" s="39"/>
      <c r="I8" s="135"/>
    </row>
    <row r="9" spans="1:16">
      <c r="A9" s="33" t="s">
        <v>78</v>
      </c>
      <c r="B9" s="34">
        <v>6902</v>
      </c>
      <c r="C9" s="34">
        <v>1728.2744704755614</v>
      </c>
      <c r="D9" s="35">
        <v>8630.2744704755605</v>
      </c>
      <c r="E9" s="36">
        <v>16.041402361478738</v>
      </c>
      <c r="F9" s="37">
        <v>1.538466665116844E-2</v>
      </c>
      <c r="G9" s="31"/>
      <c r="H9" s="38"/>
      <c r="I9" s="135"/>
    </row>
    <row r="10" spans="1:16" ht="16" thickBot="1">
      <c r="A10" s="33" t="s">
        <v>79</v>
      </c>
      <c r="B10" s="34">
        <v>40</v>
      </c>
      <c r="C10" s="34">
        <v>149.76528775740695</v>
      </c>
      <c r="D10" s="35">
        <v>189.76528775740695</v>
      </c>
      <c r="E10" s="36">
        <v>0.35272358319220626</v>
      </c>
      <c r="F10" s="37">
        <v>3.3828306435657165E-4</v>
      </c>
      <c r="G10" s="31"/>
      <c r="H10" s="38"/>
      <c r="I10" s="135"/>
    </row>
    <row r="11" spans="1:16" ht="17" thickTop="1" thickBot="1">
      <c r="A11" s="40" t="s">
        <v>80</v>
      </c>
      <c r="B11" s="41">
        <f>SUM(B5:B10)</f>
        <v>559033.05846321944</v>
      </c>
      <c r="C11" s="41">
        <f>SUM(C5:C10)</f>
        <v>1932.9127962296618</v>
      </c>
      <c r="D11" s="41">
        <f>SUM(D5:D10)</f>
        <v>560965.97125944914</v>
      </c>
      <c r="E11" s="42"/>
      <c r="F11" s="43">
        <f>SUM(F5:F10)</f>
        <v>0.99999999999999978</v>
      </c>
      <c r="G11" s="31"/>
      <c r="H11" s="38"/>
      <c r="I11" s="135"/>
    </row>
    <row r="12" spans="1:16" ht="16" thickBot="1">
      <c r="A12" s="44"/>
      <c r="B12" s="44"/>
      <c r="C12" s="44"/>
      <c r="D12" s="44"/>
      <c r="E12" s="44"/>
      <c r="F12" s="45"/>
      <c r="G12" s="31"/>
      <c r="H12" s="38"/>
      <c r="I12" s="135"/>
    </row>
    <row r="13" spans="1:16" ht="16" thickBot="1">
      <c r="A13" s="27" t="s">
        <v>7</v>
      </c>
      <c r="B13" s="28" t="s">
        <v>69</v>
      </c>
      <c r="C13" s="28" t="s">
        <v>70</v>
      </c>
      <c r="D13" s="28" t="s">
        <v>71</v>
      </c>
      <c r="E13" s="29" t="s">
        <v>72</v>
      </c>
      <c r="F13" s="30" t="s">
        <v>73</v>
      </c>
      <c r="G13" s="31"/>
      <c r="H13" s="38"/>
      <c r="I13" s="135"/>
    </row>
    <row r="14" spans="1:16">
      <c r="A14" s="33" t="s">
        <v>74</v>
      </c>
      <c r="B14" s="34">
        <v>189636.60625001579</v>
      </c>
      <c r="C14" s="34"/>
      <c r="D14" s="35">
        <v>189636.60625001579</v>
      </c>
      <c r="E14" s="36">
        <v>952.94777010058181</v>
      </c>
      <c r="F14" s="37">
        <v>0.91984211882487454</v>
      </c>
      <c r="G14" s="31">
        <v>0.9270423068449487</v>
      </c>
      <c r="H14" s="38">
        <f>F14-G14</f>
        <v>-7.2001880200741608E-3</v>
      </c>
      <c r="I14" s="135">
        <f>D14/E14</f>
        <v>199</v>
      </c>
    </row>
    <row r="15" spans="1:16">
      <c r="A15" s="33" t="s">
        <v>75</v>
      </c>
      <c r="B15" s="34">
        <v>4530.2684683002299</v>
      </c>
      <c r="C15" s="34">
        <v>0</v>
      </c>
      <c r="D15" s="35">
        <v>4530.2684683002299</v>
      </c>
      <c r="E15" s="36">
        <v>22.765168182413216</v>
      </c>
      <c r="F15" s="37">
        <v>2.1974300369164382E-2</v>
      </c>
      <c r="G15" s="31"/>
      <c r="H15" s="38"/>
      <c r="I15" s="135"/>
    </row>
    <row r="16" spans="1:16">
      <c r="A16" s="33" t="s">
        <v>76</v>
      </c>
      <c r="B16" s="46">
        <v>5486.0506578715103</v>
      </c>
      <c r="C16" s="34"/>
      <c r="D16" s="35">
        <v>5486.0506578715103</v>
      </c>
      <c r="E16" s="36">
        <v>27.568093758148294</v>
      </c>
      <c r="F16" s="37">
        <v>2.6610371071838917E-2</v>
      </c>
      <c r="G16" s="31"/>
      <c r="H16" s="38"/>
      <c r="I16" s="135"/>
    </row>
    <row r="17" spans="1:10">
      <c r="A17" s="33" t="s">
        <v>77</v>
      </c>
      <c r="B17" s="34">
        <v>744</v>
      </c>
      <c r="C17" s="34">
        <v>0</v>
      </c>
      <c r="D17" s="35">
        <v>744</v>
      </c>
      <c r="E17" s="36">
        <v>3.7386934673366836</v>
      </c>
      <c r="F17" s="37">
        <v>3.6088102921618789E-3</v>
      </c>
      <c r="G17" s="31"/>
      <c r="H17" s="38"/>
      <c r="I17" s="135"/>
    </row>
    <row r="18" spans="1:10">
      <c r="A18" s="33" t="s">
        <v>78</v>
      </c>
      <c r="B18" s="34">
        <v>5737</v>
      </c>
      <c r="C18" s="34">
        <v>15.807347076130783</v>
      </c>
      <c r="D18" s="35">
        <v>5752.807347076131</v>
      </c>
      <c r="E18" s="36">
        <v>28.908579633548396</v>
      </c>
      <c r="F18" s="37">
        <v>2.7904288122248409E-2</v>
      </c>
      <c r="G18" s="31"/>
      <c r="H18" s="38"/>
      <c r="I18" s="135"/>
    </row>
    <row r="19" spans="1:10" ht="16" thickBot="1">
      <c r="A19" s="33" t="s">
        <v>79</v>
      </c>
      <c r="B19" s="34">
        <v>7</v>
      </c>
      <c r="C19" s="34">
        <v>5.3926774324557272</v>
      </c>
      <c r="D19" s="35">
        <v>12.392677432455727</v>
      </c>
      <c r="E19" s="36">
        <v>6.2274760967114207E-2</v>
      </c>
      <c r="F19" s="37">
        <v>6.0111319711946879E-5</v>
      </c>
      <c r="G19" s="31"/>
      <c r="H19" s="38"/>
      <c r="I19" s="135"/>
    </row>
    <row r="20" spans="1:10" ht="17" thickTop="1" thickBot="1">
      <c r="A20" s="40" t="s">
        <v>80</v>
      </c>
      <c r="B20" s="41">
        <f>SUM(B14:B19)</f>
        <v>206140.92537618752</v>
      </c>
      <c r="C20" s="41">
        <f>SUM(C14:C19)</f>
        <v>21.200024508586509</v>
      </c>
      <c r="D20" s="41">
        <f>SUM(D14:D19)</f>
        <v>206162.1254006961</v>
      </c>
      <c r="E20" s="42"/>
      <c r="F20" s="43">
        <f>SUM(F14:F19)</f>
        <v>1</v>
      </c>
      <c r="G20" s="31"/>
      <c r="H20" s="38"/>
      <c r="I20" s="135"/>
    </row>
    <row r="21" spans="1:10" ht="16" thickBot="1">
      <c r="A21" s="44"/>
      <c r="B21" s="44"/>
      <c r="C21" s="44"/>
      <c r="D21" s="44"/>
      <c r="E21" s="44"/>
      <c r="F21" s="45"/>
      <c r="G21" s="31"/>
      <c r="H21" s="38"/>
      <c r="I21" s="135"/>
    </row>
    <row r="22" spans="1:10" ht="16" thickBot="1">
      <c r="A22" s="27" t="s">
        <v>8</v>
      </c>
      <c r="B22" s="28" t="s">
        <v>69</v>
      </c>
      <c r="C22" s="28" t="s">
        <v>70</v>
      </c>
      <c r="D22" s="28" t="s">
        <v>71</v>
      </c>
      <c r="E22" s="29" t="s">
        <v>72</v>
      </c>
      <c r="F22" s="30" t="s">
        <v>73</v>
      </c>
      <c r="G22" s="31"/>
      <c r="H22" s="38"/>
      <c r="I22" s="135"/>
    </row>
    <row r="23" spans="1:10">
      <c r="A23" s="33" t="s">
        <v>74</v>
      </c>
      <c r="B23" s="34">
        <v>66175.578496101778</v>
      </c>
      <c r="C23" s="34"/>
      <c r="D23" s="35">
        <v>66175.578496101778</v>
      </c>
      <c r="E23" s="36">
        <v>859.42309735197114</v>
      </c>
      <c r="F23" s="37">
        <v>0.78751192316661189</v>
      </c>
      <c r="G23" s="31">
        <v>0.7700368648307031</v>
      </c>
      <c r="H23" s="38">
        <f>F23-G23</f>
        <v>1.7475058335908789E-2</v>
      </c>
      <c r="I23" s="135">
        <f>D23/E23</f>
        <v>77</v>
      </c>
    </row>
    <row r="24" spans="1:10">
      <c r="A24" s="33" t="s">
        <v>75</v>
      </c>
      <c r="B24" s="34">
        <v>6397.4066515187797</v>
      </c>
      <c r="C24" s="34">
        <v>0</v>
      </c>
      <c r="D24" s="35">
        <v>6397.4066515187797</v>
      </c>
      <c r="E24" s="36">
        <v>83.083203266477653</v>
      </c>
      <c r="F24" s="37">
        <v>7.6131318077003379E-2</v>
      </c>
      <c r="G24" s="31"/>
      <c r="H24" s="38"/>
      <c r="I24" s="135"/>
    </row>
    <row r="25" spans="1:10">
      <c r="A25" s="33" t="s">
        <v>76</v>
      </c>
      <c r="B25" s="34">
        <v>3318.3470732372189</v>
      </c>
      <c r="C25" s="34"/>
      <c r="D25" s="35">
        <v>3318.3470732372189</v>
      </c>
      <c r="E25" s="36">
        <v>43.095416535548296</v>
      </c>
      <c r="F25" s="37">
        <v>3.9489460383535277E-2</v>
      </c>
      <c r="G25" s="31"/>
      <c r="H25" s="38"/>
      <c r="I25" s="135"/>
    </row>
    <row r="26" spans="1:10">
      <c r="A26" s="33" t="s">
        <v>77</v>
      </c>
      <c r="B26" s="34">
        <v>606</v>
      </c>
      <c r="C26" s="34">
        <v>39.271459694989105</v>
      </c>
      <c r="D26" s="35">
        <v>645.27145969498906</v>
      </c>
      <c r="E26" s="36">
        <v>8.3801488272076501</v>
      </c>
      <c r="F26" s="37">
        <v>7.6789501465236451E-3</v>
      </c>
      <c r="G26" s="31"/>
      <c r="H26" s="38"/>
      <c r="I26" s="135"/>
    </row>
    <row r="27" spans="1:10">
      <c r="A27" s="33" t="s">
        <v>78</v>
      </c>
      <c r="B27" s="34">
        <v>5677</v>
      </c>
      <c r="C27" s="34">
        <v>1471.6292758580282</v>
      </c>
      <c r="D27" s="35">
        <v>7148.6292758580284</v>
      </c>
      <c r="E27" s="36">
        <v>92.839341244909463</v>
      </c>
      <c r="F27" s="37">
        <v>8.5071123169217569E-2</v>
      </c>
      <c r="G27" s="31"/>
      <c r="H27" s="38"/>
      <c r="I27" s="135"/>
    </row>
    <row r="28" spans="1:10" ht="16" thickBot="1">
      <c r="A28" s="33" t="s">
        <v>79</v>
      </c>
      <c r="B28" s="34">
        <v>81</v>
      </c>
      <c r="C28" s="34">
        <v>264.97539661014213</v>
      </c>
      <c r="D28" s="35">
        <v>345.97539661014213</v>
      </c>
      <c r="E28" s="36">
        <v>4.4931869689628847</v>
      </c>
      <c r="F28" s="37">
        <v>4.1172250571082534E-3</v>
      </c>
      <c r="G28" s="31"/>
      <c r="H28" s="38"/>
      <c r="I28" s="135"/>
    </row>
    <row r="29" spans="1:10" ht="17" thickTop="1" thickBot="1">
      <c r="A29" s="40" t="s">
        <v>80</v>
      </c>
      <c r="B29" s="41">
        <f>SUM(B23:B28)</f>
        <v>82255.332220857774</v>
      </c>
      <c r="C29" s="41">
        <f>SUM(C23:C28)</f>
        <v>1775.8761321631594</v>
      </c>
      <c r="D29" s="41">
        <f>SUM(D23:D28)</f>
        <v>84031.208353020935</v>
      </c>
      <c r="E29" s="42"/>
      <c r="F29" s="43">
        <f>SUM(F23:F28)</f>
        <v>1</v>
      </c>
      <c r="G29" s="31"/>
      <c r="H29" s="38"/>
      <c r="I29" s="135"/>
    </row>
    <row r="30" spans="1:10" ht="16" thickBot="1">
      <c r="A30" s="44"/>
      <c r="B30" s="44"/>
      <c r="C30" s="44"/>
      <c r="D30" s="44"/>
      <c r="E30" s="44"/>
      <c r="F30" s="45"/>
      <c r="G30" s="31"/>
      <c r="H30" s="38"/>
      <c r="I30" s="135"/>
    </row>
    <row r="31" spans="1:10" ht="16" thickBot="1">
      <c r="A31" s="27" t="s">
        <v>9</v>
      </c>
      <c r="B31" s="28" t="s">
        <v>69</v>
      </c>
      <c r="C31" s="28" t="s">
        <v>70</v>
      </c>
      <c r="D31" s="28" t="s">
        <v>71</v>
      </c>
      <c r="E31" s="29" t="s">
        <v>72</v>
      </c>
      <c r="F31" s="30" t="s">
        <v>73</v>
      </c>
      <c r="G31" s="31"/>
      <c r="H31" s="38"/>
      <c r="I31" s="135"/>
    </row>
    <row r="32" spans="1:10">
      <c r="A32" s="33" t="s">
        <v>74</v>
      </c>
      <c r="B32">
        <f>444015+17135+8869</f>
        <v>470019</v>
      </c>
      <c r="C32" s="34">
        <f>J32-B32</f>
        <v>417435</v>
      </c>
      <c r="D32" s="35">
        <v>887454</v>
      </c>
      <c r="E32" s="36">
        <v>1030.7247386759582</v>
      </c>
      <c r="F32" s="37">
        <v>0.9009199573616663</v>
      </c>
      <c r="G32" s="31">
        <v>0.90099861899011879</v>
      </c>
      <c r="H32" s="38">
        <f>F32-G32</f>
        <v>-7.8661628452492138E-5</v>
      </c>
      <c r="I32" s="135">
        <f>D32/E32</f>
        <v>861</v>
      </c>
      <c r="J32" s="34">
        <v>887454</v>
      </c>
    </row>
    <row r="33" spans="1:9">
      <c r="A33" s="33" t="s">
        <v>75</v>
      </c>
      <c r="B33" s="34">
        <v>19658</v>
      </c>
      <c r="C33" s="34">
        <v>0</v>
      </c>
      <c r="D33" s="35">
        <v>19658</v>
      </c>
      <c r="E33" s="36">
        <v>22.831591173054587</v>
      </c>
      <c r="F33" s="37">
        <v>1.9956284519327915E-2</v>
      </c>
      <c r="G33" s="31"/>
      <c r="H33" s="38"/>
      <c r="I33" s="135"/>
    </row>
    <row r="34" spans="1:9">
      <c r="A34" s="33" t="s">
        <v>76</v>
      </c>
      <c r="B34" s="34">
        <v>23738</v>
      </c>
      <c r="C34" s="34"/>
      <c r="D34" s="35">
        <v>23738</v>
      </c>
      <c r="E34" s="36">
        <v>27.570267131242741</v>
      </c>
      <c r="F34" s="37">
        <v>2.4098193199705263E-2</v>
      </c>
      <c r="G34" s="31"/>
      <c r="H34" s="38"/>
      <c r="I34" s="135"/>
    </row>
    <row r="35" spans="1:9">
      <c r="A35" s="33" t="s">
        <v>77</v>
      </c>
      <c r="B35" s="34">
        <v>3914</v>
      </c>
      <c r="C35" s="34">
        <v>3230.8823529411766</v>
      </c>
      <c r="D35" s="35">
        <v>7144.8823529411766</v>
      </c>
      <c r="E35" s="36">
        <v>8.2983534877365575</v>
      </c>
      <c r="F35" s="37">
        <v>7.2532966269416629E-3</v>
      </c>
      <c r="G35" s="31"/>
      <c r="H35" s="38"/>
      <c r="I35" s="135"/>
    </row>
    <row r="36" spans="1:9">
      <c r="A36" s="33" t="s">
        <v>78</v>
      </c>
      <c r="B36" s="34">
        <v>30332</v>
      </c>
      <c r="C36" s="34">
        <v>13357.705249253171</v>
      </c>
      <c r="D36" s="35">
        <v>43689.705249253173</v>
      </c>
      <c r="E36" s="36">
        <v>50.742979383569306</v>
      </c>
      <c r="F36" s="37">
        <v>4.4352639562502322E-2</v>
      </c>
      <c r="G36" s="31"/>
      <c r="H36" s="38"/>
      <c r="I36" s="135"/>
    </row>
    <row r="37" spans="1:9" ht="16" thickBot="1">
      <c r="A37" s="33" t="s">
        <v>79</v>
      </c>
      <c r="B37" s="34">
        <v>44</v>
      </c>
      <c r="C37" s="34">
        <v>3324.5158931470137</v>
      </c>
      <c r="D37" s="35">
        <v>3368.5158931470137</v>
      </c>
      <c r="E37" s="36">
        <v>3.9123297249094238</v>
      </c>
      <c r="F37" s="37">
        <v>3.4196287298565364E-3</v>
      </c>
      <c r="G37" s="31"/>
      <c r="H37" s="38"/>
      <c r="I37" s="135"/>
    </row>
    <row r="38" spans="1:9" ht="17" thickTop="1" thickBot="1">
      <c r="A38" s="40" t="s">
        <v>80</v>
      </c>
      <c r="B38" s="41">
        <f>SUM(B32:B37)</f>
        <v>547705</v>
      </c>
      <c r="C38" s="41">
        <f>SUM(C32:C37)</f>
        <v>437348.10349534143</v>
      </c>
      <c r="D38" s="41">
        <f>SUM(D32:D37)</f>
        <v>985053.10349534138</v>
      </c>
      <c r="E38" s="42"/>
      <c r="F38" s="43">
        <f>SUM(F32:F37)</f>
        <v>1</v>
      </c>
      <c r="G38" s="31"/>
      <c r="H38" s="38"/>
      <c r="I38" s="135"/>
    </row>
    <row r="39" spans="1:9" ht="16" thickBot="1">
      <c r="A39" s="44"/>
      <c r="B39" s="44"/>
      <c r="C39" s="44"/>
      <c r="D39" s="44"/>
      <c r="E39" s="44"/>
      <c r="F39" s="45"/>
      <c r="G39" s="31"/>
      <c r="H39" s="38"/>
      <c r="I39" s="135"/>
    </row>
    <row r="40" spans="1:9" ht="16" thickBot="1">
      <c r="A40" s="27" t="s">
        <v>10</v>
      </c>
      <c r="B40" s="28" t="s">
        <v>69</v>
      </c>
      <c r="C40" s="28" t="s">
        <v>70</v>
      </c>
      <c r="D40" s="28" t="s">
        <v>71</v>
      </c>
      <c r="E40" s="29" t="s">
        <v>72</v>
      </c>
      <c r="F40" s="30" t="s">
        <v>73</v>
      </c>
      <c r="G40" s="31"/>
      <c r="H40" s="38"/>
      <c r="I40" s="135"/>
    </row>
    <row r="41" spans="1:9">
      <c r="A41" s="33" t="s">
        <v>74</v>
      </c>
      <c r="B41" s="34">
        <v>37693</v>
      </c>
      <c r="C41" s="34">
        <v>2001412.411764706</v>
      </c>
      <c r="D41" s="35">
        <v>2039105.411764706</v>
      </c>
      <c r="E41" s="36">
        <v>1001.0335845678478</v>
      </c>
      <c r="F41" s="37">
        <v>0.90344237970934793</v>
      </c>
      <c r="G41" s="31">
        <v>0.90327909598236966</v>
      </c>
      <c r="H41" s="38">
        <f>F41-G41</f>
        <v>1.6328372697826943E-4</v>
      </c>
      <c r="I41" s="135">
        <f>D41/E41</f>
        <v>2037</v>
      </c>
    </row>
    <row r="42" spans="1:9">
      <c r="A42" s="33" t="s">
        <v>75</v>
      </c>
      <c r="B42" s="34">
        <v>19937</v>
      </c>
      <c r="C42" s="34">
        <v>11766.40956862745</v>
      </c>
      <c r="D42" s="35">
        <v>31703.409568627452</v>
      </c>
      <c r="E42" s="36">
        <v>15.5637749477798</v>
      </c>
      <c r="F42" s="37">
        <v>1.404645567626297E-2</v>
      </c>
      <c r="G42" s="31"/>
      <c r="H42" s="38"/>
      <c r="I42" s="135"/>
    </row>
    <row r="43" spans="1:9">
      <c r="A43" s="33" t="s">
        <v>76</v>
      </c>
      <c r="B43" s="34">
        <v>0</v>
      </c>
      <c r="C43" s="34">
        <v>62043.784764705881</v>
      </c>
      <c r="D43" s="35">
        <v>62043.784764705881</v>
      </c>
      <c r="E43" s="36">
        <v>30.458411764705883</v>
      </c>
      <c r="F43" s="37">
        <v>2.7489007792633167E-2</v>
      </c>
      <c r="G43" s="31"/>
      <c r="H43" s="38"/>
      <c r="I43" s="135"/>
    </row>
    <row r="44" spans="1:9">
      <c r="A44" s="33" t="s">
        <v>77</v>
      </c>
      <c r="B44" s="34">
        <v>258</v>
      </c>
      <c r="C44" s="34">
        <v>22568.725490196077</v>
      </c>
      <c r="D44" s="35">
        <v>22826.725490196077</v>
      </c>
      <c r="E44" s="36">
        <v>11.206050805201805</v>
      </c>
      <c r="F44" s="37">
        <v>1.0113567978806599E-2</v>
      </c>
      <c r="G44" s="31"/>
      <c r="H44" s="38"/>
      <c r="I44" s="135"/>
    </row>
    <row r="45" spans="1:9">
      <c r="A45" s="33" t="s">
        <v>78</v>
      </c>
      <c r="B45" s="34">
        <v>29438</v>
      </c>
      <c r="C45" s="34">
        <v>55894.947567281277</v>
      </c>
      <c r="D45" s="35">
        <v>85332.947567281284</v>
      </c>
      <c r="E45" s="36">
        <v>41.89148137814496</v>
      </c>
      <c r="F45" s="37">
        <v>3.7807462416118327E-2</v>
      </c>
      <c r="G45" s="31"/>
      <c r="H45" s="38"/>
      <c r="I45" s="135"/>
    </row>
    <row r="46" spans="1:9" ht="16" thickBot="1">
      <c r="A46" s="33" t="s">
        <v>79</v>
      </c>
      <c r="B46" s="34">
        <v>877</v>
      </c>
      <c r="C46" s="34">
        <v>15150.524999696394</v>
      </c>
      <c r="D46" s="35">
        <v>16027.524999696394</v>
      </c>
      <c r="E46" s="36">
        <v>7.8682007853197806</v>
      </c>
      <c r="F46" s="37">
        <v>7.1011264268311539E-3</v>
      </c>
      <c r="G46" s="31"/>
      <c r="H46" s="38"/>
      <c r="I46" s="135"/>
    </row>
    <row r="47" spans="1:9" ht="17" thickTop="1" thickBot="1">
      <c r="A47" s="40" t="s">
        <v>80</v>
      </c>
      <c r="B47" s="41">
        <f>SUM(B41:B46)</f>
        <v>88203</v>
      </c>
      <c r="C47" s="41">
        <f>SUM(C41:C46)</f>
        <v>2168836.8041552128</v>
      </c>
      <c r="D47" s="41">
        <f>SUM(D41:D46)</f>
        <v>2257039.8041552128</v>
      </c>
      <c r="E47" s="42"/>
      <c r="F47" s="43">
        <f>SUM(F41:F46)</f>
        <v>1.0000000000000002</v>
      </c>
      <c r="G47" s="31"/>
      <c r="H47" s="38"/>
      <c r="I47" s="135"/>
    </row>
    <row r="48" spans="1:9" ht="16" thickBot="1">
      <c r="A48" s="44"/>
      <c r="B48" s="44"/>
      <c r="C48" s="44"/>
      <c r="D48" s="44"/>
      <c r="E48" s="44"/>
      <c r="F48" s="45"/>
      <c r="G48" s="31"/>
      <c r="H48" s="38"/>
      <c r="I48" s="135"/>
    </row>
    <row r="49" spans="1:10" ht="16" thickBot="1">
      <c r="A49" s="27" t="s">
        <v>12</v>
      </c>
      <c r="B49" s="28" t="s">
        <v>69</v>
      </c>
      <c r="C49" s="28" t="s">
        <v>70</v>
      </c>
      <c r="D49" s="28" t="s">
        <v>71</v>
      </c>
      <c r="E49" s="29" t="s">
        <v>72</v>
      </c>
      <c r="F49" s="30" t="s">
        <v>73</v>
      </c>
      <c r="G49" s="31"/>
      <c r="H49" s="38"/>
      <c r="I49" s="135"/>
    </row>
    <row r="50" spans="1:10">
      <c r="A50" s="33" t="s">
        <v>74</v>
      </c>
      <c r="B50">
        <f>100500+14956</f>
        <v>115456</v>
      </c>
      <c r="C50" s="34">
        <f>J50-B50</f>
        <v>850782</v>
      </c>
      <c r="D50" s="35">
        <v>966238</v>
      </c>
      <c r="E50" s="36">
        <v>1006.4979166666667</v>
      </c>
      <c r="F50" s="37">
        <v>0.8756948091066693</v>
      </c>
      <c r="G50" s="31">
        <v>0.87481792648566548</v>
      </c>
      <c r="H50" s="38">
        <f>F50-G50</f>
        <v>8.7688262100382719E-4</v>
      </c>
      <c r="I50" s="135">
        <f>D50/E50</f>
        <v>960</v>
      </c>
      <c r="J50" s="34">
        <v>966238</v>
      </c>
    </row>
    <row r="51" spans="1:10">
      <c r="A51" s="33" t="s">
        <v>75</v>
      </c>
      <c r="B51" s="34">
        <v>15644</v>
      </c>
      <c r="C51" s="34">
        <v>0</v>
      </c>
      <c r="D51" s="35">
        <v>15644</v>
      </c>
      <c r="E51" s="36">
        <v>16.295833333333334</v>
      </c>
      <c r="F51" s="37">
        <v>1.4178048879949593E-2</v>
      </c>
      <c r="G51" s="31"/>
      <c r="H51" s="38"/>
      <c r="I51" s="135"/>
    </row>
    <row r="52" spans="1:10">
      <c r="A52" s="33" t="s">
        <v>76</v>
      </c>
      <c r="B52" s="34">
        <v>20577</v>
      </c>
      <c r="C52" s="34"/>
      <c r="D52" s="35">
        <v>20577</v>
      </c>
      <c r="E52" s="36">
        <v>21.434374999999999</v>
      </c>
      <c r="F52" s="37">
        <v>1.8648792623544026E-2</v>
      </c>
      <c r="G52" s="31"/>
      <c r="H52" s="38"/>
      <c r="I52" s="135"/>
    </row>
    <row r="53" spans="1:10">
      <c r="A53" s="33" t="s">
        <v>77</v>
      </c>
      <c r="B53" s="34">
        <v>809</v>
      </c>
      <c r="C53" s="34">
        <v>13259.53125</v>
      </c>
      <c r="D53" s="35">
        <v>14068.53125</v>
      </c>
      <c r="E53" s="36">
        <v>14.654720052083333</v>
      </c>
      <c r="F53" s="37">
        <v>1.2750212460470362E-2</v>
      </c>
      <c r="G53" s="31"/>
      <c r="H53" s="38"/>
      <c r="I53" s="135"/>
    </row>
    <row r="54" spans="1:10">
      <c r="A54" s="33" t="s">
        <v>78</v>
      </c>
      <c r="B54" s="34">
        <v>39701</v>
      </c>
      <c r="C54" s="34">
        <v>30105.297926716637</v>
      </c>
      <c r="D54" s="35">
        <v>69806.297926716637</v>
      </c>
      <c r="E54" s="36">
        <v>72.71489367366317</v>
      </c>
      <c r="F54" s="37">
        <v>6.3264964467739215E-2</v>
      </c>
      <c r="G54" s="25"/>
      <c r="H54" s="38"/>
      <c r="I54" s="135"/>
    </row>
    <row r="55" spans="1:10" ht="16" thickBot="1">
      <c r="A55" s="33" t="s">
        <v>79</v>
      </c>
      <c r="B55" s="34">
        <v>1270</v>
      </c>
      <c r="C55" s="34">
        <v>15792</v>
      </c>
      <c r="D55" s="35">
        <v>17062</v>
      </c>
      <c r="E55" s="36">
        <v>17.772916666666667</v>
      </c>
      <c r="F55" s="37">
        <v>1.5463172461627457E-2</v>
      </c>
      <c r="G55" s="25"/>
      <c r="H55" s="38"/>
      <c r="I55" s="135"/>
    </row>
    <row r="56" spans="1:10" ht="17" thickTop="1" thickBot="1">
      <c r="A56" s="40" t="s">
        <v>80</v>
      </c>
      <c r="B56" s="41">
        <f>SUM(B50:B55)</f>
        <v>193457</v>
      </c>
      <c r="C56" s="41">
        <f>SUM(C50:C55)</f>
        <v>909938.82917671662</v>
      </c>
      <c r="D56" s="41">
        <f>SUM(D50:D55)</f>
        <v>1103395.8291767167</v>
      </c>
      <c r="E56" s="42"/>
      <c r="F56" s="43">
        <f>SUM(F50:F55)</f>
        <v>0.99999999999999989</v>
      </c>
      <c r="G56" s="25"/>
      <c r="H56" s="38"/>
      <c r="I56" s="135"/>
    </row>
    <row r="57" spans="1:10" ht="16" thickBot="1">
      <c r="A57" s="44"/>
      <c r="B57" s="44"/>
      <c r="C57" s="44"/>
      <c r="D57" s="44"/>
      <c r="E57" s="44"/>
      <c r="F57" s="45"/>
      <c r="G57" s="25"/>
      <c r="H57" s="38"/>
      <c r="I57" s="135"/>
    </row>
    <row r="58" spans="1:10" ht="16" thickBot="1">
      <c r="A58" s="27" t="s">
        <v>81</v>
      </c>
      <c r="B58" s="28" t="s">
        <v>69</v>
      </c>
      <c r="C58" s="28" t="s">
        <v>70</v>
      </c>
      <c r="D58" s="28" t="s">
        <v>71</v>
      </c>
      <c r="E58" s="29" t="s">
        <v>72</v>
      </c>
      <c r="F58" s="30" t="s">
        <v>73</v>
      </c>
      <c r="G58" s="47"/>
      <c r="H58" s="25"/>
      <c r="I58" s="135"/>
    </row>
    <row r="59" spans="1:10">
      <c r="A59" s="33" t="s">
        <v>74</v>
      </c>
      <c r="B59" s="34">
        <v>1630855.1533941</v>
      </c>
      <c r="C59" s="34">
        <v>2001412.411764706</v>
      </c>
      <c r="D59" s="35">
        <v>3632267.5651588039</v>
      </c>
      <c r="E59" s="36">
        <v>999.2482985306201</v>
      </c>
      <c r="F59" s="37">
        <v>0.90597838364445449</v>
      </c>
      <c r="G59" s="31">
        <v>0.90394765201927185</v>
      </c>
      <c r="H59" s="38">
        <f>F59-G59</f>
        <v>2.0307316251826357E-3</v>
      </c>
      <c r="I59" s="135">
        <f>D59/E59</f>
        <v>3635</v>
      </c>
    </row>
    <row r="60" spans="1:10">
      <c r="A60" s="33" t="s">
        <v>75</v>
      </c>
      <c r="B60" s="34">
        <v>62901.593348481227</v>
      </c>
      <c r="C60" s="34">
        <v>11766.40956862745</v>
      </c>
      <c r="D60" s="35">
        <v>74668.002917108679</v>
      </c>
      <c r="E60" s="36">
        <v>20.541403828640625</v>
      </c>
      <c r="F60" s="37">
        <v>1.8624067577423624E-2</v>
      </c>
      <c r="G60" s="47"/>
      <c r="H60" s="25"/>
      <c r="I60" s="135"/>
    </row>
    <row r="61" spans="1:10">
      <c r="A61" s="33" t="s">
        <v>76</v>
      </c>
      <c r="B61" s="34">
        <v>44024.237096827899</v>
      </c>
      <c r="C61" s="34">
        <v>62043.784764705881</v>
      </c>
      <c r="D61" s="35">
        <v>106068.02186153378</v>
      </c>
      <c r="E61" s="36">
        <v>29.179648380064314</v>
      </c>
      <c r="F61" s="37">
        <v>2.6456017702064773E-2</v>
      </c>
      <c r="G61" s="47"/>
      <c r="H61" s="25"/>
      <c r="I61" s="135"/>
    </row>
    <row r="62" spans="1:10">
      <c r="A62" s="33" t="s">
        <v>77</v>
      </c>
      <c r="B62" s="34">
        <v>7359</v>
      </c>
      <c r="C62" s="34">
        <v>25854.480881133946</v>
      </c>
      <c r="D62" s="35">
        <v>33213.480881133946</v>
      </c>
      <c r="E62" s="36">
        <v>9.1371336674371246</v>
      </c>
      <c r="F62" s="37">
        <v>8.284272891273127E-3</v>
      </c>
      <c r="G62" s="47"/>
      <c r="H62" s="25"/>
      <c r="I62" s="135"/>
    </row>
    <row r="63" spans="1:10">
      <c r="A63" s="33" t="s">
        <v>78</v>
      </c>
      <c r="B63" s="34">
        <v>72409</v>
      </c>
      <c r="C63" s="34">
        <v>70996.73463408614</v>
      </c>
      <c r="D63" s="35">
        <v>143405.73463408614</v>
      </c>
      <c r="E63" s="36">
        <v>39.451371288606914</v>
      </c>
      <c r="F63" s="37">
        <v>3.5768977185317755E-2</v>
      </c>
      <c r="G63" s="47"/>
      <c r="H63" s="25"/>
      <c r="I63" s="135"/>
    </row>
    <row r="64" spans="1:10" ht="16" thickBot="1">
      <c r="A64" s="33" t="s">
        <v>79</v>
      </c>
      <c r="B64" s="34">
        <v>968</v>
      </c>
      <c r="C64" s="34">
        <v>18630.198858033269</v>
      </c>
      <c r="D64" s="35">
        <v>19598.198858033269</v>
      </c>
      <c r="E64" s="36">
        <v>5.3915265083997985</v>
      </c>
      <c r="F64" s="37">
        <v>4.8882809994663197E-3</v>
      </c>
      <c r="G64" s="47"/>
      <c r="H64" s="25"/>
      <c r="I64" s="135"/>
    </row>
    <row r="65" spans="1:10" ht="17" thickTop="1" thickBot="1">
      <c r="A65" s="40" t="s">
        <v>80</v>
      </c>
      <c r="B65" s="41">
        <f>SUM(B59:B64)</f>
        <v>1818516.9838394092</v>
      </c>
      <c r="C65" s="41">
        <f>SUM(C59:C64)</f>
        <v>2190704.0204712925</v>
      </c>
      <c r="D65" s="41">
        <f>SUM(D59:D64)</f>
        <v>4009221.0043106996</v>
      </c>
      <c r="E65" s="42"/>
      <c r="F65" s="43">
        <f>SUM(F59:F64)</f>
        <v>1</v>
      </c>
      <c r="G65" s="47"/>
      <c r="H65" s="25"/>
      <c r="I65" s="135"/>
    </row>
    <row r="66" spans="1:10" ht="16" thickBot="1">
      <c r="I66" s="135"/>
    </row>
    <row r="67" spans="1:10" ht="16" thickBot="1">
      <c r="A67" s="122" t="s">
        <v>90</v>
      </c>
      <c r="B67" s="123" t="s">
        <v>69</v>
      </c>
      <c r="C67" s="123" t="s">
        <v>70</v>
      </c>
      <c r="D67" s="123" t="s">
        <v>71</v>
      </c>
      <c r="E67" s="133" t="s">
        <v>72</v>
      </c>
      <c r="F67" s="124" t="s">
        <v>73</v>
      </c>
      <c r="G67" s="134" t="s">
        <v>91</v>
      </c>
      <c r="H67" s="135"/>
      <c r="I67" s="135"/>
      <c r="J67" s="135"/>
    </row>
    <row r="68" spans="1:10">
      <c r="A68" s="126" t="s">
        <v>74</v>
      </c>
      <c r="B68" s="125">
        <f>B5+B14+B23+B32+B41+B50</f>
        <v>1395051.7318901997</v>
      </c>
      <c r="C68" s="125">
        <f>C5+C14+C23+C32+C41+C50</f>
        <v>3269629.411764706</v>
      </c>
      <c r="D68" s="125">
        <f t="shared" ref="D68" si="0">D5+D14+D23+D32+D41+D50</f>
        <v>4664681.1436549053</v>
      </c>
      <c r="E68" s="127">
        <f t="shared" ref="E68:E73" si="1">D68/$J$68</f>
        <v>998.43346396723143</v>
      </c>
      <c r="F68" s="128">
        <f t="shared" ref="F68:F73" si="2">D68/$D$74</f>
        <v>0.89763268670449903</v>
      </c>
      <c r="G68" s="135"/>
      <c r="H68" s="135"/>
      <c r="I68" s="135"/>
      <c r="J68" s="135">
        <f>SUM(I5:I50)</f>
        <v>4672</v>
      </c>
    </row>
    <row r="69" spans="1:10">
      <c r="A69" s="126" t="s">
        <v>75</v>
      </c>
      <c r="B69" s="125">
        <f t="shared" ref="B69:D69" si="3">B6+B15+B24+B33+B42+B51</f>
        <v>84943.000000000015</v>
      </c>
      <c r="C69" s="125">
        <f t="shared" si="3"/>
        <v>11766.40956862745</v>
      </c>
      <c r="D69" s="125">
        <f t="shared" si="3"/>
        <v>96709.409568627467</v>
      </c>
      <c r="E69" s="127">
        <f t="shared" si="1"/>
        <v>20.699788006983617</v>
      </c>
      <c r="F69" s="128">
        <f t="shared" si="2"/>
        <v>1.8609959495039616E-2</v>
      </c>
      <c r="G69" s="135"/>
      <c r="H69" s="135"/>
      <c r="I69" s="135"/>
      <c r="J69" s="135"/>
    </row>
    <row r="70" spans="1:10">
      <c r="A70" s="126" t="s">
        <v>76</v>
      </c>
      <c r="B70" s="125">
        <f t="shared" ref="B70:D70" si="4">B7+B16+B25+B34+B43+B52</f>
        <v>67919.584170065122</v>
      </c>
      <c r="C70" s="125">
        <f t="shared" si="4"/>
        <v>62043.784764705881</v>
      </c>
      <c r="D70" s="125">
        <f t="shared" si="4"/>
        <v>129963.368934771</v>
      </c>
      <c r="E70" s="127">
        <f t="shared" si="1"/>
        <v>27.817501912408176</v>
      </c>
      <c r="F70" s="128">
        <f t="shared" si="2"/>
        <v>2.5009076598680593E-2</v>
      </c>
      <c r="G70" s="135"/>
      <c r="H70" s="135"/>
      <c r="I70" s="135"/>
      <c r="J70" s="135"/>
    </row>
    <row r="71" spans="1:10">
      <c r="A71" s="126" t="s">
        <v>77</v>
      </c>
      <c r="B71" s="125">
        <f t="shared" ref="B71:D71" si="5">B8+B17+B26+B35+B44+B53</f>
        <v>8774</v>
      </c>
      <c r="C71" s="125">
        <f t="shared" si="5"/>
        <v>39153.283590828934</v>
      </c>
      <c r="D71" s="125">
        <f t="shared" si="5"/>
        <v>47927.283590828934</v>
      </c>
      <c r="E71" s="127">
        <f t="shared" si="1"/>
        <v>10.258408302831535</v>
      </c>
      <c r="F71" s="128">
        <f t="shared" si="2"/>
        <v>9.2227303455892848E-3</v>
      </c>
      <c r="G71" s="135"/>
      <c r="H71" s="135"/>
      <c r="I71" s="135"/>
      <c r="J71" s="135"/>
    </row>
    <row r="72" spans="1:10">
      <c r="A72" s="126" t="s">
        <v>78</v>
      </c>
      <c r="B72" s="125">
        <f t="shared" ref="B72:D72" si="6">B9+B18+B27+B36+B45+B54</f>
        <v>117787</v>
      </c>
      <c r="C72" s="125">
        <f t="shared" si="6"/>
        <v>102573.6618366608</v>
      </c>
      <c r="D72" s="125">
        <f t="shared" si="6"/>
        <v>220360.66183666082</v>
      </c>
      <c r="E72" s="127">
        <f t="shared" si="1"/>
        <v>47.16623755065514</v>
      </c>
      <c r="F72" s="128">
        <f t="shared" si="2"/>
        <v>4.2404384530651845E-2</v>
      </c>
      <c r="G72" s="135"/>
      <c r="H72" s="135"/>
      <c r="I72" s="135"/>
      <c r="J72" s="135"/>
    </row>
    <row r="73" spans="1:10" ht="16" thickBot="1">
      <c r="A73" s="126" t="s">
        <v>79</v>
      </c>
      <c r="B73" s="125">
        <f t="shared" ref="B73:D73" si="7">B10+B19+B28+B37+B46+B55</f>
        <v>2319</v>
      </c>
      <c r="C73" s="125">
        <f t="shared" si="7"/>
        <v>34687.174254643411</v>
      </c>
      <c r="D73" s="125">
        <f t="shared" si="7"/>
        <v>37006.174254643411</v>
      </c>
      <c r="E73" s="127">
        <f t="shared" si="1"/>
        <v>7.9208420921753877</v>
      </c>
      <c r="F73" s="128">
        <f t="shared" si="2"/>
        <v>7.1211623255396303E-3</v>
      </c>
      <c r="G73" s="135"/>
      <c r="H73" s="135"/>
      <c r="I73" s="135"/>
      <c r="J73" s="135"/>
    </row>
    <row r="74" spans="1:10" ht="17" thickTop="1" thickBot="1">
      <c r="A74" s="129" t="s">
        <v>80</v>
      </c>
      <c r="B74" s="130">
        <f>SUM(B68:B73)</f>
        <v>1676794.3160602648</v>
      </c>
      <c r="C74" s="130">
        <f>SUM(C68:C73)</f>
        <v>3519853.7257801723</v>
      </c>
      <c r="D74" s="130">
        <f>SUM(D68:D73)</f>
        <v>5196648.0418404369</v>
      </c>
      <c r="E74" s="136"/>
      <c r="F74" s="132">
        <f>SUM(F68:F73)</f>
        <v>1</v>
      </c>
      <c r="G74" s="135"/>
      <c r="H74" s="135"/>
      <c r="I74" s="135"/>
      <c r="J74" s="135"/>
    </row>
  </sheetData>
  <conditionalFormatting sqref="F5">
    <cfRule type="cellIs" dxfId="4" priority="5" operator="lessThan">
      <formula>#REF!</formula>
    </cfRule>
  </conditionalFormatting>
  <conditionalFormatting sqref="H5 H14 H23 H32 H41 H50">
    <cfRule type="cellIs" dxfId="3" priority="3" operator="lessThan">
      <formula>0</formula>
    </cfRule>
    <cfRule type="cellIs" dxfId="2" priority="4" operator="greaterThan">
      <formula>0</formula>
    </cfRule>
  </conditionalFormatting>
  <conditionalFormatting sqref="H59">
    <cfRule type="cellIs" dxfId="1" priority="1" operator="lessThan">
      <formula>0</formula>
    </cfRule>
    <cfRule type="cellIs" dxfId="0" priority="2" operator="greaterThan">
      <formula>0</formula>
    </cfRule>
  </conditionalFormatting>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workbookViewId="0">
      <selection activeCell="S92" sqref="S92"/>
    </sheetView>
  </sheetViews>
  <sheetFormatPr baseColWidth="10" defaultColWidth="8.83203125" defaultRowHeight="15" outlineLevelRow="2" outlineLevelCol="2" x14ac:dyDescent="0"/>
  <cols>
    <col min="1" max="7" width="3" style="113" customWidth="1"/>
    <col min="8" max="8" width="25.6640625" style="113" customWidth="1"/>
    <col min="9" max="10" width="15.5" style="114" customWidth="1" outlineLevel="2"/>
    <col min="11" max="11" width="3.6640625" style="114" customWidth="1" outlineLevel="2"/>
    <col min="12" max="13" width="15.5" style="114" customWidth="1" outlineLevel="2"/>
    <col min="14" max="14" width="3.6640625" style="114" customWidth="1" outlineLevel="2"/>
    <col min="15" max="16" width="15.5" style="114" customWidth="1" outlineLevel="1"/>
    <col min="17" max="17" width="3.6640625" style="114" customWidth="1" outlineLevel="1"/>
    <col min="18" max="18" width="15.5" style="114" customWidth="1" outlineLevel="1"/>
    <col min="19" max="19" width="15.5" style="95" customWidth="1"/>
  </cols>
  <sheetData>
    <row r="1" spans="1:19">
      <c r="A1" s="113" t="s">
        <v>299</v>
      </c>
    </row>
    <row r="2" spans="1:19">
      <c r="A2" s="90" t="s">
        <v>94</v>
      </c>
      <c r="B2" s="91"/>
      <c r="C2" s="91"/>
      <c r="D2" s="91"/>
      <c r="E2" s="91"/>
      <c r="F2" s="91"/>
      <c r="G2" s="91"/>
      <c r="H2" s="91"/>
      <c r="I2" s="92" t="s">
        <v>82</v>
      </c>
      <c r="J2" s="93"/>
      <c r="K2" s="93"/>
      <c r="L2" s="94"/>
      <c r="M2" s="94"/>
      <c r="N2" s="94"/>
      <c r="O2" s="94"/>
      <c r="P2" s="94"/>
      <c r="Q2" s="94"/>
      <c r="R2" s="94"/>
    </row>
    <row r="3" spans="1:19" ht="17">
      <c r="A3" s="96" t="s">
        <v>95</v>
      </c>
      <c r="B3" s="91"/>
      <c r="C3" s="91"/>
      <c r="D3" s="91"/>
      <c r="E3" s="91"/>
      <c r="F3" s="91"/>
      <c r="G3" s="91"/>
      <c r="H3" s="91"/>
      <c r="I3" s="97" t="s">
        <v>96</v>
      </c>
      <c r="J3" s="94"/>
      <c r="K3" s="94"/>
      <c r="L3" s="94"/>
      <c r="M3" s="94"/>
      <c r="N3" s="94"/>
      <c r="O3" s="94"/>
      <c r="P3" s="94"/>
      <c r="Q3" s="94"/>
      <c r="R3" s="94"/>
    </row>
    <row r="4" spans="1:19">
      <c r="A4" s="98" t="s">
        <v>97</v>
      </c>
      <c r="B4" s="91"/>
      <c r="C4" s="91"/>
      <c r="D4" s="91"/>
      <c r="E4" s="91"/>
      <c r="F4" s="91"/>
      <c r="G4" s="91"/>
      <c r="H4" s="91"/>
      <c r="I4" s="97" t="s">
        <v>98</v>
      </c>
      <c r="J4" s="94"/>
      <c r="K4" s="94"/>
      <c r="L4" s="94"/>
      <c r="M4" s="94"/>
      <c r="N4" s="94"/>
      <c r="O4" s="94"/>
      <c r="P4" s="94"/>
      <c r="Q4" s="94"/>
      <c r="R4" s="94"/>
    </row>
    <row r="5" spans="1:19" s="100" customFormat="1">
      <c r="A5" s="99"/>
      <c r="B5" s="99"/>
      <c r="C5" s="99"/>
      <c r="D5" s="99"/>
      <c r="E5" s="99"/>
      <c r="F5" s="99"/>
      <c r="G5" s="99"/>
      <c r="H5" s="99"/>
      <c r="O5" s="101"/>
      <c r="P5" s="101"/>
      <c r="Q5" s="101"/>
      <c r="R5" s="101"/>
      <c r="S5" s="102"/>
    </row>
    <row r="6" spans="1:19" s="106" customFormat="1" ht="22" thickBot="1">
      <c r="A6" s="103"/>
      <c r="B6" s="103"/>
      <c r="C6" s="103"/>
      <c r="D6" s="103"/>
      <c r="E6" s="103"/>
      <c r="F6" s="103"/>
      <c r="G6" s="103"/>
      <c r="H6" s="103"/>
      <c r="I6" s="99" t="s">
        <v>99</v>
      </c>
      <c r="J6" s="99" t="s">
        <v>100</v>
      </c>
      <c r="K6" s="99"/>
      <c r="L6" s="99" t="s">
        <v>101</v>
      </c>
      <c r="M6" s="99" t="s">
        <v>100</v>
      </c>
      <c r="N6" s="99"/>
      <c r="O6" s="104" t="s">
        <v>102</v>
      </c>
      <c r="P6" s="104" t="s">
        <v>100</v>
      </c>
      <c r="Q6" s="104"/>
      <c r="R6" s="104" t="s">
        <v>103</v>
      </c>
      <c r="S6" s="105" t="s">
        <v>100</v>
      </c>
    </row>
    <row r="7" spans="1:19" ht="16" thickTop="1">
      <c r="A7" s="107"/>
      <c r="B7" s="107" t="s">
        <v>104</v>
      </c>
      <c r="C7" s="107"/>
      <c r="D7" s="107"/>
      <c r="E7" s="107"/>
      <c r="F7" s="107"/>
      <c r="G7" s="107"/>
      <c r="H7" s="107"/>
      <c r="I7" s="108"/>
      <c r="J7" s="108"/>
      <c r="K7" s="108"/>
      <c r="L7" s="108"/>
      <c r="M7" s="108"/>
      <c r="N7" s="108"/>
      <c r="O7" s="108"/>
      <c r="P7" s="108"/>
      <c r="Q7" s="108"/>
      <c r="R7" s="108"/>
    </row>
    <row r="8" spans="1:19" outlineLevel="1">
      <c r="A8" s="107"/>
      <c r="B8" s="107"/>
      <c r="C8" s="107"/>
      <c r="D8" s="107" t="s">
        <v>105</v>
      </c>
      <c r="E8" s="107"/>
      <c r="F8" s="107"/>
      <c r="G8" s="107"/>
      <c r="H8" s="107"/>
      <c r="I8" s="108"/>
      <c r="J8" s="108"/>
      <c r="K8" s="108"/>
      <c r="L8" s="108"/>
      <c r="M8" s="108"/>
      <c r="N8" s="108"/>
      <c r="O8" s="108"/>
      <c r="P8" s="108"/>
      <c r="Q8" s="108"/>
      <c r="R8" s="108"/>
    </row>
    <row r="9" spans="1:19" outlineLevel="2">
      <c r="A9" s="107"/>
      <c r="B9" s="107"/>
      <c r="C9" s="107"/>
      <c r="D9" s="107"/>
      <c r="E9" s="107" t="s">
        <v>106</v>
      </c>
      <c r="F9" s="107"/>
      <c r="G9" s="107"/>
      <c r="H9" s="107"/>
      <c r="I9" s="108"/>
      <c r="J9" s="108"/>
      <c r="K9" s="108"/>
      <c r="L9" s="108"/>
      <c r="M9" s="108"/>
      <c r="N9" s="108"/>
      <c r="O9" s="108"/>
      <c r="P9" s="108"/>
      <c r="Q9" s="108"/>
      <c r="R9" s="108"/>
    </row>
    <row r="10" spans="1:19" outlineLevel="2">
      <c r="A10" s="107"/>
      <c r="B10" s="107"/>
      <c r="C10" s="107"/>
      <c r="D10" s="107"/>
      <c r="E10" s="107"/>
      <c r="F10" s="107" t="s">
        <v>107</v>
      </c>
      <c r="G10" s="107"/>
      <c r="H10" s="107"/>
      <c r="I10" s="108">
        <v>0</v>
      </c>
      <c r="J10" s="108"/>
      <c r="K10" s="108"/>
      <c r="L10" s="108">
        <v>0</v>
      </c>
      <c r="M10" s="108"/>
      <c r="N10" s="108"/>
      <c r="O10" s="108">
        <v>0</v>
      </c>
      <c r="P10" s="108"/>
      <c r="Q10" s="108"/>
      <c r="R10" s="108">
        <v>0</v>
      </c>
    </row>
    <row r="11" spans="1:19" outlineLevel="2">
      <c r="A11" s="107"/>
      <c r="B11" s="107"/>
      <c r="C11" s="107"/>
      <c r="D11" s="107"/>
      <c r="E11" s="107"/>
      <c r="F11" s="107" t="s">
        <v>108</v>
      </c>
      <c r="G11" s="107"/>
      <c r="H11" s="107"/>
      <c r="I11" s="108">
        <v>0</v>
      </c>
      <c r="J11" s="108"/>
      <c r="K11" s="108"/>
      <c r="L11" s="108">
        <v>0</v>
      </c>
      <c r="M11" s="108"/>
      <c r="N11" s="108"/>
      <c r="O11" s="108">
        <v>0</v>
      </c>
      <c r="P11" s="108"/>
      <c r="Q11" s="108"/>
      <c r="R11" s="108">
        <v>0</v>
      </c>
    </row>
    <row r="12" spans="1:19" outlineLevel="2">
      <c r="A12" s="107"/>
      <c r="B12" s="107"/>
      <c r="C12" s="107"/>
      <c r="D12" s="107"/>
      <c r="E12" s="107"/>
      <c r="F12" s="107" t="s">
        <v>109</v>
      </c>
      <c r="G12" s="107"/>
      <c r="H12" s="107"/>
      <c r="I12" s="108">
        <v>0</v>
      </c>
      <c r="J12" s="108"/>
      <c r="K12" s="108"/>
      <c r="L12" s="108">
        <v>0</v>
      </c>
      <c r="M12" s="108"/>
      <c r="N12" s="108"/>
      <c r="O12" s="108">
        <v>0</v>
      </c>
      <c r="P12" s="108"/>
      <c r="Q12" s="108"/>
      <c r="R12" s="108">
        <v>0</v>
      </c>
    </row>
    <row r="13" spans="1:19" ht="16" outlineLevel="2" thickBot="1">
      <c r="A13" s="107"/>
      <c r="B13" s="107"/>
      <c r="C13" s="107"/>
      <c r="D13" s="107"/>
      <c r="E13" s="107"/>
      <c r="F13" s="107" t="s">
        <v>110</v>
      </c>
      <c r="G13" s="107"/>
      <c r="H13" s="107"/>
      <c r="I13" s="109">
        <v>0</v>
      </c>
      <c r="J13" s="109"/>
      <c r="K13" s="109"/>
      <c r="L13" s="109">
        <v>0</v>
      </c>
      <c r="M13" s="109"/>
      <c r="N13" s="109"/>
      <c r="O13" s="109">
        <v>0</v>
      </c>
      <c r="P13" s="109"/>
      <c r="Q13" s="109"/>
      <c r="R13" s="109">
        <v>0</v>
      </c>
    </row>
    <row r="14" spans="1:19" outlineLevel="1">
      <c r="A14" s="107"/>
      <c r="B14" s="107"/>
      <c r="C14" s="107"/>
      <c r="D14" s="107"/>
      <c r="E14" s="107" t="s">
        <v>111</v>
      </c>
      <c r="F14" s="107"/>
      <c r="G14" s="107"/>
      <c r="H14" s="107"/>
      <c r="I14" s="108">
        <f>ROUND(SUM(I9:I13),5)</f>
        <v>0</v>
      </c>
      <c r="J14" s="108"/>
      <c r="K14" s="108"/>
      <c r="L14" s="108">
        <f>ROUND(SUM(L9:L13),5)</f>
        <v>0</v>
      </c>
      <c r="M14" s="108"/>
      <c r="N14" s="108"/>
      <c r="O14" s="108">
        <f>ROUND(SUM(O9:O13),5)</f>
        <v>0</v>
      </c>
      <c r="P14" s="108"/>
      <c r="Q14" s="108"/>
      <c r="R14" s="108">
        <f>ROUND(SUM(R9:R13),5)</f>
        <v>0</v>
      </c>
    </row>
    <row r="15" spans="1:19" outlineLevel="2">
      <c r="A15" s="107"/>
      <c r="B15" s="107"/>
      <c r="C15" s="107"/>
      <c r="D15" s="107"/>
      <c r="E15" s="107" t="s">
        <v>76</v>
      </c>
      <c r="F15" s="107"/>
      <c r="G15" s="107"/>
      <c r="H15" s="107"/>
      <c r="I15" s="108"/>
      <c r="J15" s="108"/>
      <c r="K15" s="108"/>
      <c r="L15" s="108"/>
      <c r="M15" s="108"/>
      <c r="N15" s="108"/>
      <c r="O15" s="108"/>
      <c r="P15" s="108"/>
      <c r="Q15" s="108"/>
      <c r="R15" s="108"/>
    </row>
    <row r="16" spans="1:19" outlineLevel="2">
      <c r="A16" s="107"/>
      <c r="B16" s="107"/>
      <c r="C16" s="107"/>
      <c r="D16" s="107"/>
      <c r="E16" s="107"/>
      <c r="F16" s="107" t="s">
        <v>112</v>
      </c>
      <c r="G16" s="107"/>
      <c r="H16" s="107"/>
      <c r="I16" s="108">
        <v>0</v>
      </c>
      <c r="J16" s="108"/>
      <c r="K16" s="108"/>
      <c r="L16" s="108">
        <v>0</v>
      </c>
      <c r="M16" s="108"/>
      <c r="N16" s="108"/>
      <c r="O16" s="108">
        <v>0</v>
      </c>
      <c r="P16" s="108"/>
      <c r="Q16" s="108"/>
      <c r="R16" s="108">
        <v>0</v>
      </c>
    </row>
    <row r="17" spans="1:19" outlineLevel="2">
      <c r="A17" s="107"/>
      <c r="B17" s="107"/>
      <c r="C17" s="107"/>
      <c r="D17" s="107"/>
      <c r="E17" s="107"/>
      <c r="F17" s="107" t="s">
        <v>113</v>
      </c>
      <c r="G17" s="107"/>
      <c r="H17" s="107"/>
      <c r="I17" s="108">
        <v>0</v>
      </c>
      <c r="J17" s="108"/>
      <c r="K17" s="108"/>
      <c r="L17" s="108">
        <v>0</v>
      </c>
      <c r="M17" s="108"/>
      <c r="N17" s="108"/>
      <c r="O17" s="108">
        <v>0.02</v>
      </c>
      <c r="P17" s="108"/>
      <c r="Q17" s="108"/>
      <c r="R17" s="108">
        <v>0</v>
      </c>
    </row>
    <row r="18" spans="1:19">
      <c r="A18" s="107"/>
      <c r="B18" s="107"/>
      <c r="C18" s="107"/>
      <c r="D18" s="107"/>
      <c r="E18" s="107"/>
      <c r="F18" s="107" t="s">
        <v>114</v>
      </c>
      <c r="G18" s="107"/>
      <c r="H18" s="107"/>
      <c r="I18" s="108">
        <v>0</v>
      </c>
      <c r="J18" s="108"/>
      <c r="K18" s="108"/>
      <c r="L18" s="108">
        <v>0</v>
      </c>
      <c r="M18" s="108"/>
      <c r="N18" s="108"/>
      <c r="O18" s="108">
        <v>0</v>
      </c>
      <c r="P18" s="108"/>
      <c r="Q18" s="108"/>
      <c r="R18" s="108">
        <v>0</v>
      </c>
      <c r="S18"/>
    </row>
    <row r="19" spans="1:19">
      <c r="A19" s="107"/>
      <c r="B19" s="107"/>
      <c r="C19" s="107"/>
      <c r="D19" s="107"/>
      <c r="E19" s="107"/>
      <c r="F19" s="107" t="s">
        <v>115</v>
      </c>
      <c r="G19" s="107"/>
      <c r="H19" s="107"/>
      <c r="I19" s="108">
        <v>0</v>
      </c>
      <c r="J19" s="108"/>
      <c r="K19" s="108"/>
      <c r="L19" s="108">
        <v>0</v>
      </c>
      <c r="M19" s="108"/>
      <c r="N19" s="108"/>
      <c r="O19" s="108">
        <v>0</v>
      </c>
      <c r="P19" s="108"/>
      <c r="Q19" s="108"/>
      <c r="R19" s="108">
        <v>0</v>
      </c>
      <c r="S19"/>
    </row>
    <row r="20" spans="1:19" ht="16" thickBot="1">
      <c r="A20" s="107"/>
      <c r="B20" s="107"/>
      <c r="C20" s="107"/>
      <c r="D20" s="107"/>
      <c r="E20" s="107"/>
      <c r="F20" s="107" t="s">
        <v>116</v>
      </c>
      <c r="G20" s="107"/>
      <c r="H20" s="107"/>
      <c r="I20" s="109">
        <v>0</v>
      </c>
      <c r="J20" s="109"/>
      <c r="K20" s="109"/>
      <c r="L20" s="109">
        <v>0</v>
      </c>
      <c r="M20" s="109"/>
      <c r="N20" s="109"/>
      <c r="O20" s="109">
        <v>0</v>
      </c>
      <c r="P20" s="109"/>
      <c r="Q20" s="109"/>
      <c r="R20" s="109">
        <v>0</v>
      </c>
      <c r="S20"/>
    </row>
    <row r="21" spans="1:19">
      <c r="A21" s="107"/>
      <c r="B21" s="107"/>
      <c r="C21" s="107"/>
      <c r="D21" s="107"/>
      <c r="E21" s="107" t="s">
        <v>117</v>
      </c>
      <c r="F21" s="107"/>
      <c r="G21" s="107"/>
      <c r="H21" s="107"/>
      <c r="I21" s="108">
        <f>ROUND(SUM(I15:I20),5)</f>
        <v>0</v>
      </c>
      <c r="J21" s="108"/>
      <c r="K21" s="108"/>
      <c r="L21" s="108">
        <f>ROUND(SUM(L15:L20),5)</f>
        <v>0</v>
      </c>
      <c r="M21" s="108"/>
      <c r="N21" s="108"/>
      <c r="O21" s="108">
        <f>ROUND(SUM(O15:O20),5)</f>
        <v>0.02</v>
      </c>
      <c r="P21" s="108"/>
      <c r="Q21" s="108"/>
      <c r="R21" s="108">
        <f>ROUND(SUM(R15:R20),5)</f>
        <v>0</v>
      </c>
      <c r="S21"/>
    </row>
    <row r="22" spans="1:19">
      <c r="A22" s="107"/>
      <c r="B22" s="107"/>
      <c r="C22" s="107"/>
      <c r="D22" s="107"/>
      <c r="E22" s="107" t="s">
        <v>75</v>
      </c>
      <c r="F22" s="107"/>
      <c r="G22" s="107"/>
      <c r="H22" s="107"/>
      <c r="I22" s="108"/>
      <c r="J22" s="108"/>
      <c r="K22" s="108"/>
      <c r="L22" s="108"/>
      <c r="M22" s="108"/>
      <c r="N22" s="108"/>
      <c r="O22" s="108"/>
      <c r="P22" s="108"/>
      <c r="Q22" s="108"/>
      <c r="R22" s="108"/>
      <c r="S22"/>
    </row>
    <row r="23" spans="1:19">
      <c r="A23" s="107"/>
      <c r="B23" s="107"/>
      <c r="C23" s="107"/>
      <c r="D23" s="107"/>
      <c r="E23" s="107"/>
      <c r="F23" s="107" t="s">
        <v>118</v>
      </c>
      <c r="G23" s="107"/>
      <c r="H23" s="107"/>
      <c r="I23" s="108">
        <v>0</v>
      </c>
      <c r="J23" s="108"/>
      <c r="K23" s="108"/>
      <c r="L23" s="108">
        <v>0</v>
      </c>
      <c r="M23" s="108"/>
      <c r="N23" s="108"/>
      <c r="O23" s="108">
        <v>0</v>
      </c>
      <c r="P23" s="108"/>
      <c r="Q23" s="108"/>
      <c r="R23" s="108">
        <v>0</v>
      </c>
      <c r="S23"/>
    </row>
    <row r="24" spans="1:19">
      <c r="A24" s="107"/>
      <c r="B24" s="107"/>
      <c r="C24" s="107"/>
      <c r="D24" s="107"/>
      <c r="E24" s="107"/>
      <c r="F24" s="107" t="s">
        <v>119</v>
      </c>
      <c r="G24" s="107"/>
      <c r="H24" s="107"/>
      <c r="I24" s="108">
        <v>0.06</v>
      </c>
      <c r="J24" s="108"/>
      <c r="K24" s="108"/>
      <c r="L24" s="108">
        <v>0</v>
      </c>
      <c r="M24" s="108"/>
      <c r="N24" s="108"/>
      <c r="O24" s="108">
        <v>0</v>
      </c>
      <c r="P24" s="108"/>
      <c r="Q24" s="108"/>
      <c r="R24" s="108">
        <v>0</v>
      </c>
      <c r="S24"/>
    </row>
    <row r="25" spans="1:19">
      <c r="A25" s="107"/>
      <c r="B25" s="107"/>
      <c r="C25" s="107"/>
      <c r="D25" s="107"/>
      <c r="E25" s="107"/>
      <c r="F25" s="107" t="s">
        <v>120</v>
      </c>
      <c r="G25" s="107"/>
      <c r="H25" s="107"/>
      <c r="I25" s="108">
        <v>0</v>
      </c>
      <c r="J25" s="108"/>
      <c r="K25" s="108"/>
      <c r="L25" s="108">
        <v>0</v>
      </c>
      <c r="M25" s="108"/>
      <c r="N25" s="108"/>
      <c r="O25" s="108">
        <v>0</v>
      </c>
      <c r="P25" s="108"/>
      <c r="Q25" s="108"/>
      <c r="R25" s="108">
        <v>0</v>
      </c>
      <c r="S25"/>
    </row>
    <row r="26" spans="1:19">
      <c r="A26" s="107"/>
      <c r="B26" s="107"/>
      <c r="C26" s="107"/>
      <c r="D26" s="107"/>
      <c r="E26" s="107"/>
      <c r="F26" s="107" t="s">
        <v>121</v>
      </c>
      <c r="G26" s="107"/>
      <c r="H26" s="107"/>
      <c r="I26" s="108">
        <v>0</v>
      </c>
      <c r="J26" s="108"/>
      <c r="K26" s="108"/>
      <c r="L26" s="108">
        <v>0</v>
      </c>
      <c r="M26" s="108"/>
      <c r="N26" s="108"/>
      <c r="O26" s="108">
        <v>0</v>
      </c>
      <c r="P26" s="108"/>
      <c r="Q26" s="108"/>
      <c r="R26" s="108">
        <v>0</v>
      </c>
      <c r="S26"/>
    </row>
    <row r="27" spans="1:19">
      <c r="A27" s="107"/>
      <c r="B27" s="107"/>
      <c r="C27" s="107"/>
      <c r="D27" s="107"/>
      <c r="E27" s="107"/>
      <c r="F27" s="107" t="s">
        <v>122</v>
      </c>
      <c r="G27" s="107"/>
      <c r="H27" s="107"/>
      <c r="I27" s="108">
        <v>0</v>
      </c>
      <c r="J27" s="108"/>
      <c r="K27" s="108"/>
      <c r="L27" s="108">
        <v>0</v>
      </c>
      <c r="M27" s="108"/>
      <c r="N27" s="108"/>
      <c r="O27" s="108">
        <v>150</v>
      </c>
      <c r="P27" s="108"/>
      <c r="Q27" s="108"/>
      <c r="R27" s="108">
        <v>0</v>
      </c>
      <c r="S27"/>
    </row>
    <row r="28" spans="1:19">
      <c r="A28" s="107"/>
      <c r="B28" s="107"/>
      <c r="C28" s="107"/>
      <c r="D28" s="107"/>
      <c r="E28" s="107"/>
      <c r="F28" s="107" t="s">
        <v>123</v>
      </c>
      <c r="G28" s="107"/>
      <c r="H28" s="107"/>
      <c r="I28" s="108">
        <v>0</v>
      </c>
      <c r="J28" s="108"/>
      <c r="K28" s="108"/>
      <c r="L28" s="108">
        <v>0</v>
      </c>
      <c r="M28" s="108"/>
      <c r="N28" s="108"/>
      <c r="O28" s="108">
        <v>0</v>
      </c>
      <c r="P28" s="108"/>
      <c r="Q28" s="108"/>
      <c r="R28" s="108">
        <v>0</v>
      </c>
      <c r="S28"/>
    </row>
    <row r="29" spans="1:19">
      <c r="A29" s="107"/>
      <c r="B29" s="107"/>
      <c r="C29" s="107"/>
      <c r="D29" s="107"/>
      <c r="E29" s="107"/>
      <c r="F29" s="107" t="s">
        <v>124</v>
      </c>
      <c r="G29" s="107"/>
      <c r="H29" s="107"/>
      <c r="I29" s="108">
        <v>0</v>
      </c>
      <c r="J29" s="108"/>
      <c r="K29" s="108"/>
      <c r="L29" s="108">
        <v>0</v>
      </c>
      <c r="M29" s="108"/>
      <c r="N29" s="108"/>
      <c r="O29" s="108">
        <v>0</v>
      </c>
      <c r="P29" s="108"/>
      <c r="Q29" s="108"/>
      <c r="R29" s="108">
        <v>0</v>
      </c>
      <c r="S29"/>
    </row>
    <row r="30" spans="1:19" ht="16" thickBot="1">
      <c r="A30" s="107"/>
      <c r="B30" s="107"/>
      <c r="C30" s="107"/>
      <c r="D30" s="107"/>
      <c r="E30" s="107"/>
      <c r="F30" s="107" t="s">
        <v>125</v>
      </c>
      <c r="G30" s="107"/>
      <c r="H30" s="107"/>
      <c r="I30" s="109">
        <v>453.15</v>
      </c>
      <c r="J30" s="109"/>
      <c r="K30" s="109"/>
      <c r="L30" s="109">
        <v>505.77</v>
      </c>
      <c r="M30" s="109" t="s">
        <v>126</v>
      </c>
      <c r="N30" s="109"/>
      <c r="O30" s="109">
        <v>0</v>
      </c>
      <c r="P30" s="109"/>
      <c r="Q30" s="109"/>
      <c r="R30" s="109">
        <v>0</v>
      </c>
      <c r="S30"/>
    </row>
    <row r="31" spans="1:19">
      <c r="A31" s="107"/>
      <c r="B31" s="107"/>
      <c r="C31" s="107"/>
      <c r="D31" s="107"/>
      <c r="E31" s="107" t="s">
        <v>127</v>
      </c>
      <c r="F31" s="107"/>
      <c r="G31" s="107"/>
      <c r="H31" s="107"/>
      <c r="I31" s="108">
        <f>ROUND(SUM(I22:I30),5)</f>
        <v>453.21</v>
      </c>
      <c r="J31" s="108"/>
      <c r="K31" s="108"/>
      <c r="L31" s="108">
        <f>ROUND(SUM(L22:L30),5)</f>
        <v>505.77</v>
      </c>
      <c r="M31" s="108"/>
      <c r="N31" s="108"/>
      <c r="O31" s="108">
        <f>ROUND(SUM(O22:O30),5)</f>
        <v>150</v>
      </c>
      <c r="P31" s="108"/>
      <c r="Q31" s="108"/>
      <c r="R31" s="108">
        <f>ROUND(SUM(R22:R30),5)</f>
        <v>0</v>
      </c>
      <c r="S31"/>
    </row>
    <row r="32" spans="1:19">
      <c r="A32" s="107"/>
      <c r="B32" s="107"/>
      <c r="C32" s="107"/>
      <c r="D32" s="107"/>
      <c r="E32" s="107" t="s">
        <v>77</v>
      </c>
      <c r="F32" s="107"/>
      <c r="G32" s="107"/>
      <c r="H32" s="107"/>
      <c r="I32" s="108"/>
      <c r="J32" s="108"/>
      <c r="K32" s="108"/>
      <c r="L32" s="108"/>
      <c r="M32" s="108"/>
      <c r="N32" s="108"/>
      <c r="O32" s="108"/>
      <c r="P32" s="108"/>
      <c r="Q32" s="108"/>
      <c r="R32" s="108"/>
      <c r="S32"/>
    </row>
    <row r="33" spans="1:19">
      <c r="A33" s="107"/>
      <c r="B33" s="107"/>
      <c r="C33" s="107"/>
      <c r="D33" s="107"/>
      <c r="E33" s="107"/>
      <c r="F33" s="107" t="s">
        <v>118</v>
      </c>
      <c r="G33" s="107"/>
      <c r="H33" s="107"/>
      <c r="I33" s="108">
        <v>0</v>
      </c>
      <c r="J33" s="108"/>
      <c r="K33" s="108"/>
      <c r="L33" s="108">
        <v>0</v>
      </c>
      <c r="M33" s="108"/>
      <c r="N33" s="108"/>
      <c r="O33" s="108">
        <v>0</v>
      </c>
      <c r="P33" s="108"/>
      <c r="Q33" s="108"/>
      <c r="R33" s="108">
        <v>0</v>
      </c>
      <c r="S33"/>
    </row>
    <row r="34" spans="1:19">
      <c r="A34" s="107"/>
      <c r="B34" s="107"/>
      <c r="C34" s="107"/>
      <c r="D34" s="107"/>
      <c r="E34" s="107"/>
      <c r="F34" s="107" t="s">
        <v>119</v>
      </c>
      <c r="G34" s="107"/>
      <c r="H34" s="107"/>
      <c r="I34" s="108">
        <v>0.05</v>
      </c>
      <c r="J34" s="108"/>
      <c r="K34" s="108"/>
      <c r="L34" s="108">
        <v>0</v>
      </c>
      <c r="M34" s="108"/>
      <c r="N34" s="108"/>
      <c r="O34" s="108">
        <v>0</v>
      </c>
      <c r="P34" s="108"/>
      <c r="Q34" s="108"/>
      <c r="R34" s="108">
        <v>0</v>
      </c>
      <c r="S34"/>
    </row>
    <row r="35" spans="1:19">
      <c r="A35" s="107"/>
      <c r="B35" s="107"/>
      <c r="C35" s="107"/>
      <c r="D35" s="107"/>
      <c r="E35" s="107"/>
      <c r="F35" s="107" t="s">
        <v>120</v>
      </c>
      <c r="G35" s="107"/>
      <c r="H35" s="107"/>
      <c r="I35" s="108">
        <v>0</v>
      </c>
      <c r="J35" s="108"/>
      <c r="K35" s="108"/>
      <c r="L35" s="108">
        <v>0</v>
      </c>
      <c r="M35" s="108"/>
      <c r="N35" s="108"/>
      <c r="O35" s="108">
        <v>0</v>
      </c>
      <c r="P35" s="108"/>
      <c r="Q35" s="108"/>
      <c r="R35" s="108">
        <v>0</v>
      </c>
      <c r="S35"/>
    </row>
    <row r="36" spans="1:19">
      <c r="A36" s="107"/>
      <c r="B36" s="107"/>
      <c r="C36" s="107"/>
      <c r="D36" s="107"/>
      <c r="E36" s="107"/>
      <c r="F36" s="107" t="s">
        <v>122</v>
      </c>
      <c r="G36" s="107"/>
      <c r="H36" s="107"/>
      <c r="I36" s="108">
        <v>0</v>
      </c>
      <c r="J36" s="108"/>
      <c r="K36" s="108"/>
      <c r="L36" s="108">
        <v>0</v>
      </c>
      <c r="M36" s="108"/>
      <c r="N36" s="108"/>
      <c r="O36" s="108">
        <v>0</v>
      </c>
      <c r="P36" s="108"/>
      <c r="Q36" s="108"/>
      <c r="R36" s="108">
        <v>0</v>
      </c>
      <c r="S36"/>
    </row>
    <row r="37" spans="1:19">
      <c r="A37" s="107"/>
      <c r="B37" s="107"/>
      <c r="C37" s="107"/>
      <c r="D37" s="107"/>
      <c r="E37" s="107"/>
      <c r="F37" s="107" t="s">
        <v>123</v>
      </c>
      <c r="G37" s="107"/>
      <c r="H37" s="107"/>
      <c r="I37" s="108">
        <v>0</v>
      </c>
      <c r="J37" s="108"/>
      <c r="K37" s="108"/>
      <c r="L37" s="108">
        <v>0</v>
      </c>
      <c r="M37" s="108"/>
      <c r="N37" s="108"/>
      <c r="O37" s="108">
        <v>0</v>
      </c>
      <c r="P37" s="108"/>
      <c r="Q37" s="108"/>
      <c r="R37" s="108">
        <v>0</v>
      </c>
      <c r="S37"/>
    </row>
    <row r="38" spans="1:19">
      <c r="A38" s="107"/>
      <c r="B38" s="107"/>
      <c r="C38" s="107"/>
      <c r="D38" s="107"/>
      <c r="E38" s="107"/>
      <c r="F38" s="107" t="s">
        <v>124</v>
      </c>
      <c r="G38" s="107"/>
      <c r="H38" s="107"/>
      <c r="I38" s="108">
        <v>0</v>
      </c>
      <c r="J38" s="108"/>
      <c r="K38" s="108"/>
      <c r="L38" s="108">
        <v>0</v>
      </c>
      <c r="M38" s="108"/>
      <c r="N38" s="108"/>
      <c r="O38" s="108">
        <v>0</v>
      </c>
      <c r="P38" s="108"/>
      <c r="Q38" s="108"/>
      <c r="R38" s="108">
        <v>0</v>
      </c>
      <c r="S38"/>
    </row>
    <row r="39" spans="1:19" ht="16" thickBot="1">
      <c r="A39" s="107"/>
      <c r="B39" s="107"/>
      <c r="C39" s="107"/>
      <c r="D39" s="107"/>
      <c r="E39" s="107"/>
      <c r="F39" s="107" t="s">
        <v>125</v>
      </c>
      <c r="G39" s="107"/>
      <c r="H39" s="107"/>
      <c r="I39" s="109">
        <v>0</v>
      </c>
      <c r="J39" s="109"/>
      <c r="K39" s="109"/>
      <c r="L39" s="109">
        <v>0</v>
      </c>
      <c r="M39" s="109"/>
      <c r="N39" s="109"/>
      <c r="O39" s="109">
        <v>0</v>
      </c>
      <c r="P39" s="109"/>
      <c r="Q39" s="109"/>
      <c r="R39" s="109">
        <v>0</v>
      </c>
      <c r="S39"/>
    </row>
    <row r="40" spans="1:19">
      <c r="A40" s="107"/>
      <c r="B40" s="107"/>
      <c r="C40" s="107"/>
      <c r="D40" s="107"/>
      <c r="E40" s="107" t="s">
        <v>128</v>
      </c>
      <c r="F40" s="107"/>
      <c r="G40" s="107"/>
      <c r="H40" s="107"/>
      <c r="I40" s="108">
        <f>ROUND(SUM(I32:I39),5)</f>
        <v>0.05</v>
      </c>
      <c r="J40" s="108"/>
      <c r="K40" s="108"/>
      <c r="L40" s="108">
        <f>ROUND(SUM(L32:L39),5)</f>
        <v>0</v>
      </c>
      <c r="M40" s="108"/>
      <c r="N40" s="108"/>
      <c r="O40" s="108">
        <f>ROUND(SUM(O32:O39),5)</f>
        <v>0</v>
      </c>
      <c r="P40" s="108"/>
      <c r="Q40" s="108"/>
      <c r="R40" s="108">
        <f>ROUND(SUM(R32:R39),5)</f>
        <v>0</v>
      </c>
      <c r="S40"/>
    </row>
    <row r="41" spans="1:19">
      <c r="A41" s="107"/>
      <c r="B41" s="107"/>
      <c r="C41" s="107"/>
      <c r="D41" s="107"/>
      <c r="E41" s="107" t="s">
        <v>79</v>
      </c>
      <c r="F41" s="107"/>
      <c r="G41" s="107"/>
      <c r="H41" s="107"/>
      <c r="I41" s="108"/>
      <c r="J41" s="108"/>
      <c r="K41" s="108"/>
      <c r="L41" s="108"/>
      <c r="M41" s="108"/>
      <c r="N41" s="108"/>
      <c r="O41" s="108"/>
      <c r="P41" s="108"/>
      <c r="Q41" s="108"/>
      <c r="R41" s="108"/>
      <c r="S41"/>
    </row>
    <row r="42" spans="1:19">
      <c r="A42" s="107"/>
      <c r="B42" s="107"/>
      <c r="C42" s="107"/>
      <c r="D42" s="107"/>
      <c r="E42" s="107"/>
      <c r="F42" s="107" t="s">
        <v>129</v>
      </c>
      <c r="G42" s="107"/>
      <c r="H42" s="107"/>
      <c r="I42" s="108"/>
      <c r="J42" s="108"/>
      <c r="K42" s="108"/>
      <c r="L42" s="108"/>
      <c r="M42" s="108"/>
      <c r="N42" s="108"/>
      <c r="O42" s="108"/>
      <c r="P42" s="108"/>
      <c r="Q42" s="108"/>
      <c r="R42" s="108"/>
      <c r="S42"/>
    </row>
    <row r="43" spans="1:19">
      <c r="A43" s="107"/>
      <c r="B43" s="107"/>
      <c r="C43" s="107"/>
      <c r="D43" s="107"/>
      <c r="E43" s="107"/>
      <c r="F43" s="107"/>
      <c r="G43" s="107" t="s">
        <v>130</v>
      </c>
      <c r="H43" s="107"/>
      <c r="I43" s="108">
        <v>2551.2800000000002</v>
      </c>
      <c r="J43" s="108" t="s">
        <v>131</v>
      </c>
      <c r="K43" s="108"/>
      <c r="L43" s="108">
        <v>2708.01</v>
      </c>
      <c r="M43" s="108" t="s">
        <v>131</v>
      </c>
      <c r="N43" s="108"/>
      <c r="O43" s="108">
        <v>1965.74</v>
      </c>
      <c r="P43" s="108" t="s">
        <v>132</v>
      </c>
      <c r="Q43" s="108"/>
      <c r="R43" s="108">
        <v>1059.2</v>
      </c>
      <c r="S43"/>
    </row>
    <row r="44" spans="1:19">
      <c r="A44" s="107"/>
      <c r="B44" s="107"/>
      <c r="C44" s="107"/>
      <c r="D44" s="107"/>
      <c r="E44" s="107"/>
      <c r="F44" s="107"/>
      <c r="G44" s="107" t="s">
        <v>133</v>
      </c>
      <c r="H44" s="107"/>
      <c r="I44" s="108">
        <v>0</v>
      </c>
      <c r="J44" s="108"/>
      <c r="K44" s="108"/>
      <c r="L44" s="108">
        <v>60.94</v>
      </c>
      <c r="M44" s="108"/>
      <c r="N44" s="108"/>
      <c r="O44" s="108">
        <v>421.67</v>
      </c>
      <c r="P44" s="108"/>
      <c r="Q44" s="108"/>
      <c r="R44" s="108">
        <v>0</v>
      </c>
      <c r="S44"/>
    </row>
    <row r="45" spans="1:19" ht="16" thickBot="1">
      <c r="A45" s="107"/>
      <c r="B45" s="107"/>
      <c r="C45" s="107"/>
      <c r="D45" s="107"/>
      <c r="E45" s="107"/>
      <c r="F45" s="107"/>
      <c r="G45" s="107" t="s">
        <v>134</v>
      </c>
      <c r="H45" s="107"/>
      <c r="I45" s="110">
        <v>0</v>
      </c>
      <c r="J45" s="110"/>
      <c r="K45" s="110"/>
      <c r="L45" s="110">
        <v>0</v>
      </c>
      <c r="M45" s="110"/>
      <c r="N45" s="110"/>
      <c r="O45" s="110">
        <v>0</v>
      </c>
      <c r="P45" s="110"/>
      <c r="Q45" s="110"/>
      <c r="R45" s="110">
        <v>0</v>
      </c>
      <c r="S45"/>
    </row>
    <row r="46" spans="1:19" ht="16" thickBot="1">
      <c r="A46" s="107"/>
      <c r="B46" s="107"/>
      <c r="C46" s="107"/>
      <c r="D46" s="107"/>
      <c r="E46" s="107"/>
      <c r="F46" s="107" t="s">
        <v>135</v>
      </c>
      <c r="G46" s="107"/>
      <c r="H46" s="107"/>
      <c r="I46" s="111">
        <f>ROUND(SUM(I42:I45),5)</f>
        <v>2551.2800000000002</v>
      </c>
      <c r="J46" s="111"/>
      <c r="K46" s="111"/>
      <c r="L46" s="111">
        <f>ROUND(SUM(L42:L45),5)</f>
        <v>2768.95</v>
      </c>
      <c r="M46" s="111"/>
      <c r="N46" s="111"/>
      <c r="O46" s="111">
        <f>ROUND(SUM(O42:O45),5)</f>
        <v>2387.41</v>
      </c>
      <c r="P46" s="111"/>
      <c r="Q46" s="111"/>
      <c r="R46" s="111">
        <f>ROUND(SUM(R42:R45),5)</f>
        <v>1059.2</v>
      </c>
      <c r="S46"/>
    </row>
    <row r="47" spans="1:19">
      <c r="A47" s="107"/>
      <c r="B47" s="107"/>
      <c r="C47" s="107"/>
      <c r="D47" s="107"/>
      <c r="E47" s="107" t="s">
        <v>136</v>
      </c>
      <c r="F47" s="107"/>
      <c r="G47" s="107"/>
      <c r="H47" s="107"/>
      <c r="I47" s="108">
        <f>ROUND(I41+I46,5)</f>
        <v>2551.2800000000002</v>
      </c>
      <c r="J47" s="108"/>
      <c r="K47" s="108"/>
      <c r="L47" s="108">
        <f>ROUND(L41+L46,5)</f>
        <v>2768.95</v>
      </c>
      <c r="M47" s="108"/>
      <c r="N47" s="108"/>
      <c r="O47" s="108">
        <f>ROUND(O41+O46,5)</f>
        <v>2387.41</v>
      </c>
      <c r="P47" s="108"/>
      <c r="Q47" s="108"/>
      <c r="R47" s="108">
        <f>ROUND(R41+R46,5)</f>
        <v>1059.2</v>
      </c>
      <c r="S47"/>
    </row>
    <row r="48" spans="1:19">
      <c r="A48" s="107"/>
      <c r="B48" s="107"/>
      <c r="C48" s="107"/>
      <c r="D48" s="107"/>
      <c r="E48" s="107" t="s">
        <v>78</v>
      </c>
      <c r="F48" s="107"/>
      <c r="G48" s="107"/>
      <c r="H48" s="107"/>
      <c r="I48" s="108"/>
      <c r="J48" s="108"/>
      <c r="K48" s="108"/>
      <c r="L48" s="108"/>
      <c r="M48" s="108"/>
      <c r="N48" s="108"/>
      <c r="O48" s="108"/>
      <c r="P48" s="108"/>
      <c r="Q48" s="108"/>
      <c r="R48" s="108"/>
      <c r="S48"/>
    </row>
    <row r="49" spans="1:19">
      <c r="A49" s="107"/>
      <c r="B49" s="107"/>
      <c r="C49" s="107"/>
      <c r="D49" s="107"/>
      <c r="E49" s="107"/>
      <c r="F49" s="107" t="s">
        <v>137</v>
      </c>
      <c r="G49" s="107"/>
      <c r="H49" s="107"/>
      <c r="I49" s="108"/>
      <c r="J49" s="108"/>
      <c r="K49" s="108"/>
      <c r="L49" s="108"/>
      <c r="M49" s="108"/>
      <c r="N49" s="108"/>
      <c r="O49" s="108"/>
      <c r="P49" s="108"/>
      <c r="Q49" s="108"/>
      <c r="R49" s="108"/>
      <c r="S49"/>
    </row>
    <row r="50" spans="1:19">
      <c r="A50" s="107"/>
      <c r="B50" s="107"/>
      <c r="C50" s="107"/>
      <c r="D50" s="107"/>
      <c r="E50" s="107"/>
      <c r="F50" s="107"/>
      <c r="G50" s="107" t="s">
        <v>138</v>
      </c>
      <c r="H50" s="107"/>
      <c r="I50" s="108">
        <v>0</v>
      </c>
      <c r="J50" s="108"/>
      <c r="K50" s="108"/>
      <c r="L50" s="108">
        <v>2849.7</v>
      </c>
      <c r="M50" s="108" t="s">
        <v>139</v>
      </c>
      <c r="N50" s="108"/>
      <c r="O50" s="108">
        <v>1914.28</v>
      </c>
      <c r="P50" s="108" t="s">
        <v>140</v>
      </c>
      <c r="Q50" s="108"/>
      <c r="R50" s="108">
        <v>0</v>
      </c>
      <c r="S50"/>
    </row>
    <row r="51" spans="1:19">
      <c r="A51" s="107"/>
      <c r="B51" s="107"/>
      <c r="C51" s="107"/>
      <c r="D51" s="107"/>
      <c r="E51" s="107"/>
      <c r="F51" s="107"/>
      <c r="G51" s="107" t="s">
        <v>141</v>
      </c>
      <c r="H51" s="107"/>
      <c r="I51" s="108">
        <v>4.1500000000000004</v>
      </c>
      <c r="J51" s="108"/>
      <c r="K51" s="108"/>
      <c r="L51" s="108">
        <v>16.510000000000002</v>
      </c>
      <c r="M51" s="108"/>
      <c r="N51" s="108"/>
      <c r="O51" s="108">
        <v>2082.9</v>
      </c>
      <c r="P51" s="108" t="s">
        <v>142</v>
      </c>
      <c r="Q51" s="108"/>
      <c r="R51" s="108">
        <v>0</v>
      </c>
      <c r="S51"/>
    </row>
    <row r="52" spans="1:19">
      <c r="A52" s="107"/>
      <c r="B52" s="107"/>
      <c r="C52" s="107"/>
      <c r="D52" s="107"/>
      <c r="E52" s="107"/>
      <c r="F52" s="107"/>
      <c r="G52" s="107" t="s">
        <v>143</v>
      </c>
      <c r="H52" s="107"/>
      <c r="I52" s="108">
        <v>0.87</v>
      </c>
      <c r="J52" s="108"/>
      <c r="K52" s="108"/>
      <c r="L52" s="108">
        <v>0</v>
      </c>
      <c r="M52" s="108"/>
      <c r="N52" s="108"/>
      <c r="O52" s="108">
        <v>0.4</v>
      </c>
      <c r="P52" s="108"/>
      <c r="Q52" s="108"/>
      <c r="R52" s="108">
        <v>0</v>
      </c>
      <c r="S52"/>
    </row>
    <row r="53" spans="1:19" ht="16" thickBot="1">
      <c r="A53" s="107"/>
      <c r="B53" s="107"/>
      <c r="C53" s="107"/>
      <c r="D53" s="107"/>
      <c r="E53" s="107"/>
      <c r="F53" s="107"/>
      <c r="G53" s="107" t="s">
        <v>144</v>
      </c>
      <c r="H53" s="107"/>
      <c r="I53" s="109">
        <v>20.059999999999999</v>
      </c>
      <c r="J53" s="109"/>
      <c r="K53" s="109"/>
      <c r="L53" s="109">
        <v>48.13</v>
      </c>
      <c r="M53" s="109"/>
      <c r="N53" s="109"/>
      <c r="O53" s="109">
        <v>604.83000000000004</v>
      </c>
      <c r="P53" s="109" t="s">
        <v>145</v>
      </c>
      <c r="Q53" s="109"/>
      <c r="R53" s="109">
        <v>14.09</v>
      </c>
      <c r="S53"/>
    </row>
    <row r="54" spans="1:19">
      <c r="A54" s="107"/>
      <c r="B54" s="107"/>
      <c r="C54" s="107"/>
      <c r="D54" s="107"/>
      <c r="E54" s="107"/>
      <c r="F54" s="107" t="s">
        <v>146</v>
      </c>
      <c r="G54" s="107"/>
      <c r="H54" s="107"/>
      <c r="I54" s="108">
        <f>ROUND(SUM(I49:I53),5)</f>
        <v>25.08</v>
      </c>
      <c r="J54" s="108"/>
      <c r="K54" s="108"/>
      <c r="L54" s="108">
        <f>ROUND(SUM(L49:L53),5)</f>
        <v>2914.34</v>
      </c>
      <c r="M54" s="108"/>
      <c r="N54" s="108"/>
      <c r="O54" s="108">
        <f>ROUND(SUM(O49:O53),5)</f>
        <v>4602.41</v>
      </c>
      <c r="P54" s="108"/>
      <c r="Q54" s="108"/>
      <c r="R54" s="108">
        <f>ROUND(SUM(R49:R53),5)</f>
        <v>14.09</v>
      </c>
      <c r="S54"/>
    </row>
    <row r="55" spans="1:19">
      <c r="A55" s="107"/>
      <c r="B55" s="107"/>
      <c r="C55" s="107"/>
      <c r="D55" s="107"/>
      <c r="E55" s="107"/>
      <c r="F55" s="107" t="s">
        <v>147</v>
      </c>
      <c r="G55" s="107"/>
      <c r="H55" s="107"/>
      <c r="I55" s="108"/>
      <c r="J55" s="108"/>
      <c r="K55" s="108"/>
      <c r="L55" s="108"/>
      <c r="M55" s="108"/>
      <c r="N55" s="108"/>
      <c r="O55" s="108"/>
      <c r="P55" s="108"/>
      <c r="Q55" s="108"/>
      <c r="R55" s="108"/>
      <c r="S55"/>
    </row>
    <row r="56" spans="1:19">
      <c r="A56" s="107"/>
      <c r="B56" s="107"/>
      <c r="C56" s="107"/>
      <c r="D56" s="107"/>
      <c r="E56" s="107"/>
      <c r="F56" s="107"/>
      <c r="G56" s="107" t="s">
        <v>148</v>
      </c>
      <c r="H56" s="107"/>
      <c r="I56" s="108">
        <v>8090.24</v>
      </c>
      <c r="J56" s="108" t="s">
        <v>149</v>
      </c>
      <c r="K56" s="108"/>
      <c r="L56" s="108">
        <v>105.83</v>
      </c>
      <c r="M56" s="108"/>
      <c r="N56" s="108"/>
      <c r="O56" s="108">
        <v>0</v>
      </c>
      <c r="P56" s="108"/>
      <c r="Q56" s="108"/>
      <c r="R56" s="108">
        <v>0</v>
      </c>
      <c r="S56"/>
    </row>
    <row r="57" spans="1:19">
      <c r="A57" s="107"/>
      <c r="B57" s="107"/>
      <c r="C57" s="107"/>
      <c r="D57" s="107"/>
      <c r="E57" s="107"/>
      <c r="F57" s="107"/>
      <c r="G57" s="107" t="s">
        <v>150</v>
      </c>
      <c r="H57" s="107"/>
      <c r="I57" s="108">
        <v>60.5</v>
      </c>
      <c r="J57" s="108"/>
      <c r="K57" s="108"/>
      <c r="L57" s="108">
        <v>51.4</v>
      </c>
      <c r="M57" s="108"/>
      <c r="N57" s="108"/>
      <c r="O57" s="108">
        <v>1755.8</v>
      </c>
      <c r="P57" s="108" t="s">
        <v>151</v>
      </c>
      <c r="Q57" s="108"/>
      <c r="R57" s="108">
        <v>0</v>
      </c>
      <c r="S57"/>
    </row>
    <row r="58" spans="1:19">
      <c r="A58" s="107"/>
      <c r="B58" s="107"/>
      <c r="C58" s="107"/>
      <c r="D58" s="107"/>
      <c r="E58" s="107"/>
      <c r="F58" s="107"/>
      <c r="G58" s="107" t="s">
        <v>152</v>
      </c>
      <c r="H58" s="107"/>
      <c r="I58" s="108">
        <v>0</v>
      </c>
      <c r="J58" s="108"/>
      <c r="K58" s="108"/>
      <c r="L58" s="108">
        <v>0</v>
      </c>
      <c r="M58" s="108"/>
      <c r="N58" s="108"/>
      <c r="O58" s="108">
        <v>896.93</v>
      </c>
      <c r="P58" s="108" t="s">
        <v>153</v>
      </c>
      <c r="Q58" s="108"/>
      <c r="R58" s="108">
        <v>0</v>
      </c>
      <c r="S58"/>
    </row>
    <row r="59" spans="1:19">
      <c r="A59" s="107"/>
      <c r="B59" s="107"/>
      <c r="C59" s="107"/>
      <c r="D59" s="107"/>
      <c r="E59" s="107"/>
      <c r="F59" s="107"/>
      <c r="G59" s="107" t="s">
        <v>154</v>
      </c>
      <c r="H59" s="107"/>
      <c r="I59" s="108">
        <v>0</v>
      </c>
      <c r="J59" s="108"/>
      <c r="K59" s="108"/>
      <c r="L59" s="108">
        <v>0</v>
      </c>
      <c r="M59" s="108"/>
      <c r="N59" s="108"/>
      <c r="O59" s="108">
        <v>1591.29</v>
      </c>
      <c r="P59" s="108" t="s">
        <v>155</v>
      </c>
      <c r="Q59" s="108"/>
      <c r="R59" s="108">
        <v>0</v>
      </c>
      <c r="S59"/>
    </row>
    <row r="60" spans="1:19">
      <c r="A60" s="107"/>
      <c r="B60" s="107"/>
      <c r="C60" s="107"/>
      <c r="D60" s="107"/>
      <c r="E60" s="107"/>
      <c r="F60" s="107"/>
      <c r="G60" s="107" t="s">
        <v>156</v>
      </c>
      <c r="H60" s="107"/>
      <c r="I60" s="108">
        <v>1919.7</v>
      </c>
      <c r="J60" s="108" t="s">
        <v>157</v>
      </c>
      <c r="K60" s="108"/>
      <c r="L60" s="108">
        <v>0</v>
      </c>
      <c r="M60" s="108"/>
      <c r="N60" s="108"/>
      <c r="O60" s="108">
        <v>28916.54</v>
      </c>
      <c r="P60" s="108" t="s">
        <v>158</v>
      </c>
      <c r="Q60" s="108"/>
      <c r="R60" s="108">
        <v>0</v>
      </c>
      <c r="S60"/>
    </row>
    <row r="61" spans="1:19" ht="16" thickBot="1">
      <c r="A61" s="107"/>
      <c r="B61" s="107"/>
      <c r="C61" s="107"/>
      <c r="D61" s="107"/>
      <c r="E61" s="107"/>
      <c r="F61" s="107"/>
      <c r="G61" s="107" t="s">
        <v>159</v>
      </c>
      <c r="H61" s="107"/>
      <c r="I61" s="109">
        <v>234</v>
      </c>
      <c r="J61" s="109"/>
      <c r="K61" s="109"/>
      <c r="L61" s="109">
        <v>0</v>
      </c>
      <c r="M61" s="109"/>
      <c r="N61" s="109"/>
      <c r="O61" s="109">
        <v>710</v>
      </c>
      <c r="P61" s="109" t="s">
        <v>160</v>
      </c>
      <c r="Q61" s="109"/>
      <c r="R61" s="109">
        <v>0</v>
      </c>
      <c r="S61"/>
    </row>
    <row r="62" spans="1:19">
      <c r="A62" s="107"/>
      <c r="B62" s="107"/>
      <c r="C62" s="107"/>
      <c r="D62" s="107"/>
      <c r="E62" s="107"/>
      <c r="F62" s="107" t="s">
        <v>161</v>
      </c>
      <c r="G62" s="107"/>
      <c r="H62" s="107"/>
      <c r="I62" s="108">
        <f>ROUND(SUM(I55:I61),5)</f>
        <v>10304.44</v>
      </c>
      <c r="J62" s="108"/>
      <c r="K62" s="108"/>
      <c r="L62" s="108">
        <f>ROUND(SUM(L55:L61),5)</f>
        <v>157.22999999999999</v>
      </c>
      <c r="M62" s="108"/>
      <c r="N62" s="108"/>
      <c r="O62" s="108">
        <f>ROUND(SUM(O55:O61),5)</f>
        <v>33870.559999999998</v>
      </c>
      <c r="P62" s="108"/>
      <c r="Q62" s="108"/>
      <c r="R62" s="108">
        <f>ROUND(SUM(R55:R61),5)</f>
        <v>0</v>
      </c>
      <c r="S62"/>
    </row>
    <row r="63" spans="1:19">
      <c r="A63" s="107"/>
      <c r="B63" s="107"/>
      <c r="C63" s="107"/>
      <c r="D63" s="107"/>
      <c r="E63" s="107"/>
      <c r="F63" s="107" t="s">
        <v>162</v>
      </c>
      <c r="G63" s="107"/>
      <c r="H63" s="107"/>
      <c r="I63" s="108"/>
      <c r="J63" s="108"/>
      <c r="K63" s="108"/>
      <c r="L63" s="108"/>
      <c r="M63" s="108"/>
      <c r="N63" s="108"/>
      <c r="O63" s="108"/>
      <c r="P63" s="108"/>
      <c r="Q63" s="108"/>
      <c r="R63" s="108"/>
      <c r="S63"/>
    </row>
    <row r="64" spans="1:19">
      <c r="A64" s="107"/>
      <c r="B64" s="107"/>
      <c r="C64" s="107"/>
      <c r="D64" s="107"/>
      <c r="E64" s="107"/>
      <c r="F64" s="107"/>
      <c r="G64" s="107" t="s">
        <v>163</v>
      </c>
      <c r="H64" s="107"/>
      <c r="I64" s="108">
        <v>8384.0300000000007</v>
      </c>
      <c r="J64" s="112" t="s">
        <v>164</v>
      </c>
      <c r="K64" s="108"/>
      <c r="L64" s="108">
        <v>1926.96</v>
      </c>
      <c r="M64" s="108" t="s">
        <v>165</v>
      </c>
      <c r="N64" s="108"/>
      <c r="O64" s="108">
        <v>2142.77</v>
      </c>
      <c r="P64" s="108" t="s">
        <v>166</v>
      </c>
      <c r="Q64" s="108"/>
      <c r="R64" s="108">
        <v>803.2</v>
      </c>
      <c r="S64" s="108" t="s">
        <v>285</v>
      </c>
    </row>
    <row r="65" spans="1:19">
      <c r="A65" s="107"/>
      <c r="B65" s="107"/>
      <c r="C65" s="107"/>
      <c r="D65" s="107"/>
      <c r="E65" s="107"/>
      <c r="F65" s="107"/>
      <c r="G65" s="107" t="s">
        <v>167</v>
      </c>
      <c r="H65" s="107"/>
      <c r="I65" s="108">
        <v>451.9</v>
      </c>
      <c r="J65" s="108"/>
      <c r="K65" s="108"/>
      <c r="L65" s="108">
        <v>0</v>
      </c>
      <c r="M65" s="108"/>
      <c r="N65" s="108"/>
      <c r="O65" s="108">
        <v>23107.23</v>
      </c>
      <c r="P65" s="108" t="s">
        <v>168</v>
      </c>
      <c r="Q65" s="108"/>
      <c r="R65" s="108">
        <v>0</v>
      </c>
      <c r="S65"/>
    </row>
    <row r="66" spans="1:19" ht="16" thickBot="1">
      <c r="A66" s="107"/>
      <c r="B66" s="107"/>
      <c r="C66" s="107"/>
      <c r="D66" s="107"/>
      <c r="E66" s="107"/>
      <c r="F66" s="107"/>
      <c r="G66" s="107" t="s">
        <v>169</v>
      </c>
      <c r="H66" s="107"/>
      <c r="I66" s="109">
        <v>0</v>
      </c>
      <c r="J66" s="109"/>
      <c r="K66" s="109"/>
      <c r="L66" s="109">
        <v>0</v>
      </c>
      <c r="M66" s="109"/>
      <c r="N66" s="109"/>
      <c r="O66" s="109">
        <v>1936.79</v>
      </c>
      <c r="P66" s="109" t="s">
        <v>170</v>
      </c>
      <c r="Q66" s="109"/>
      <c r="R66" s="109">
        <v>0</v>
      </c>
      <c r="S66"/>
    </row>
    <row r="67" spans="1:19">
      <c r="A67" s="107"/>
      <c r="B67" s="107"/>
      <c r="C67" s="107"/>
      <c r="D67" s="107"/>
      <c r="E67" s="107"/>
      <c r="F67" s="107" t="s">
        <v>171</v>
      </c>
      <c r="G67" s="107"/>
      <c r="H67" s="107"/>
      <c r="I67" s="108">
        <f>ROUND(SUM(I63:I66),5)</f>
        <v>8835.93</v>
      </c>
      <c r="J67" s="108"/>
      <c r="K67" s="108"/>
      <c r="L67" s="108">
        <f>ROUND(SUM(L63:L66),5)</f>
        <v>1926.96</v>
      </c>
      <c r="M67" s="108"/>
      <c r="N67" s="108"/>
      <c r="O67" s="108">
        <f>ROUND(SUM(O63:O66),5)</f>
        <v>27186.79</v>
      </c>
      <c r="P67" s="108"/>
      <c r="Q67" s="108"/>
      <c r="R67" s="108">
        <f>ROUND(SUM(R63:R66),5)</f>
        <v>803.2</v>
      </c>
      <c r="S67"/>
    </row>
    <row r="68" spans="1:19">
      <c r="A68" s="107"/>
      <c r="B68" s="107"/>
      <c r="C68" s="107"/>
      <c r="D68" s="107"/>
      <c r="E68" s="107"/>
      <c r="F68" s="107" t="s">
        <v>172</v>
      </c>
      <c r="G68" s="107"/>
      <c r="H68" s="107"/>
      <c r="I68" s="108"/>
      <c r="J68" s="108"/>
      <c r="K68" s="108"/>
      <c r="L68" s="108"/>
      <c r="M68" s="108"/>
      <c r="N68" s="108"/>
      <c r="O68" s="108"/>
      <c r="P68" s="108"/>
      <c r="Q68" s="108"/>
      <c r="R68" s="108"/>
      <c r="S68"/>
    </row>
    <row r="69" spans="1:19">
      <c r="A69" s="107"/>
      <c r="B69" s="107"/>
      <c r="C69" s="107"/>
      <c r="D69" s="107"/>
      <c r="E69" s="107"/>
      <c r="F69" s="107"/>
      <c r="G69" s="107" t="s">
        <v>173</v>
      </c>
      <c r="H69" s="107"/>
      <c r="I69" s="108">
        <v>229.5</v>
      </c>
      <c r="J69" s="108"/>
      <c r="K69" s="108"/>
      <c r="L69" s="108">
        <v>0</v>
      </c>
      <c r="M69" s="108"/>
      <c r="N69" s="108"/>
      <c r="O69" s="108">
        <v>1432.31</v>
      </c>
      <c r="P69" s="108" t="s">
        <v>174</v>
      </c>
      <c r="Q69" s="108"/>
      <c r="R69" s="108">
        <v>0</v>
      </c>
      <c r="S69"/>
    </row>
    <row r="70" spans="1:19">
      <c r="A70" s="107"/>
      <c r="B70" s="107"/>
      <c r="C70" s="107"/>
      <c r="D70" s="107"/>
      <c r="E70" s="107"/>
      <c r="F70" s="107"/>
      <c r="G70" s="107" t="s">
        <v>175</v>
      </c>
      <c r="H70" s="107"/>
      <c r="I70" s="108">
        <v>672.8</v>
      </c>
      <c r="J70" s="108" t="s">
        <v>176</v>
      </c>
      <c r="K70" s="108"/>
      <c r="L70" s="108">
        <v>2598.29</v>
      </c>
      <c r="M70" s="108" t="s">
        <v>177</v>
      </c>
      <c r="N70" s="108"/>
      <c r="O70" s="108">
        <v>4901.03</v>
      </c>
      <c r="P70" s="108" t="s">
        <v>178</v>
      </c>
      <c r="Q70" s="108"/>
      <c r="R70" s="108">
        <v>0</v>
      </c>
      <c r="S70"/>
    </row>
    <row r="71" spans="1:19" ht="16" thickBot="1">
      <c r="A71" s="107"/>
      <c r="B71" s="107"/>
      <c r="C71" s="107"/>
      <c r="D71" s="107"/>
      <c r="E71" s="107"/>
      <c r="F71" s="107"/>
      <c r="G71" s="107" t="s">
        <v>179</v>
      </c>
      <c r="H71" s="107"/>
      <c r="I71" s="109">
        <v>574.07000000000005</v>
      </c>
      <c r="J71" s="109" t="s">
        <v>180</v>
      </c>
      <c r="K71" s="109"/>
      <c r="L71" s="109">
        <v>235.82</v>
      </c>
      <c r="M71" s="109"/>
      <c r="N71" s="109"/>
      <c r="O71" s="109">
        <v>1104</v>
      </c>
      <c r="P71" s="109" t="s">
        <v>181</v>
      </c>
      <c r="Q71" s="109"/>
      <c r="R71" s="109">
        <v>0</v>
      </c>
      <c r="S71"/>
    </row>
    <row r="72" spans="1:19">
      <c r="A72" s="107"/>
      <c r="B72" s="107"/>
      <c r="C72" s="107"/>
      <c r="D72" s="107"/>
      <c r="E72" s="107"/>
      <c r="F72" s="107" t="s">
        <v>182</v>
      </c>
      <c r="G72" s="107"/>
      <c r="H72" s="107"/>
      <c r="I72" s="108">
        <f>ROUND(SUM(I68:I71),5)</f>
        <v>1476.37</v>
      </c>
      <c r="J72" s="108"/>
      <c r="K72" s="108"/>
      <c r="L72" s="108">
        <f>ROUND(SUM(L68:L71),5)</f>
        <v>2834.11</v>
      </c>
      <c r="M72" s="108"/>
      <c r="N72" s="108"/>
      <c r="O72" s="108">
        <f>ROUND(SUM(O68:O71),5)</f>
        <v>7437.34</v>
      </c>
      <c r="P72" s="108"/>
      <c r="Q72" s="108"/>
      <c r="R72" s="108">
        <f>ROUND(SUM(R68:R71),5)</f>
        <v>0</v>
      </c>
      <c r="S72"/>
    </row>
    <row r="73" spans="1:19">
      <c r="A73" s="107"/>
      <c r="B73" s="107"/>
      <c r="C73" s="107"/>
      <c r="D73" s="107"/>
      <c r="E73" s="107"/>
      <c r="F73" s="107" t="s">
        <v>129</v>
      </c>
      <c r="G73" s="107"/>
      <c r="H73" s="107"/>
      <c r="I73" s="108"/>
      <c r="J73" s="108"/>
      <c r="K73" s="108"/>
      <c r="L73" s="108"/>
      <c r="M73" s="108"/>
      <c r="N73" s="108"/>
      <c r="O73" s="108"/>
      <c r="P73" s="108"/>
      <c r="Q73" s="108"/>
      <c r="R73" s="108"/>
      <c r="S73"/>
    </row>
    <row r="74" spans="1:19">
      <c r="A74" s="107"/>
      <c r="B74" s="107"/>
      <c r="C74" s="107"/>
      <c r="D74" s="107"/>
      <c r="E74" s="107"/>
      <c r="F74" s="107"/>
      <c r="G74" s="107" t="s">
        <v>183</v>
      </c>
      <c r="H74" s="107"/>
      <c r="I74" s="108">
        <v>212.9</v>
      </c>
      <c r="J74" s="108"/>
      <c r="K74" s="108"/>
      <c r="L74" s="108">
        <v>48.39</v>
      </c>
      <c r="M74" s="108"/>
      <c r="N74" s="108"/>
      <c r="O74" s="108">
        <v>44.16</v>
      </c>
      <c r="P74" s="108"/>
      <c r="Q74" s="108"/>
      <c r="R74" s="108">
        <v>587.77</v>
      </c>
      <c r="S74" s="108" t="s">
        <v>287</v>
      </c>
    </row>
    <row r="75" spans="1:19">
      <c r="A75" s="107"/>
      <c r="B75" s="107"/>
      <c r="C75" s="107"/>
      <c r="D75" s="107"/>
      <c r="E75" s="107"/>
      <c r="F75" s="107"/>
      <c r="G75" s="107" t="s">
        <v>130</v>
      </c>
      <c r="H75" s="107"/>
      <c r="I75" s="108">
        <v>3236.71</v>
      </c>
      <c r="J75" s="108" t="s">
        <v>184</v>
      </c>
      <c r="K75" s="108"/>
      <c r="L75" s="108">
        <v>-1904.78</v>
      </c>
      <c r="M75" s="108"/>
      <c r="N75" s="108"/>
      <c r="O75" s="108">
        <v>2112.64</v>
      </c>
      <c r="P75" s="108" t="s">
        <v>185</v>
      </c>
      <c r="Q75" s="108"/>
      <c r="R75" s="108">
        <v>664.09</v>
      </c>
      <c r="S75" s="108" t="s">
        <v>286</v>
      </c>
    </row>
    <row r="76" spans="1:19">
      <c r="A76" s="107"/>
      <c r="B76" s="107"/>
      <c r="C76" s="107"/>
      <c r="D76" s="107"/>
      <c r="E76" s="107"/>
      <c r="F76" s="107"/>
      <c r="G76" s="107" t="s">
        <v>186</v>
      </c>
      <c r="H76" s="107"/>
      <c r="I76" s="108">
        <v>0</v>
      </c>
      <c r="J76" s="108"/>
      <c r="K76" s="108"/>
      <c r="L76" s="108">
        <v>0</v>
      </c>
      <c r="M76" s="108"/>
      <c r="N76" s="108"/>
      <c r="O76" s="108">
        <v>555</v>
      </c>
      <c r="P76" s="108" t="s">
        <v>187</v>
      </c>
      <c r="Q76" s="108"/>
      <c r="R76" s="108">
        <v>0</v>
      </c>
      <c r="S76"/>
    </row>
    <row r="77" spans="1:19">
      <c r="A77" s="107"/>
      <c r="B77" s="107"/>
      <c r="C77" s="107"/>
      <c r="D77" s="107"/>
      <c r="E77" s="107"/>
      <c r="F77" s="107"/>
      <c r="G77" s="107" t="s">
        <v>188</v>
      </c>
      <c r="H77" s="107"/>
      <c r="I77" s="108">
        <v>399.85000000000036</v>
      </c>
      <c r="J77" s="108"/>
      <c r="K77" s="108"/>
      <c r="L77" s="108">
        <v>30987.15</v>
      </c>
      <c r="M77" s="108" t="s">
        <v>189</v>
      </c>
      <c r="N77" s="108"/>
      <c r="O77" s="108">
        <v>195751.74</v>
      </c>
      <c r="P77" s="108" t="s">
        <v>190</v>
      </c>
      <c r="Q77" s="108"/>
      <c r="R77" s="108">
        <v>85.08</v>
      </c>
      <c r="S77"/>
    </row>
    <row r="78" spans="1:19">
      <c r="A78" s="107"/>
      <c r="B78" s="107"/>
      <c r="C78" s="107"/>
      <c r="D78" s="107"/>
      <c r="E78" s="107"/>
      <c r="F78" s="107"/>
      <c r="G78" s="107" t="s">
        <v>191</v>
      </c>
      <c r="H78" s="107"/>
      <c r="I78" s="108">
        <v>7061.37</v>
      </c>
      <c r="J78" s="112" t="s">
        <v>192</v>
      </c>
      <c r="K78" s="108"/>
      <c r="L78" s="108">
        <v>0</v>
      </c>
      <c r="M78" s="108"/>
      <c r="N78" s="108"/>
      <c r="O78" s="108">
        <v>5489.98</v>
      </c>
      <c r="P78" s="108" t="s">
        <v>193</v>
      </c>
      <c r="Q78" s="108"/>
      <c r="R78" s="108">
        <v>0</v>
      </c>
      <c r="S78"/>
    </row>
    <row r="79" spans="1:19">
      <c r="A79" s="107"/>
      <c r="B79" s="107"/>
      <c r="C79" s="107"/>
      <c r="D79" s="107"/>
      <c r="E79" s="107"/>
      <c r="F79" s="107"/>
      <c r="G79" s="107" t="s">
        <v>194</v>
      </c>
      <c r="H79" s="107"/>
      <c r="I79" s="108">
        <v>230.58</v>
      </c>
      <c r="J79" s="108"/>
      <c r="K79" s="108"/>
      <c r="L79" s="108">
        <v>793.41</v>
      </c>
      <c r="M79" s="108" t="s">
        <v>195</v>
      </c>
      <c r="N79" s="108"/>
      <c r="O79" s="108">
        <v>4219.22</v>
      </c>
      <c r="P79" s="108" t="s">
        <v>193</v>
      </c>
      <c r="Q79" s="108"/>
      <c r="R79" s="108">
        <v>0</v>
      </c>
      <c r="S79"/>
    </row>
    <row r="80" spans="1:19">
      <c r="A80" s="107"/>
      <c r="B80" s="107"/>
      <c r="C80" s="107"/>
      <c r="D80" s="107"/>
      <c r="E80" s="107"/>
      <c r="F80" s="107"/>
      <c r="G80" s="107" t="s">
        <v>196</v>
      </c>
      <c r="H80" s="107"/>
      <c r="I80" s="108">
        <v>860</v>
      </c>
      <c r="J80" s="108" t="s">
        <v>197</v>
      </c>
      <c r="K80" s="108"/>
      <c r="L80" s="108">
        <v>14.81</v>
      </c>
      <c r="M80" s="108"/>
      <c r="N80" s="108"/>
      <c r="O80" s="108">
        <v>405.8</v>
      </c>
      <c r="P80" s="108" t="s">
        <v>193</v>
      </c>
      <c r="Q80" s="108"/>
      <c r="R80" s="108">
        <v>202.47</v>
      </c>
      <c r="S80" s="108" t="s">
        <v>287</v>
      </c>
    </row>
    <row r="81" spans="1:19">
      <c r="A81" s="107"/>
      <c r="B81" s="107"/>
      <c r="C81" s="107"/>
      <c r="D81" s="107"/>
      <c r="E81" s="107"/>
      <c r="F81" s="107"/>
      <c r="G81" s="107" t="s">
        <v>133</v>
      </c>
      <c r="H81" s="107"/>
      <c r="I81" s="108">
        <v>0</v>
      </c>
      <c r="J81" s="108"/>
      <c r="K81" s="108"/>
      <c r="L81" s="108">
        <v>803.91</v>
      </c>
      <c r="M81" s="108" t="s">
        <v>198</v>
      </c>
      <c r="N81" s="108"/>
      <c r="O81" s="108">
        <v>1183.8399999999999</v>
      </c>
      <c r="P81" s="108" t="s">
        <v>199</v>
      </c>
      <c r="Q81" s="108"/>
      <c r="R81" s="108">
        <v>0</v>
      </c>
      <c r="S81"/>
    </row>
    <row r="82" spans="1:19">
      <c r="A82" s="107"/>
      <c r="B82" s="107"/>
      <c r="C82" s="107"/>
      <c r="D82" s="107"/>
      <c r="E82" s="107"/>
      <c r="F82" s="107"/>
      <c r="G82" s="107" t="s">
        <v>200</v>
      </c>
      <c r="H82" s="107"/>
      <c r="I82" s="108">
        <v>0</v>
      </c>
      <c r="J82" s="108"/>
      <c r="K82" s="108"/>
      <c r="L82" s="108">
        <v>0</v>
      </c>
      <c r="M82" s="108"/>
      <c r="N82" s="108"/>
      <c r="O82" s="108">
        <v>17.100000000000001</v>
      </c>
      <c r="P82" s="108"/>
      <c r="Q82" s="108"/>
      <c r="R82" s="108">
        <v>0</v>
      </c>
      <c r="S82"/>
    </row>
    <row r="83" spans="1:19">
      <c r="A83" s="107"/>
      <c r="B83" s="107"/>
      <c r="C83" s="107"/>
      <c r="D83" s="107"/>
      <c r="E83" s="107"/>
      <c r="F83" s="107"/>
      <c r="G83" s="107" t="s">
        <v>134</v>
      </c>
      <c r="H83" s="107"/>
      <c r="I83" s="108">
        <v>25.29</v>
      </c>
      <c r="J83" s="108"/>
      <c r="K83" s="108"/>
      <c r="L83" s="108">
        <v>0</v>
      </c>
      <c r="M83" s="108"/>
      <c r="N83" s="108"/>
      <c r="O83" s="108">
        <v>41.66</v>
      </c>
      <c r="P83" s="108"/>
      <c r="Q83" s="108"/>
      <c r="R83" s="108">
        <v>0</v>
      </c>
      <c r="S83"/>
    </row>
    <row r="84" spans="1:19">
      <c r="A84" s="107"/>
      <c r="B84" s="107"/>
      <c r="C84" s="107"/>
      <c r="D84" s="107"/>
      <c r="E84" s="107"/>
      <c r="F84" s="107"/>
      <c r="G84" s="107" t="s">
        <v>201</v>
      </c>
      <c r="H84" s="107"/>
      <c r="I84" s="108">
        <v>8880.18</v>
      </c>
      <c r="J84" s="108" t="s">
        <v>202</v>
      </c>
      <c r="K84" s="108"/>
      <c r="L84" s="108">
        <v>3226.83</v>
      </c>
      <c r="M84" s="108" t="s">
        <v>203</v>
      </c>
      <c r="N84" s="108"/>
      <c r="O84" s="108">
        <v>15379.91</v>
      </c>
      <c r="P84" s="108" t="s">
        <v>204</v>
      </c>
      <c r="Q84" s="108"/>
      <c r="R84" s="108">
        <v>362</v>
      </c>
      <c r="S84"/>
    </row>
    <row r="85" spans="1:19">
      <c r="A85" s="107"/>
      <c r="B85" s="107"/>
      <c r="C85" s="107"/>
      <c r="D85" s="107"/>
      <c r="E85" s="107"/>
      <c r="F85" s="107"/>
      <c r="G85" s="107" t="s">
        <v>205</v>
      </c>
      <c r="H85" s="107"/>
      <c r="I85" s="108">
        <v>0</v>
      </c>
      <c r="J85" s="108"/>
      <c r="K85" s="108"/>
      <c r="L85" s="108">
        <v>0</v>
      </c>
      <c r="M85" s="108"/>
      <c r="N85" s="108"/>
      <c r="O85" s="108">
        <v>4.1399999999999997</v>
      </c>
      <c r="P85" s="108"/>
      <c r="Q85" s="108"/>
      <c r="R85" s="108">
        <v>0</v>
      </c>
      <c r="S85"/>
    </row>
    <row r="86" spans="1:19">
      <c r="A86" s="107"/>
      <c r="B86" s="107"/>
      <c r="C86" s="107"/>
      <c r="D86" s="107"/>
      <c r="E86" s="107"/>
      <c r="F86" s="107"/>
      <c r="G86" s="107" t="s">
        <v>206</v>
      </c>
      <c r="H86" s="107"/>
      <c r="I86" s="108">
        <v>0</v>
      </c>
      <c r="J86" s="108"/>
      <c r="K86" s="108"/>
      <c r="L86" s="108">
        <v>0</v>
      </c>
      <c r="M86" s="108"/>
      <c r="N86" s="108"/>
      <c r="O86" s="108">
        <v>0</v>
      </c>
      <c r="P86" s="108"/>
      <c r="Q86" s="108"/>
      <c r="R86" s="108">
        <v>0</v>
      </c>
      <c r="S86"/>
    </row>
    <row r="87" spans="1:19">
      <c r="A87" s="107"/>
      <c r="B87" s="107"/>
      <c r="C87" s="107"/>
      <c r="D87" s="107"/>
      <c r="E87" s="107"/>
      <c r="F87" s="107"/>
      <c r="G87" s="107" t="s">
        <v>207</v>
      </c>
      <c r="H87" s="107"/>
      <c r="I87" s="108">
        <v>59.72</v>
      </c>
      <c r="J87" s="108"/>
      <c r="K87" s="108"/>
      <c r="L87" s="108">
        <v>5.33</v>
      </c>
      <c r="M87" s="108"/>
      <c r="N87" s="108"/>
      <c r="O87" s="108">
        <v>2406.0500000000002</v>
      </c>
      <c r="P87" s="108" t="s">
        <v>208</v>
      </c>
      <c r="Q87" s="108"/>
      <c r="R87" s="108">
        <v>0</v>
      </c>
      <c r="S87"/>
    </row>
    <row r="88" spans="1:19" ht="16" thickBot="1">
      <c r="A88" s="107"/>
      <c r="B88" s="107"/>
      <c r="C88" s="107"/>
      <c r="D88" s="107"/>
      <c r="E88" s="107"/>
      <c r="F88" s="107"/>
      <c r="G88" s="107" t="s">
        <v>209</v>
      </c>
      <c r="H88" s="107"/>
      <c r="I88" s="109">
        <v>371.65</v>
      </c>
      <c r="J88" s="109"/>
      <c r="K88" s="109"/>
      <c r="L88" s="109">
        <v>2877.12</v>
      </c>
      <c r="M88" s="109" t="s">
        <v>210</v>
      </c>
      <c r="N88" s="109"/>
      <c r="O88" s="109">
        <v>15072.7</v>
      </c>
      <c r="P88" s="109" t="s">
        <v>211</v>
      </c>
      <c r="Q88" s="109"/>
      <c r="R88" s="109">
        <v>138.5</v>
      </c>
      <c r="S88"/>
    </row>
    <row r="89" spans="1:19">
      <c r="A89" s="107"/>
      <c r="B89" s="107"/>
      <c r="C89" s="107"/>
      <c r="D89" s="107"/>
      <c r="E89" s="107"/>
      <c r="F89" s="107" t="s">
        <v>135</v>
      </c>
      <c r="G89" s="107"/>
      <c r="H89" s="107"/>
      <c r="I89" s="108">
        <f>ROUND(SUM(I73:I88),5)</f>
        <v>21338.25</v>
      </c>
      <c r="J89" s="108"/>
      <c r="K89" s="108"/>
      <c r="L89" s="108">
        <f>ROUND(SUM(L73:L88),5)</f>
        <v>36852.17</v>
      </c>
      <c r="M89" s="108"/>
      <c r="N89" s="108"/>
      <c r="O89" s="108">
        <f>ROUND(SUM(O73:O88),5)</f>
        <v>242683.94</v>
      </c>
      <c r="P89" s="108"/>
      <c r="Q89" s="108"/>
      <c r="R89" s="108">
        <f>ROUND(SUM(R73:R88),5)</f>
        <v>2039.91</v>
      </c>
      <c r="S89"/>
    </row>
    <row r="90" spans="1:19" ht="16" thickBot="1">
      <c r="A90" s="107"/>
      <c r="B90" s="107"/>
      <c r="C90" s="107"/>
      <c r="D90" s="107"/>
      <c r="E90" s="107"/>
      <c r="F90" s="107" t="s">
        <v>212</v>
      </c>
      <c r="G90" s="107"/>
      <c r="H90" s="107"/>
      <c r="I90" s="109">
        <v>0</v>
      </c>
      <c r="J90" s="109"/>
      <c r="K90" s="109"/>
      <c r="L90" s="109">
        <v>0</v>
      </c>
      <c r="M90" s="109"/>
      <c r="N90" s="109"/>
      <c r="O90" s="109">
        <v>0</v>
      </c>
      <c r="P90" s="109"/>
      <c r="Q90" s="109"/>
      <c r="R90" s="109">
        <v>0</v>
      </c>
      <c r="S90"/>
    </row>
    <row r="91" spans="1:19" ht="16" thickBot="1">
      <c r="A91" s="107"/>
      <c r="B91" s="107"/>
      <c r="C91" s="107"/>
      <c r="D91" s="107"/>
      <c r="E91" s="107" t="s">
        <v>213</v>
      </c>
      <c r="F91" s="107"/>
      <c r="G91" s="107"/>
      <c r="H91" s="107"/>
      <c r="I91" s="108">
        <f>ROUND(I48+I54+I62+I67+I72+SUM(I89:I90),5)</f>
        <v>41980.07</v>
      </c>
      <c r="J91" s="108"/>
      <c r="K91" s="108"/>
      <c r="L91" s="108">
        <f>ROUND(L48+L54+L62+L67+L72+SUM(L89:L90),5)</f>
        <v>44684.81</v>
      </c>
      <c r="M91" s="108"/>
      <c r="N91" s="108"/>
      <c r="O91" s="108">
        <f>ROUND(O48+O54+O62+O67+O72+SUM(O89:O90),5)</f>
        <v>315781.03999999998</v>
      </c>
      <c r="P91" s="108"/>
      <c r="Q91" s="108"/>
      <c r="R91" s="108">
        <f>ROUND(R48+R54+R62+R67+R72+SUM(R89:R90),5)</f>
        <v>2857.2</v>
      </c>
      <c r="S91" s="115" t="s">
        <v>302</v>
      </c>
    </row>
    <row r="92" spans="1:19" ht="16" thickBot="1">
      <c r="A92" s="107"/>
      <c r="B92" s="107"/>
      <c r="C92" s="107"/>
      <c r="D92" s="107" t="s">
        <v>214</v>
      </c>
      <c r="E92" s="107"/>
      <c r="F92" s="107"/>
      <c r="G92" s="107"/>
      <c r="H92" s="107"/>
      <c r="I92" s="111">
        <f>ROUND(I8+I14+I21+I31+I40+I47+SUM(I91:I91),5)</f>
        <v>44984.61</v>
      </c>
      <c r="J92" s="111"/>
      <c r="K92" s="111"/>
      <c r="L92" s="111">
        <f>ROUND(L8+L14+L21+L31+L40+L47+SUM(L91:L91),5)</f>
        <v>47959.53</v>
      </c>
      <c r="M92" s="111"/>
      <c r="N92" s="111"/>
      <c r="O92" s="111">
        <f>ROUND(O8+O14+O21+O31+O40+O47+SUM(O91:O91),5)</f>
        <v>318318.46999999997</v>
      </c>
      <c r="P92" s="111"/>
      <c r="Q92" s="111"/>
      <c r="R92" s="111">
        <f>ROUND(R8+R14+R21+R31+R40+R47+SUM(R91:R91),5)</f>
        <v>3916.4</v>
      </c>
      <c r="S92" s="116">
        <f>SUM(I92:R92)</f>
        <v>415179.01</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workbookViewId="0">
      <selection activeCell="B5" sqref="B5"/>
    </sheetView>
  </sheetViews>
  <sheetFormatPr baseColWidth="10" defaultColWidth="8.83203125" defaultRowHeight="15" x14ac:dyDescent="0"/>
  <cols>
    <col min="5" max="5" width="36.5" customWidth="1"/>
  </cols>
  <sheetData>
    <row r="1" spans="1:13">
      <c r="A1" s="211" t="s">
        <v>223</v>
      </c>
    </row>
    <row r="2" spans="1:13">
      <c r="A2" s="211" t="s">
        <v>299</v>
      </c>
    </row>
    <row r="4" spans="1:13">
      <c r="A4" s="94" t="s">
        <v>224</v>
      </c>
      <c r="B4" s="94"/>
      <c r="C4" s="94"/>
      <c r="D4" s="94"/>
      <c r="E4" s="94"/>
      <c r="F4" s="94" t="s">
        <v>225</v>
      </c>
      <c r="G4" s="94"/>
      <c r="H4" s="94"/>
      <c r="I4" s="94"/>
      <c r="J4" s="94"/>
      <c r="K4" s="94"/>
      <c r="L4" s="94"/>
    </row>
    <row r="5" spans="1:13">
      <c r="A5" s="94" t="s">
        <v>95</v>
      </c>
      <c r="B5" s="94"/>
      <c r="C5" s="94"/>
      <c r="D5" s="94"/>
      <c r="E5" s="94"/>
      <c r="F5" s="94"/>
      <c r="G5" s="94"/>
      <c r="H5" s="94"/>
      <c r="I5" s="94"/>
      <c r="J5" s="94"/>
      <c r="K5" s="94"/>
      <c r="L5" s="94"/>
    </row>
    <row r="6" spans="1:13">
      <c r="A6" s="94" t="s">
        <v>226</v>
      </c>
      <c r="B6" s="94"/>
      <c r="C6" s="94"/>
      <c r="D6" s="94"/>
      <c r="E6" s="94"/>
      <c r="F6" s="94"/>
      <c r="G6" s="94"/>
      <c r="H6" s="94"/>
      <c r="I6" s="94"/>
      <c r="J6" s="94"/>
      <c r="K6" s="94"/>
      <c r="L6" s="94"/>
    </row>
    <row r="7" spans="1:13">
      <c r="A7" s="94"/>
      <c r="B7" s="94"/>
      <c r="C7" s="94"/>
      <c r="D7" s="94"/>
      <c r="E7" s="94"/>
      <c r="G7" s="118"/>
      <c r="H7" s="118"/>
      <c r="J7" s="118"/>
      <c r="K7" s="118"/>
      <c r="L7" s="118"/>
    </row>
    <row r="8" spans="1:13">
      <c r="A8" s="94"/>
      <c r="B8" s="94"/>
      <c r="C8" s="94"/>
      <c r="D8" s="94"/>
      <c r="E8" s="94"/>
      <c r="F8" s="118" t="s">
        <v>99</v>
      </c>
      <c r="G8" s="118" t="s">
        <v>20</v>
      </c>
      <c r="H8" s="118"/>
      <c r="I8" s="118" t="s">
        <v>101</v>
      </c>
      <c r="J8" s="118" t="s">
        <v>20</v>
      </c>
      <c r="K8" s="118"/>
      <c r="L8" s="118" t="s">
        <v>102</v>
      </c>
      <c r="M8" s="118" t="s">
        <v>20</v>
      </c>
    </row>
    <row r="9" spans="1:13">
      <c r="A9" s="94" t="s">
        <v>105</v>
      </c>
      <c r="B9" s="94"/>
      <c r="C9" s="94"/>
      <c r="D9" s="94"/>
      <c r="E9" s="94"/>
      <c r="F9" s="117"/>
      <c r="G9" s="117"/>
      <c r="H9" s="117"/>
      <c r="I9" s="117"/>
      <c r="J9" s="117"/>
      <c r="K9" s="117"/>
      <c r="L9" s="117"/>
    </row>
    <row r="10" spans="1:13">
      <c r="A10" s="94"/>
      <c r="B10" s="94" t="s">
        <v>75</v>
      </c>
      <c r="C10" s="94"/>
      <c r="D10" s="94"/>
      <c r="E10" s="94"/>
      <c r="F10" s="117"/>
      <c r="G10" s="117"/>
      <c r="H10" s="117"/>
      <c r="I10" s="117"/>
      <c r="J10" s="117"/>
      <c r="K10" s="117"/>
      <c r="L10" s="117"/>
    </row>
    <row r="11" spans="1:13">
      <c r="A11" s="94"/>
      <c r="B11" s="94"/>
      <c r="C11" s="94" t="s">
        <v>121</v>
      </c>
      <c r="D11" s="94"/>
      <c r="E11" s="94"/>
      <c r="F11" s="117">
        <v>0</v>
      </c>
      <c r="G11" s="117"/>
      <c r="H11" s="117"/>
      <c r="I11" s="117">
        <v>0</v>
      </c>
      <c r="J11" s="117"/>
      <c r="K11" s="117"/>
      <c r="L11" s="117">
        <v>0</v>
      </c>
    </row>
    <row r="12" spans="1:13">
      <c r="A12" s="94"/>
      <c r="B12" s="94"/>
      <c r="C12" s="94" t="s">
        <v>118</v>
      </c>
      <c r="D12" s="94"/>
      <c r="E12" s="94"/>
      <c r="F12" s="117">
        <v>0</v>
      </c>
      <c r="G12" s="117"/>
      <c r="H12" s="117"/>
      <c r="I12" s="117">
        <v>0</v>
      </c>
      <c r="J12" s="117"/>
      <c r="K12" s="117"/>
      <c r="L12" s="117">
        <v>0</v>
      </c>
    </row>
    <row r="13" spans="1:13">
      <c r="A13" s="94"/>
      <c r="B13" s="94"/>
      <c r="C13" s="94" t="s">
        <v>119</v>
      </c>
      <c r="D13" s="94"/>
      <c r="E13" s="94"/>
      <c r="F13" s="117">
        <v>0</v>
      </c>
      <c r="G13" s="117"/>
      <c r="H13" s="117"/>
      <c r="I13" s="117">
        <v>120</v>
      </c>
      <c r="J13" s="117"/>
      <c r="K13" s="117"/>
      <c r="L13" s="117">
        <v>1</v>
      </c>
    </row>
    <row r="14" spans="1:13">
      <c r="A14" s="94"/>
      <c r="B14" s="94"/>
      <c r="C14" s="94" t="s">
        <v>120</v>
      </c>
      <c r="D14" s="94"/>
      <c r="E14" s="94"/>
      <c r="F14" s="117">
        <v>0</v>
      </c>
      <c r="G14" s="117"/>
      <c r="H14" s="117"/>
      <c r="I14" s="117">
        <v>0</v>
      </c>
      <c r="J14" s="117"/>
      <c r="K14" s="117"/>
      <c r="L14" s="117">
        <v>0</v>
      </c>
    </row>
    <row r="15" spans="1:13">
      <c r="A15" s="94"/>
      <c r="B15" s="94"/>
      <c r="C15" s="94" t="s">
        <v>125</v>
      </c>
      <c r="D15" s="94"/>
      <c r="E15" s="94"/>
      <c r="F15" s="117">
        <v>0</v>
      </c>
      <c r="G15" s="117"/>
      <c r="H15" s="117"/>
      <c r="I15" s="117">
        <v>219</v>
      </c>
      <c r="J15" s="117"/>
      <c r="K15" s="117"/>
      <c r="L15" s="117">
        <v>8</v>
      </c>
    </row>
    <row r="16" spans="1:13">
      <c r="A16" s="94"/>
      <c r="B16" s="94"/>
      <c r="C16" s="94" t="s">
        <v>123</v>
      </c>
      <c r="D16" s="94"/>
      <c r="E16" s="94"/>
      <c r="F16" s="117">
        <v>0</v>
      </c>
      <c r="G16" s="117"/>
      <c r="H16" s="117"/>
      <c r="I16" s="117">
        <v>0</v>
      </c>
      <c r="J16" s="117"/>
      <c r="K16" s="117"/>
      <c r="L16" s="117">
        <v>0</v>
      </c>
    </row>
    <row r="17" spans="1:12">
      <c r="A17" s="94"/>
      <c r="B17" s="94" t="s">
        <v>127</v>
      </c>
      <c r="C17" s="94"/>
      <c r="D17" s="94"/>
      <c r="E17" s="94"/>
      <c r="F17" s="117">
        <v>0</v>
      </c>
      <c r="G17" s="117"/>
      <c r="H17" s="117"/>
      <c r="I17" s="117">
        <v>339</v>
      </c>
      <c r="J17" s="117"/>
      <c r="K17" s="117"/>
      <c r="L17" s="117">
        <v>9</v>
      </c>
    </row>
    <row r="18" spans="1:12">
      <c r="A18" s="94"/>
      <c r="B18" s="94" t="s">
        <v>76</v>
      </c>
      <c r="C18" s="94"/>
      <c r="D18" s="94"/>
      <c r="E18" s="94"/>
      <c r="F18" s="117"/>
      <c r="G18" s="117"/>
      <c r="H18" s="117"/>
      <c r="I18" s="117"/>
      <c r="J18" s="117"/>
      <c r="K18" s="117"/>
      <c r="L18" s="117"/>
    </row>
    <row r="19" spans="1:12">
      <c r="A19" s="94"/>
      <c r="B19" s="94"/>
      <c r="C19" s="94" t="s">
        <v>113</v>
      </c>
      <c r="D19" s="94"/>
      <c r="E19" s="94"/>
      <c r="F19" s="117">
        <v>0</v>
      </c>
      <c r="G19" s="117"/>
      <c r="H19" s="117"/>
      <c r="I19" s="117">
        <v>0</v>
      </c>
      <c r="J19" s="117"/>
      <c r="K19" s="117"/>
      <c r="L19" s="117">
        <v>0</v>
      </c>
    </row>
    <row r="20" spans="1:12">
      <c r="A20" s="94"/>
      <c r="B20" s="94"/>
      <c r="C20" s="94" t="s">
        <v>115</v>
      </c>
      <c r="D20" s="94"/>
      <c r="E20" s="94"/>
      <c r="F20" s="117">
        <v>0</v>
      </c>
      <c r="G20" s="117"/>
      <c r="H20" s="117"/>
      <c r="I20" s="117">
        <v>0</v>
      </c>
      <c r="J20" s="117"/>
      <c r="K20" s="117"/>
      <c r="L20" s="117">
        <v>0</v>
      </c>
    </row>
    <row r="21" spans="1:12">
      <c r="A21" s="94"/>
      <c r="B21" s="94"/>
      <c r="C21" s="94" t="s">
        <v>114</v>
      </c>
      <c r="D21" s="94"/>
      <c r="E21" s="94"/>
      <c r="F21" s="117">
        <v>0</v>
      </c>
      <c r="G21" s="117"/>
      <c r="H21" s="117"/>
      <c r="I21" s="117">
        <v>0</v>
      </c>
      <c r="J21" s="117"/>
      <c r="K21" s="117"/>
      <c r="L21" s="117">
        <v>0</v>
      </c>
    </row>
    <row r="22" spans="1:12">
      <c r="A22" s="94"/>
      <c r="B22" s="94" t="s">
        <v>117</v>
      </c>
      <c r="C22" s="94"/>
      <c r="D22" s="94"/>
      <c r="E22" s="94"/>
      <c r="F22" s="117">
        <v>0</v>
      </c>
      <c r="G22" s="117"/>
      <c r="H22" s="117"/>
      <c r="I22" s="117">
        <v>0</v>
      </c>
      <c r="J22" s="117"/>
      <c r="K22" s="117"/>
      <c r="L22" s="117">
        <v>0</v>
      </c>
    </row>
    <row r="23" spans="1:12">
      <c r="A23" s="94"/>
      <c r="B23" s="94" t="s">
        <v>106</v>
      </c>
      <c r="C23" s="94"/>
      <c r="D23" s="94"/>
      <c r="E23" s="94"/>
      <c r="F23" s="117"/>
      <c r="G23" s="117"/>
      <c r="H23" s="117"/>
      <c r="I23" s="117"/>
      <c r="J23" s="117"/>
      <c r="K23" s="117"/>
      <c r="L23" s="117"/>
    </row>
    <row r="24" spans="1:12">
      <c r="A24" s="94"/>
      <c r="B24" s="94"/>
      <c r="C24" s="94" t="s">
        <v>107</v>
      </c>
      <c r="D24" s="94"/>
      <c r="E24" s="94"/>
      <c r="F24" s="117">
        <v>0</v>
      </c>
      <c r="G24" s="117"/>
      <c r="H24" s="117"/>
      <c r="I24" s="117">
        <v>0</v>
      </c>
      <c r="J24" s="117"/>
      <c r="K24" s="117"/>
      <c r="L24" s="117">
        <v>0</v>
      </c>
    </row>
    <row r="25" spans="1:12">
      <c r="A25" s="94"/>
      <c r="B25" s="94"/>
      <c r="C25" s="94" t="s">
        <v>109</v>
      </c>
      <c r="D25" s="94"/>
      <c r="E25" s="94"/>
      <c r="F25" s="117">
        <v>0</v>
      </c>
      <c r="G25" s="117"/>
      <c r="H25" s="117"/>
      <c r="I25" s="117">
        <v>0</v>
      </c>
      <c r="J25" s="117"/>
      <c r="K25" s="117"/>
      <c r="L25" s="117">
        <v>0</v>
      </c>
    </row>
    <row r="26" spans="1:12">
      <c r="A26" s="94"/>
      <c r="B26" s="94"/>
      <c r="C26" s="94" t="s">
        <v>110</v>
      </c>
      <c r="D26" s="94"/>
      <c r="E26" s="94"/>
      <c r="F26" s="117">
        <v>0</v>
      </c>
      <c r="G26" s="117"/>
      <c r="H26" s="117"/>
      <c r="I26" s="117">
        <v>0</v>
      </c>
      <c r="J26" s="117"/>
      <c r="K26" s="117"/>
      <c r="L26" s="117">
        <v>0</v>
      </c>
    </row>
    <row r="27" spans="1:12">
      <c r="A27" s="94"/>
      <c r="B27" s="94"/>
      <c r="C27" s="94" t="s">
        <v>108</v>
      </c>
      <c r="D27" s="94"/>
      <c r="E27" s="94"/>
      <c r="F27" s="117">
        <v>0</v>
      </c>
      <c r="G27" s="117"/>
      <c r="H27" s="117"/>
      <c r="I27" s="117">
        <v>0</v>
      </c>
      <c r="J27" s="117"/>
      <c r="K27" s="117"/>
      <c r="L27" s="117">
        <v>0</v>
      </c>
    </row>
    <row r="28" spans="1:12">
      <c r="A28" s="94"/>
      <c r="B28" s="94" t="s">
        <v>111</v>
      </c>
      <c r="C28" s="94"/>
      <c r="D28" s="94"/>
      <c r="E28" s="94"/>
      <c r="F28" s="117">
        <v>0</v>
      </c>
      <c r="G28" s="117"/>
      <c r="H28" s="117"/>
      <c r="I28" s="117">
        <v>0</v>
      </c>
      <c r="J28" s="117"/>
      <c r="K28" s="117"/>
      <c r="L28" s="117">
        <v>0</v>
      </c>
    </row>
    <row r="29" spans="1:12">
      <c r="A29" s="94"/>
      <c r="B29" s="94" t="s">
        <v>77</v>
      </c>
      <c r="C29" s="94"/>
      <c r="D29" s="94"/>
      <c r="E29" s="94"/>
      <c r="F29" s="117"/>
      <c r="G29" s="117"/>
      <c r="H29" s="117"/>
      <c r="I29" s="117"/>
      <c r="J29" s="117"/>
      <c r="K29" s="117"/>
      <c r="L29" s="117"/>
    </row>
    <row r="30" spans="1:12">
      <c r="A30" s="94"/>
      <c r="B30" s="94"/>
      <c r="C30" s="94" t="s">
        <v>118</v>
      </c>
      <c r="D30" s="94"/>
      <c r="E30" s="94"/>
      <c r="F30" s="117">
        <v>0</v>
      </c>
      <c r="G30" s="117"/>
      <c r="H30" s="117"/>
      <c r="I30" s="117">
        <v>0</v>
      </c>
      <c r="J30" s="117"/>
      <c r="K30" s="117"/>
      <c r="L30" s="117">
        <v>0</v>
      </c>
    </row>
    <row r="31" spans="1:12">
      <c r="A31" s="94"/>
      <c r="B31" s="94"/>
      <c r="C31" s="94" t="s">
        <v>119</v>
      </c>
      <c r="D31" s="94"/>
      <c r="E31" s="94"/>
      <c r="F31" s="117">
        <v>0</v>
      </c>
      <c r="G31" s="117"/>
      <c r="H31" s="117"/>
      <c r="I31" s="117">
        <v>0</v>
      </c>
      <c r="J31" s="117"/>
      <c r="K31" s="117"/>
      <c r="L31" s="117">
        <v>0</v>
      </c>
    </row>
    <row r="32" spans="1:12">
      <c r="A32" s="94"/>
      <c r="B32" s="94"/>
      <c r="C32" s="94" t="s">
        <v>125</v>
      </c>
      <c r="D32" s="94"/>
      <c r="E32" s="94"/>
      <c r="F32" s="117">
        <v>0</v>
      </c>
      <c r="G32" s="117"/>
      <c r="H32" s="117"/>
      <c r="I32" s="117">
        <v>0</v>
      </c>
      <c r="J32" s="117"/>
      <c r="K32" s="117"/>
      <c r="L32" s="117">
        <v>0</v>
      </c>
    </row>
    <row r="33" spans="1:13">
      <c r="A33" s="94"/>
      <c r="B33" s="94"/>
      <c r="C33" s="94" t="s">
        <v>123</v>
      </c>
      <c r="D33" s="94"/>
      <c r="E33" s="94"/>
      <c r="F33" s="117">
        <v>0</v>
      </c>
      <c r="G33" s="117"/>
      <c r="H33" s="117"/>
      <c r="I33" s="117">
        <v>0</v>
      </c>
      <c r="J33" s="117"/>
      <c r="K33" s="117"/>
      <c r="L33" s="117">
        <v>0</v>
      </c>
    </row>
    <row r="34" spans="1:13">
      <c r="A34" s="94"/>
      <c r="B34" s="94" t="s">
        <v>128</v>
      </c>
      <c r="C34" s="94"/>
      <c r="D34" s="94"/>
      <c r="E34" s="94"/>
      <c r="F34" s="117">
        <v>0</v>
      </c>
      <c r="G34" s="117"/>
      <c r="H34" s="117"/>
      <c r="I34" s="117">
        <v>0</v>
      </c>
      <c r="J34" s="117"/>
      <c r="K34" s="117"/>
      <c r="L34" s="117">
        <v>0</v>
      </c>
    </row>
    <row r="35" spans="1:13">
      <c r="A35" s="94"/>
      <c r="B35" s="94" t="s">
        <v>227</v>
      </c>
      <c r="C35" s="94"/>
      <c r="D35" s="94"/>
      <c r="E35" s="94"/>
      <c r="F35" s="117"/>
      <c r="G35" s="117"/>
      <c r="H35" s="117"/>
      <c r="I35" s="117"/>
      <c r="J35" s="117"/>
      <c r="K35" s="117"/>
      <c r="L35" s="117"/>
    </row>
    <row r="36" spans="1:13">
      <c r="A36" s="94"/>
      <c r="B36" s="94"/>
      <c r="C36" s="94" t="s">
        <v>129</v>
      </c>
      <c r="D36" s="94"/>
      <c r="E36" s="94"/>
      <c r="F36" s="117"/>
      <c r="G36" s="117"/>
      <c r="H36" s="117"/>
      <c r="I36" s="117"/>
      <c r="J36" s="117"/>
      <c r="K36" s="117"/>
      <c r="L36" s="117"/>
    </row>
    <row r="37" spans="1:13">
      <c r="A37" s="94"/>
      <c r="B37" s="94"/>
      <c r="C37" s="94"/>
      <c r="D37" s="94" t="s">
        <v>130</v>
      </c>
      <c r="E37" s="94"/>
      <c r="F37" s="117">
        <v>854</v>
      </c>
      <c r="G37" s="119" t="s">
        <v>184</v>
      </c>
      <c r="H37" s="117"/>
      <c r="I37" s="117">
        <v>18300</v>
      </c>
      <c r="J37" s="117" t="s">
        <v>228</v>
      </c>
      <c r="K37" s="117"/>
      <c r="L37" s="117">
        <v>859</v>
      </c>
      <c r="M37" t="s">
        <v>229</v>
      </c>
    </row>
    <row r="38" spans="1:13">
      <c r="A38" s="94"/>
      <c r="B38" s="94"/>
      <c r="C38" s="94"/>
      <c r="D38" s="94" t="s">
        <v>133</v>
      </c>
      <c r="E38" s="94"/>
      <c r="F38" s="117">
        <v>911</v>
      </c>
      <c r="G38" s="117" t="s">
        <v>230</v>
      </c>
      <c r="H38" s="117"/>
      <c r="I38" s="117">
        <v>0</v>
      </c>
      <c r="J38" s="117"/>
      <c r="K38" s="117"/>
      <c r="L38" s="117">
        <v>519</v>
      </c>
      <c r="M38" t="s">
        <v>231</v>
      </c>
    </row>
    <row r="39" spans="1:13">
      <c r="A39" s="94"/>
      <c r="B39" s="94"/>
      <c r="C39" s="94"/>
      <c r="D39" s="94" t="s">
        <v>134</v>
      </c>
      <c r="E39" s="94"/>
      <c r="F39" s="117">
        <v>67</v>
      </c>
      <c r="G39" s="117"/>
      <c r="H39" s="117"/>
      <c r="I39" s="117">
        <v>0</v>
      </c>
      <c r="J39" s="117"/>
      <c r="K39" s="117"/>
      <c r="L39" s="117">
        <v>47</v>
      </c>
    </row>
    <row r="40" spans="1:13">
      <c r="A40" s="94"/>
      <c r="B40" s="94"/>
      <c r="C40" s="94"/>
      <c r="D40" s="94" t="s">
        <v>188</v>
      </c>
      <c r="E40" s="94"/>
      <c r="F40" s="117">
        <v>0</v>
      </c>
      <c r="G40" s="117"/>
      <c r="H40" s="117"/>
      <c r="I40" s="117">
        <v>36403</v>
      </c>
      <c r="J40" s="117" t="s">
        <v>232</v>
      </c>
      <c r="K40" s="117"/>
      <c r="L40" s="117">
        <v>22337</v>
      </c>
      <c r="M40" t="s">
        <v>233</v>
      </c>
    </row>
    <row r="41" spans="1:13">
      <c r="A41" s="94"/>
      <c r="B41" s="94"/>
      <c r="C41" s="94"/>
      <c r="D41" s="94" t="s">
        <v>201</v>
      </c>
      <c r="E41" s="94"/>
      <c r="F41" s="117">
        <v>0</v>
      </c>
      <c r="G41" s="117"/>
      <c r="H41" s="117"/>
      <c r="I41" s="117">
        <v>2056</v>
      </c>
      <c r="J41" s="117" t="s">
        <v>234</v>
      </c>
      <c r="K41" s="117"/>
      <c r="L41" s="117">
        <v>728</v>
      </c>
      <c r="M41" s="117" t="s">
        <v>235</v>
      </c>
    </row>
    <row r="42" spans="1:13">
      <c r="A42" s="94"/>
      <c r="B42" s="94"/>
      <c r="C42" s="94"/>
      <c r="D42" s="94" t="s">
        <v>186</v>
      </c>
      <c r="E42" s="94"/>
      <c r="F42" s="117">
        <v>0</v>
      </c>
      <c r="G42" s="117"/>
      <c r="H42" s="117"/>
      <c r="I42" s="117">
        <v>0</v>
      </c>
      <c r="J42" s="117"/>
      <c r="K42" s="117"/>
      <c r="L42" s="117">
        <v>130</v>
      </c>
    </row>
    <row r="43" spans="1:13">
      <c r="A43" s="94"/>
      <c r="B43" s="94"/>
      <c r="C43" s="94"/>
      <c r="D43" s="94" t="s">
        <v>209</v>
      </c>
      <c r="E43" s="94"/>
      <c r="F43" s="117">
        <v>65</v>
      </c>
      <c r="G43" s="117"/>
      <c r="H43" s="117"/>
      <c r="I43" s="117">
        <v>3911</v>
      </c>
      <c r="J43" s="117" t="s">
        <v>236</v>
      </c>
      <c r="K43" s="117"/>
      <c r="L43" s="117">
        <v>981</v>
      </c>
      <c r="M43" s="117" t="s">
        <v>237</v>
      </c>
    </row>
    <row r="44" spans="1:13">
      <c r="A44" s="94"/>
      <c r="B44" s="94"/>
      <c r="C44" s="94"/>
      <c r="D44" s="94" t="s">
        <v>205</v>
      </c>
      <c r="E44" s="94"/>
      <c r="F44" s="117">
        <v>0</v>
      </c>
      <c r="G44" s="117"/>
      <c r="H44" s="117"/>
      <c r="I44" s="117">
        <v>0</v>
      </c>
      <c r="J44" s="117"/>
      <c r="K44" s="117"/>
      <c r="L44" s="117">
        <v>0</v>
      </c>
    </row>
    <row r="45" spans="1:13">
      <c r="A45" s="94"/>
      <c r="B45" s="94"/>
      <c r="C45" s="94"/>
      <c r="D45" s="94" t="s">
        <v>191</v>
      </c>
      <c r="E45" s="94"/>
      <c r="F45" s="117">
        <v>0</v>
      </c>
      <c r="G45" s="117"/>
      <c r="H45" s="117"/>
      <c r="I45" s="117">
        <v>1764</v>
      </c>
      <c r="J45" s="117" t="s">
        <v>238</v>
      </c>
      <c r="K45" s="117"/>
      <c r="L45" s="117">
        <v>353</v>
      </c>
    </row>
    <row r="46" spans="1:13">
      <c r="A46" s="94"/>
      <c r="B46" s="94"/>
      <c r="C46" s="94"/>
      <c r="D46" s="94" t="s">
        <v>196</v>
      </c>
      <c r="E46" s="94"/>
      <c r="F46" s="117">
        <v>237</v>
      </c>
      <c r="G46" s="117"/>
      <c r="H46" s="117"/>
      <c r="I46" s="117">
        <v>4905</v>
      </c>
      <c r="J46" s="117" t="s">
        <v>239</v>
      </c>
      <c r="K46" s="117"/>
      <c r="L46" s="117">
        <v>30</v>
      </c>
    </row>
    <row r="47" spans="1:13">
      <c r="A47" s="94"/>
      <c r="B47" s="94"/>
      <c r="C47" s="94"/>
      <c r="D47" s="94" t="s">
        <v>194</v>
      </c>
      <c r="E47" s="94"/>
      <c r="F47" s="117">
        <v>59</v>
      </c>
      <c r="G47" s="117"/>
      <c r="H47" s="117"/>
      <c r="I47" s="117">
        <v>197</v>
      </c>
      <c r="J47" s="117"/>
      <c r="K47" s="117"/>
      <c r="L47" s="117">
        <v>310</v>
      </c>
    </row>
    <row r="48" spans="1:13">
      <c r="A48" s="94"/>
      <c r="B48" s="94"/>
      <c r="C48" s="94" t="s">
        <v>135</v>
      </c>
      <c r="D48" s="94"/>
      <c r="E48" s="94"/>
      <c r="F48" s="117">
        <v>2193</v>
      </c>
      <c r="G48" s="117"/>
      <c r="H48" s="117"/>
      <c r="I48" s="117">
        <v>67536</v>
      </c>
      <c r="J48" s="117"/>
      <c r="K48" s="117"/>
      <c r="L48" s="117">
        <v>26294</v>
      </c>
    </row>
    <row r="49" spans="1:13">
      <c r="A49" s="94"/>
      <c r="B49" s="94"/>
      <c r="C49" s="94" t="s">
        <v>147</v>
      </c>
      <c r="D49" s="94"/>
      <c r="E49" s="94"/>
      <c r="F49" s="117"/>
      <c r="G49" s="117"/>
      <c r="H49" s="117"/>
      <c r="I49" s="117"/>
      <c r="J49" s="117"/>
      <c r="K49" s="117"/>
      <c r="L49" s="117"/>
    </row>
    <row r="50" spans="1:13">
      <c r="A50" s="94"/>
      <c r="B50" s="94"/>
      <c r="C50" s="94"/>
      <c r="D50" s="94" t="s">
        <v>156</v>
      </c>
      <c r="E50" s="94"/>
      <c r="F50" s="117">
        <v>978</v>
      </c>
      <c r="G50" s="117" t="s">
        <v>240</v>
      </c>
      <c r="H50" s="117"/>
      <c r="I50" s="117">
        <v>272</v>
      </c>
      <c r="J50" s="117"/>
      <c r="K50" s="117"/>
      <c r="L50" s="117">
        <v>4512</v>
      </c>
      <c r="M50" t="s">
        <v>241</v>
      </c>
    </row>
    <row r="51" spans="1:13">
      <c r="A51" s="94"/>
      <c r="B51" s="94"/>
      <c r="C51" s="94"/>
      <c r="D51" s="94" t="s">
        <v>150</v>
      </c>
      <c r="E51" s="94"/>
      <c r="F51" s="117">
        <v>1709</v>
      </c>
      <c r="G51" s="117" t="s">
        <v>242</v>
      </c>
      <c r="H51" s="117"/>
      <c r="I51" s="117">
        <v>294</v>
      </c>
      <c r="J51" s="117"/>
      <c r="K51" s="117"/>
      <c r="L51" s="117">
        <v>136</v>
      </c>
    </row>
    <row r="52" spans="1:13">
      <c r="A52" s="94"/>
      <c r="B52" s="94"/>
      <c r="C52" s="94"/>
      <c r="D52" s="94" t="s">
        <v>159</v>
      </c>
      <c r="E52" s="94"/>
      <c r="F52" s="117">
        <v>54</v>
      </c>
      <c r="G52" s="117"/>
      <c r="H52" s="117"/>
      <c r="I52" s="117">
        <v>123</v>
      </c>
      <c r="J52" s="117"/>
      <c r="K52" s="117"/>
      <c r="L52" s="117">
        <v>21</v>
      </c>
    </row>
    <row r="53" spans="1:13">
      <c r="A53" s="94"/>
      <c r="B53" s="94"/>
      <c r="C53" s="94"/>
      <c r="D53" s="94" t="s">
        <v>152</v>
      </c>
      <c r="E53" s="94"/>
      <c r="F53" s="117">
        <v>77</v>
      </c>
      <c r="G53" s="117"/>
      <c r="H53" s="117"/>
      <c r="I53" s="117">
        <v>0</v>
      </c>
      <c r="J53" s="117"/>
      <c r="K53" s="117"/>
      <c r="L53" s="117">
        <v>93</v>
      </c>
    </row>
    <row r="54" spans="1:13">
      <c r="A54" s="94"/>
      <c r="B54" s="94"/>
      <c r="C54" s="94"/>
      <c r="D54" s="94" t="s">
        <v>154</v>
      </c>
      <c r="E54" s="94"/>
      <c r="F54" s="117">
        <v>0</v>
      </c>
      <c r="G54" s="117"/>
      <c r="H54" s="117"/>
      <c r="I54" s="117">
        <v>0</v>
      </c>
      <c r="J54" s="117"/>
      <c r="K54" s="117"/>
      <c r="L54" s="117">
        <v>134</v>
      </c>
    </row>
    <row r="55" spans="1:13">
      <c r="A55" s="94"/>
      <c r="B55" s="94"/>
      <c r="C55" s="94" t="s">
        <v>161</v>
      </c>
      <c r="D55" s="94"/>
      <c r="E55" s="94"/>
      <c r="F55" s="117">
        <v>2818</v>
      </c>
      <c r="G55" s="117"/>
      <c r="H55" s="117"/>
      <c r="I55" s="117">
        <v>689</v>
      </c>
      <c r="J55" s="117"/>
      <c r="K55" s="117"/>
      <c r="L55" s="117">
        <v>4896</v>
      </c>
    </row>
    <row r="56" spans="1:13">
      <c r="A56" s="94"/>
      <c r="B56" s="94"/>
      <c r="C56" s="94" t="s">
        <v>137</v>
      </c>
      <c r="D56" s="94"/>
      <c r="E56" s="94"/>
      <c r="F56" s="117"/>
      <c r="G56" s="117"/>
      <c r="H56" s="117"/>
      <c r="I56" s="117"/>
      <c r="J56" s="117"/>
      <c r="K56" s="117"/>
      <c r="L56" s="117"/>
    </row>
    <row r="57" spans="1:13">
      <c r="A57" s="94"/>
      <c r="B57" s="94"/>
      <c r="C57" s="94"/>
      <c r="D57" s="94" t="s">
        <v>138</v>
      </c>
      <c r="E57" s="94"/>
      <c r="F57" s="117">
        <v>0</v>
      </c>
      <c r="G57" s="117"/>
      <c r="H57" s="117"/>
      <c r="I57" s="117">
        <v>0</v>
      </c>
      <c r="J57" s="117"/>
      <c r="K57" s="117"/>
      <c r="L57" s="117">
        <v>189</v>
      </c>
    </row>
    <row r="58" spans="1:13">
      <c r="A58" s="94"/>
      <c r="B58" s="94"/>
      <c r="C58" s="94"/>
      <c r="D58" s="94" t="s">
        <v>141</v>
      </c>
      <c r="E58" s="94"/>
      <c r="F58" s="117">
        <v>0</v>
      </c>
      <c r="G58" s="117"/>
      <c r="H58" s="117"/>
      <c r="I58" s="117">
        <v>552</v>
      </c>
      <c r="J58" s="117" t="s">
        <v>243</v>
      </c>
      <c r="K58" s="117"/>
      <c r="L58" s="117">
        <v>424</v>
      </c>
    </row>
    <row r="59" spans="1:13">
      <c r="A59" s="94"/>
      <c r="B59" s="94"/>
      <c r="C59" s="94"/>
      <c r="D59" s="94" t="s">
        <v>144</v>
      </c>
      <c r="E59" s="94"/>
      <c r="F59" s="117">
        <v>0</v>
      </c>
      <c r="G59" s="117"/>
      <c r="H59" s="117"/>
      <c r="I59" s="117">
        <v>0</v>
      </c>
      <c r="J59" s="117"/>
      <c r="K59" s="117"/>
      <c r="L59" s="117">
        <v>458</v>
      </c>
    </row>
    <row r="60" spans="1:13">
      <c r="A60" s="94"/>
      <c r="B60" s="94"/>
      <c r="C60" s="94"/>
      <c r="D60" s="94" t="s">
        <v>143</v>
      </c>
      <c r="E60" s="94"/>
      <c r="F60" s="117">
        <v>20</v>
      </c>
      <c r="G60" s="117"/>
      <c r="H60" s="117"/>
      <c r="I60" s="117">
        <v>0</v>
      </c>
      <c r="J60" s="117"/>
      <c r="K60" s="117"/>
      <c r="L60" s="117">
        <v>0</v>
      </c>
    </row>
    <row r="61" spans="1:13">
      <c r="A61" s="94"/>
      <c r="B61" s="94"/>
      <c r="C61" s="94" t="s">
        <v>146</v>
      </c>
      <c r="D61" s="94"/>
      <c r="E61" s="94"/>
      <c r="F61" s="117">
        <v>20</v>
      </c>
      <c r="G61" s="117"/>
      <c r="H61" s="117"/>
      <c r="I61" s="117">
        <v>552</v>
      </c>
      <c r="J61" s="117"/>
      <c r="K61" s="117"/>
      <c r="L61" s="117">
        <v>1071</v>
      </c>
    </row>
    <row r="62" spans="1:13">
      <c r="A62" s="94"/>
      <c r="B62" s="94"/>
      <c r="C62" s="94" t="s">
        <v>172</v>
      </c>
      <c r="D62" s="94"/>
      <c r="E62" s="94"/>
      <c r="F62" s="117"/>
      <c r="G62" s="117"/>
      <c r="H62" s="117"/>
      <c r="I62" s="117"/>
      <c r="J62" s="117"/>
      <c r="K62" s="117"/>
      <c r="L62" s="117"/>
    </row>
    <row r="63" spans="1:13">
      <c r="A63" s="94"/>
      <c r="B63" s="94"/>
      <c r="C63" s="94"/>
      <c r="D63" s="94" t="s">
        <v>175</v>
      </c>
      <c r="E63" s="94"/>
      <c r="F63" s="117">
        <v>0</v>
      </c>
      <c r="G63" s="117"/>
      <c r="H63" s="117"/>
      <c r="I63" s="117">
        <v>4500</v>
      </c>
      <c r="J63" s="117" t="s">
        <v>244</v>
      </c>
      <c r="K63" s="117"/>
      <c r="L63" s="117">
        <v>0</v>
      </c>
    </row>
    <row r="64" spans="1:13">
      <c r="A64" s="94"/>
      <c r="B64" s="94"/>
      <c r="C64" s="94"/>
      <c r="D64" s="94" t="s">
        <v>173</v>
      </c>
      <c r="E64" s="94"/>
      <c r="F64" s="117">
        <v>0</v>
      </c>
      <c r="G64" s="117"/>
      <c r="H64" s="117"/>
      <c r="I64" s="117">
        <v>0</v>
      </c>
      <c r="J64" s="117"/>
      <c r="K64" s="117"/>
      <c r="L64" s="117">
        <v>0</v>
      </c>
    </row>
    <row r="65" spans="1:13">
      <c r="A65" s="94"/>
      <c r="B65" s="94"/>
      <c r="C65" s="94"/>
      <c r="D65" s="94" t="s">
        <v>179</v>
      </c>
      <c r="E65" s="94"/>
      <c r="F65" s="117">
        <v>0</v>
      </c>
      <c r="G65" s="117"/>
      <c r="H65" s="117"/>
      <c r="I65" s="117">
        <v>122</v>
      </c>
      <c r="J65" s="117"/>
      <c r="K65" s="117"/>
      <c r="L65" s="117">
        <v>415</v>
      </c>
    </row>
    <row r="66" spans="1:13">
      <c r="A66" s="94"/>
      <c r="B66" s="94"/>
      <c r="C66" s="94" t="s">
        <v>182</v>
      </c>
      <c r="D66" s="94"/>
      <c r="E66" s="94"/>
      <c r="F66" s="117">
        <v>0</v>
      </c>
      <c r="G66" s="117"/>
      <c r="H66" s="117"/>
      <c r="I66" s="117">
        <v>4622</v>
      </c>
      <c r="J66" s="117"/>
      <c r="K66" s="117"/>
      <c r="L66" s="117">
        <v>415</v>
      </c>
    </row>
    <row r="67" spans="1:13">
      <c r="A67" s="94"/>
      <c r="B67" s="94"/>
      <c r="C67" s="94" t="s">
        <v>162</v>
      </c>
      <c r="D67" s="94"/>
      <c r="E67" s="94"/>
      <c r="F67" s="117"/>
      <c r="G67" s="117"/>
      <c r="H67" s="117"/>
      <c r="I67" s="117"/>
      <c r="J67" s="117"/>
      <c r="K67" s="117"/>
      <c r="L67" s="117"/>
    </row>
    <row r="68" spans="1:13">
      <c r="A68" s="94"/>
      <c r="B68" s="94"/>
      <c r="C68" s="94"/>
      <c r="D68" s="94" t="s">
        <v>163</v>
      </c>
      <c r="E68" s="94"/>
      <c r="F68" s="117">
        <v>2647</v>
      </c>
      <c r="G68" s="117" t="s">
        <v>245</v>
      </c>
      <c r="H68" s="117"/>
      <c r="I68" s="117">
        <v>9343</v>
      </c>
      <c r="J68" s="117" t="s">
        <v>246</v>
      </c>
      <c r="K68" s="117"/>
      <c r="L68" s="117">
        <v>0</v>
      </c>
    </row>
    <row r="69" spans="1:13">
      <c r="A69" s="94"/>
      <c r="B69" s="94"/>
      <c r="C69" s="94"/>
      <c r="D69" s="94" t="s">
        <v>167</v>
      </c>
      <c r="E69" s="94"/>
      <c r="F69" s="117">
        <v>0</v>
      </c>
      <c r="G69" s="117"/>
      <c r="H69" s="117"/>
      <c r="I69" s="117">
        <v>32</v>
      </c>
      <c r="J69" s="117"/>
      <c r="K69" s="117"/>
      <c r="L69" s="117">
        <v>750</v>
      </c>
      <c r="M69" t="s">
        <v>247</v>
      </c>
    </row>
    <row r="70" spans="1:13">
      <c r="A70" s="94"/>
      <c r="B70" s="94"/>
      <c r="C70" s="94"/>
      <c r="D70" s="94" t="s">
        <v>169</v>
      </c>
      <c r="E70" s="94"/>
      <c r="F70" s="117">
        <v>0</v>
      </c>
      <c r="G70" s="117"/>
      <c r="H70" s="117"/>
      <c r="I70" s="117">
        <v>0</v>
      </c>
      <c r="J70" s="117"/>
      <c r="K70" s="117"/>
      <c r="L70" s="117">
        <v>196</v>
      </c>
    </row>
    <row r="71" spans="1:13">
      <c r="A71" s="94"/>
      <c r="B71" s="94"/>
      <c r="C71" s="94" t="s">
        <v>171</v>
      </c>
      <c r="D71" s="94"/>
      <c r="E71" s="94"/>
      <c r="F71" s="117">
        <v>2647</v>
      </c>
      <c r="G71" s="117"/>
      <c r="H71" s="117"/>
      <c r="I71" s="117">
        <v>9375</v>
      </c>
      <c r="J71" s="117"/>
      <c r="K71" s="117"/>
      <c r="L71" s="117">
        <v>946</v>
      </c>
    </row>
    <row r="72" spans="1:13">
      <c r="A72" s="94"/>
      <c r="B72" s="94"/>
      <c r="C72" s="94" t="s">
        <v>212</v>
      </c>
      <c r="D72" s="94"/>
      <c r="E72" s="94"/>
      <c r="F72" s="117">
        <v>0</v>
      </c>
      <c r="G72" s="117"/>
      <c r="H72" s="117"/>
      <c r="I72" s="117">
        <v>116</v>
      </c>
      <c r="J72" s="117"/>
      <c r="K72" s="117"/>
      <c r="L72" s="117">
        <v>0</v>
      </c>
    </row>
    <row r="73" spans="1:13">
      <c r="A73" s="94"/>
      <c r="B73" s="94" t="s">
        <v>213</v>
      </c>
      <c r="C73" s="94"/>
      <c r="D73" s="94"/>
      <c r="E73" s="94"/>
      <c r="F73" s="117">
        <v>7678</v>
      </c>
      <c r="G73" s="117"/>
      <c r="H73" s="117"/>
      <c r="I73" s="117">
        <v>82890</v>
      </c>
      <c r="J73" s="117"/>
      <c r="K73" s="117"/>
      <c r="L73" s="117">
        <v>33622</v>
      </c>
    </row>
    <row r="74" spans="1:13">
      <c r="A74" s="94"/>
      <c r="B74" s="94" t="s">
        <v>79</v>
      </c>
      <c r="C74" s="94"/>
      <c r="D74" s="94"/>
      <c r="E74" s="94"/>
      <c r="F74" s="117"/>
      <c r="G74" s="117"/>
      <c r="H74" s="117"/>
      <c r="I74" s="117"/>
      <c r="J74" s="117"/>
      <c r="K74" s="117"/>
      <c r="L74" s="117"/>
    </row>
    <row r="75" spans="1:13">
      <c r="A75" s="94"/>
      <c r="B75" s="94"/>
      <c r="C75" s="94" t="s">
        <v>129</v>
      </c>
      <c r="D75" s="94"/>
      <c r="E75" s="94"/>
      <c r="F75" s="117"/>
      <c r="G75" s="117"/>
      <c r="H75" s="117"/>
      <c r="I75" s="117"/>
      <c r="J75" s="117"/>
      <c r="K75" s="117"/>
      <c r="L75" s="117"/>
    </row>
    <row r="76" spans="1:13">
      <c r="A76" s="94"/>
      <c r="B76" s="94"/>
      <c r="C76" s="94"/>
      <c r="D76" s="94" t="s">
        <v>130</v>
      </c>
      <c r="E76" s="94"/>
      <c r="F76" s="117">
        <v>0</v>
      </c>
      <c r="G76" s="117"/>
      <c r="H76" s="117"/>
      <c r="I76" s="117">
        <v>0</v>
      </c>
      <c r="J76" s="117"/>
      <c r="K76" s="117"/>
      <c r="L76" s="117">
        <v>67</v>
      </c>
    </row>
    <row r="77" spans="1:13">
      <c r="A77" s="94"/>
      <c r="B77" s="94"/>
      <c r="C77" s="94"/>
      <c r="D77" s="94" t="s">
        <v>133</v>
      </c>
      <c r="E77" s="94"/>
      <c r="F77" s="117">
        <v>228</v>
      </c>
      <c r="G77" s="117"/>
      <c r="H77" s="117"/>
      <c r="I77" s="117">
        <v>0</v>
      </c>
      <c r="J77" s="117"/>
      <c r="K77" s="117"/>
      <c r="L77" s="117">
        <v>0</v>
      </c>
    </row>
    <row r="78" spans="1:13">
      <c r="A78" s="94"/>
      <c r="B78" s="94"/>
      <c r="C78" s="94" t="s">
        <v>135</v>
      </c>
      <c r="D78" s="94"/>
      <c r="E78" s="94"/>
      <c r="F78" s="117">
        <v>228</v>
      </c>
      <c r="G78" s="117"/>
      <c r="H78" s="117"/>
      <c r="I78" s="117">
        <v>0</v>
      </c>
      <c r="J78" s="117"/>
      <c r="K78" s="117"/>
      <c r="L78" s="117">
        <v>67</v>
      </c>
    </row>
    <row r="79" spans="1:13">
      <c r="A79" s="94"/>
      <c r="B79" s="94" t="s">
        <v>136</v>
      </c>
      <c r="C79" s="94"/>
      <c r="D79" s="94"/>
      <c r="E79" s="94"/>
      <c r="F79" s="117">
        <v>228</v>
      </c>
      <c r="G79" s="117"/>
      <c r="H79" s="117"/>
      <c r="I79" s="117">
        <v>0</v>
      </c>
      <c r="J79" s="117"/>
      <c r="K79" s="117"/>
      <c r="L79" s="117">
        <v>67</v>
      </c>
    </row>
    <row r="80" spans="1:13">
      <c r="A80" s="94" t="s">
        <v>214</v>
      </c>
      <c r="B80" s="94"/>
      <c r="C80" s="94"/>
      <c r="D80" s="94"/>
      <c r="E80" s="94"/>
      <c r="F80" s="117">
        <v>7906</v>
      </c>
      <c r="G80" s="117"/>
      <c r="H80" s="117"/>
      <c r="I80" s="117">
        <v>83229</v>
      </c>
      <c r="J80" s="117"/>
      <c r="K80" s="117"/>
      <c r="L80" s="117">
        <v>33698</v>
      </c>
    </row>
    <row r="81" spans="1:12">
      <c r="A81" s="94"/>
      <c r="B81" s="94"/>
      <c r="C81" s="94"/>
      <c r="D81" s="94"/>
      <c r="E81" s="94"/>
      <c r="F81" s="117"/>
      <c r="G81" s="117"/>
      <c r="H81" s="117"/>
      <c r="J81" s="117"/>
      <c r="K81" s="117"/>
      <c r="L81" s="117">
        <f>SUM(F80+I80+L80)</f>
        <v>124833</v>
      </c>
    </row>
    <row r="82" spans="1:12">
      <c r="A82" s="94"/>
      <c r="B82" s="94"/>
      <c r="C82" s="94"/>
      <c r="D82" s="94"/>
      <c r="E82" s="94"/>
      <c r="F82" s="117"/>
      <c r="G82" s="117"/>
      <c r="H82" s="117"/>
      <c r="I82" s="117"/>
      <c r="J82" s="117"/>
      <c r="K82" s="117"/>
      <c r="L82" s="117"/>
    </row>
    <row r="83" spans="1:12">
      <c r="H83" t="s">
        <v>222</v>
      </c>
      <c r="I83" s="117">
        <f>F80+I80</f>
        <v>91135</v>
      </c>
    </row>
    <row r="84" spans="1:12">
      <c r="B84" s="135"/>
      <c r="C84" s="135"/>
      <c r="D84" s="135"/>
      <c r="E84" s="135"/>
      <c r="F84" s="135"/>
      <c r="G84" s="135"/>
      <c r="H84" s="135"/>
      <c r="I84" s="135"/>
      <c r="J84" s="135"/>
    </row>
    <row r="85" spans="1:12">
      <c r="B85" s="155" t="s">
        <v>248</v>
      </c>
      <c r="C85" s="135"/>
      <c r="D85" s="135"/>
      <c r="E85" s="135"/>
      <c r="F85" s="135"/>
      <c r="G85" s="135"/>
      <c r="H85" s="135"/>
      <c r="I85" s="135"/>
      <c r="J85" s="135"/>
    </row>
    <row r="86" spans="1:12">
      <c r="B86" s="135"/>
      <c r="C86" s="135"/>
      <c r="D86" s="135"/>
      <c r="E86" s="135"/>
      <c r="F86" s="135"/>
      <c r="G86" s="135"/>
      <c r="H86" s="135"/>
      <c r="I86" s="135"/>
      <c r="J86" s="135"/>
    </row>
    <row r="87" spans="1:12">
      <c r="B87" s="147" t="s">
        <v>216</v>
      </c>
      <c r="C87" s="156">
        <v>7632</v>
      </c>
      <c r="D87" s="135"/>
      <c r="E87" s="135"/>
      <c r="F87" s="135"/>
      <c r="G87" s="135"/>
      <c r="H87" s="135"/>
      <c r="I87" s="135"/>
      <c r="J87" s="135"/>
    </row>
    <row r="88" spans="1:12">
      <c r="B88" s="147" t="s">
        <v>218</v>
      </c>
      <c r="C88" s="157">
        <v>850</v>
      </c>
      <c r="D88" s="135"/>
      <c r="E88" s="135"/>
      <c r="F88" s="135"/>
      <c r="G88" s="135"/>
      <c r="H88" s="135"/>
      <c r="I88" s="135"/>
      <c r="J88" s="135"/>
    </row>
    <row r="89" spans="1:12">
      <c r="B89" s="147" t="s">
        <v>219</v>
      </c>
      <c r="C89" s="156">
        <v>3484</v>
      </c>
      <c r="D89" s="135"/>
      <c r="E89" s="135"/>
      <c r="F89" s="135"/>
      <c r="G89" s="135"/>
      <c r="H89" s="135"/>
      <c r="I89" s="135"/>
      <c r="J89" s="135"/>
    </row>
    <row r="90" spans="1:12">
      <c r="B90" s="147" t="s">
        <v>220</v>
      </c>
      <c r="C90" s="156">
        <v>20000</v>
      </c>
      <c r="D90" s="135"/>
      <c r="E90" s="135"/>
      <c r="F90" s="135"/>
      <c r="G90" s="135"/>
      <c r="H90" s="135"/>
      <c r="I90" s="135"/>
      <c r="J90" s="135"/>
    </row>
    <row r="91" spans="1:12">
      <c r="B91" s="147" t="s">
        <v>221</v>
      </c>
      <c r="C91" s="148">
        <v>31966</v>
      </c>
      <c r="D91" s="135"/>
      <c r="E91" s="135"/>
      <c r="F91" s="135"/>
      <c r="G91" s="135"/>
      <c r="H91" s="135"/>
      <c r="I91" s="135"/>
      <c r="J91" s="135"/>
    </row>
    <row r="92" spans="1:12">
      <c r="B92" s="135"/>
      <c r="C92" s="135"/>
      <c r="D92" s="135"/>
      <c r="E92" s="135"/>
      <c r="F92" s="135"/>
      <c r="G92" s="135"/>
      <c r="H92" s="135"/>
      <c r="I92" s="135"/>
      <c r="J92" s="135"/>
    </row>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9" sqref="B9"/>
    </sheetView>
  </sheetViews>
  <sheetFormatPr baseColWidth="10" defaultRowHeight="15" x14ac:dyDescent="0"/>
  <cols>
    <col min="1" max="1" width="43.83203125" style="135" customWidth="1"/>
    <col min="2" max="2" width="12.83203125" style="135" bestFit="1" customWidth="1"/>
    <col min="3" max="16384" width="10.83203125" style="135"/>
  </cols>
  <sheetData>
    <row r="1" spans="1:3" ht="16">
      <c r="A1" s="217" t="s">
        <v>304</v>
      </c>
    </row>
    <row r="2" spans="1:3">
      <c r="A2" s="138" t="s">
        <v>301</v>
      </c>
    </row>
    <row r="3" spans="1:3">
      <c r="A3" s="138" t="s">
        <v>14</v>
      </c>
      <c r="B3" s="138"/>
      <c r="C3" s="138"/>
    </row>
    <row r="4" spans="1:3">
      <c r="A4" s="138"/>
      <c r="B4" s="138"/>
      <c r="C4" s="138"/>
    </row>
    <row r="5" spans="1:3">
      <c r="A5" s="216" t="s">
        <v>22</v>
      </c>
      <c r="B5" s="216" t="s">
        <v>21</v>
      </c>
      <c r="C5" s="216" t="s">
        <v>20</v>
      </c>
    </row>
    <row r="6" spans="1:3">
      <c r="A6" s="138" t="s">
        <v>15</v>
      </c>
      <c r="B6" s="215">
        <v>2900000</v>
      </c>
      <c r="C6" s="138" t="s">
        <v>305</v>
      </c>
    </row>
    <row r="7" spans="1:3">
      <c r="A7" s="138" t="s">
        <v>16</v>
      </c>
      <c r="B7" s="215">
        <v>9600000</v>
      </c>
      <c r="C7" s="138" t="s">
        <v>306</v>
      </c>
    </row>
    <row r="8" spans="1:3">
      <c r="A8" s="138" t="s">
        <v>17</v>
      </c>
      <c r="B8" s="215">
        <v>1400000</v>
      </c>
      <c r="C8" s="138"/>
    </row>
    <row r="9" spans="1:3">
      <c r="A9" s="138" t="s">
        <v>18</v>
      </c>
      <c r="B9" s="215">
        <v>1800000</v>
      </c>
      <c r="C9" s="138"/>
    </row>
    <row r="10" spans="1:3">
      <c r="A10" s="138" t="s">
        <v>19</v>
      </c>
      <c r="B10" s="215">
        <v>1800000</v>
      </c>
      <c r="C10" s="138" t="s">
        <v>274</v>
      </c>
    </row>
    <row r="11" spans="1:3">
      <c r="A11" s="216" t="s">
        <v>23</v>
      </c>
      <c r="B11" s="215">
        <f>SUM(B6:B10)</f>
        <v>17500000</v>
      </c>
      <c r="C11" s="138"/>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D26" sqref="D26"/>
    </sheetView>
  </sheetViews>
  <sheetFormatPr baseColWidth="10" defaultRowHeight="15" x14ac:dyDescent="0"/>
  <sheetData>
    <row r="1" spans="1:8">
      <c r="A1" t="s">
        <v>303</v>
      </c>
    </row>
    <row r="2" spans="1:8">
      <c r="A2" t="s">
        <v>299</v>
      </c>
    </row>
    <row r="3" spans="1:8">
      <c r="A3" s="214" t="s">
        <v>64</v>
      </c>
    </row>
    <row r="5" spans="1:8" s="24" customFormat="1" ht="18">
      <c r="A5" s="23" t="s">
        <v>63</v>
      </c>
    </row>
    <row r="7" spans="1:8">
      <c r="A7" s="1" t="s">
        <v>24</v>
      </c>
      <c r="B7" s="1"/>
      <c r="C7" s="1"/>
      <c r="D7" s="1"/>
      <c r="E7" s="1"/>
      <c r="F7" s="1"/>
      <c r="G7" s="1"/>
      <c r="H7" s="1"/>
    </row>
    <row r="8" spans="1:8">
      <c r="A8" s="2" t="s">
        <v>25</v>
      </c>
      <c r="B8" s="1"/>
      <c r="C8" s="1"/>
      <c r="D8" s="1"/>
      <c r="E8" s="1"/>
      <c r="F8" s="1"/>
      <c r="G8" s="1"/>
      <c r="H8" s="1"/>
    </row>
    <row r="9" spans="1:8" ht="56">
      <c r="A9" s="1" t="s">
        <v>26</v>
      </c>
      <c r="B9" s="1"/>
      <c r="C9" s="3" t="s">
        <v>27</v>
      </c>
      <c r="D9" s="3" t="s">
        <v>28</v>
      </c>
      <c r="E9" s="3" t="s">
        <v>29</v>
      </c>
      <c r="F9" s="3"/>
      <c r="G9" s="4" t="s">
        <v>30</v>
      </c>
      <c r="H9" s="5">
        <v>0.1</v>
      </c>
    </row>
    <row r="10" spans="1:8">
      <c r="A10" s="3"/>
      <c r="B10" s="6" t="s">
        <v>31</v>
      </c>
      <c r="C10" s="6">
        <v>1.7</v>
      </c>
      <c r="D10" s="3">
        <f>(C10/$H$10)+(C10*$H$9)</f>
        <v>2.0588888888888888</v>
      </c>
      <c r="E10" s="3">
        <f>C10/$H$11</f>
        <v>2</v>
      </c>
      <c r="F10" s="3"/>
      <c r="G10" s="3" t="s">
        <v>32</v>
      </c>
      <c r="H10" s="7">
        <v>0.9</v>
      </c>
    </row>
    <row r="11" spans="1:8">
      <c r="A11" s="1"/>
      <c r="B11" s="6" t="s">
        <v>33</v>
      </c>
      <c r="C11" s="6">
        <f>1.3</f>
        <v>1.3</v>
      </c>
      <c r="D11" s="3">
        <f>(C11/$H$10)+(C11*$H$9)</f>
        <v>1.5744444444444445</v>
      </c>
      <c r="E11" s="3">
        <f>C11/$H$11</f>
        <v>1.5294117647058825</v>
      </c>
      <c r="F11" s="1"/>
      <c r="G11" s="1" t="s">
        <v>34</v>
      </c>
      <c r="H11" s="7">
        <v>0.85</v>
      </c>
    </row>
    <row r="12" spans="1:8">
      <c r="A12" s="1"/>
      <c r="B12" s="6" t="s">
        <v>35</v>
      </c>
      <c r="C12" s="6">
        <v>0.9</v>
      </c>
      <c r="D12" s="3">
        <f>(C12/$H$10)+(C12*$H$9)</f>
        <v>1.0900000000000001</v>
      </c>
      <c r="E12" s="3">
        <f>C12/$H$11</f>
        <v>1.0588235294117647</v>
      </c>
      <c r="F12" s="1"/>
      <c r="G12" s="1"/>
      <c r="H12" s="7"/>
    </row>
    <row r="13" spans="1:8">
      <c r="A13" s="1"/>
      <c r="B13" s="6"/>
      <c r="C13" s="6"/>
      <c r="D13" s="3"/>
      <c r="E13" s="3"/>
      <c r="F13" s="1"/>
      <c r="G13" s="1"/>
      <c r="H13" s="7" t="s">
        <v>36</v>
      </c>
    </row>
    <row r="14" spans="1:8">
      <c r="A14" s="1" t="s">
        <v>37</v>
      </c>
      <c r="B14" s="6"/>
      <c r="C14" s="6" t="s">
        <v>38</v>
      </c>
      <c r="D14" s="3" t="s">
        <v>39</v>
      </c>
      <c r="E14" s="1"/>
      <c r="F14" s="1"/>
      <c r="G14" s="1"/>
      <c r="H14" s="7"/>
    </row>
    <row r="15" spans="1:8">
      <c r="A15" s="1"/>
      <c r="B15" s="6" t="s">
        <v>40</v>
      </c>
      <c r="C15" s="6">
        <v>2</v>
      </c>
      <c r="D15" s="3">
        <f>C15/$H$11</f>
        <v>2.3529411764705883</v>
      </c>
      <c r="E15" s="3"/>
      <c r="F15" s="1"/>
      <c r="G15" s="6" t="s">
        <v>41</v>
      </c>
      <c r="H15" s="6">
        <v>2</v>
      </c>
    </row>
    <row r="16" spans="1:8">
      <c r="A16" s="1"/>
      <c r="B16" s="6" t="s">
        <v>42</v>
      </c>
      <c r="C16" s="6">
        <v>6</v>
      </c>
      <c r="D16" s="1"/>
      <c r="E16" s="3"/>
      <c r="F16" s="1"/>
      <c r="G16" s="6" t="s">
        <v>43</v>
      </c>
      <c r="H16" s="6">
        <v>1</v>
      </c>
    </row>
    <row r="17" spans="1:8">
      <c r="A17" s="1"/>
      <c r="B17" s="1"/>
      <c r="C17" s="1"/>
      <c r="D17" s="1"/>
      <c r="E17" s="3"/>
      <c r="F17" s="1"/>
      <c r="G17" s="1"/>
      <c r="H17" s="1"/>
    </row>
    <row r="18" spans="1:8">
      <c r="A18" s="1"/>
      <c r="B18" s="6" t="s">
        <v>44</v>
      </c>
      <c r="C18" s="5">
        <v>1.25</v>
      </c>
      <c r="D18" s="1"/>
      <c r="E18" s="1"/>
      <c r="F18" s="1"/>
      <c r="G18" s="1"/>
      <c r="H18" s="1"/>
    </row>
    <row r="19" spans="1:8">
      <c r="A19" s="1"/>
      <c r="B19" s="1" t="s">
        <v>45</v>
      </c>
      <c r="C19" s="6"/>
      <c r="D19" s="1"/>
      <c r="E19" s="1"/>
      <c r="F19" s="1"/>
      <c r="G19" s="1"/>
      <c r="H19" s="1"/>
    </row>
    <row r="20" spans="1:8">
      <c r="A20" s="1"/>
      <c r="B20" s="1"/>
      <c r="C20" s="1"/>
      <c r="D20" s="1"/>
      <c r="E20" s="1"/>
      <c r="F20" s="1"/>
      <c r="G20" s="1"/>
      <c r="H20" s="1"/>
    </row>
    <row r="21" spans="1:8">
      <c r="A21" s="1"/>
      <c r="B21" s="1"/>
      <c r="C21" s="190" t="s">
        <v>46</v>
      </c>
      <c r="D21" s="190"/>
      <c r="E21" s="190"/>
      <c r="F21" s="190"/>
      <c r="G21" s="190"/>
      <c r="H21" s="190"/>
    </row>
    <row r="22" spans="1:8">
      <c r="A22" s="8"/>
      <c r="B22" s="8"/>
      <c r="C22" s="191" t="s">
        <v>47</v>
      </c>
      <c r="D22" s="192"/>
      <c r="E22" s="191" t="s">
        <v>48</v>
      </c>
      <c r="F22" s="192"/>
      <c r="G22" s="193" t="s">
        <v>49</v>
      </c>
      <c r="H22" s="193"/>
    </row>
    <row r="23" spans="1:8">
      <c r="A23" s="1"/>
      <c r="B23" s="1"/>
      <c r="C23" s="9" t="s">
        <v>50</v>
      </c>
      <c r="D23" s="10" t="s">
        <v>51</v>
      </c>
      <c r="E23" s="9" t="s">
        <v>50</v>
      </c>
      <c r="F23" s="10" t="s">
        <v>51</v>
      </c>
      <c r="G23" s="9" t="s">
        <v>50</v>
      </c>
      <c r="H23" s="10" t="s">
        <v>51</v>
      </c>
    </row>
    <row r="24" spans="1:8">
      <c r="A24" s="1"/>
      <c r="B24" s="11" t="s">
        <v>52</v>
      </c>
      <c r="C24" s="12">
        <v>7</v>
      </c>
      <c r="D24" s="13">
        <f>C24/D11</f>
        <v>4.4460127028934364</v>
      </c>
      <c r="E24" s="12">
        <f>F24*$D$11</f>
        <v>28.340000000000003</v>
      </c>
      <c r="F24" s="13">
        <f>F29-SUM(F25:F28)</f>
        <v>18</v>
      </c>
      <c r="G24" s="12">
        <f>H24*$D$10</f>
        <v>37.059999999999995</v>
      </c>
      <c r="H24" s="13">
        <f>H29-SUM(H25:H28)</f>
        <v>18</v>
      </c>
    </row>
    <row r="25" spans="1:8">
      <c r="A25" s="1"/>
      <c r="B25" s="11" t="s">
        <v>53</v>
      </c>
      <c r="C25" s="12"/>
      <c r="D25" s="13"/>
      <c r="E25" s="12"/>
      <c r="F25" s="13"/>
      <c r="G25" s="12"/>
      <c r="H25" s="13"/>
    </row>
    <row r="26" spans="1:8">
      <c r="A26" s="1"/>
      <c r="B26" s="11" t="s">
        <v>54</v>
      </c>
      <c r="C26" s="12">
        <f>$D$15</f>
        <v>2.3529411764705883</v>
      </c>
      <c r="D26" s="13">
        <f>$C$16</f>
        <v>6</v>
      </c>
      <c r="E26" s="12">
        <f>$D$15</f>
        <v>2.3529411764705883</v>
      </c>
      <c r="F26" s="13">
        <f>$C$16</f>
        <v>6</v>
      </c>
      <c r="G26" s="12">
        <f>$D$15</f>
        <v>2.3529411764705883</v>
      </c>
      <c r="H26" s="13">
        <f>$C$16</f>
        <v>6</v>
      </c>
    </row>
    <row r="27" spans="1:8">
      <c r="A27" s="1"/>
      <c r="B27" s="11" t="s">
        <v>55</v>
      </c>
      <c r="C27" s="12">
        <f>D27*$E$11</f>
        <v>13.082568807339451</v>
      </c>
      <c r="D27" s="13">
        <f>D29-SUM(D24:D26,D28)</f>
        <v>8.5539872971065627</v>
      </c>
      <c r="E27" s="12"/>
      <c r="F27" s="13"/>
      <c r="G27" s="12"/>
      <c r="H27" s="13"/>
    </row>
    <row r="28" spans="1:8">
      <c r="A28" s="1"/>
      <c r="B28" s="11" t="s">
        <v>56</v>
      </c>
      <c r="C28" s="14"/>
      <c r="D28" s="15">
        <f>H15*2+H16</f>
        <v>5</v>
      </c>
      <c r="E28" s="14"/>
      <c r="F28" s="16">
        <f>F16</f>
        <v>0</v>
      </c>
      <c r="G28" s="17"/>
      <c r="H28" s="16">
        <f>F16</f>
        <v>0</v>
      </c>
    </row>
    <row r="29" spans="1:8">
      <c r="A29" s="1"/>
      <c r="B29" s="18" t="s">
        <v>57</v>
      </c>
      <c r="C29" s="19">
        <f>SUM(C24:C28)</f>
        <v>22.435509983810039</v>
      </c>
      <c r="D29" s="6">
        <v>24</v>
      </c>
      <c r="E29" s="19">
        <f>SUM(E24:E28)</f>
        <v>30.69294117647059</v>
      </c>
      <c r="F29" s="6">
        <v>24</v>
      </c>
      <c r="G29" s="19">
        <f>SUM(G24:G28)</f>
        <v>39.412941176470582</v>
      </c>
      <c r="H29" s="6">
        <v>24</v>
      </c>
    </row>
    <row r="30" spans="1:8" ht="16" thickBot="1">
      <c r="A30" s="1"/>
      <c r="B30" s="20" t="s">
        <v>58</v>
      </c>
      <c r="C30" s="21">
        <f>C29*($C$18+1)</f>
        <v>50.479897463572591</v>
      </c>
      <c r="D30" s="21"/>
      <c r="E30" s="21">
        <f>E29*($C$18+1)</f>
        <v>69.059117647058827</v>
      </c>
      <c r="F30" s="21"/>
      <c r="G30" s="21">
        <f>G29*($C$18+1)</f>
        <v>88.679117647058803</v>
      </c>
      <c r="H30" s="22"/>
    </row>
    <row r="31" spans="1:8" ht="16" thickTop="1">
      <c r="A31" s="1"/>
      <c r="B31" s="1"/>
      <c r="C31" s="1"/>
      <c r="D31" s="1"/>
      <c r="E31" s="1"/>
      <c r="F31" s="1"/>
      <c r="G31" s="1"/>
      <c r="H31" s="1"/>
    </row>
    <row r="32" spans="1:8">
      <c r="A32" s="1"/>
      <c r="B32" s="194" t="s">
        <v>59</v>
      </c>
      <c r="C32" s="197" t="s">
        <v>60</v>
      </c>
      <c r="D32" s="197"/>
      <c r="E32" s="197" t="s">
        <v>61</v>
      </c>
      <c r="F32" s="197"/>
      <c r="G32" s="197" t="s">
        <v>62</v>
      </c>
      <c r="H32" s="197"/>
    </row>
    <row r="33" spans="1:8">
      <c r="A33" s="1"/>
      <c r="B33" s="195"/>
      <c r="C33" s="198"/>
      <c r="D33" s="198"/>
      <c r="E33" s="198"/>
      <c r="F33" s="198"/>
      <c r="G33" s="198"/>
      <c r="H33" s="198"/>
    </row>
    <row r="34" spans="1:8">
      <c r="A34" s="1"/>
      <c r="B34" s="195"/>
      <c r="C34" s="198"/>
      <c r="D34" s="198"/>
      <c r="E34" s="198"/>
      <c r="F34" s="198"/>
      <c r="G34" s="198"/>
      <c r="H34" s="198"/>
    </row>
    <row r="35" spans="1:8">
      <c r="A35" s="1"/>
      <c r="B35" s="196"/>
      <c r="C35" s="199"/>
      <c r="D35" s="199"/>
      <c r="E35" s="199"/>
      <c r="F35" s="199"/>
      <c r="G35" s="199"/>
      <c r="H35" s="199"/>
    </row>
  </sheetData>
  <mergeCells count="8">
    <mergeCell ref="C21:H21"/>
    <mergeCell ref="C22:D22"/>
    <mergeCell ref="E22:F22"/>
    <mergeCell ref="G22:H22"/>
    <mergeCell ref="B32:B35"/>
    <mergeCell ref="C32:D35"/>
    <mergeCell ref="E32:F35"/>
    <mergeCell ref="G32:H3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Total expenses</vt:lpstr>
      <vt:lpstr>Revenue and transfers</vt:lpstr>
      <vt:lpstr>Campaign efficiency FY 2014</vt:lpstr>
      <vt:lpstr>Campaign efficiency FY 2013</vt:lpstr>
      <vt:lpstr>Set up &amp; marketing costs FY2014</vt:lpstr>
      <vt:lpstr>Set up &amp; marketing costs FY2013</vt:lpstr>
      <vt:lpstr>Funding in the bank</vt:lpstr>
      <vt:lpstr>20141017 RFMF scenarios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 Scheffler</dc:creator>
  <cp:lastModifiedBy>Eliza Scheffler</cp:lastModifiedBy>
  <dcterms:created xsi:type="dcterms:W3CDTF">2014-11-11T04:04:07Z</dcterms:created>
  <dcterms:modified xsi:type="dcterms:W3CDTF">2014-11-30T20:56:40Z</dcterms:modified>
</cp:coreProperties>
</file>