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autoCompressPictures="0"/>
  <bookViews>
    <workbookView xWindow="-15" yWindow="465" windowWidth="24240" windowHeight="13740" tabRatio="676"/>
  </bookViews>
  <sheets>
    <sheet name="1. All treatments all countries" sheetId="1" r:id="rId1"/>
    <sheet name="2. All grants to all countries" sheetId="8" r:id="rId2"/>
    <sheet name="3. EF dashboard - grants by yr" sheetId="9" r:id="rId3"/>
    <sheet name="Angola deep dive" sheetId="7" r:id="rId4"/>
    <sheet name="DRC deep dive" sheetId="3" r:id="rId5"/>
    <sheet name="Ethiopia deep dive" sheetId="2" r:id="rId6"/>
    <sheet name="Liberia deep dive" sheetId="6" r:id="rId7"/>
    <sheet name="Mali deep dive" sheetId="13" r:id="rId8"/>
    <sheet name="Nigeria deep dive" sheetId="10" r:id="rId9"/>
    <sheet name="Rwanda deep dive" sheetId="4" r:id="rId10"/>
    <sheet name="WFP deep dive" sheetId="14" r:id="rId11"/>
    <sheet name="Yemen deep dive" sheetId="12" r:id="rId12"/>
    <sheet name="Zimbabwe deep dive" sheetId="5" r:id="rId13"/>
  </sheets>
  <definedNames>
    <definedName name="_xlnm._FilterDatabase" localSheetId="0" hidden="1">'1. All treatments all countries'!$D$4:$L$334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4" l="1"/>
  <c r="C19" i="14"/>
  <c r="O7" i="6"/>
  <c r="N7" i="6"/>
  <c r="M7" i="6"/>
  <c r="L7" i="6"/>
  <c r="K7" i="6"/>
  <c r="J7" i="6"/>
  <c r="I7" i="6"/>
  <c r="H7" i="6"/>
  <c r="I7" i="13"/>
  <c r="H7" i="13"/>
  <c r="G7" i="13"/>
  <c r="F7" i="13"/>
  <c r="E7" i="13"/>
  <c r="D7" i="13"/>
  <c r="C7" i="13"/>
  <c r="J13" i="4"/>
  <c r="K8" i="12"/>
  <c r="H8" i="12"/>
  <c r="G8" i="12"/>
  <c r="F8" i="12"/>
  <c r="E8" i="12"/>
  <c r="D8" i="12"/>
  <c r="C8" i="12"/>
  <c r="I8" i="10"/>
  <c r="H8" i="10"/>
  <c r="D8" i="10"/>
  <c r="C8" i="10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K10" i="7"/>
  <c r="J10" i="7"/>
  <c r="I10" i="7"/>
  <c r="H10" i="7"/>
  <c r="F10" i="7"/>
  <c r="E10" i="7"/>
  <c r="D10" i="7"/>
  <c r="C10" i="7"/>
  <c r="K11" i="2"/>
  <c r="J11" i="2"/>
  <c r="I11" i="2"/>
  <c r="H11" i="2"/>
  <c r="D11" i="2"/>
  <c r="C11" i="2"/>
  <c r="L13" i="5"/>
  <c r="J13" i="5"/>
  <c r="I13" i="5"/>
  <c r="H13" i="5"/>
  <c r="D13" i="5"/>
  <c r="C13" i="5"/>
  <c r="H13" i="4"/>
  <c r="D13" i="4"/>
  <c r="C13" i="4"/>
  <c r="F152" i="8"/>
  <c r="I18" i="14"/>
  <c r="I19" i="14"/>
  <c r="H19" i="14"/>
  <c r="I17" i="14"/>
  <c r="I16" i="14"/>
  <c r="I15" i="14"/>
  <c r="I14" i="14"/>
  <c r="I13" i="14"/>
  <c r="I12" i="14"/>
  <c r="H4" i="14"/>
  <c r="I4" i="14"/>
  <c r="H5" i="14"/>
  <c r="I5" i="14"/>
  <c r="H6" i="14"/>
  <c r="I6" i="14"/>
  <c r="H7" i="14"/>
  <c r="I7" i="14"/>
  <c r="H8" i="14"/>
  <c r="I8" i="14"/>
  <c r="H9" i="14"/>
  <c r="I9" i="14"/>
  <c r="I10" i="14"/>
  <c r="H10" i="14"/>
  <c r="C10" i="14"/>
  <c r="G30" i="8"/>
  <c r="H39" i="9"/>
  <c r="H11" i="5"/>
  <c r="H13" i="9"/>
  <c r="H52" i="9"/>
  <c r="F155" i="8"/>
  <c r="F145" i="8"/>
  <c r="F142" i="8"/>
  <c r="F139" i="8"/>
  <c r="H7" i="2"/>
  <c r="F38" i="8"/>
  <c r="F165" i="8"/>
  <c r="H19" i="9"/>
  <c r="F93" i="8"/>
  <c r="I217" i="1"/>
  <c r="H70" i="9"/>
  <c r="H72" i="9"/>
  <c r="C70" i="9"/>
  <c r="C72" i="9"/>
  <c r="D70" i="9"/>
  <c r="D72" i="9"/>
  <c r="E70" i="9"/>
  <c r="E72" i="9"/>
  <c r="F70" i="9"/>
  <c r="F72" i="9"/>
  <c r="B70" i="9"/>
  <c r="B72" i="9"/>
  <c r="H42" i="9"/>
  <c r="F88" i="8"/>
  <c r="F131" i="8"/>
  <c r="F124" i="8"/>
  <c r="F121" i="8"/>
  <c r="F114" i="8"/>
  <c r="H27" i="9"/>
  <c r="H12" i="9"/>
  <c r="H20" i="9"/>
  <c r="H41" i="9"/>
  <c r="H7" i="9"/>
  <c r="H8" i="9"/>
  <c r="H9" i="9"/>
  <c r="H10" i="9"/>
  <c r="H11" i="9"/>
  <c r="H14" i="9"/>
  <c r="H15" i="9"/>
  <c r="H16" i="9"/>
  <c r="H17" i="9"/>
  <c r="H18" i="9"/>
  <c r="H21" i="9"/>
  <c r="H22" i="9"/>
  <c r="H23" i="9"/>
  <c r="H24" i="9"/>
  <c r="H25" i="9"/>
  <c r="H26" i="9"/>
  <c r="H28" i="9"/>
  <c r="H29" i="9"/>
  <c r="H30" i="9"/>
  <c r="H31" i="9"/>
  <c r="H32" i="9"/>
  <c r="H33" i="9"/>
  <c r="H34" i="9"/>
  <c r="H35" i="9"/>
  <c r="H36" i="9"/>
  <c r="H37" i="9"/>
  <c r="H38" i="9"/>
  <c r="H40" i="9"/>
  <c r="H6" i="9"/>
  <c r="F108" i="8"/>
  <c r="I265" i="1"/>
  <c r="I264" i="1"/>
  <c r="I260" i="1"/>
  <c r="I259" i="1"/>
  <c r="I180" i="1"/>
  <c r="I188" i="1"/>
  <c r="F103" i="8"/>
  <c r="F96" i="8"/>
  <c r="F84" i="8"/>
  <c r="F78" i="8"/>
  <c r="F75" i="8"/>
  <c r="F67" i="8"/>
  <c r="F63" i="8"/>
  <c r="F58" i="8"/>
  <c r="F53" i="8"/>
  <c r="F45" i="8"/>
  <c r="F33" i="8"/>
  <c r="F28" i="8"/>
  <c r="F13" i="8"/>
  <c r="H8" i="7"/>
  <c r="D7" i="7"/>
  <c r="J6" i="7"/>
  <c r="I6" i="7"/>
  <c r="D6" i="7"/>
  <c r="I5" i="7"/>
  <c r="J4" i="7"/>
  <c r="C4" i="7"/>
  <c r="C15" i="6"/>
  <c r="C13" i="6"/>
  <c r="N5" i="6"/>
  <c r="K5" i="6"/>
  <c r="I5" i="6"/>
  <c r="I88" i="1"/>
  <c r="T13" i="3"/>
  <c r="Q13" i="3"/>
  <c r="P13" i="3"/>
  <c r="M13" i="3"/>
  <c r="G13" i="3"/>
  <c r="F13" i="3"/>
  <c r="E13" i="3"/>
  <c r="D13" i="3"/>
  <c r="T12" i="3"/>
  <c r="Q12" i="3"/>
  <c r="P12" i="3"/>
  <c r="M12" i="3"/>
  <c r="G12" i="3"/>
  <c r="F12" i="3"/>
  <c r="E12" i="3"/>
  <c r="D12" i="3"/>
  <c r="K9" i="3"/>
  <c r="V8" i="3"/>
  <c r="Q7" i="3"/>
  <c r="M7" i="3"/>
  <c r="K9" i="2"/>
  <c r="H9" i="2"/>
  <c r="D9" i="2"/>
  <c r="C9" i="2"/>
  <c r="K8" i="2"/>
  <c r="H8" i="2"/>
  <c r="D8" i="2"/>
  <c r="C8" i="2"/>
  <c r="K7" i="2"/>
  <c r="C7" i="2"/>
  <c r="I37" i="1"/>
  <c r="I36" i="1"/>
  <c r="I285" i="1"/>
  <c r="I286" i="1"/>
  <c r="I291" i="1"/>
  <c r="I236" i="1"/>
  <c r="I23" i="1"/>
  <c r="I22" i="1"/>
  <c r="I19" i="1"/>
  <c r="I18" i="1"/>
  <c r="I13" i="1"/>
  <c r="I12" i="1"/>
  <c r="I9" i="1"/>
  <c r="I8" i="1"/>
  <c r="I5" i="1"/>
  <c r="I56" i="1"/>
  <c r="I55" i="1"/>
  <c r="I335" i="1"/>
  <c r="I334" i="1"/>
  <c r="I329" i="1"/>
  <c r="I328" i="1"/>
  <c r="I325" i="1"/>
  <c r="I324" i="1"/>
  <c r="I321" i="1"/>
  <c r="I320" i="1"/>
  <c r="I313" i="1"/>
  <c r="I312" i="1"/>
  <c r="I308" i="1"/>
  <c r="I307" i="1"/>
  <c r="I303" i="1"/>
  <c r="I302" i="1"/>
  <c r="I298" i="1"/>
  <c r="I290" i="1"/>
  <c r="I276" i="1"/>
  <c r="I275" i="1"/>
  <c r="I272" i="1"/>
  <c r="I271" i="1"/>
  <c r="I256" i="1"/>
  <c r="I255" i="1"/>
  <c r="I250" i="1"/>
  <c r="I249" i="1"/>
  <c r="I237" i="1"/>
  <c r="I218" i="1"/>
  <c r="I207" i="1"/>
  <c r="I206" i="1"/>
  <c r="I200" i="1"/>
  <c r="I199" i="1"/>
  <c r="I196" i="1"/>
  <c r="I195" i="1"/>
  <c r="I192" i="1"/>
  <c r="I191" i="1"/>
  <c r="I175" i="1"/>
  <c r="I174" i="1"/>
  <c r="I169" i="1"/>
  <c r="I168" i="1"/>
  <c r="I160" i="1"/>
  <c r="I159" i="1"/>
  <c r="I153" i="1"/>
  <c r="I152" i="1"/>
  <c r="I148" i="1"/>
  <c r="I147" i="1"/>
  <c r="I144" i="1"/>
  <c r="I143" i="1"/>
  <c r="I140" i="1"/>
  <c r="I136" i="1"/>
  <c r="I132" i="1"/>
  <c r="I120" i="1"/>
  <c r="I119" i="1"/>
  <c r="I112" i="1"/>
  <c r="I111" i="1"/>
  <c r="I105" i="1"/>
  <c r="I104" i="1"/>
  <c r="I89" i="1"/>
  <c r="I70" i="1"/>
  <c r="I69" i="1"/>
</calcChain>
</file>

<file path=xl/comments1.xml><?xml version="1.0" encoding="utf-8"?>
<comments xmlns="http://schemas.openxmlformats.org/spreadsheetml/2006/main">
  <authors>
    <author>Author</author>
  </authors>
  <commentList>
    <comment ref="M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on the WHO contirbution for each of the years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WASHE 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on the WHO contirbution for each of the years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Campaings for STH and SCH were conducted at the same time in the same provinces. Estimated an equal allocation for both treatments. This cost also includes WASHE in 3 provinces.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Campaings for STH and SCH were conducted at the same time in the same provinces. Estimated an equal allocation for both treatments. This cost also includes WASHE in 3 provinces.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on the WHO contirbution for each of the years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includes CBD for Oncho and LF one province (Uige) and only Oncho in anther one (Kuando Kubando)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on the WHO contirbution for each of the years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These are the same individuals that were maped for the same three diseases over 2013-2014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from July 2013-March 2014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an approximate number and is based on the fact that CNTD said they were able to pay 75% of the mapping and we added the additional funds needed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an approximate number and is based on the fact that CNTD said they were able to pay 75% of the mapping and we added the additional funds needed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Final treatments numbers are not yet available. Therefore treatment numbers are preliminary and the final cost per partner is also not finalized. 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Kimberly:
Final treatments numbers are not yet available. Therefore treatment numbers are preliminary and the final cost per partner is also not finalized. 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Waiting on final numbers that are projected to be 5,174,244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Waiting on final numbers that are projected to be 5,174,244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Final data from Dec 2016 is not available at this time. This includes treatment results from April 2016 round and treatment targets from Dec 2016 round. </t>
        </r>
      </text>
    </comment>
    <comment ref="H9" authorId="0">
      <text>
        <r>
          <rPr>
            <b/>
            <sz val="10"/>
            <color indexed="81"/>
            <rFont val="Calibri"/>
            <family val="2"/>
          </rPr>
          <t>Author:</t>
        </r>
        <r>
          <rPr>
            <sz val="10"/>
            <color indexed="81"/>
            <rFont val="Calibri"/>
            <family val="2"/>
          </rPr>
          <t xml:space="preserve">
This does not include the $30,000 to the MOH for oncho or the dsibursements to Amref  (trachoma) and IOCC (lymphadema care)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treatment reported were directly attributed to DFID per the Annual Report from 2014 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MDA due to Ebola 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original EF Grant was $78,000 - cost share with DFID, however due to the Ebola crisis, the MDAs were postponed until 2016. The $10,000 used by SCI for Technical Assistance and Grant Management was from the DIFID budget and hence none of the EF funding was used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Treatments in 2016 with EF funds were only for Schisto 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exchange rate use for BP was 1.6347061 - which translated to 47,715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overall amount was less once it arrived in country, given that it was around Brexit. Theses figures are per the SCI contract with MOH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SCI's unrestricted funds were 45,616 Pounds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CNTD covers some counties for STH through the LF MDAs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DFiD: 79,775 British pounds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When it arrived in Liberia, there was a loss as it was post brexit and the exchange rate was 1.3 when it arrived in Liberia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J8" authorId="0">
      <text>
        <r>
          <rPr>
            <b/>
            <sz val="10"/>
            <color indexed="81"/>
            <rFont val="Calibri"/>
            <family val="2"/>
          </rPr>
          <t>Author:</t>
        </r>
        <r>
          <rPr>
            <sz val="10"/>
            <color indexed="81"/>
            <rFont val="Calibri"/>
            <family val="2"/>
          </rPr>
          <t xml:space="preserve">
Added by GiveWell. Source: http://www.givewell.org/files/DWDA%202009/SCI/SCI_financial_statement_2013_14_and_2014_15_%28revised_October_2015%29.xlsx</t>
        </r>
      </text>
    </comment>
    <comment ref="J9" authorId="0">
      <text>
        <r>
          <rPr>
            <b/>
            <sz val="10"/>
            <color indexed="81"/>
            <rFont val="Calibri"/>
            <family val="2"/>
          </rPr>
          <t>Author:</t>
        </r>
        <r>
          <rPr>
            <sz val="10"/>
            <color indexed="81"/>
            <rFont val="Calibri"/>
            <family val="2"/>
          </rPr>
          <t xml:space="preserve">
Added by GiveWell. Source: http://www.givewell.org/files/DWDA%202009/SCI/SCI_financial_statement_2013_14_and_2014_15_%28revised_October_2015%29.xlsx</t>
        </r>
      </text>
    </comment>
    <comment ref="J10" authorId="0">
      <text>
        <r>
          <rPr>
            <b/>
            <sz val="10"/>
            <color indexed="81"/>
            <rFont val="Calibri"/>
            <family val="2"/>
          </rPr>
          <t>Author:</t>
        </r>
        <r>
          <rPr>
            <sz val="10"/>
            <color indexed="81"/>
            <rFont val="Calibri"/>
            <family val="2"/>
          </rPr>
          <t xml:space="preserve">
Added by GiveWell. Source: http://www.givewell.org/files/DWDA%202009/SCI/GiveWells_analysis_of_SCI_budget_vs_actuals_2015-16_Redacted.xlsx</t>
        </r>
      </text>
    </comment>
    <comment ref="J11" authorId="0">
      <text>
        <r>
          <rPr>
            <b/>
            <sz val="10"/>
            <color indexed="81"/>
            <rFont val="Calibri"/>
            <family val="2"/>
          </rPr>
          <t>Author:</t>
        </r>
        <r>
          <rPr>
            <sz val="10"/>
            <color indexed="81"/>
            <rFont val="Calibri"/>
            <family val="2"/>
          </rPr>
          <t xml:space="preserve">
Added by GiveWell. Source: Unpublished financial report from SCI.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J3" authorId="0">
      <text>
        <r>
          <rPr>
            <b/>
            <sz val="10"/>
            <color indexed="81"/>
            <rFont val="Calibri"/>
            <family val="2"/>
          </rPr>
          <t>Author:</t>
        </r>
        <r>
          <rPr>
            <sz val="10"/>
            <color indexed="81"/>
            <rFont val="Calibri"/>
            <family val="2"/>
          </rPr>
          <t xml:space="preserve">
 there is in kind co-funding with WFP since we use their school feeding programs to distribute, but there is no way for us to quantify that. 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Funds for DRC are in the process of being redirected as treatment is not possible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H11" authorId="0">
      <text>
        <r>
          <rPr>
            <b/>
            <sz val="10"/>
            <color indexed="81"/>
            <rFont val="Calibri"/>
            <family val="2"/>
          </rPr>
          <t>Author:</t>
        </r>
        <r>
          <rPr>
            <sz val="10"/>
            <color indexed="81"/>
            <rFont val="Calibri"/>
            <family val="2"/>
          </rPr>
          <t xml:space="preserve">
$172,325 was an advance for 2017 actitivies)</t>
        </r>
      </text>
    </comment>
  </commentList>
</comments>
</file>

<file path=xl/sharedStrings.xml><?xml version="1.0" encoding="utf-8"?>
<sst xmlns="http://schemas.openxmlformats.org/spreadsheetml/2006/main" count="3179" uniqueCount="811">
  <si>
    <t>Project Name</t>
  </si>
  <si>
    <t>Oncho</t>
  </si>
  <si>
    <t>Trachoma</t>
  </si>
  <si>
    <t>LF</t>
  </si>
  <si>
    <t>Schisto</t>
  </si>
  <si>
    <t>STH</t>
  </si>
  <si>
    <t>Indicator Report Detail</t>
  </si>
  <si>
    <t>Projected</t>
  </si>
  <si>
    <t>Reported</t>
  </si>
  <si>
    <t>Output Tracker Name</t>
  </si>
  <si>
    <t>Diseases Treated</t>
  </si>
  <si>
    <t>ANG-001-MEN</t>
  </si>
  <si>
    <t>Ending Priority NTDs</t>
  </si>
  <si>
    <t>Treatments Provided - Lymphatic Filarisis, - ALB</t>
  </si>
  <si>
    <t>Tracker-1263</t>
  </si>
  <si>
    <t>Angola</t>
  </si>
  <si>
    <t>Lymphatic Filarisis,</t>
  </si>
  <si>
    <t>2016</t>
  </si>
  <si>
    <t>Treatments Provided - Oncho, - IVM</t>
  </si>
  <si>
    <t>Tracker-1470</t>
  </si>
  <si>
    <t>Oncho,</t>
  </si>
  <si>
    <t>Treatments Provided - Schistosomaisis, - PZQ</t>
  </si>
  <si>
    <t>Tracker-0528</t>
  </si>
  <si>
    <t>Schistosomaisis,</t>
  </si>
  <si>
    <t>2014</t>
  </si>
  <si>
    <t>Tracker-1613</t>
  </si>
  <si>
    <t>2015</t>
  </si>
  <si>
    <t>Tracker-1261</t>
  </si>
  <si>
    <t>Tracker-1262</t>
  </si>
  <si>
    <t>2017</t>
  </si>
  <si>
    <t>Treatments Provided - STH, - ALB</t>
  </si>
  <si>
    <t>Tracker-0526</t>
  </si>
  <si>
    <t>STH,</t>
  </si>
  <si>
    <t>2013</t>
  </si>
  <si>
    <t>Tracker-0527</t>
  </si>
  <si>
    <t>Tracker-1612</t>
  </si>
  <si>
    <t>Tracker-1244</t>
  </si>
  <si>
    <t>Tracker-1259</t>
  </si>
  <si>
    <t>BUR-001-CBM</t>
  </si>
  <si>
    <t>Burundi - CBM - 2012-2013</t>
  </si>
  <si>
    <t>Treatments Provided - Trachoma, - AZT</t>
  </si>
  <si>
    <t>Tracker-0200</t>
  </si>
  <si>
    <t>Burundi</t>
  </si>
  <si>
    <t>Trachoma,</t>
  </si>
  <si>
    <t>2012</t>
  </si>
  <si>
    <t>CAR-001-WHO</t>
  </si>
  <si>
    <t>NTD Control in CAR</t>
  </si>
  <si>
    <t>Tracker-1476</t>
  </si>
  <si>
    <t>CAR</t>
  </si>
  <si>
    <t>CAR-002-OPC</t>
  </si>
  <si>
    <t>Trachoma mass treatment activities in Lobaye and Sangha Mba_r_</t>
  </si>
  <si>
    <t>Tracker-1204</t>
  </si>
  <si>
    <t>CHA-002-OPC</t>
  </si>
  <si>
    <t>Emergency support to Chad's NTD control efforts</t>
  </si>
  <si>
    <t>Tracker-1543</t>
  </si>
  <si>
    <t>Chad</t>
  </si>
  <si>
    <t>Tracker-1538</t>
  </si>
  <si>
    <t>Tracker-1763</t>
  </si>
  <si>
    <t>Tracker-1539</t>
  </si>
  <si>
    <t>Tracker-1740</t>
  </si>
  <si>
    <t>Tracker-1761</t>
  </si>
  <si>
    <t>Tracker-1765</t>
  </si>
  <si>
    <t>Tracker-1766</t>
  </si>
  <si>
    <t>CON-001-OPC</t>
  </si>
  <si>
    <t>Supporting Congo's NTD control efforts</t>
  </si>
  <si>
    <t>Tracker-1759</t>
  </si>
  <si>
    <t>Congo-Brazzaville</t>
  </si>
  <si>
    <t>Tracker-1760</t>
  </si>
  <si>
    <t>CDI-001-APO</t>
  </si>
  <si>
    <t>Community Directed Treatment with Ivermectin</t>
  </si>
  <si>
    <t>Tracker-0458</t>
  </si>
  <si>
    <t>Cote D'Ivoire</t>
  </si>
  <si>
    <t>CDI-002-SSI</t>
  </si>
  <si>
    <t>Control and Elimination of NTDs in 27 districts of Cote D'Ivoire</t>
  </si>
  <si>
    <t>Tracker-0470</t>
  </si>
  <si>
    <t>CDI-003-SSI</t>
  </si>
  <si>
    <t>2016 LF/Oncho MDA</t>
  </si>
  <si>
    <t>Tracker-1717</t>
  </si>
  <si>
    <t>CDI-004-SSI</t>
  </si>
  <si>
    <t>Control and Elimination of Onchocerciasis and Lymphatic Filariasis in Cote d?Ivoire - 2017</t>
  </si>
  <si>
    <t>Tracker-1733</t>
  </si>
  <si>
    <t>Tracker-1734</t>
  </si>
  <si>
    <t>Tracker-0459</t>
  </si>
  <si>
    <t>Tracker-0469</t>
  </si>
  <si>
    <t>Tracker-1296</t>
  </si>
  <si>
    <t>Tracker-1735</t>
  </si>
  <si>
    <t>Tracker-1736</t>
  </si>
  <si>
    <t>Tracker-0471</t>
  </si>
  <si>
    <t>Tracker-1732</t>
  </si>
  <si>
    <t>DRC-004-AGW</t>
  </si>
  <si>
    <t>Trackings NTDs in Idjwi, DRC</t>
  </si>
  <si>
    <t>DRC</t>
  </si>
  <si>
    <t>DRC-006-UFA</t>
  </si>
  <si>
    <t>DRC-UFAR</t>
  </si>
  <si>
    <t>DRC-007-UFA</t>
  </si>
  <si>
    <t>Support of the Integrated National Program for Elimination of Selected NTDs (Onchocerciasis, Lymphat</t>
  </si>
  <si>
    <t>Treatments Provided - - PZQ</t>
  </si>
  <si>
    <t>Tracker-1341</t>
  </si>
  <si>
    <t>Tracker-1342</t>
  </si>
  <si>
    <t>Tracker-1343</t>
  </si>
  <si>
    <t>2018</t>
  </si>
  <si>
    <t>DRC-002-APO</t>
  </si>
  <si>
    <t>DRC - APOC 2014</t>
  </si>
  <si>
    <t>Tracker-0353</t>
  </si>
  <si>
    <t>Tracker-0638</t>
  </si>
  <si>
    <t>DRC-003-APJ</t>
  </si>
  <si>
    <t>Neglected Tropical Disease Control Program in the</t>
  </si>
  <si>
    <t>Tracker-0279</t>
  </si>
  <si>
    <t>Tracker-1049</t>
  </si>
  <si>
    <t>Tracker-1325</t>
  </si>
  <si>
    <t>Tracker-0639</t>
  </si>
  <si>
    <t>Tracker-1438</t>
  </si>
  <si>
    <t>Tracker-1326</t>
  </si>
  <si>
    <t>Tracker-0640</t>
  </si>
  <si>
    <t>Tracker-1327</t>
  </si>
  <si>
    <t>Tracker-0278</t>
  </si>
  <si>
    <t>Tracker-1048</t>
  </si>
  <si>
    <t>Tracker-1322</t>
  </si>
  <si>
    <t>Tracker-1437</t>
  </si>
  <si>
    <t>Tracker-1491</t>
  </si>
  <si>
    <t>DRC-009-CBM</t>
  </si>
  <si>
    <t>Integrated MDA in 2 Provinces of the DRC (N. Kivu and Equateur)</t>
  </si>
  <si>
    <t>Tracker-1572</t>
  </si>
  <si>
    <t>DRC-008-CBM</t>
  </si>
  <si>
    <t>Integrated Treatment in Kasai Mbuji Mayi, Kasai Kananga and Katanga Nord</t>
  </si>
  <si>
    <t>Tracker-1664</t>
  </si>
  <si>
    <t>Tracker-1323</t>
  </si>
  <si>
    <t>Tracker-1324</t>
  </si>
  <si>
    <t>Tracker-1051</t>
  </si>
  <si>
    <t>Tracker-1441</t>
  </si>
  <si>
    <t>Tracker-1328</t>
  </si>
  <si>
    <t>Tracker-1494</t>
  </si>
  <si>
    <t>Tracker-1518</t>
  </si>
  <si>
    <t>Tracker-1442</t>
  </si>
  <si>
    <t>Tracker-1329</t>
  </si>
  <si>
    <t>Tracker-0642</t>
  </si>
  <si>
    <t>Tracker-1330</t>
  </si>
  <si>
    <t>Tracker-0643</t>
  </si>
  <si>
    <t>Tracker-1050</t>
  </si>
  <si>
    <t>Tracker-1448</t>
  </si>
  <si>
    <t>Tracker-1331</t>
  </si>
  <si>
    <t>Tracker-0645</t>
  </si>
  <si>
    <t>Tracker-1492</t>
  </si>
  <si>
    <t>Tracker-1517</t>
  </si>
  <si>
    <t>Tracker-1449</t>
  </si>
  <si>
    <t>Tracker-1332</t>
  </si>
  <si>
    <t>Tracker-0646</t>
  </si>
  <si>
    <t>Tracker-1333</t>
  </si>
  <si>
    <t>ERI-001-FHF</t>
  </si>
  <si>
    <t>Tracker-1773</t>
  </si>
  <si>
    <t>Eritrea</t>
  </si>
  <si>
    <t>ETH-007-EMH</t>
  </si>
  <si>
    <t>Oncho MDA in 16 woredas</t>
  </si>
  <si>
    <t>Tracker-1136</t>
  </si>
  <si>
    <t>Ethiopia</t>
  </si>
  <si>
    <t>ETH-003-SCI</t>
  </si>
  <si>
    <t>Scaling up NTD Programs in Ethiopia</t>
  </si>
  <si>
    <t>Tracker-0888</t>
  </si>
  <si>
    <t>Tracker-0889</t>
  </si>
  <si>
    <t>Tracker-0890</t>
  </si>
  <si>
    <t>ETH-004-EMH</t>
  </si>
  <si>
    <t>ETHIOPIA NATIONAL DEWORMING PROGRAM</t>
  </si>
  <si>
    <t>Tracker-0943</t>
  </si>
  <si>
    <t>Tracker-0891</t>
  </si>
  <si>
    <t>Tracker-1027</t>
  </si>
  <si>
    <t>Treatments Provided - STH, - MEB</t>
  </si>
  <si>
    <t>Tracker-0855</t>
  </si>
  <si>
    <t>ETH-002-EMH</t>
  </si>
  <si>
    <t>Ethiopia -MOH - 2014 Data</t>
  </si>
  <si>
    <t>Tracker-0374</t>
  </si>
  <si>
    <t>Tracker-0865</t>
  </si>
  <si>
    <t>Tracker-0866</t>
  </si>
  <si>
    <t>Tracker-0942</t>
  </si>
  <si>
    <t>Tracker-0867</t>
  </si>
  <si>
    <t>Tracker-1025</t>
  </si>
  <si>
    <t>Tracker-1026</t>
  </si>
  <si>
    <t>ETH-006-AMR</t>
  </si>
  <si>
    <t>Trachoma mass treatment activities in Afar, Ethiopia</t>
  </si>
  <si>
    <t>Tracker-1170</t>
  </si>
  <si>
    <t>IND-001-EVI</t>
  </si>
  <si>
    <t>India - Bihar</t>
  </si>
  <si>
    <t>Tracker-0355</t>
  </si>
  <si>
    <t>India</t>
  </si>
  <si>
    <t>IND-002-EVI</t>
  </si>
  <si>
    <t>Rajasthan Preschool and School Based Deworming Program</t>
  </si>
  <si>
    <t>Tracker-1219</t>
  </si>
  <si>
    <t>Tracker-1221</t>
  </si>
  <si>
    <t>Tracker-1220</t>
  </si>
  <si>
    <t>Tracker-1666</t>
  </si>
  <si>
    <t>Tracker-1668</t>
  </si>
  <si>
    <t>Tracker-1667</t>
  </si>
  <si>
    <t>KEN-002-EVI</t>
  </si>
  <si>
    <t>Lymphatic Filariasis Elimination on the Kenya Coast</t>
  </si>
  <si>
    <t>Tracker-1626</t>
  </si>
  <si>
    <t>Kenya</t>
  </si>
  <si>
    <t>Tracker-1627</t>
  </si>
  <si>
    <t>KEN-001-EVI</t>
  </si>
  <si>
    <t>Closing the Deworming Gap in Kenya</t>
  </si>
  <si>
    <t>Tracker-0514</t>
  </si>
  <si>
    <t>Tracker-0515</t>
  </si>
  <si>
    <t>Tracker-1555</t>
  </si>
  <si>
    <t>Tracker-0512</t>
  </si>
  <si>
    <t>Tracker-0513</t>
  </si>
  <si>
    <t>Tracker-1554</t>
  </si>
  <si>
    <t>LIB-001-SCI</t>
  </si>
  <si>
    <t>Liberia - SCI</t>
  </si>
  <si>
    <t>Tracker-0523</t>
  </si>
  <si>
    <t>Liberia</t>
  </si>
  <si>
    <t>Tracker-1283</t>
  </si>
  <si>
    <t>Tracker-1665</t>
  </si>
  <si>
    <t>MAL-001-HKI</t>
  </si>
  <si>
    <t>Mali - HKI - 2012</t>
  </si>
  <si>
    <t>Tracker-0212</t>
  </si>
  <si>
    <t>Mali</t>
  </si>
  <si>
    <t>MAL-002-HKI</t>
  </si>
  <si>
    <t>Mali - 2013</t>
  </si>
  <si>
    <t>Tracker-1124</t>
  </si>
  <si>
    <t>Tracker-0213</t>
  </si>
  <si>
    <t>Treatments Provided - Oncho, -</t>
  </si>
  <si>
    <t>Tracker-0214</t>
  </si>
  <si>
    <t>Tracker-1125</t>
  </si>
  <si>
    <t>Tracker-0215</t>
  </si>
  <si>
    <t>Tracker-0210</t>
  </si>
  <si>
    <t>Tracker-0211</t>
  </si>
  <si>
    <t>Tracker-1123</t>
  </si>
  <si>
    <t>Treatments Provided - STH, -</t>
  </si>
  <si>
    <t>Tracker-0208</t>
  </si>
  <si>
    <t>Tracker-1122</t>
  </si>
  <si>
    <t>MCP-001-WFP</t>
  </si>
  <si>
    <t>World Food Programme</t>
  </si>
  <si>
    <t>Tracker-0825</t>
  </si>
  <si>
    <t>Multi-Country Projects</t>
  </si>
  <si>
    <t>Tracker-0820</t>
  </si>
  <si>
    <t>Tracker-0821</t>
  </si>
  <si>
    <t>Tracker-0823</t>
  </si>
  <si>
    <t>Tracker-0854</t>
  </si>
  <si>
    <t>Tracker-0948</t>
  </si>
  <si>
    <t>Tracker-1738</t>
  </si>
  <si>
    <t>Tracker-0822</t>
  </si>
  <si>
    <t>Tracker-0824</t>
  </si>
  <si>
    <t>Tracker-1739</t>
  </si>
  <si>
    <t>Tracker-1691</t>
  </si>
  <si>
    <t>NAM-001-LAT</t>
  </si>
  <si>
    <t>Namibia - LATH - STH SCH</t>
  </si>
  <si>
    <t>Tracker-0225</t>
  </si>
  <si>
    <t>Namibia</t>
  </si>
  <si>
    <t>Tracker-0226</t>
  </si>
  <si>
    <t>NAM-002-SYN</t>
  </si>
  <si>
    <t>Namibia - Synergos</t>
  </si>
  <si>
    <t>Tracker-0362</t>
  </si>
  <si>
    <t>Tracker-0223</t>
  </si>
  <si>
    <t>Tracker-0224</t>
  </si>
  <si>
    <t>Tracker-0361</t>
  </si>
  <si>
    <t>NGR-001-HKI</t>
  </si>
  <si>
    <t>Niger - HKI - project</t>
  </si>
  <si>
    <t>Tracker-0220</t>
  </si>
  <si>
    <t>Niger</t>
  </si>
  <si>
    <t>Tracker-0219</t>
  </si>
  <si>
    <t>Tracker-0218</t>
  </si>
  <si>
    <t>Tracker-0221</t>
  </si>
  <si>
    <t>NGA-001-SSA</t>
  </si>
  <si>
    <t>Nigera Sightsavers -</t>
  </si>
  <si>
    <t>Tracker-0239</t>
  </si>
  <si>
    <t>Nigeria</t>
  </si>
  <si>
    <t>NGA-002-MIT</t>
  </si>
  <si>
    <t>Ekiti State: Control of NTDs</t>
  </si>
  <si>
    <t>Tracker-0047</t>
  </si>
  <si>
    <t>NGA-003-HKI</t>
  </si>
  <si>
    <t>Akwa Ibom: LF MDA in 3 LGAs</t>
  </si>
  <si>
    <t>Tracker-0188</t>
  </si>
  <si>
    <t>NGA-004-MIT</t>
  </si>
  <si>
    <t>Ondo State: Control of NTDs</t>
  </si>
  <si>
    <t>Tracker-0783</t>
  </si>
  <si>
    <t>Tracker-0050</t>
  </si>
  <si>
    <t>NGA-005-AHF</t>
  </si>
  <si>
    <t>Gombe State: Control of NTDs</t>
  </si>
  <si>
    <t>Tracker-0830</t>
  </si>
  <si>
    <t>NGA-006-HKI</t>
  </si>
  <si>
    <t>Akwa Ibom: Control of NTDs</t>
  </si>
  <si>
    <t>Tracker-1741</t>
  </si>
  <si>
    <t>Tracker-0784</t>
  </si>
  <si>
    <t>Tracker-0832</t>
  </si>
  <si>
    <t>Tracker-1080</t>
  </si>
  <si>
    <t>Tracker-0785</t>
  </si>
  <si>
    <t>Tracker-0240</t>
  </si>
  <si>
    <t>Tracker-0105</t>
  </si>
  <si>
    <t>Tracker-0780</t>
  </si>
  <si>
    <t>Tracker-0106</t>
  </si>
  <si>
    <t>Tracker-0826</t>
  </si>
  <si>
    <t>Tracker-1082</t>
  </si>
  <si>
    <t>Tracker-0781</t>
  </si>
  <si>
    <t>Tracker-0828</t>
  </si>
  <si>
    <t>Tracker-1084</t>
  </si>
  <si>
    <t>Tracker-0782</t>
  </si>
  <si>
    <t>Tracker-0238</t>
  </si>
  <si>
    <t>Tracker-0109</t>
  </si>
  <si>
    <t>Tracker-0814</t>
  </si>
  <si>
    <t>Tracker-1687</t>
  </si>
  <si>
    <t>Tracker-0110</t>
  </si>
  <si>
    <t>Tracker-1484</t>
  </si>
  <si>
    <t>Tracker-1085</t>
  </si>
  <si>
    <t>Tracker-0774</t>
  </si>
  <si>
    <t>Tracker-1086</t>
  </si>
  <si>
    <t>Tracker-0776</t>
  </si>
  <si>
    <t>Tracker-0237</t>
  </si>
  <si>
    <t>Tracker-0111</t>
  </si>
  <si>
    <t>Tracker-0112</t>
  </si>
  <si>
    <t>Tracker-0777</t>
  </si>
  <si>
    <t>Tracker-1676</t>
  </si>
  <si>
    <t>Tracker-1685</t>
  </si>
  <si>
    <t>Tracker-0778</t>
  </si>
  <si>
    <t>Tracker-1677</t>
  </si>
  <si>
    <t>Tracker-1683</t>
  </si>
  <si>
    <t>Tracker-0241</t>
  </si>
  <si>
    <t>RWA-001-SCI</t>
  </si>
  <si>
    <t>School Based Deworming in Rwanda</t>
  </si>
  <si>
    <t>Tracker-1021</t>
  </si>
  <si>
    <t>Rwanda</t>
  </si>
  <si>
    <t>Tracker-1023</t>
  </si>
  <si>
    <t>RWA-002-RBC</t>
  </si>
  <si>
    <t>Prevention, Control &amp; Surveillance of NTD in the Republic of Rwanda</t>
  </si>
  <si>
    <t>Tracker-1661</t>
  </si>
  <si>
    <t>Tracker-1662</t>
  </si>
  <si>
    <t>Tracker-1017</t>
  </si>
  <si>
    <t>Tracker-1019</t>
  </si>
  <si>
    <t>Tracker-1018</t>
  </si>
  <si>
    <t>Tracker-1020</t>
  </si>
  <si>
    <t>Tracker-1007</t>
  </si>
  <si>
    <t>Tracker-1008</t>
  </si>
  <si>
    <t>Tracker-1009</t>
  </si>
  <si>
    <t>Tracker-1010</t>
  </si>
  <si>
    <t>Tracker-1281</t>
  </si>
  <si>
    <t>Tracker-1282</t>
  </si>
  <si>
    <t>Tracker-1653</t>
  </si>
  <si>
    <t>Tracker-1654</t>
  </si>
  <si>
    <t>Tracker-1655</t>
  </si>
  <si>
    <t>Tracker-1657</t>
  </si>
  <si>
    <t>Tracker-1658</t>
  </si>
  <si>
    <t>Tracker-1659</t>
  </si>
  <si>
    <t>SOM-001-WHO</t>
  </si>
  <si>
    <t>NTD Control in Somalia</t>
  </si>
  <si>
    <t>Tracker-1633</t>
  </si>
  <si>
    <t>Somalia</t>
  </si>
  <si>
    <t>Tracker-1632</t>
  </si>
  <si>
    <t>Tracker-1634</t>
  </si>
  <si>
    <t>SSU-001-SSI</t>
  </si>
  <si>
    <t>NTD Control in Western Equatoria State</t>
  </si>
  <si>
    <t>Tracker-0991</t>
  </si>
  <si>
    <t>South Sudan</t>
  </si>
  <si>
    <t>Tracker-0992</t>
  </si>
  <si>
    <t>Tracker-0993</t>
  </si>
  <si>
    <t>Tracker-0994</t>
  </si>
  <si>
    <t>SUD-001-SSI</t>
  </si>
  <si>
    <t>Trachoma Elimination in Sudan</t>
  </si>
  <si>
    <t>Tracker-1690</t>
  </si>
  <si>
    <t>Sudan</t>
  </si>
  <si>
    <t>Yemen</t>
  </si>
  <si>
    <t>YEM-002-SCI</t>
  </si>
  <si>
    <t>Yemen SCH STH Program 2014</t>
  </si>
  <si>
    <t>Tracker-1737</t>
  </si>
  <si>
    <t>Tracker-0429</t>
  </si>
  <si>
    <t>Tracker-1175</t>
  </si>
  <si>
    <t>YEM-001-SCI</t>
  </si>
  <si>
    <t>Yemen - SCI - SCH</t>
  </si>
  <si>
    <t>Tracker-0233</t>
  </si>
  <si>
    <t>Tracker-0370</t>
  </si>
  <si>
    <t>YEM-003-SCI</t>
  </si>
  <si>
    <t>Controlling NTDs in Yemen</t>
  </si>
  <si>
    <t>Tracker-0882</t>
  </si>
  <si>
    <t>Tracker-1172</t>
  </si>
  <si>
    <t>Tracker-0369</t>
  </si>
  <si>
    <t>Tracker-0883</t>
  </si>
  <si>
    <t>Tracker-1174</t>
  </si>
  <si>
    <t>ZAM-001-FPS</t>
  </si>
  <si>
    <t>LF Elimination in Zambia</t>
  </si>
  <si>
    <t>Tracker-0960</t>
  </si>
  <si>
    <t>Zambia</t>
  </si>
  <si>
    <t>ZAM-002-FPS</t>
  </si>
  <si>
    <t>LF Elimination in Zambia 2017</t>
  </si>
  <si>
    <t>Tracker-1646</t>
  </si>
  <si>
    <t>ZAM-001-SPM</t>
  </si>
  <si>
    <t>Zam - St. Pauls Mission Hospital- Trachoma</t>
  </si>
  <si>
    <t>Tracker-0243</t>
  </si>
  <si>
    <t>Tracker-0244</t>
  </si>
  <si>
    <t>ZIM-003-MHZ</t>
  </si>
  <si>
    <t>Zimbabwe's National NTD Program 2015-2017</t>
  </si>
  <si>
    <t>Tracker-1197</t>
  </si>
  <si>
    <t>Zimbabwe</t>
  </si>
  <si>
    <t>ZIM-001-SCI</t>
  </si>
  <si>
    <t>Zimbabwe - SCI - STH SCH</t>
  </si>
  <si>
    <t>Tracker-0236</t>
  </si>
  <si>
    <t>ZIM-002-MHZ</t>
  </si>
  <si>
    <t>Zimbabwe - 2014 Data</t>
  </si>
  <si>
    <t>Tracker-0372</t>
  </si>
  <si>
    <t>Tracker-0876</t>
  </si>
  <si>
    <t>Tracker-1194</t>
  </si>
  <si>
    <t>Tracker-0235</t>
  </si>
  <si>
    <t>Tracker-0371</t>
  </si>
  <si>
    <t>Tracker-0875</t>
  </si>
  <si>
    <t>Tracker-1193</t>
  </si>
  <si>
    <t>Tracker-1198</t>
  </si>
  <si>
    <t>ANGOLA</t>
  </si>
  <si>
    <t>BURUNDI</t>
  </si>
  <si>
    <t>COTE D'IVOIRE</t>
  </si>
  <si>
    <t>CHAD</t>
  </si>
  <si>
    <t>CONGO-BRAZZAVILLE</t>
  </si>
  <si>
    <t>ERITREA</t>
  </si>
  <si>
    <t>ETHIOPIA</t>
  </si>
  <si>
    <t>INDIA</t>
  </si>
  <si>
    <t>KENYA</t>
  </si>
  <si>
    <t>LIBERIA</t>
  </si>
  <si>
    <t>MALI</t>
  </si>
  <si>
    <t>WFP</t>
  </si>
  <si>
    <t>NAMIBIA</t>
  </si>
  <si>
    <t>NIGERIA</t>
  </si>
  <si>
    <t>RWANDA</t>
  </si>
  <si>
    <t>SOMALIA</t>
  </si>
  <si>
    <t>SOUTH SUDAN</t>
  </si>
  <si>
    <t>YEMEN</t>
  </si>
  <si>
    <t>ZAMBIA</t>
  </si>
  <si>
    <t>ZIMBABWE</t>
  </si>
  <si>
    <t>Mentor</t>
  </si>
  <si>
    <t>2017 (projected)</t>
  </si>
  <si>
    <t>CBM</t>
  </si>
  <si>
    <t>WHO</t>
  </si>
  <si>
    <t>OPC</t>
  </si>
  <si>
    <t>APOC</t>
  </si>
  <si>
    <t>SSI</t>
  </si>
  <si>
    <t>AGW</t>
  </si>
  <si>
    <t>2017 (projected )</t>
  </si>
  <si>
    <t>UFAR</t>
  </si>
  <si>
    <t>FHF</t>
  </si>
  <si>
    <t>2014 (closed)</t>
  </si>
  <si>
    <t>SCI</t>
  </si>
  <si>
    <t>Amref</t>
  </si>
  <si>
    <t>MOH - oncho</t>
  </si>
  <si>
    <t>HKI</t>
  </si>
  <si>
    <t>HKI - 2012</t>
  </si>
  <si>
    <t>LATH - mapping</t>
  </si>
  <si>
    <t>Synergos</t>
  </si>
  <si>
    <t>2016 (preliminary)</t>
  </si>
  <si>
    <t>Country</t>
  </si>
  <si>
    <t>Year</t>
  </si>
  <si>
    <t>Implementing Partner</t>
  </si>
  <si>
    <t>Program Name</t>
  </si>
  <si>
    <t>Data as of May 22, 2017  - pulled from SalesForce</t>
  </si>
  <si>
    <t>HKI - 2013</t>
  </si>
  <si>
    <t>NOTES</t>
  </si>
  <si>
    <t>SSI - 2013</t>
  </si>
  <si>
    <t xml:space="preserve">Mitosath - Ekiti </t>
  </si>
  <si>
    <t>HKI - LF</t>
  </si>
  <si>
    <t xml:space="preserve">Mitosath - Ondo </t>
  </si>
  <si>
    <t>Amen - Gombe</t>
  </si>
  <si>
    <t>HKI - AKW</t>
  </si>
  <si>
    <t>NIGER</t>
  </si>
  <si>
    <t>RBC</t>
  </si>
  <si>
    <t>FPS</t>
  </si>
  <si>
    <t xml:space="preserve">FPS </t>
  </si>
  <si>
    <t xml:space="preserve">APOC </t>
  </si>
  <si>
    <t>Evi. Act. - Bihar</t>
  </si>
  <si>
    <t>Evi. Act. - Rajasthan</t>
  </si>
  <si>
    <t>Evi. Act.</t>
  </si>
  <si>
    <t>Treatment conducted with remaining 2015 funds - managed through WHO</t>
  </si>
  <si>
    <t>SPM</t>
  </si>
  <si>
    <t xml:space="preserve">SCI </t>
  </si>
  <si>
    <t>Still waiting for final report</t>
  </si>
  <si>
    <t>TOTAL 2015 SCH treatments</t>
  </si>
  <si>
    <t>TOTAL 2015 STH treatments</t>
  </si>
  <si>
    <t>TOTAL 2016 SCH treatments</t>
  </si>
  <si>
    <t>TOTAL 2016 STH treatments</t>
  </si>
  <si>
    <t>TOTAL projected 2017 SCH treatments</t>
  </si>
  <si>
    <t>TOTAL projected 2017 STH treatments</t>
  </si>
  <si>
    <t>TOTAL 2014 SCH treatments</t>
  </si>
  <si>
    <t>TOTAL 2014 STH treatments</t>
  </si>
  <si>
    <t>TOTAL preliminary 2016 SCH treatments</t>
  </si>
  <si>
    <t>TOTAL preliminary 2016 STH treatments</t>
  </si>
  <si>
    <t>TOTAL 2013 SCH treatments</t>
  </si>
  <si>
    <t>TOTAL 2013 STH treatments</t>
  </si>
  <si>
    <t>TOTAL 2012 SCH treatments</t>
  </si>
  <si>
    <t>TOTAL 2012 STH treatments</t>
  </si>
  <si>
    <t>Numbers previously given to GW were provisional</t>
  </si>
  <si>
    <t>Diseases and Treatments</t>
  </si>
  <si>
    <t>Total Budget $</t>
  </si>
  <si>
    <t>Other donors* (includes some estimates, official amounts would need to be confirmed)</t>
  </si>
  <si>
    <t>CIFF</t>
  </si>
  <si>
    <t>SCI*</t>
  </si>
  <si>
    <t>CNTD</t>
  </si>
  <si>
    <t>Evidance Action</t>
  </si>
  <si>
    <t>UNICEF</t>
  </si>
  <si>
    <t>World Bank</t>
  </si>
  <si>
    <t>Government cash</t>
  </si>
  <si>
    <t>DFiD</t>
  </si>
  <si>
    <t>?</t>
  </si>
  <si>
    <t>MOH - Eth</t>
  </si>
  <si>
    <t>MOH - Zim</t>
  </si>
  <si>
    <t>Partner</t>
  </si>
  <si>
    <t>Total Diseases and Treatments</t>
  </si>
  <si>
    <t>Total Diseases and Treatments attributed to the END Fund</t>
  </si>
  <si>
    <t>Other donors</t>
  </si>
  <si>
    <t>oncho</t>
  </si>
  <si>
    <t>ESPEN</t>
  </si>
  <si>
    <t>OMS/APOC</t>
  </si>
  <si>
    <t>Sightsavers/UFAR</t>
  </si>
  <si>
    <t>RTI/USAID</t>
  </si>
  <si>
    <t>other</t>
  </si>
  <si>
    <t>N/A</t>
  </si>
  <si>
    <t xml:space="preserve">WHO </t>
  </si>
  <si>
    <t>Breakdown of the Budget in BP</t>
  </si>
  <si>
    <t>DFID</t>
  </si>
  <si>
    <t>EF</t>
  </si>
  <si>
    <t>Unrestricted SCI</t>
  </si>
  <si>
    <t>Exchange rate</t>
  </si>
  <si>
    <t>2017 SCI</t>
  </si>
  <si>
    <t>Estimated SCH Cost from the EF disbursement</t>
  </si>
  <si>
    <t xml:space="preserve">Estimated STH Cost from EF disbursment </t>
  </si>
  <si>
    <t xml:space="preserve">Angola </t>
  </si>
  <si>
    <t>Disbursement date</t>
  </si>
  <si>
    <t>Actual Disbursement Amount</t>
  </si>
  <si>
    <t>Disbursement Name</t>
  </si>
  <si>
    <t>ANG-001-MEN- Disbursement 2013-12-31</t>
  </si>
  <si>
    <t>This is the same number in GW's grants sheet</t>
  </si>
  <si>
    <t>ANG-001-MEN- Disbursement 2014-12-31</t>
  </si>
  <si>
    <t>ANG-001-MEN- Disbursement 2015-06-30</t>
  </si>
  <si>
    <t>ANG-001-MEN- Disbursement 2015-12-17</t>
  </si>
  <si>
    <t>ANG-001-MEN- Disbursement 2016-01-11</t>
  </si>
  <si>
    <t>ANG-001-MEN- Disbursement 2016-07-15</t>
  </si>
  <si>
    <t>ANG-001-MEN- Disbursement 2016-09-02</t>
  </si>
  <si>
    <t>TOTAL disbursed to Mentor for Angola</t>
  </si>
  <si>
    <t>CAR-001-WHO- Disbursement 2015-12-11</t>
  </si>
  <si>
    <t>CAR-002-OPC- Disbursement 2015-12-14</t>
  </si>
  <si>
    <t>CHA-002-OPC- Disbursement 2016-10-07</t>
  </si>
  <si>
    <t>CHA-002-OPC- Disbursement 2017-05-17</t>
  </si>
  <si>
    <t>Coalition for African River Blindness Elimination (CARBE)</t>
  </si>
  <si>
    <t>CARBE 2016-2017</t>
  </si>
  <si>
    <t>CRB-001-- Disbursement 2016-11-15</t>
  </si>
  <si>
    <t>CRB-001-- Disbursement 2016-01-01</t>
  </si>
  <si>
    <t>CRB-001-- Disbursement 2016-08-15</t>
  </si>
  <si>
    <t>CRB-001-- Disbursement 2017-04-01</t>
  </si>
  <si>
    <t>CRB-001-- Disbursement 2017-04-11</t>
  </si>
  <si>
    <t>CDI-001-APO- Disbursement 2014-12-31</t>
  </si>
  <si>
    <t>CDI-002-SSI- Disbursement 2015-11-05</t>
  </si>
  <si>
    <t>CDI-003-SSI- Disbursement 2016-11-08</t>
  </si>
  <si>
    <t>CDI-003-SSI- Disbursement 2016-06-21</t>
  </si>
  <si>
    <t>CDI-002-SSI- Disbursement 2016-04-07</t>
  </si>
  <si>
    <t>CDI-04-SSI- Disbursement 2016-11-08</t>
  </si>
  <si>
    <t>DRC CNTD mapping project</t>
  </si>
  <si>
    <t>DRC-001-FPS- Disbursement 2013-12-31</t>
  </si>
  <si>
    <t>DRC-002-APO- Disbursement 2014-12-31</t>
  </si>
  <si>
    <t>DRC-001-FPS- Disbursement 2014-12-31</t>
  </si>
  <si>
    <t>DRC-004-AGW- Disbursement 2015-06-30</t>
  </si>
  <si>
    <t>DRC-006-UFA- Disbursement 2015-12-01</t>
  </si>
  <si>
    <t>DRC-004-AGW- Disbursement 2015-10-27</t>
  </si>
  <si>
    <t>DRC-004-AGW- Disbursement 2015-12-31</t>
  </si>
  <si>
    <t>DRC-003-APJ- Disbursement 2015-08-05</t>
  </si>
  <si>
    <t>DRC-007-UFA- Disbursement 2016-11-23</t>
  </si>
  <si>
    <t>DRC-008-CBM- Disbursement 2016-08-25</t>
  </si>
  <si>
    <t>DRC-008-CBM- Disbursement 2016-08-23</t>
  </si>
  <si>
    <t>DRC-009-CBM- Disbursement 2016-10-18</t>
  </si>
  <si>
    <t>DRC-009-CBM- Disbursement 2016-12-28</t>
  </si>
  <si>
    <t>DRC-006-UFA- Disbursement 2016-02-23</t>
  </si>
  <si>
    <t>DRC-007-UFA- Disbursement 2016-07-14</t>
  </si>
  <si>
    <t>DRC-004-AGW- Disbursement 2016-06-30</t>
  </si>
  <si>
    <t>DRC-008-CBM- Disbursement 2016-12-28</t>
  </si>
  <si>
    <t>ETH CNTD Mapping Project</t>
  </si>
  <si>
    <t>ETH-001-CNT- Disbursement 2013-08-31</t>
  </si>
  <si>
    <t>ETH-001-CNT- Disbursement 2013-12-31</t>
  </si>
  <si>
    <t>ETH-003-SCI- Disbursement 2014-09-10</t>
  </si>
  <si>
    <t>ETH-002-EMH- Disbursement 2014-12-31</t>
  </si>
  <si>
    <t>ETH-003-SCI- Disbursement 2014-11-24</t>
  </si>
  <si>
    <t>ETH-001-CNT- Disbursement 2014-12-31</t>
  </si>
  <si>
    <t>ETH-003-SCI- Disbursement 2015-12-31</t>
  </si>
  <si>
    <t>ETH-003-SCI- Disbursement 2015-09-30</t>
  </si>
  <si>
    <t>ETH-004-EMH- Disbursement 2015-08-14</t>
  </si>
  <si>
    <t>ETH-003-SCI- Disbursement 2016-12-16</t>
  </si>
  <si>
    <t>ETH-003-SCI- Disbursement 2016-09-28</t>
  </si>
  <si>
    <t>ETH-004-EMH- Disbursement 2016-10-07</t>
  </si>
  <si>
    <t>ETH-007-EMH- Disbursement 2016-01-11</t>
  </si>
  <si>
    <t>Ev. Act.</t>
  </si>
  <si>
    <t>IND-001-EVI- Disbursement 2013-09-30</t>
  </si>
  <si>
    <t>IND-001-EVI- Disbursement 2014-09-11</t>
  </si>
  <si>
    <t>IND-002-EVI- Disbursement 2015-12-22</t>
  </si>
  <si>
    <t>IND-002-EVI- Disbursement 2015-12-17</t>
  </si>
  <si>
    <t>KEN-001-EVI- Disbursement 2012-12-31</t>
  </si>
  <si>
    <t>KEN-001-EVI- Disbursement 2013-12-31</t>
  </si>
  <si>
    <t>KEN-001-EVI- Disbursement 2014-12-31</t>
  </si>
  <si>
    <t>KEN-001-EVI- Disbursement 2015-03-31</t>
  </si>
  <si>
    <t>KEN-002-EVI- Disbursement 2016-12-02</t>
  </si>
  <si>
    <t>KEN-001-EVI- Disbursement 2016-12-08</t>
  </si>
  <si>
    <t>KEN-001-EVI- Disbursement 2016-09-16</t>
  </si>
  <si>
    <t>LIB-001-SCI- Disbursement 2013-12-31</t>
  </si>
  <si>
    <t>MAL-001-HKI- Disbursement 2012-12-31</t>
  </si>
  <si>
    <t>MAL-001-HKI- Disbursement 2013-12-31</t>
  </si>
  <si>
    <t>MAL-002-HKI- Disbursement 2013-12-31</t>
  </si>
  <si>
    <t>MAL-002-HKI- Disbursement 2014-12-31</t>
  </si>
  <si>
    <t>Mali Hydocele Project</t>
  </si>
  <si>
    <t>MAL-003-HKI- Disbursement 2014-12-31</t>
  </si>
  <si>
    <t>Mali Lymphatic Filariasis Morbidity Support (including hydrocele surgery)</t>
  </si>
  <si>
    <t>MAL-004-HKI- Disbursement 2016-11-15</t>
  </si>
  <si>
    <t>MAL-004-HKI- Disbursement 2016-02-19</t>
  </si>
  <si>
    <t>MAL-004-HKI- Disbursement 2017-03-28</t>
  </si>
  <si>
    <t>MCP-001-WFP- Disbursement 2015-08-24</t>
  </si>
  <si>
    <t>MCP-001-WFP- Disbursement 2016-11-07</t>
  </si>
  <si>
    <t>NAM-001-LAT- Disbursement 2012-12-31</t>
  </si>
  <si>
    <t>NAM-001-LAT- Disbursement 2013-12-31</t>
  </si>
  <si>
    <t>NAM-002-SYN- Disbursement 2014-12-31</t>
  </si>
  <si>
    <t>NGA-001-SSA- Disbursement 2013-12-31</t>
  </si>
  <si>
    <t>Mitosath - Ekiti</t>
  </si>
  <si>
    <t>NGA-002-MIT- Disbursement 2015-08-17</t>
  </si>
  <si>
    <t>NGA-006-HKI- Disbursement 2015-12-31</t>
  </si>
  <si>
    <t>NGA-006-HKI- Disbursement 2015-09-30</t>
  </si>
  <si>
    <t>NGA-002-MIT- Disbursement 2015-04-27</t>
  </si>
  <si>
    <t>NGA-002-MIT- Disbursement 2015-12-31</t>
  </si>
  <si>
    <t>Mitosath - Ondo</t>
  </si>
  <si>
    <t>NGA-004-MIT- Disbursement 2015-12-31</t>
  </si>
  <si>
    <t>NGA-005-AHF- Disbursement 2015-12-31</t>
  </si>
  <si>
    <t>NGA-004-MIT- Disbursement 2015-09-30</t>
  </si>
  <si>
    <t>NGA-002-MIT- Disbursement 2016-07-01</t>
  </si>
  <si>
    <t>NGA-006-HKI- Disbursement 2016-09-13</t>
  </si>
  <si>
    <t>NGA-006-HKI- Disbursement 2016-12-15</t>
  </si>
  <si>
    <t>NGA-005-AHF- Disbursement 2016-07-28</t>
  </si>
  <si>
    <t>NGA-005-AHF- Disbursement 2016-08-18</t>
  </si>
  <si>
    <t>NGA-005-AHF- Disbursement 2016-06-03</t>
  </si>
  <si>
    <t>NGA-004-MIT- Disbursement 2017-03-28</t>
  </si>
  <si>
    <t>NGA-002-MIT- Disbursement 2017-04-12</t>
  </si>
  <si>
    <t>NGA-005-AHF- Disbursement 2017-03-20</t>
  </si>
  <si>
    <t>NGR-001-HKI- Disbursement 2013-12-31</t>
  </si>
  <si>
    <t>RWA-001-SCI- Disbursement 2012-12-31</t>
  </si>
  <si>
    <t>RWA-001-SCI- Disbursement 2014-12-31</t>
  </si>
  <si>
    <t>RWA-001-SCI- Disbursement 2015-12-16</t>
  </si>
  <si>
    <t>RWA-001-SCI- Disbursement 2015-06-30</t>
  </si>
  <si>
    <t>RWA-002-RBC- Disbursement 2017-04-12</t>
  </si>
  <si>
    <t>RWA-002-RBC- Disbursement 2017-01-13</t>
  </si>
  <si>
    <t>RWA-002-- Disbursement 2016-12-08</t>
  </si>
  <si>
    <t>RWA-002-- Disbursement 2017-10-10</t>
  </si>
  <si>
    <t>RWA-002-- Disbursement 2016-12-30</t>
  </si>
  <si>
    <t>SOM-001-- Disbursement 2016-11-08</t>
  </si>
  <si>
    <t>SSU-001-SSI- Disbursement 2015-12-31</t>
  </si>
  <si>
    <t>YEM-001-SCI- Disbursement 2013-12-31</t>
  </si>
  <si>
    <t>YEM-002-SCI- Disbursement 2014-12-31</t>
  </si>
  <si>
    <t>YEM-001-SCI- Disbursement 2014-12-31</t>
  </si>
  <si>
    <t>YEM-003-SCI- Disbursement 2015-12-11</t>
  </si>
  <si>
    <t>ZIM-001-SCI- Disbursement 2013-12-31</t>
  </si>
  <si>
    <t>ZIM-002-MHZ- Disbursement 2014-12-31</t>
  </si>
  <si>
    <t>ZIM-003-MHZ- Disbursement 2015-12-17</t>
  </si>
  <si>
    <t>ZIM-003-MHZ- Disbursement 2016-07-16</t>
  </si>
  <si>
    <t>ZIM-003-MHZ- Disbursement 2016-11-01</t>
  </si>
  <si>
    <t>ZIM-003-MHZ- Disbursement 2016-12-22</t>
  </si>
  <si>
    <t>ZIM-003-MHZ- Disbursement 2016-05-19</t>
  </si>
  <si>
    <t>ZIM-003-MHZ- Disbursement 2017-04-12</t>
  </si>
  <si>
    <t>ZIM-003-MHZ- Disbursement 2017-03-09</t>
  </si>
  <si>
    <t>BUR-001-CBM- Disbursement 2012-12-31</t>
  </si>
  <si>
    <t>Guinea Bissau</t>
  </si>
  <si>
    <t>Sightsavers</t>
  </si>
  <si>
    <t>Trachoma Impact Assessments in Guinea Bissau</t>
  </si>
  <si>
    <t>GB-001-SSI- Disbursement 2015-12-21</t>
  </si>
  <si>
    <t>Mauritania</t>
  </si>
  <si>
    <t>Organisation pour la Pr_vention de la C_cit_</t>
  </si>
  <si>
    <t>Trachoma Impact Assessment Survey</t>
  </si>
  <si>
    <t>MAU-001-OPC- Disbursement 2016-12-07</t>
  </si>
  <si>
    <t>The Carter Center</t>
  </si>
  <si>
    <t>Trichiasis Surgeries in Amhara, Ethiopia</t>
  </si>
  <si>
    <t>ETH-005-TCC- Disbursement 2015-11-25</t>
  </si>
  <si>
    <t>AMREF Health Africa</t>
  </si>
  <si>
    <t>ETH-006-AMR- Disbursement 2016-12-07</t>
  </si>
  <si>
    <t>ETH-005-TCC- Disbursement 2016-05-25</t>
  </si>
  <si>
    <t>ETH-006-AMR- Disbursement 2016-01-11</t>
  </si>
  <si>
    <t>International Orthodox Christian Charities</t>
  </si>
  <si>
    <t>Elephantiasis Morbidity Management</t>
  </si>
  <si>
    <t>ETH-008-IOC- Disbursement 2016-11-07</t>
  </si>
  <si>
    <t>Human Analogue Applications</t>
  </si>
  <si>
    <t>Mali/Niger - HeadStart</t>
  </si>
  <si>
    <t>NGR-002-HAA- Disbursement 2014-12-31</t>
  </si>
  <si>
    <t>SUD-001-SSI- Disbursement 2015-12-09</t>
  </si>
  <si>
    <t>Tanzania</t>
  </si>
  <si>
    <t>Kilimanjaro Centre for Community Ophthalmology (KCCO)</t>
  </si>
  <si>
    <t>TT Surgical Initiative in Ngororngoro District, Ar</t>
  </si>
  <si>
    <t>TAN-001-KCC- Disbursement 2014-12-31</t>
  </si>
  <si>
    <t>Ministry of Health, Community Development, Gender, Elderly and Children</t>
  </si>
  <si>
    <t>LF Morbidity Control in Tanzania</t>
  </si>
  <si>
    <t>TAN-002-TMH- Disbursement 2015-12-31</t>
  </si>
  <si>
    <t>Trachoma Trust</t>
  </si>
  <si>
    <t>TAN-003-SSI- Disbursement 2015-03-31</t>
  </si>
  <si>
    <t>TAN-002-TMH- Disbursement 2015-03-31</t>
  </si>
  <si>
    <t>TAN-003-SSI- Disbursement 2015-12-21</t>
  </si>
  <si>
    <t>TAN-002-TMH- Disbursement 2016-12-16</t>
  </si>
  <si>
    <t>TAN-001-KCC- Disbursement 2016-02-25</t>
  </si>
  <si>
    <t>Filarial Programmes Support Unit</t>
  </si>
  <si>
    <t>ZAM-001-FPS- Disbursement 2015-12-11</t>
  </si>
  <si>
    <t>ZAM-001-FPS- Disbursement 2016-09-01</t>
  </si>
  <si>
    <t>ZAM-02-FPS- Disbursement 2017-12-22</t>
  </si>
  <si>
    <t>Data provided by the END Fund</t>
  </si>
  <si>
    <t>Actuals and projected for 2017</t>
  </si>
  <si>
    <t>Active Programs</t>
  </si>
  <si>
    <t>Disbursed 2012</t>
  </si>
  <si>
    <t>Disbursed 2013</t>
  </si>
  <si>
    <t>Disbursed 2014</t>
  </si>
  <si>
    <t>Disbursed 2015</t>
  </si>
  <si>
    <t>Disbursed 2016</t>
  </si>
  <si>
    <t>Disbursed and projected 2017</t>
  </si>
  <si>
    <t>Total to Date Disbursed and Projected</t>
  </si>
  <si>
    <t>Angola Mentor</t>
  </si>
  <si>
    <t>CAR WHO</t>
  </si>
  <si>
    <t>CAR OPC</t>
  </si>
  <si>
    <t>Chad OPC</t>
  </si>
  <si>
    <t>Congo - Brazzaville</t>
  </si>
  <si>
    <t>Cote D'Ivoire Sightsavers</t>
  </si>
  <si>
    <t>DRC Idjwi</t>
  </si>
  <si>
    <t>DRC UFAR</t>
  </si>
  <si>
    <t>DRC - CBM (Kasai &amp; Katanga)</t>
  </si>
  <si>
    <t>DRC - CBM 2 (Equateur/N Kivu)</t>
  </si>
  <si>
    <t>Ethiopia Afar Amref</t>
  </si>
  <si>
    <t>Ethiopia MoH 2015</t>
  </si>
  <si>
    <t>Ethiopia SCI/Cargill</t>
  </si>
  <si>
    <t>India - Rajasthan</t>
  </si>
  <si>
    <t>Kenya Evidence Action</t>
  </si>
  <si>
    <t>Kenya LF - MoH</t>
  </si>
  <si>
    <t>Liberia SCI</t>
  </si>
  <si>
    <t>Mali HKI hydrocele</t>
  </si>
  <si>
    <t>Oncho Surveys</t>
  </si>
  <si>
    <t>Rwanda RBC/MOH</t>
  </si>
  <si>
    <t>South Sudan Sightsavers</t>
  </si>
  <si>
    <t>Sudan Sightsavers</t>
  </si>
  <si>
    <t>Tanzania SSI</t>
  </si>
  <si>
    <t>Tanzania KCCO</t>
  </si>
  <si>
    <t>Tanzania MoH</t>
  </si>
  <si>
    <t>Yemen SCI</t>
  </si>
  <si>
    <t>Zambia FPSU</t>
  </si>
  <si>
    <t>Zimbabwe MoHCW</t>
  </si>
  <si>
    <t>Active Programs Sub-Total:</t>
  </si>
  <si>
    <t>Closed Programs</t>
  </si>
  <si>
    <t>Cote D'Ivoire 2014 / APOC</t>
  </si>
  <si>
    <t>DRC - APOC</t>
  </si>
  <si>
    <t>DRC - mapping</t>
  </si>
  <si>
    <t>Ethiopia /CNTD</t>
  </si>
  <si>
    <t>Ethiopia MoH 2014</t>
  </si>
  <si>
    <t>Ethiopia Carter Center</t>
  </si>
  <si>
    <t>Fred Hollows</t>
  </si>
  <si>
    <t>Guinea Bissau (trachoma)</t>
  </si>
  <si>
    <t>India Bihar</t>
  </si>
  <si>
    <t>Mali 2012</t>
  </si>
  <si>
    <t>Mali 2013</t>
  </si>
  <si>
    <t>Mali 2015 - hydrocele</t>
  </si>
  <si>
    <t>Mali/Niger - Headstart</t>
  </si>
  <si>
    <t>Namibia LATH/GGI</t>
  </si>
  <si>
    <t>Namibia Synergos</t>
  </si>
  <si>
    <t>Rwanda SCI</t>
  </si>
  <si>
    <t>Yemen 2013</t>
  </si>
  <si>
    <t>Yemen 2014</t>
  </si>
  <si>
    <t>Zimbabwe 2014</t>
  </si>
  <si>
    <t>Closed Programs Sub-Total:</t>
  </si>
  <si>
    <t>Grand Total:</t>
  </si>
  <si>
    <t>TOTAL disbursed to APOC for DRC</t>
  </si>
  <si>
    <t>TOTAL disbursed to AGW for Idjwi, DRC</t>
  </si>
  <si>
    <t>TOTAL disbursed to UFAR for DRC</t>
  </si>
  <si>
    <t>TOTAL disbursed to CBM for DRC</t>
  </si>
  <si>
    <t>TOTAL disbursed to SCI for Ethiopia</t>
  </si>
  <si>
    <t>This is the same number in GW's grants sheet
Total does not include 2017 projections</t>
  </si>
  <si>
    <t xml:space="preserve">This is the same number in GW's grants sheet
</t>
  </si>
  <si>
    <t>TOTAL disbursed to MOH in Ethiopia</t>
  </si>
  <si>
    <t>TOTAL disbursed to Ev. Act. for Bihar</t>
  </si>
  <si>
    <t>TOTAL disbursed to Ev. Act. for Rajasthan</t>
  </si>
  <si>
    <t>TOTAL disbursed to Ev. Act. for Kenya deworming</t>
  </si>
  <si>
    <t>TOTAL disbursed to SCI for Liberia</t>
  </si>
  <si>
    <t>TOTAL disbursed to HKI for Mali</t>
  </si>
  <si>
    <t>TOTAL disbursed to SSI for Nigeria</t>
  </si>
  <si>
    <t>Nigeria SSI</t>
  </si>
  <si>
    <t>TOTAL disbursed to Mitosath-Ekiti for Nigeria</t>
  </si>
  <si>
    <t>These reported numbers are both STH treatment, previously we reported the 1.318m as SCH, but that was a database mistake</t>
  </si>
  <si>
    <t>TOTAL disbursed to HKI-AKW for Nigeria</t>
  </si>
  <si>
    <t>TOTAL disbursed to Amen - Gombe for Nigeria</t>
  </si>
  <si>
    <t>Nigeria HKI - Akwa Ibom</t>
  </si>
  <si>
    <t>Nigeria Mitosath - Ondo</t>
  </si>
  <si>
    <t>Nigeria Mitosath - Ekiti</t>
  </si>
  <si>
    <t>Nigeria Amen - Gombe</t>
  </si>
  <si>
    <t>TOTAL disbursed to HKI for Niger</t>
  </si>
  <si>
    <t>TOTAL disbursed to SCI for Rwanda</t>
  </si>
  <si>
    <t xml:space="preserve">TOTAL disbursed to WFP </t>
  </si>
  <si>
    <t>TOTAL disbursed to RBC for Rwanda</t>
  </si>
  <si>
    <t>Total does not include all 2017 projections</t>
  </si>
  <si>
    <t>TOTAL disbursed to WHO for Somalia</t>
  </si>
  <si>
    <t>TOTAL disbursed to SCI for Yemen</t>
  </si>
  <si>
    <t>TOTAL disbursed to SCI for Zimbabwe</t>
  </si>
  <si>
    <t>TOTAL disbursed to MOH for Zimbabwe</t>
  </si>
  <si>
    <t>2012-2017</t>
  </si>
  <si>
    <t xml:space="preserve">Government </t>
  </si>
  <si>
    <t>Active STH and/or SCH grants</t>
  </si>
  <si>
    <t>Other NTD grants/Closed grants</t>
  </si>
  <si>
    <t>TOTAL disbursed for Namibia</t>
  </si>
  <si>
    <t>These are reported numbers from April '16 MDA and partial numbers from Dec '16 MDA - more numbers still coming in for Dec MDA - the treatment numbers in the Ethiopia deep dive sheet include projected</t>
  </si>
  <si>
    <t>Ethiopia - IOCC</t>
  </si>
  <si>
    <t>Actuals as of May 23, 2017</t>
  </si>
  <si>
    <t xml:space="preserve"> -  </t>
  </si>
  <si>
    <t xml:space="preserve"> ? </t>
  </si>
  <si>
    <t xml:space="preserve">  -   </t>
  </si>
  <si>
    <t>The END Fund only managed the TA budget - with the exception of 2015 when WB funds were put on hold and the END Fund covered a focused MDA</t>
  </si>
  <si>
    <t>TOTAL disbursed to SSI for South  Sudan</t>
  </si>
  <si>
    <t>discrepency in disbursement amounts is being investigated - EF contracts show that $861,280 was disbursed to FMOH in 2014, not $949,674</t>
  </si>
  <si>
    <t>Government</t>
  </si>
  <si>
    <t>Treatments were attributed to DFID</t>
  </si>
  <si>
    <t>END Fund disbursement $</t>
  </si>
  <si>
    <t>Sight Savers and partners</t>
  </si>
  <si>
    <t xml:space="preserve">discrepency in disbursement amounts is being investigated - EF contracts show that  $82,500 was wired, but $50,500 was returned </t>
  </si>
  <si>
    <t>$173,325 of this disbursement is an advance for 2017 activities</t>
  </si>
  <si>
    <t xml:space="preserve">
Total does not include 2017 projections</t>
  </si>
  <si>
    <t>Total does not include 2017 projections</t>
  </si>
  <si>
    <t>$80,283 was refunded to END Fund</t>
  </si>
  <si>
    <t>Cote d'Ivoire</t>
  </si>
  <si>
    <t>Total</t>
  </si>
  <si>
    <t>Afghanistan</t>
  </si>
  <si>
    <t>YEM-003-SCI- Disbursement 2016-08-01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</si>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</sst>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-[$£-809]* #,##0.00_-;\-[$£-809]* #,##0.00_-;_-[$£-809]* &quot;-&quot;??_-;_-@_-"/>
  </numFmts>
  <fonts count="5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548235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i/>
      <sz val="14.4"/>
      <color rgb="FF000000"/>
      <name val="Calibri"/>
      <family val="2"/>
    </font>
    <font>
      <sz val="14.4"/>
      <color theme="1"/>
      <name val="Arial"/>
      <family val="2"/>
    </font>
    <font>
      <sz val="14.4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"/>
      <family val="2"/>
    </font>
    <font>
      <sz val="11"/>
      <color rgb="FFE26B0A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11"/>
      <color rgb="FF1F497D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12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BFBFBF"/>
        <bgColor rgb="FF000000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66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0">
    <xf numFmtId="0" fontId="0" fillId="0" borderId="0" xfId="0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left"/>
    </xf>
    <xf numFmtId="49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0" fontId="0" fillId="0" borderId="6" xfId="0" applyBorder="1"/>
    <xf numFmtId="0" fontId="4" fillId="0" borderId="1" xfId="0" applyFont="1" applyBorder="1"/>
    <xf numFmtId="0" fontId="0" fillId="0" borderId="3" xfId="0" applyBorder="1"/>
    <xf numFmtId="0" fontId="4" fillId="0" borderId="7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wrapText="1"/>
    </xf>
    <xf numFmtId="0" fontId="0" fillId="0" borderId="8" xfId="0" applyBorder="1"/>
    <xf numFmtId="0" fontId="0" fillId="0" borderId="0" xfId="0" applyBorder="1" applyAlignment="1">
      <alignment horizontal="left"/>
    </xf>
    <xf numFmtId="49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4" fillId="0" borderId="5" xfId="0" applyFont="1" applyBorder="1"/>
    <xf numFmtId="0" fontId="4" fillId="0" borderId="5" xfId="0" applyFont="1" applyBorder="1" applyAlignment="1">
      <alignment horizontal="left"/>
    </xf>
    <xf numFmtId="49" fontId="6" fillId="0" borderId="5" xfId="0" applyNumberFormat="1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left"/>
    </xf>
    <xf numFmtId="49" fontId="5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 horizontal="right" wrapText="1"/>
    </xf>
    <xf numFmtId="0" fontId="0" fillId="0" borderId="0" xfId="0" applyBorder="1"/>
    <xf numFmtId="3" fontId="0" fillId="0" borderId="0" xfId="0" applyNumberFormat="1" applyBorder="1" applyAlignment="1">
      <alignment horizontal="right" wrapText="1"/>
    </xf>
    <xf numFmtId="0" fontId="4" fillId="0" borderId="3" xfId="0" applyFont="1" applyBorder="1"/>
    <xf numFmtId="0" fontId="4" fillId="0" borderId="6" xfId="0" applyFont="1" applyBorder="1"/>
    <xf numFmtId="49" fontId="7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3" fontId="0" fillId="0" borderId="2" xfId="0" applyNumberFormat="1" applyBorder="1" applyAlignment="1">
      <alignment horizontal="right" wrapText="1"/>
    </xf>
    <xf numFmtId="0" fontId="4" fillId="0" borderId="8" xfId="0" applyFont="1" applyBorder="1"/>
    <xf numFmtId="0" fontId="10" fillId="0" borderId="7" xfId="0" applyFont="1" applyBorder="1"/>
    <xf numFmtId="0" fontId="3" fillId="0" borderId="8" xfId="0" applyFont="1" applyBorder="1"/>
    <xf numFmtId="0" fontId="3" fillId="0" borderId="3" xfId="0" applyFont="1" applyBorder="1"/>
    <xf numFmtId="0" fontId="12" fillId="0" borderId="0" xfId="0" applyFont="1"/>
    <xf numFmtId="3" fontId="0" fillId="0" borderId="8" xfId="0" applyNumberFormat="1" applyBorder="1"/>
    <xf numFmtId="49" fontId="5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horizontal="left" wrapText="1"/>
    </xf>
    <xf numFmtId="0" fontId="0" fillId="0" borderId="5" xfId="0" applyFont="1" applyBorder="1"/>
    <xf numFmtId="3" fontId="6" fillId="2" borderId="0" xfId="0" applyNumberFormat="1" applyFont="1" applyFill="1" applyBorder="1" applyAlignment="1">
      <alignment horizontal="right" wrapText="1"/>
    </xf>
    <xf numFmtId="0" fontId="0" fillId="0" borderId="7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5" xfId="0" applyFont="1" applyBorder="1" applyAlignment="1">
      <alignment horizontal="left"/>
    </xf>
    <xf numFmtId="0" fontId="11" fillId="0" borderId="8" xfId="0" applyFont="1" applyBorder="1" applyAlignment="1">
      <alignment horizontal="left" wrapText="1"/>
    </xf>
    <xf numFmtId="3" fontId="11" fillId="3" borderId="0" xfId="0" applyNumberFormat="1" applyFont="1" applyFill="1" applyBorder="1" applyAlignment="1">
      <alignment horizontal="right" wrapText="1"/>
    </xf>
    <xf numFmtId="3" fontId="11" fillId="3" borderId="5" xfId="0" applyNumberFormat="1" applyFont="1" applyFill="1" applyBorder="1" applyAlignment="1">
      <alignment horizontal="right" wrapText="1"/>
    </xf>
    <xf numFmtId="3" fontId="6" fillId="2" borderId="5" xfId="0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left" wrapText="1"/>
    </xf>
    <xf numFmtId="0" fontId="14" fillId="0" borderId="8" xfId="0" applyFont="1" applyBorder="1"/>
    <xf numFmtId="0" fontId="4" fillId="4" borderId="7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49" fontId="5" fillId="4" borderId="0" xfId="0" applyNumberFormat="1" applyFont="1" applyFill="1" applyBorder="1" applyAlignment="1">
      <alignment wrapText="1"/>
    </xf>
    <xf numFmtId="3" fontId="5" fillId="4" borderId="0" xfId="0" applyNumberFormat="1" applyFont="1" applyFill="1" applyBorder="1" applyAlignment="1">
      <alignment horizontal="right" wrapText="1"/>
    </xf>
    <xf numFmtId="0" fontId="0" fillId="4" borderId="8" xfId="0" applyFill="1" applyBorder="1"/>
    <xf numFmtId="3" fontId="0" fillId="4" borderId="0" xfId="0" applyNumberFormat="1" applyFill="1" applyBorder="1" applyAlignment="1">
      <alignment horizontal="right" wrapText="1"/>
    </xf>
    <xf numFmtId="0" fontId="4" fillId="4" borderId="1" xfId="0" applyFont="1" applyFill="1" applyBorder="1"/>
    <xf numFmtId="0" fontId="0" fillId="4" borderId="2" xfId="0" applyFill="1" applyBorder="1"/>
    <xf numFmtId="0" fontId="0" fillId="4" borderId="2" xfId="0" applyFill="1" applyBorder="1" applyAlignment="1">
      <alignment horizontal="left"/>
    </xf>
    <xf numFmtId="49" fontId="5" fillId="4" borderId="2" xfId="0" applyNumberFormat="1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right" wrapText="1"/>
    </xf>
    <xf numFmtId="3" fontId="0" fillId="4" borderId="2" xfId="0" applyNumberFormat="1" applyFill="1" applyBorder="1" applyAlignment="1">
      <alignment horizontal="right" wrapText="1"/>
    </xf>
    <xf numFmtId="0" fontId="0" fillId="4" borderId="3" xfId="0" applyFill="1" applyBorder="1"/>
    <xf numFmtId="49" fontId="0" fillId="4" borderId="2" xfId="0" applyNumberFormat="1" applyFill="1" applyBorder="1" applyAlignment="1">
      <alignment wrapText="1"/>
    </xf>
    <xf numFmtId="0" fontId="4" fillId="4" borderId="0" xfId="0" applyFont="1" applyFill="1" applyBorder="1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164" fontId="0" fillId="0" borderId="0" xfId="1" applyNumberFormat="1" applyFont="1" applyAlignment="1">
      <alignment wrapText="1"/>
    </xf>
    <xf numFmtId="44" fontId="0" fillId="0" borderId="0" xfId="2" applyFont="1" applyAlignment="1">
      <alignment wrapText="1"/>
    </xf>
    <xf numFmtId="0" fontId="0" fillId="0" borderId="0" xfId="0" applyFill="1" applyAlignment="1">
      <alignment wrapText="1"/>
    </xf>
    <xf numFmtId="1" fontId="0" fillId="0" borderId="0" xfId="2" applyNumberFormat="1" applyFont="1" applyAlignment="1">
      <alignment wrapText="1"/>
    </xf>
    <xf numFmtId="1" fontId="0" fillId="0" borderId="0" xfId="2" applyNumberFormat="1" applyFont="1" applyFill="1" applyAlignment="1">
      <alignment wrapText="1"/>
    </xf>
    <xf numFmtId="44" fontId="0" fillId="0" borderId="0" xfId="0" applyNumberFormat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12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20" fillId="0" borderId="0" xfId="351" applyNumberFormat="1" applyFont="1" applyFill="1" applyBorder="1" applyAlignment="1" applyProtection="1">
      <alignment horizontal="right"/>
    </xf>
    <xf numFmtId="3" fontId="0" fillId="0" borderId="14" xfId="0" applyNumberFormat="1" applyBorder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0" fontId="21" fillId="0" borderId="0" xfId="0" applyFont="1" applyAlignment="1">
      <alignment wrapText="1"/>
    </xf>
    <xf numFmtId="165" fontId="0" fillId="0" borderId="0" xfId="2" applyNumberFormat="1" applyFont="1" applyAlignment="1">
      <alignment wrapText="1"/>
    </xf>
    <xf numFmtId="44" fontId="0" fillId="0" borderId="0" xfId="2" applyFont="1" applyFill="1" applyAlignment="1">
      <alignment wrapText="1"/>
    </xf>
    <xf numFmtId="44" fontId="0" fillId="0" borderId="0" xfId="0" applyNumberFormat="1" applyFill="1" applyAlignment="1">
      <alignment wrapText="1"/>
    </xf>
    <xf numFmtId="0" fontId="0" fillId="0" borderId="0" xfId="0" applyBorder="1" applyAlignment="1">
      <alignment wrapText="1"/>
    </xf>
    <xf numFmtId="166" fontId="0" fillId="0" borderId="0" xfId="2" applyNumberFormat="1" applyFont="1" applyBorder="1" applyAlignment="1">
      <alignment wrapText="1"/>
    </xf>
    <xf numFmtId="166" fontId="0" fillId="0" borderId="17" xfId="2" applyNumberFormat="1" applyFont="1" applyBorder="1" applyAlignment="1">
      <alignment wrapText="1"/>
    </xf>
    <xf numFmtId="166" fontId="16" fillId="0" borderId="0" xfId="0" applyNumberFormat="1" applyFont="1" applyBorder="1" applyAlignment="1">
      <alignment wrapText="1"/>
    </xf>
    <xf numFmtId="166" fontId="16" fillId="0" borderId="0" xfId="0" applyNumberFormat="1" applyFont="1" applyAlignment="1">
      <alignment wrapText="1"/>
    </xf>
    <xf numFmtId="164" fontId="0" fillId="0" borderId="0" xfId="1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24" fillId="0" borderId="0" xfId="0" applyNumberFormat="1" applyFont="1" applyAlignment="1">
      <alignment wrapText="1"/>
    </xf>
    <xf numFmtId="14" fontId="24" fillId="0" borderId="0" xfId="0" applyNumberFormat="1" applyFont="1" applyAlignment="1">
      <alignment horizontal="right" wrapText="1"/>
    </xf>
    <xf numFmtId="4" fontId="24" fillId="0" borderId="0" xfId="0" applyNumberFormat="1" applyFont="1" applyAlignment="1">
      <alignment horizontal="right" wrapText="1"/>
    </xf>
    <xf numFmtId="0" fontId="27" fillId="0" borderId="18" xfId="0" applyFont="1" applyBorder="1" applyAlignment="1">
      <alignment horizontal="left"/>
    </xf>
    <xf numFmtId="0" fontId="28" fillId="0" borderId="18" xfId="0" applyFont="1" applyBorder="1" applyAlignment="1">
      <alignment wrapText="1"/>
    </xf>
    <xf numFmtId="0" fontId="29" fillId="7" borderId="18" xfId="0" applyFont="1" applyFill="1" applyBorder="1" applyAlignment="1">
      <alignment wrapText="1"/>
    </xf>
    <xf numFmtId="0" fontId="29" fillId="0" borderId="18" xfId="0" applyFont="1" applyBorder="1"/>
    <xf numFmtId="8" fontId="0" fillId="0" borderId="0" xfId="0" applyNumberFormat="1"/>
    <xf numFmtId="8" fontId="29" fillId="8" borderId="18" xfId="0" applyNumberFormat="1" applyFont="1" applyFill="1" applyBorder="1" applyAlignment="1">
      <alignment horizontal="right"/>
    </xf>
    <xf numFmtId="6" fontId="0" fillId="0" borderId="0" xfId="0" applyNumberFormat="1"/>
    <xf numFmtId="6" fontId="29" fillId="7" borderId="18" xfId="0" applyNumberFormat="1" applyFont="1" applyFill="1" applyBorder="1" applyAlignment="1">
      <alignment horizontal="right"/>
    </xf>
    <xf numFmtId="0" fontId="28" fillId="8" borderId="18" xfId="0" applyFont="1" applyFill="1" applyBorder="1" applyAlignment="1">
      <alignment wrapText="1"/>
    </xf>
    <xf numFmtId="0" fontId="28" fillId="7" borderId="18" xfId="0" applyFont="1" applyFill="1" applyBorder="1" applyAlignment="1">
      <alignment wrapText="1"/>
    </xf>
    <xf numFmtId="8" fontId="29" fillId="0" borderId="18" xfId="0" applyNumberFormat="1" applyFont="1" applyBorder="1" applyAlignment="1">
      <alignment horizontal="right"/>
    </xf>
    <xf numFmtId="6" fontId="29" fillId="0" borderId="18" xfId="0" applyNumberFormat="1" applyFont="1" applyBorder="1" applyAlignment="1">
      <alignment horizontal="right"/>
    </xf>
    <xf numFmtId="0" fontId="29" fillId="7" borderId="18" xfId="0" applyFont="1" applyFill="1" applyBorder="1"/>
    <xf numFmtId="0" fontId="29" fillId="7" borderId="18" xfId="0" applyFont="1" applyFill="1" applyBorder="1" applyAlignment="1">
      <alignment horizontal="right"/>
    </xf>
    <xf numFmtId="6" fontId="29" fillId="8" borderId="18" xfId="0" applyNumberFormat="1" applyFont="1" applyFill="1" applyBorder="1" applyAlignment="1">
      <alignment horizontal="right"/>
    </xf>
    <xf numFmtId="0" fontId="29" fillId="8" borderId="18" xfId="0" applyFont="1" applyFill="1" applyBorder="1"/>
    <xf numFmtId="6" fontId="29" fillId="9" borderId="18" xfId="0" applyNumberFormat="1" applyFont="1" applyFill="1" applyBorder="1" applyAlignment="1">
      <alignment horizontal="right"/>
    </xf>
    <xf numFmtId="6" fontId="28" fillId="0" borderId="18" xfId="0" applyNumberFormat="1" applyFont="1" applyBorder="1" applyAlignment="1">
      <alignment wrapText="1"/>
    </xf>
    <xf numFmtId="49" fontId="5" fillId="0" borderId="0" xfId="0" applyNumberFormat="1" applyFont="1" applyFill="1" applyAlignment="1">
      <alignment wrapText="1"/>
    </xf>
    <xf numFmtId="14" fontId="5" fillId="0" borderId="0" xfId="0" applyNumberFormat="1" applyFont="1" applyFill="1" applyAlignment="1">
      <alignment horizontal="right" wrapText="1"/>
    </xf>
    <xf numFmtId="4" fontId="5" fillId="0" borderId="0" xfId="0" applyNumberFormat="1" applyFont="1" applyFill="1" applyAlignment="1">
      <alignment horizontal="right" wrapText="1"/>
    </xf>
    <xf numFmtId="0" fontId="0" fillId="0" borderId="0" xfId="0" applyFill="1"/>
    <xf numFmtId="0" fontId="13" fillId="0" borderId="8" xfId="0" applyFont="1" applyFill="1" applyBorder="1"/>
    <xf numFmtId="0" fontId="0" fillId="0" borderId="8" xfId="0" applyFill="1" applyBorder="1"/>
    <xf numFmtId="0" fontId="29" fillId="0" borderId="18" xfId="0" applyFont="1" applyFill="1" applyBorder="1"/>
    <xf numFmtId="8" fontId="29" fillId="0" borderId="18" xfId="0" applyNumberFormat="1" applyFont="1" applyFill="1" applyBorder="1" applyAlignment="1">
      <alignment horizontal="right"/>
    </xf>
    <xf numFmtId="8" fontId="29" fillId="0" borderId="18" xfId="0" applyNumberFormat="1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wrapText="1"/>
    </xf>
    <xf numFmtId="49" fontId="30" fillId="0" borderId="0" xfId="0" applyNumberFormat="1" applyFont="1" applyFill="1" applyAlignment="1">
      <alignment wrapText="1"/>
    </xf>
    <xf numFmtId="4" fontId="30" fillId="0" borderId="0" xfId="0" applyNumberFormat="1" applyFont="1" applyFill="1" applyAlignment="1">
      <alignment horizontal="right" wrapText="1"/>
    </xf>
    <xf numFmtId="44" fontId="0" fillId="0" borderId="0" xfId="0" applyNumberFormat="1"/>
    <xf numFmtId="4" fontId="0" fillId="0" borderId="0" xfId="0" applyNumberFormat="1" applyFill="1"/>
    <xf numFmtId="0" fontId="26" fillId="0" borderId="0" xfId="0" applyFont="1" applyFill="1"/>
    <xf numFmtId="0" fontId="12" fillId="0" borderId="0" xfId="0" applyFont="1" applyFill="1"/>
    <xf numFmtId="0" fontId="31" fillId="4" borderId="7" xfId="0" applyFont="1" applyFill="1" applyBorder="1"/>
    <xf numFmtId="0" fontId="26" fillId="4" borderId="0" xfId="0" applyFont="1" applyFill="1" applyBorder="1"/>
    <xf numFmtId="0" fontId="26" fillId="4" borderId="0" xfId="0" applyFont="1" applyFill="1" applyBorder="1" applyAlignment="1">
      <alignment horizontal="left"/>
    </xf>
    <xf numFmtId="49" fontId="25" fillId="4" borderId="0" xfId="0" applyNumberFormat="1" applyFont="1" applyFill="1" applyBorder="1" applyAlignment="1">
      <alignment wrapText="1"/>
    </xf>
    <xf numFmtId="3" fontId="25" fillId="4" borderId="0" xfId="0" applyNumberFormat="1" applyFont="1" applyFill="1" applyBorder="1" applyAlignment="1">
      <alignment horizontal="right" wrapText="1"/>
    </xf>
    <xf numFmtId="0" fontId="26" fillId="4" borderId="8" xfId="0" applyFont="1" applyFill="1" applyBorder="1"/>
    <xf numFmtId="3" fontId="26" fillId="4" borderId="0" xfId="0" applyNumberFormat="1" applyFont="1" applyFill="1" applyBorder="1" applyAlignment="1">
      <alignment horizontal="right" wrapText="1"/>
    </xf>
    <xf numFmtId="0" fontId="31" fillId="0" borderId="1" xfId="0" applyFont="1" applyBorder="1"/>
    <xf numFmtId="0" fontId="26" fillId="0" borderId="2" xfId="0" applyFont="1" applyBorder="1"/>
    <xf numFmtId="0" fontId="26" fillId="0" borderId="2" xfId="0" applyFont="1" applyBorder="1" applyAlignment="1">
      <alignment horizontal="left"/>
    </xf>
    <xf numFmtId="49" fontId="25" fillId="0" borderId="2" xfId="0" applyNumberFormat="1" applyFont="1" applyBorder="1" applyAlignment="1">
      <alignment wrapText="1"/>
    </xf>
    <xf numFmtId="3" fontId="25" fillId="0" borderId="2" xfId="0" applyNumberFormat="1" applyFont="1" applyBorder="1" applyAlignment="1">
      <alignment horizontal="right" wrapText="1"/>
    </xf>
    <xf numFmtId="3" fontId="26" fillId="0" borderId="2" xfId="0" applyNumberFormat="1" applyFont="1" applyBorder="1" applyAlignment="1">
      <alignment horizontal="right" wrapText="1"/>
    </xf>
    <xf numFmtId="0" fontId="25" fillId="0" borderId="3" xfId="0" applyFont="1" applyBorder="1"/>
    <xf numFmtId="0" fontId="31" fillId="0" borderId="7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wrapText="1"/>
    </xf>
    <xf numFmtId="3" fontId="25" fillId="0" borderId="0" xfId="0" applyNumberFormat="1" applyFont="1" applyBorder="1" applyAlignment="1">
      <alignment horizontal="right" wrapText="1"/>
    </xf>
    <xf numFmtId="3" fontId="32" fillId="2" borderId="0" xfId="0" applyNumberFormat="1" applyFont="1" applyFill="1" applyBorder="1" applyAlignment="1">
      <alignment horizontal="right" wrapText="1"/>
    </xf>
    <xf numFmtId="3" fontId="26" fillId="0" borderId="0" xfId="0" applyNumberFormat="1" applyFont="1" applyBorder="1" applyAlignment="1">
      <alignment horizontal="right" wrapText="1"/>
    </xf>
    <xf numFmtId="0" fontId="26" fillId="0" borderId="8" xfId="0" applyFont="1" applyBorder="1"/>
    <xf numFmtId="0" fontId="33" fillId="0" borderId="0" xfId="0" applyFont="1" applyAlignment="1">
      <alignment vertical="center"/>
    </xf>
    <xf numFmtId="0" fontId="34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37" fillId="0" borderId="0" xfId="0" applyFont="1"/>
    <xf numFmtId="164" fontId="0" fillId="0" borderId="0" xfId="0" applyNumberFormat="1" applyAlignment="1">
      <alignment wrapText="1"/>
    </xf>
    <xf numFmtId="44" fontId="37" fillId="0" borderId="0" xfId="0" applyNumberFormat="1" applyFont="1"/>
    <xf numFmtId="0" fontId="38" fillId="0" borderId="0" xfId="0" applyFont="1"/>
    <xf numFmtId="0" fontId="39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2" fillId="0" borderId="7" xfId="0" applyFont="1" applyBorder="1"/>
    <xf numFmtId="0" fontId="12" fillId="0" borderId="0" xfId="0" applyFont="1" applyBorder="1"/>
    <xf numFmtId="49" fontId="5" fillId="0" borderId="7" xfId="0" applyNumberFormat="1" applyFont="1" applyBorder="1" applyAlignment="1">
      <alignment wrapText="1"/>
    </xf>
    <xf numFmtId="14" fontId="5" fillId="0" borderId="0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49" fontId="5" fillId="0" borderId="4" xfId="0" applyNumberFormat="1" applyFont="1" applyBorder="1" applyAlignment="1">
      <alignment wrapText="1"/>
    </xf>
    <xf numFmtId="14" fontId="5" fillId="0" borderId="5" xfId="0" applyNumberFormat="1" applyFont="1" applyBorder="1" applyAlignment="1">
      <alignment horizontal="right" wrapText="1"/>
    </xf>
    <xf numFmtId="49" fontId="5" fillId="5" borderId="5" xfId="0" applyNumberFormat="1" applyFont="1" applyFill="1" applyBorder="1" applyAlignment="1">
      <alignment wrapText="1"/>
    </xf>
    <xf numFmtId="4" fontId="5" fillId="5" borderId="5" xfId="0" applyNumberFormat="1" applyFont="1" applyFill="1" applyBorder="1" applyAlignment="1">
      <alignment horizontal="right" wrapText="1"/>
    </xf>
    <xf numFmtId="49" fontId="5" fillId="0" borderId="1" xfId="0" applyNumberFormat="1" applyFont="1" applyBorder="1" applyAlignment="1">
      <alignment wrapText="1"/>
    </xf>
    <xf numFmtId="14" fontId="5" fillId="0" borderId="2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49" fontId="5" fillId="5" borderId="0" xfId="0" applyNumberFormat="1" applyFont="1" applyFill="1" applyBorder="1" applyAlignment="1">
      <alignment wrapText="1"/>
    </xf>
    <xf numFmtId="4" fontId="5" fillId="5" borderId="0" xfId="0" applyNumberFormat="1" applyFont="1" applyFill="1" applyBorder="1" applyAlignment="1">
      <alignment horizontal="right" wrapText="1"/>
    </xf>
    <xf numFmtId="0" fontId="0" fillId="0" borderId="7" xfId="0" applyBorder="1"/>
    <xf numFmtId="4" fontId="5" fillId="0" borderId="3" xfId="0" applyNumberFormat="1" applyFont="1" applyBorder="1" applyAlignment="1">
      <alignment horizontal="right" wrapText="1"/>
    </xf>
    <xf numFmtId="4" fontId="5" fillId="0" borderId="8" xfId="0" applyNumberFormat="1" applyFont="1" applyBorder="1" applyAlignment="1">
      <alignment horizontal="right" wrapText="1"/>
    </xf>
    <xf numFmtId="4" fontId="5" fillId="5" borderId="8" xfId="0" applyNumberFormat="1" applyFont="1" applyFill="1" applyBorder="1" applyAlignment="1">
      <alignment horizontal="right" wrapText="1"/>
    </xf>
    <xf numFmtId="49" fontId="5" fillId="0" borderId="7" xfId="0" applyNumberFormat="1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right" wrapText="1"/>
    </xf>
    <xf numFmtId="4" fontId="5" fillId="0" borderId="8" xfId="0" applyNumberFormat="1" applyFont="1" applyFill="1" applyBorder="1" applyAlignment="1">
      <alignment horizontal="right" wrapText="1"/>
    </xf>
    <xf numFmtId="4" fontId="5" fillId="5" borderId="6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14" fontId="5" fillId="0" borderId="2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horizontal="right" wrapText="1"/>
    </xf>
    <xf numFmtId="49" fontId="30" fillId="10" borderId="5" xfId="0" applyNumberFormat="1" applyFont="1" applyFill="1" applyBorder="1" applyAlignment="1">
      <alignment wrapText="1"/>
    </xf>
    <xf numFmtId="4" fontId="30" fillId="10" borderId="5" xfId="0" applyNumberFormat="1" applyFont="1" applyFill="1" applyBorder="1" applyAlignment="1">
      <alignment horizontal="right" wrapText="1"/>
    </xf>
    <xf numFmtId="2" fontId="5" fillId="0" borderId="5" xfId="0" applyNumberFormat="1" applyFont="1" applyBorder="1" applyAlignment="1">
      <alignment wrapText="1"/>
    </xf>
    <xf numFmtId="0" fontId="40" fillId="0" borderId="18" xfId="0" applyFont="1" applyBorder="1" applyAlignment="1">
      <alignment wrapText="1"/>
    </xf>
    <xf numFmtId="6" fontId="40" fillId="0" borderId="18" xfId="0" applyNumberFormat="1" applyFont="1" applyBorder="1" applyAlignment="1">
      <alignment wrapText="1"/>
    </xf>
    <xf numFmtId="0" fontId="43" fillId="0" borderId="18" xfId="0" applyFont="1" applyBorder="1" applyAlignment="1"/>
    <xf numFmtId="0" fontId="43" fillId="0" borderId="18" xfId="0" applyFont="1" applyBorder="1"/>
    <xf numFmtId="8" fontId="43" fillId="0" borderId="18" xfId="0" applyNumberFormat="1" applyFont="1" applyBorder="1"/>
    <xf numFmtId="0" fontId="42" fillId="0" borderId="18" xfId="0" applyFont="1" applyBorder="1" applyAlignment="1"/>
    <xf numFmtId="0" fontId="5" fillId="0" borderId="0" xfId="0" applyFont="1"/>
    <xf numFmtId="6" fontId="42" fillId="0" borderId="18" xfId="0" applyNumberFormat="1" applyFont="1" applyFill="1" applyBorder="1" applyAlignment="1"/>
    <xf numFmtId="0" fontId="15" fillId="0" borderId="8" xfId="0" applyFont="1" applyFill="1" applyBorder="1"/>
    <xf numFmtId="0" fontId="17" fillId="0" borderId="2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0" fillId="0" borderId="7" xfId="0" applyBorder="1" applyAlignment="1">
      <alignment wrapText="1"/>
    </xf>
    <xf numFmtId="44" fontId="0" fillId="0" borderId="0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4" fontId="0" fillId="0" borderId="5" xfId="1" applyNumberFormat="1" applyFont="1" applyBorder="1" applyAlignment="1">
      <alignment wrapText="1"/>
    </xf>
    <xf numFmtId="44" fontId="0" fillId="0" borderId="5" xfId="2" applyFont="1" applyBorder="1" applyAlignment="1">
      <alignment wrapText="1"/>
    </xf>
    <xf numFmtId="0" fontId="0" fillId="0" borderId="6" xfId="0" applyBorder="1" applyAlignment="1">
      <alignment wrapText="1"/>
    </xf>
    <xf numFmtId="49" fontId="0" fillId="4" borderId="0" xfId="0" applyNumberFormat="1" applyFill="1" applyBorder="1" applyAlignment="1">
      <alignment wrapText="1"/>
    </xf>
    <xf numFmtId="44" fontId="0" fillId="0" borderId="0" xfId="2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4" fontId="0" fillId="0" borderId="8" xfId="0" applyNumberFormat="1" applyFill="1" applyBorder="1" applyAlignment="1">
      <alignment wrapText="1"/>
    </xf>
    <xf numFmtId="44" fontId="0" fillId="0" borderId="5" xfId="2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6" fillId="0" borderId="3" xfId="0" applyFont="1" applyBorder="1" applyAlignment="1">
      <alignment wrapText="1"/>
    </xf>
    <xf numFmtId="6" fontId="0" fillId="0" borderId="0" xfId="2" applyNumberFormat="1" applyFont="1" applyFill="1" applyBorder="1" applyAlignment="1">
      <alignment wrapText="1"/>
    </xf>
    <xf numFmtId="44" fontId="0" fillId="0" borderId="8" xfId="2" applyFont="1" applyBorder="1" applyAlignment="1">
      <alignment wrapText="1"/>
    </xf>
    <xf numFmtId="0" fontId="0" fillId="0" borderId="8" xfId="0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164" fontId="0" fillId="0" borderId="0" xfId="1" applyNumberFormat="1" applyFont="1" applyFill="1" applyBorder="1" applyAlignment="1">
      <alignment wrapText="1"/>
    </xf>
    <xf numFmtId="165" fontId="0" fillId="0" borderId="0" xfId="2" applyNumberFormat="1" applyFont="1" applyBorder="1" applyAlignment="1">
      <alignment wrapText="1"/>
    </xf>
    <xf numFmtId="1" fontId="0" fillId="0" borderId="0" xfId="2" applyNumberFormat="1" applyFont="1" applyFill="1" applyBorder="1" applyAlignment="1">
      <alignment wrapText="1"/>
    </xf>
    <xf numFmtId="165" fontId="0" fillId="0" borderId="5" xfId="2" applyNumberFormat="1" applyFont="1" applyBorder="1" applyAlignment="1">
      <alignment wrapText="1"/>
    </xf>
    <xf numFmtId="0" fontId="0" fillId="0" borderId="5" xfId="0" applyFill="1" applyBorder="1" applyAlignment="1">
      <alignment wrapText="1"/>
    </xf>
    <xf numFmtId="165" fontId="0" fillId="0" borderId="5" xfId="2" applyNumberFormat="1" applyFont="1" applyFill="1" applyBorder="1" applyAlignment="1">
      <alignment wrapText="1"/>
    </xf>
    <xf numFmtId="44" fontId="0" fillId="0" borderId="6" xfId="0" applyNumberFormat="1" applyFill="1" applyBorder="1" applyAlignment="1">
      <alignment wrapText="1"/>
    </xf>
    <xf numFmtId="1" fontId="17" fillId="0" borderId="21" xfId="0" applyNumberFormat="1" applyFont="1" applyBorder="1" applyAlignment="1">
      <alignment wrapText="1"/>
    </xf>
    <xf numFmtId="0" fontId="4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0" fontId="46" fillId="0" borderId="25" xfId="0" applyFont="1" applyFill="1" applyBorder="1" applyAlignment="1">
      <alignment wrapText="1"/>
    </xf>
    <xf numFmtId="0" fontId="46" fillId="0" borderId="23" xfId="0" applyFont="1" applyFill="1" applyBorder="1" applyAlignment="1">
      <alignment wrapText="1"/>
    </xf>
    <xf numFmtId="0" fontId="46" fillId="0" borderId="24" xfId="0" applyFont="1" applyFill="1" applyBorder="1" applyAlignment="1">
      <alignment wrapText="1"/>
    </xf>
    <xf numFmtId="0" fontId="46" fillId="0" borderId="21" xfId="0" applyFont="1" applyFill="1" applyBorder="1" applyAlignment="1">
      <alignment wrapText="1"/>
    </xf>
    <xf numFmtId="0" fontId="46" fillId="0" borderId="28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0" fillId="0" borderId="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44" fontId="0" fillId="0" borderId="8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29" xfId="0" applyFont="1" applyBorder="1" applyAlignment="1">
      <alignment wrapText="1"/>
    </xf>
    <xf numFmtId="44" fontId="0" fillId="0" borderId="5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4" xfId="0" applyBorder="1"/>
    <xf numFmtId="44" fontId="0" fillId="0" borderId="5" xfId="0" applyNumberFormat="1" applyFill="1" applyBorder="1"/>
    <xf numFmtId="44" fontId="0" fillId="0" borderId="6" xfId="2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5" xfId="0" applyFont="1" applyBorder="1" applyAlignment="1">
      <alignment wrapText="1"/>
    </xf>
    <xf numFmtId="3" fontId="21" fillId="0" borderId="5" xfId="0" applyNumberFormat="1" applyFont="1" applyBorder="1" applyAlignment="1">
      <alignment wrapText="1"/>
    </xf>
    <xf numFmtId="0" fontId="21" fillId="0" borderId="6" xfId="0" applyFont="1" applyBorder="1" applyAlignment="1">
      <alignment wrapText="1"/>
    </xf>
    <xf numFmtId="6" fontId="43" fillId="0" borderId="18" xfId="0" applyNumberFormat="1" applyFont="1" applyBorder="1"/>
    <xf numFmtId="6" fontId="29" fillId="0" borderId="18" xfId="0" applyNumberFormat="1" applyFont="1" applyFill="1" applyBorder="1" applyAlignment="1">
      <alignment horizontal="right"/>
    </xf>
    <xf numFmtId="0" fontId="28" fillId="5" borderId="18" xfId="0" applyFont="1" applyFill="1" applyBorder="1" applyAlignment="1">
      <alignment wrapText="1"/>
    </xf>
    <xf numFmtId="6" fontId="29" fillId="5" borderId="18" xfId="0" applyNumberFormat="1" applyFont="1" applyFill="1" applyBorder="1" applyAlignment="1">
      <alignment horizontal="right"/>
    </xf>
    <xf numFmtId="8" fontId="40" fillId="0" borderId="18" xfId="0" applyNumberFormat="1" applyFont="1" applyBorder="1" applyAlignment="1">
      <alignment wrapText="1"/>
    </xf>
    <xf numFmtId="0" fontId="47" fillId="0" borderId="0" xfId="0" applyFont="1"/>
    <xf numFmtId="0" fontId="47" fillId="0" borderId="8" xfId="0" applyFont="1" applyBorder="1"/>
    <xf numFmtId="0" fontId="47" fillId="0" borderId="6" xfId="0" applyFont="1" applyBorder="1"/>
    <xf numFmtId="0" fontId="47" fillId="0" borderId="3" xfId="0" applyFont="1" applyBorder="1"/>
    <xf numFmtId="0" fontId="47" fillId="0" borderId="8" xfId="0" applyNumberFormat="1" applyFont="1" applyBorder="1"/>
    <xf numFmtId="4" fontId="47" fillId="0" borderId="8" xfId="0" applyNumberFormat="1" applyFont="1" applyBorder="1"/>
    <xf numFmtId="0" fontId="47" fillId="0" borderId="8" xfId="0" applyFont="1" applyBorder="1" applyAlignment="1">
      <alignment wrapText="1"/>
    </xf>
    <xf numFmtId="0" fontId="47" fillId="0" borderId="6" xfId="0" applyFont="1" applyBorder="1" applyAlignment="1">
      <alignment wrapText="1"/>
    </xf>
    <xf numFmtId="0" fontId="48" fillId="0" borderId="18" xfId="0" applyFont="1" applyBorder="1" applyAlignment="1"/>
    <xf numFmtId="0" fontId="49" fillId="0" borderId="0" xfId="0" applyFont="1"/>
    <xf numFmtId="0" fontId="47" fillId="0" borderId="0" xfId="0" applyFont="1" applyAlignment="1">
      <alignment wrapText="1"/>
    </xf>
    <xf numFmtId="0" fontId="47" fillId="0" borderId="0" xfId="0" applyFont="1" applyFill="1" applyAlignment="1">
      <alignment wrapText="1"/>
    </xf>
    <xf numFmtId="0" fontId="47" fillId="0" borderId="3" xfId="0" applyFont="1" applyBorder="1" applyAlignment="1">
      <alignment wrapText="1"/>
    </xf>
    <xf numFmtId="0" fontId="47" fillId="0" borderId="0" xfId="0" applyFont="1" applyFill="1"/>
    <xf numFmtId="0" fontId="47" fillId="0" borderId="3" xfId="0" applyFont="1" applyFill="1" applyBorder="1"/>
    <xf numFmtId="0" fontId="47" fillId="0" borderId="6" xfId="0" applyFont="1" applyFill="1" applyBorder="1"/>
    <xf numFmtId="0" fontId="47" fillId="0" borderId="6" xfId="0" applyFont="1" applyFill="1" applyBorder="1" applyAlignment="1">
      <alignment wrapText="1"/>
    </xf>
    <xf numFmtId="8" fontId="35" fillId="0" borderId="0" xfId="0" applyNumberFormat="1" applyFont="1"/>
    <xf numFmtId="0" fontId="49" fillId="0" borderId="0" xfId="0" applyFont="1" applyFill="1"/>
    <xf numFmtId="8" fontId="35" fillId="0" borderId="0" xfId="0" applyNumberFormat="1" applyFont="1" applyFill="1"/>
    <xf numFmtId="0" fontId="0" fillId="0" borderId="4" xfId="0" applyFill="1" applyBorder="1" applyAlignment="1">
      <alignment wrapText="1"/>
    </xf>
    <xf numFmtId="164" fontId="0" fillId="0" borderId="5" xfId="1" applyNumberFormat="1" applyFont="1" applyFill="1" applyBorder="1" applyAlignment="1">
      <alignment wrapText="1"/>
    </xf>
    <xf numFmtId="3" fontId="5" fillId="0" borderId="7" xfId="0" applyNumberFormat="1" applyFont="1" applyBorder="1" applyAlignment="1">
      <alignment horizontal="right" wrapText="1"/>
    </xf>
    <xf numFmtId="164" fontId="0" fillId="0" borderId="8" xfId="1" applyNumberFormat="1" applyFont="1" applyBorder="1" applyAlignment="1">
      <alignment wrapText="1"/>
    </xf>
    <xf numFmtId="164" fontId="0" fillId="0" borderId="7" xfId="1" applyNumberFormat="1" applyFont="1" applyBorder="1" applyAlignment="1">
      <alignment wrapText="1"/>
    </xf>
    <xf numFmtId="164" fontId="0" fillId="0" borderId="4" xfId="1" applyNumberFormat="1" applyFont="1" applyFill="1" applyBorder="1" applyAlignment="1">
      <alignment wrapText="1"/>
    </xf>
    <xf numFmtId="164" fontId="0" fillId="0" borderId="6" xfId="1" applyNumberFormat="1" applyFont="1" applyFill="1" applyBorder="1" applyAlignment="1">
      <alignment wrapText="1"/>
    </xf>
    <xf numFmtId="6" fontId="40" fillId="0" borderId="18" xfId="0" applyNumberFormat="1" applyFont="1" applyFill="1" applyBorder="1" applyAlignment="1">
      <alignment wrapText="1"/>
    </xf>
    <xf numFmtId="0" fontId="40" fillId="0" borderId="18" xfId="0" applyFont="1" applyFill="1" applyBorder="1" applyAlignment="1">
      <alignment wrapText="1"/>
    </xf>
    <xf numFmtId="0" fontId="41" fillId="0" borderId="18" xfId="0" applyFont="1" applyFill="1" applyBorder="1"/>
    <xf numFmtId="0" fontId="43" fillId="0" borderId="18" xfId="0" applyFont="1" applyFill="1" applyBorder="1"/>
    <xf numFmtId="0" fontId="0" fillId="0" borderId="2" xfId="0" applyBorder="1" applyAlignment="1">
      <alignment wrapText="1"/>
    </xf>
    <xf numFmtId="3" fontId="0" fillId="0" borderId="7" xfId="0" applyNumberFormat="1" applyBorder="1" applyAlignment="1">
      <alignment wrapText="1"/>
    </xf>
    <xf numFmtId="164" fontId="16" fillId="0" borderId="7" xfId="1" applyNumberFormat="1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164" fontId="16" fillId="0" borderId="4" xfId="1" applyNumberFormat="1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0" fillId="0" borderId="8" xfId="0" applyFont="1" applyFill="1" applyBorder="1"/>
    <xf numFmtId="0" fontId="14" fillId="0" borderId="8" xfId="0" applyFont="1" applyFill="1" applyBorder="1"/>
    <xf numFmtId="3" fontId="5" fillId="0" borderId="2" xfId="0" applyNumberFormat="1" applyFont="1" applyFill="1" applyBorder="1" applyAlignment="1">
      <alignment horizontal="right" wrapText="1"/>
    </xf>
    <xf numFmtId="0" fontId="13" fillId="0" borderId="3" xfId="0" applyFont="1" applyFill="1" applyBorder="1"/>
    <xf numFmtId="0" fontId="0" fillId="0" borderId="1" xfId="0" applyBorder="1" applyAlignment="1">
      <alignment wrapText="1"/>
    </xf>
    <xf numFmtId="164" fontId="0" fillId="0" borderId="2" xfId="1" applyNumberFormat="1" applyFont="1" applyBorder="1" applyAlignment="1">
      <alignment wrapText="1"/>
    </xf>
    <xf numFmtId="44" fontId="0" fillId="0" borderId="2" xfId="2" applyFont="1" applyFill="1" applyBorder="1" applyAlignment="1">
      <alignment wrapText="1"/>
    </xf>
    <xf numFmtId="44" fontId="0" fillId="0" borderId="3" xfId="2" applyFont="1" applyBorder="1" applyAlignment="1">
      <alignment wrapText="1"/>
    </xf>
    <xf numFmtId="164" fontId="37" fillId="0" borderId="0" xfId="0" applyNumberFormat="1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23" fillId="0" borderId="3" xfId="0" applyFont="1" applyBorder="1" applyAlignment="1">
      <alignment wrapText="1"/>
    </xf>
    <xf numFmtId="164" fontId="37" fillId="0" borderId="5" xfId="0" applyNumberFormat="1" applyFont="1" applyBorder="1" applyAlignment="1">
      <alignment wrapText="1"/>
    </xf>
    <xf numFmtId="0" fontId="37" fillId="0" borderId="7" xfId="0" applyFont="1" applyBorder="1" applyAlignment="1">
      <alignment wrapText="1"/>
    </xf>
    <xf numFmtId="0" fontId="37" fillId="0" borderId="0" xfId="0" applyFont="1" applyBorder="1" applyAlignment="1">
      <alignment wrapText="1"/>
    </xf>
    <xf numFmtId="44" fontId="37" fillId="0" borderId="0" xfId="0" applyNumberFormat="1" applyFont="1" applyFill="1" applyBorder="1" applyAlignment="1">
      <alignment wrapText="1"/>
    </xf>
    <xf numFmtId="44" fontId="37" fillId="0" borderId="0" xfId="0" applyNumberFormat="1" applyFont="1" applyBorder="1" applyAlignment="1">
      <alignment wrapText="1"/>
    </xf>
    <xf numFmtId="44" fontId="37" fillId="0" borderId="8" xfId="0" applyNumberFormat="1" applyFont="1" applyBorder="1" applyAlignment="1">
      <alignment wrapText="1"/>
    </xf>
    <xf numFmtId="0" fontId="37" fillId="0" borderId="8" xfId="0" applyFont="1" applyBorder="1" applyAlignment="1">
      <alignment wrapText="1"/>
    </xf>
    <xf numFmtId="0" fontId="37" fillId="0" borderId="4" xfId="0" applyFont="1" applyBorder="1" applyAlignment="1">
      <alignment wrapText="1"/>
    </xf>
    <xf numFmtId="0" fontId="37" fillId="0" borderId="5" xfId="0" applyFont="1" applyBorder="1" applyAlignment="1">
      <alignment wrapText="1"/>
    </xf>
    <xf numFmtId="44" fontId="37" fillId="0" borderId="5" xfId="0" applyNumberFormat="1" applyFont="1" applyFill="1" applyBorder="1" applyAlignment="1">
      <alignment wrapText="1"/>
    </xf>
    <xf numFmtId="44" fontId="37" fillId="0" borderId="5" xfId="0" applyNumberFormat="1" applyFont="1" applyBorder="1" applyAlignment="1">
      <alignment wrapText="1"/>
    </xf>
    <xf numFmtId="0" fontId="37" fillId="0" borderId="6" xfId="0" applyFont="1" applyBorder="1" applyAlignment="1">
      <alignment wrapText="1"/>
    </xf>
    <xf numFmtId="0" fontId="36" fillId="0" borderId="22" xfId="0" applyFont="1" applyBorder="1" applyAlignment="1">
      <alignment wrapText="1"/>
    </xf>
    <xf numFmtId="0" fontId="36" fillId="0" borderId="21" xfId="0" applyFont="1" applyBorder="1" applyAlignment="1">
      <alignment wrapText="1"/>
    </xf>
    <xf numFmtId="0" fontId="36" fillId="0" borderId="21" xfId="0" applyFont="1" applyFill="1" applyBorder="1" applyAlignment="1">
      <alignment wrapText="1"/>
    </xf>
    <xf numFmtId="0" fontId="36" fillId="0" borderId="28" xfId="0" applyFont="1" applyBorder="1" applyAlignment="1">
      <alignment wrapText="1"/>
    </xf>
    <xf numFmtId="49" fontId="25" fillId="4" borderId="0" xfId="0" applyNumberFormat="1" applyFont="1" applyFill="1" applyAlignment="1">
      <alignment wrapText="1"/>
    </xf>
    <xf numFmtId="14" fontId="25" fillId="4" borderId="0" xfId="0" applyNumberFormat="1" applyFont="1" applyFill="1" applyAlignment="1">
      <alignment horizontal="right" wrapText="1"/>
    </xf>
    <xf numFmtId="4" fontId="25" fillId="4" borderId="0" xfId="0" applyNumberFormat="1" applyFont="1" applyFill="1" applyAlignment="1">
      <alignment horizontal="right" wrapText="1"/>
    </xf>
    <xf numFmtId="49" fontId="5" fillId="4" borderId="0" xfId="0" applyNumberFormat="1" applyFont="1" applyFill="1" applyAlignment="1">
      <alignment wrapText="1"/>
    </xf>
    <xf numFmtId="49" fontId="0" fillId="4" borderId="0" xfId="0" applyNumberFormat="1" applyFill="1" applyAlignment="1">
      <alignment wrapText="1"/>
    </xf>
    <xf numFmtId="14" fontId="5" fillId="4" borderId="0" xfId="0" applyNumberFormat="1" applyFont="1" applyFill="1" applyAlignment="1">
      <alignment horizontal="right" wrapText="1"/>
    </xf>
    <xf numFmtId="4" fontId="5" fillId="4" borderId="0" xfId="0" applyNumberFormat="1" applyFont="1" applyFill="1" applyAlignment="1">
      <alignment horizontal="right" wrapText="1"/>
    </xf>
    <xf numFmtId="49" fontId="24" fillId="4" borderId="0" xfId="0" applyNumberFormat="1" applyFont="1" applyFill="1" applyAlignment="1">
      <alignment wrapText="1"/>
    </xf>
    <xf numFmtId="14" fontId="24" fillId="4" borderId="0" xfId="0" applyNumberFormat="1" applyFont="1" applyFill="1" applyAlignment="1">
      <alignment horizontal="right" wrapText="1"/>
    </xf>
    <xf numFmtId="4" fontId="24" fillId="4" borderId="0" xfId="0" applyNumberFormat="1" applyFont="1" applyFill="1" applyAlignment="1">
      <alignment horizontal="right" wrapText="1"/>
    </xf>
    <xf numFmtId="164" fontId="0" fillId="0" borderId="0" xfId="0" applyNumberFormat="1"/>
    <xf numFmtId="3" fontId="0" fillId="0" borderId="0" xfId="0" applyNumberFormat="1" applyFill="1" applyAlignment="1">
      <alignment wrapText="1"/>
    </xf>
    <xf numFmtId="37" fontId="0" fillId="0" borderId="0" xfId="2" applyNumberFormat="1" applyFont="1" applyAlignment="1">
      <alignment wrapText="1"/>
    </xf>
    <xf numFmtId="42" fontId="0" fillId="0" borderId="0" xfId="2" applyNumberFormat="1" applyFont="1" applyAlignment="1">
      <alignment wrapText="1"/>
    </xf>
    <xf numFmtId="164" fontId="37" fillId="0" borderId="0" xfId="0" applyNumberFormat="1" applyFont="1"/>
    <xf numFmtId="0" fontId="6" fillId="0" borderId="8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8" xfId="0" applyFont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0" fontId="47" fillId="0" borderId="3" xfId="0" applyFont="1" applyFill="1" applyBorder="1" applyAlignment="1">
      <alignment horizontal="center" wrapText="1"/>
    </xf>
    <xf numFmtId="0" fontId="47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14" fillId="0" borderId="8" xfId="0" applyFont="1" applyFill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left" wrapText="1"/>
    </xf>
    <xf numFmtId="49" fontId="11" fillId="3" borderId="5" xfId="0" applyNumberFormat="1" applyFont="1" applyFill="1" applyBorder="1" applyAlignment="1">
      <alignment horizontal="left" wrapText="1"/>
    </xf>
    <xf numFmtId="49" fontId="11" fillId="3" borderId="0" xfId="0" applyNumberFormat="1" applyFont="1" applyFill="1" applyBorder="1" applyAlignment="1">
      <alignment horizontal="left" wrapText="1"/>
    </xf>
    <xf numFmtId="0" fontId="5" fillId="0" borderId="8" xfId="0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4" fontId="47" fillId="0" borderId="8" xfId="0" applyNumberFormat="1" applyFont="1" applyBorder="1" applyAlignment="1">
      <alignment horizontal="left" vertical="top" wrapText="1"/>
    </xf>
    <xf numFmtId="0" fontId="29" fillId="0" borderId="19" xfId="0" applyFont="1" applyBorder="1"/>
    <xf numFmtId="0" fontId="29" fillId="0" borderId="20" xfId="0" applyFont="1" applyBorder="1"/>
    <xf numFmtId="0" fontId="29" fillId="6" borderId="19" xfId="0" applyFont="1" applyFill="1" applyBorder="1"/>
    <xf numFmtId="0" fontId="29" fillId="6" borderId="20" xfId="0" applyFont="1" applyFill="1" applyBorder="1"/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21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6" fillId="0" borderId="28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21" xfId="0" applyFont="1" applyBorder="1" applyAlignment="1">
      <alignment horizontal="left" wrapText="1"/>
    </xf>
    <xf numFmtId="0" fontId="16" fillId="0" borderId="28" xfId="0" applyFont="1" applyBorder="1" applyAlignment="1">
      <alignment horizontal="left" wrapText="1"/>
    </xf>
    <xf numFmtId="0" fontId="22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44" fontId="37" fillId="0" borderId="0" xfId="0" applyNumberFormat="1" applyFont="1" applyFill="1" applyBorder="1" applyAlignment="1">
      <alignment horizontal="center" wrapText="1"/>
    </xf>
    <xf numFmtId="44" fontId="37" fillId="0" borderId="5" xfId="0" applyNumberFormat="1" applyFont="1" applyFill="1" applyBorder="1" applyAlignment="1">
      <alignment horizontal="center" wrapText="1"/>
    </xf>
    <xf numFmtId="0" fontId="22" fillId="0" borderId="2" xfId="0" applyFont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3" fontId="21" fillId="0" borderId="0" xfId="0" applyNumberFormat="1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</cellXfs>
  <cellStyles count="664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Normal" xfId="0" builtinId="0"/>
    <cellStyle name="Normal 2" xfId="3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M403"/>
  <sheetViews>
    <sheetView showGridLines="0" tabSelected="1" workbookViewId="0"/>
  </sheetViews>
  <sheetFormatPr defaultColWidth="11" defaultRowHeight="15.75" x14ac:dyDescent="0.25"/>
  <cols>
    <col min="1" max="1" width="18.875" style="2" bestFit="1" customWidth="1"/>
    <col min="2" max="2" width="16" customWidth="1"/>
    <col min="3" max="3" width="18.5" style="4" customWidth="1"/>
    <col min="4" max="4" width="14.875" customWidth="1"/>
    <col min="5" max="5" width="8.5" hidden="1" customWidth="1"/>
    <col min="6" max="6" width="43.375" customWidth="1"/>
    <col min="7" max="7" width="34.875" customWidth="1"/>
    <col min="8" max="8" width="11.875" customWidth="1"/>
    <col min="9" max="9" width="15.5" customWidth="1"/>
    <col min="10" max="10" width="16.375" hidden="1" customWidth="1"/>
    <col min="11" max="11" width="18.5" hidden="1" customWidth="1"/>
    <col min="12" max="12" width="13.625" customWidth="1"/>
    <col min="13" max="13" width="30.375" customWidth="1"/>
  </cols>
  <sheetData>
    <row r="1" spans="1:13" x14ac:dyDescent="0.25">
      <c r="A1" s="47" t="s">
        <v>445</v>
      </c>
    </row>
    <row r="3" spans="1:13" s="5" customFormat="1" ht="31.5" x14ac:dyDescent="0.25">
      <c r="A3" s="5" t="s">
        <v>441</v>
      </c>
      <c r="B3" s="5" t="s">
        <v>443</v>
      </c>
      <c r="C3" s="6" t="s">
        <v>442</v>
      </c>
      <c r="D3" s="5" t="s">
        <v>0</v>
      </c>
      <c r="E3" s="5" t="s">
        <v>442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444</v>
      </c>
      <c r="L3" s="5" t="s">
        <v>10</v>
      </c>
      <c r="M3" s="5" t="s">
        <v>447</v>
      </c>
    </row>
    <row r="4" spans="1:13" x14ac:dyDescent="0.25">
      <c r="A4" s="14" t="s">
        <v>401</v>
      </c>
      <c r="B4" s="62" t="s">
        <v>421</v>
      </c>
      <c r="C4" s="59">
        <v>2013</v>
      </c>
      <c r="D4" s="29" t="s">
        <v>11</v>
      </c>
      <c r="E4" s="29" t="s">
        <v>33</v>
      </c>
      <c r="F4" s="29" t="s">
        <v>12</v>
      </c>
      <c r="G4" s="29" t="s">
        <v>30</v>
      </c>
      <c r="H4" s="60"/>
      <c r="I4" s="30">
        <v>567291</v>
      </c>
      <c r="J4" s="29" t="s">
        <v>31</v>
      </c>
      <c r="K4" s="29" t="s">
        <v>15</v>
      </c>
      <c r="L4" s="29" t="s">
        <v>32</v>
      </c>
      <c r="M4" s="15"/>
    </row>
    <row r="5" spans="1:13" x14ac:dyDescent="0.25">
      <c r="A5" s="16"/>
      <c r="B5" s="17"/>
      <c r="C5" s="18"/>
      <c r="D5" s="19"/>
      <c r="E5" s="19"/>
      <c r="F5" s="19"/>
      <c r="G5" s="401" t="s">
        <v>477</v>
      </c>
      <c r="H5" s="401"/>
      <c r="I5" s="55">
        <f>I4</f>
        <v>567291</v>
      </c>
      <c r="J5" s="19"/>
      <c r="K5" s="19"/>
      <c r="L5" s="19"/>
      <c r="M5" s="153"/>
    </row>
    <row r="6" spans="1:13" x14ac:dyDescent="0.25">
      <c r="A6" s="16"/>
      <c r="B6" s="57" t="s">
        <v>421</v>
      </c>
      <c r="C6" s="58">
        <v>2014</v>
      </c>
      <c r="D6" s="22" t="s">
        <v>11</v>
      </c>
      <c r="E6" s="22" t="s">
        <v>24</v>
      </c>
      <c r="F6" s="22" t="s">
        <v>12</v>
      </c>
      <c r="G6" s="22" t="s">
        <v>21</v>
      </c>
      <c r="H6" s="23">
        <v>1261555</v>
      </c>
      <c r="I6" s="23">
        <v>690316</v>
      </c>
      <c r="J6" s="22" t="s">
        <v>22</v>
      </c>
      <c r="K6" s="22" t="s">
        <v>15</v>
      </c>
      <c r="L6" s="22" t="s">
        <v>23</v>
      </c>
      <c r="M6" s="153"/>
    </row>
    <row r="7" spans="1:13" x14ac:dyDescent="0.25">
      <c r="A7" s="16"/>
      <c r="B7" s="57" t="s">
        <v>421</v>
      </c>
      <c r="C7" s="58">
        <v>2014</v>
      </c>
      <c r="D7" s="22" t="s">
        <v>11</v>
      </c>
      <c r="E7" s="22" t="s">
        <v>24</v>
      </c>
      <c r="F7" s="22" t="s">
        <v>12</v>
      </c>
      <c r="G7" s="22" t="s">
        <v>30</v>
      </c>
      <c r="H7" s="23">
        <v>0</v>
      </c>
      <c r="I7" s="23">
        <v>17093</v>
      </c>
      <c r="J7" s="22" t="s">
        <v>34</v>
      </c>
      <c r="K7" s="22" t="s">
        <v>15</v>
      </c>
      <c r="L7" s="22" t="s">
        <v>32</v>
      </c>
      <c r="M7" s="153"/>
    </row>
    <row r="8" spans="1:13" ht="18.95" customHeight="1" x14ac:dyDescent="0.25">
      <c r="A8" s="16"/>
      <c r="B8" s="17"/>
      <c r="C8" s="18"/>
      <c r="D8" s="19"/>
      <c r="E8" s="19"/>
      <c r="F8" s="19"/>
      <c r="G8" s="401" t="s">
        <v>472</v>
      </c>
      <c r="H8" s="401"/>
      <c r="I8" s="55">
        <f>I6</f>
        <v>690316</v>
      </c>
      <c r="J8" s="19"/>
      <c r="K8" s="19"/>
      <c r="L8" s="19"/>
      <c r="M8" s="412"/>
    </row>
    <row r="9" spans="1:13" ht="18.95" customHeight="1" x14ac:dyDescent="0.25">
      <c r="A9" s="16"/>
      <c r="B9" s="17"/>
      <c r="C9" s="18"/>
      <c r="D9" s="19"/>
      <c r="E9" s="19"/>
      <c r="F9" s="19"/>
      <c r="G9" s="401" t="s">
        <v>473</v>
      </c>
      <c r="H9" s="401"/>
      <c r="I9" s="55">
        <f>I7</f>
        <v>17093</v>
      </c>
      <c r="J9" s="19"/>
      <c r="K9" s="19"/>
      <c r="L9" s="19"/>
      <c r="M9" s="413"/>
    </row>
    <row r="10" spans="1:13" x14ac:dyDescent="0.25">
      <c r="A10" s="16"/>
      <c r="B10" s="57" t="s">
        <v>421</v>
      </c>
      <c r="C10" s="58">
        <v>2015</v>
      </c>
      <c r="D10" s="22" t="s">
        <v>11</v>
      </c>
      <c r="E10" s="22" t="s">
        <v>26</v>
      </c>
      <c r="F10" s="22" t="s">
        <v>12</v>
      </c>
      <c r="G10" s="22" t="s">
        <v>21</v>
      </c>
      <c r="H10" s="23">
        <v>700000</v>
      </c>
      <c r="I10" s="23">
        <v>326514</v>
      </c>
      <c r="J10" s="22" t="s">
        <v>25</v>
      </c>
      <c r="K10" s="22" t="s">
        <v>15</v>
      </c>
      <c r="L10" s="22" t="s">
        <v>23</v>
      </c>
      <c r="M10" s="153"/>
    </row>
    <row r="11" spans="1:13" x14ac:dyDescent="0.25">
      <c r="A11" s="16"/>
      <c r="B11" s="57" t="s">
        <v>421</v>
      </c>
      <c r="C11" s="58">
        <v>2015</v>
      </c>
      <c r="D11" s="22" t="s">
        <v>11</v>
      </c>
      <c r="E11" s="22" t="s">
        <v>26</v>
      </c>
      <c r="F11" s="22" t="s">
        <v>12</v>
      </c>
      <c r="G11" s="22" t="s">
        <v>30</v>
      </c>
      <c r="H11" s="23">
        <v>700000</v>
      </c>
      <c r="I11" s="23">
        <v>605325</v>
      </c>
      <c r="J11" s="22" t="s">
        <v>35</v>
      </c>
      <c r="K11" s="22" t="s">
        <v>15</v>
      </c>
      <c r="L11" s="22" t="s">
        <v>32</v>
      </c>
      <c r="M11" s="153"/>
    </row>
    <row r="12" spans="1:13" x14ac:dyDescent="0.25">
      <c r="A12" s="16"/>
      <c r="B12" s="17"/>
      <c r="C12" s="18"/>
      <c r="D12" s="19"/>
      <c r="E12" s="19"/>
      <c r="F12" s="19"/>
      <c r="G12" s="401" t="s">
        <v>466</v>
      </c>
      <c r="H12" s="401"/>
      <c r="I12" s="55">
        <f>I10</f>
        <v>326514</v>
      </c>
      <c r="J12" s="19"/>
      <c r="K12" s="19"/>
      <c r="L12" s="19"/>
      <c r="M12" s="153"/>
    </row>
    <row r="13" spans="1:13" x14ac:dyDescent="0.25">
      <c r="A13" s="56"/>
      <c r="B13" s="57"/>
      <c r="C13" s="58"/>
      <c r="D13" s="22"/>
      <c r="E13" s="22"/>
      <c r="F13" s="22"/>
      <c r="G13" s="401" t="s">
        <v>467</v>
      </c>
      <c r="H13" s="401"/>
      <c r="I13" s="55">
        <f>I11</f>
        <v>605325</v>
      </c>
      <c r="J13" s="22"/>
      <c r="K13" s="22"/>
      <c r="L13" s="22"/>
      <c r="M13" s="412"/>
    </row>
    <row r="14" spans="1:13" ht="26.25" x14ac:dyDescent="0.25">
      <c r="A14" s="56"/>
      <c r="B14" s="57" t="s">
        <v>421</v>
      </c>
      <c r="C14" s="58">
        <v>2016</v>
      </c>
      <c r="D14" s="22" t="s">
        <v>11</v>
      </c>
      <c r="E14" s="22" t="s">
        <v>17</v>
      </c>
      <c r="F14" s="22" t="s">
        <v>12</v>
      </c>
      <c r="G14" s="22" t="s">
        <v>13</v>
      </c>
      <c r="H14" s="23">
        <v>345723</v>
      </c>
      <c r="I14" s="23">
        <v>44159</v>
      </c>
      <c r="J14" s="22" t="s">
        <v>14</v>
      </c>
      <c r="K14" s="22" t="s">
        <v>15</v>
      </c>
      <c r="L14" s="22" t="s">
        <v>16</v>
      </c>
      <c r="M14" s="413"/>
    </row>
    <row r="15" spans="1:13" x14ac:dyDescent="0.25">
      <c r="A15" s="56"/>
      <c r="B15" s="57" t="s">
        <v>421</v>
      </c>
      <c r="C15" s="58">
        <v>2016</v>
      </c>
      <c r="D15" s="22" t="s">
        <v>11</v>
      </c>
      <c r="E15" s="22" t="s">
        <v>17</v>
      </c>
      <c r="F15" s="22" t="s">
        <v>12</v>
      </c>
      <c r="G15" s="22" t="s">
        <v>18</v>
      </c>
      <c r="H15" s="23">
        <v>312789</v>
      </c>
      <c r="I15" s="23">
        <v>142800</v>
      </c>
      <c r="J15" s="22" t="s">
        <v>19</v>
      </c>
      <c r="K15" s="22" t="s">
        <v>15</v>
      </c>
      <c r="L15" s="22" t="s">
        <v>20</v>
      </c>
      <c r="M15" s="355"/>
    </row>
    <row r="16" spans="1:13" x14ac:dyDescent="0.25">
      <c r="A16" s="56"/>
      <c r="B16" s="57" t="s">
        <v>421</v>
      </c>
      <c r="C16" s="58">
        <v>2016</v>
      </c>
      <c r="D16" s="22" t="s">
        <v>11</v>
      </c>
      <c r="E16" s="22" t="s">
        <v>17</v>
      </c>
      <c r="F16" s="22" t="s">
        <v>12</v>
      </c>
      <c r="G16" s="22" t="s">
        <v>21</v>
      </c>
      <c r="H16" s="23">
        <v>1547858</v>
      </c>
      <c r="I16" s="23">
        <v>1433665</v>
      </c>
      <c r="J16" s="22" t="s">
        <v>27</v>
      </c>
      <c r="K16" s="22" t="s">
        <v>15</v>
      </c>
      <c r="L16" s="22" t="s">
        <v>23</v>
      </c>
      <c r="M16" s="355"/>
    </row>
    <row r="17" spans="1:13" x14ac:dyDescent="0.25">
      <c r="A17" s="56"/>
      <c r="B17" s="57" t="s">
        <v>421</v>
      </c>
      <c r="C17" s="58">
        <v>2016</v>
      </c>
      <c r="D17" s="22" t="s">
        <v>11</v>
      </c>
      <c r="E17" s="22" t="s">
        <v>17</v>
      </c>
      <c r="F17" s="22" t="s">
        <v>12</v>
      </c>
      <c r="G17" s="22" t="s">
        <v>30</v>
      </c>
      <c r="H17" s="23">
        <v>2126484</v>
      </c>
      <c r="I17" s="23">
        <v>1938176</v>
      </c>
      <c r="J17" s="22" t="s">
        <v>36</v>
      </c>
      <c r="K17" s="22" t="s">
        <v>15</v>
      </c>
      <c r="L17" s="22" t="s">
        <v>32</v>
      </c>
      <c r="M17" s="355"/>
    </row>
    <row r="18" spans="1:13" x14ac:dyDescent="0.25">
      <c r="A18" s="16"/>
      <c r="B18" s="17"/>
      <c r="C18" s="18"/>
      <c r="D18" s="19"/>
      <c r="E18" s="19"/>
      <c r="F18" s="19"/>
      <c r="G18" s="409" t="s">
        <v>468</v>
      </c>
      <c r="H18" s="409"/>
      <c r="I18" s="68">
        <f>I16</f>
        <v>1433665</v>
      </c>
      <c r="J18" s="19"/>
      <c r="K18" s="19"/>
      <c r="L18" s="19"/>
      <c r="M18" s="356"/>
    </row>
    <row r="19" spans="1:13" x14ac:dyDescent="0.25">
      <c r="A19" s="16"/>
      <c r="B19" s="17"/>
      <c r="C19" s="18"/>
      <c r="D19" s="19"/>
      <c r="E19" s="19"/>
      <c r="F19" s="19"/>
      <c r="G19" s="409" t="s">
        <v>469</v>
      </c>
      <c r="H19" s="409"/>
      <c r="I19" s="68">
        <f>I17</f>
        <v>1938176</v>
      </c>
      <c r="J19" s="19"/>
      <c r="K19" s="19"/>
      <c r="L19" s="19"/>
      <c r="M19" s="152"/>
    </row>
    <row r="20" spans="1:13" x14ac:dyDescent="0.25">
      <c r="A20" s="16"/>
      <c r="B20" s="57" t="s">
        <v>421</v>
      </c>
      <c r="C20" s="58" t="s">
        <v>422</v>
      </c>
      <c r="D20" s="22" t="s">
        <v>11</v>
      </c>
      <c r="E20" s="22" t="s">
        <v>29</v>
      </c>
      <c r="F20" s="22" t="s">
        <v>12</v>
      </c>
      <c r="G20" s="22" t="s">
        <v>21</v>
      </c>
      <c r="H20" s="23">
        <v>105448</v>
      </c>
      <c r="I20" s="61"/>
      <c r="J20" s="22" t="s">
        <v>28</v>
      </c>
      <c r="K20" s="22" t="s">
        <v>15</v>
      </c>
      <c r="L20" s="22" t="s">
        <v>23</v>
      </c>
      <c r="M20" s="153"/>
    </row>
    <row r="21" spans="1:13" x14ac:dyDescent="0.25">
      <c r="A21" s="16"/>
      <c r="B21" s="57" t="s">
        <v>421</v>
      </c>
      <c r="C21" s="58" t="s">
        <v>422</v>
      </c>
      <c r="D21" s="22" t="s">
        <v>11</v>
      </c>
      <c r="E21" s="22" t="s">
        <v>29</v>
      </c>
      <c r="F21" s="22" t="s">
        <v>12</v>
      </c>
      <c r="G21" s="22" t="s">
        <v>30</v>
      </c>
      <c r="H21" s="23">
        <v>105488</v>
      </c>
      <c r="I21" s="23">
        <v>0</v>
      </c>
      <c r="J21" s="22" t="s">
        <v>37</v>
      </c>
      <c r="K21" s="22" t="s">
        <v>15</v>
      </c>
      <c r="L21" s="22" t="s">
        <v>32</v>
      </c>
      <c r="M21" s="153"/>
    </row>
    <row r="22" spans="1:13" x14ac:dyDescent="0.25">
      <c r="A22" s="16"/>
      <c r="B22" s="17"/>
      <c r="C22" s="18"/>
      <c r="D22" s="19"/>
      <c r="E22" s="19"/>
      <c r="F22" s="19"/>
      <c r="G22" s="409" t="s">
        <v>470</v>
      </c>
      <c r="H22" s="409"/>
      <c r="I22" s="68">
        <f>H20</f>
        <v>105448</v>
      </c>
      <c r="J22" s="19"/>
      <c r="K22" s="19"/>
      <c r="L22" s="19"/>
      <c r="M22" s="153"/>
    </row>
    <row r="23" spans="1:13" x14ac:dyDescent="0.25">
      <c r="A23" s="7"/>
      <c r="B23" s="24"/>
      <c r="C23" s="25"/>
      <c r="D23" s="26"/>
      <c r="E23" s="26"/>
      <c r="F23" s="26"/>
      <c r="G23" s="408" t="s">
        <v>471</v>
      </c>
      <c r="H23" s="408"/>
      <c r="I23" s="69">
        <f>H21</f>
        <v>105488</v>
      </c>
      <c r="J23" s="26"/>
      <c r="K23" s="26"/>
      <c r="L23" s="26"/>
      <c r="M23" s="13"/>
    </row>
    <row r="24" spans="1:13" x14ac:dyDescent="0.25">
      <c r="A24" s="88" t="s">
        <v>402</v>
      </c>
      <c r="B24" s="74" t="s">
        <v>423</v>
      </c>
      <c r="C24" s="75">
        <v>2012</v>
      </c>
      <c r="D24" s="76" t="s">
        <v>38</v>
      </c>
      <c r="E24" s="76" t="s">
        <v>44</v>
      </c>
      <c r="F24" s="76" t="s">
        <v>39</v>
      </c>
      <c r="G24" s="76" t="s">
        <v>40</v>
      </c>
      <c r="H24" s="79"/>
      <c r="I24" s="77">
        <v>161884</v>
      </c>
      <c r="J24" s="76" t="s">
        <v>41</v>
      </c>
      <c r="K24" s="76" t="s">
        <v>42</v>
      </c>
      <c r="L24" s="76" t="s">
        <v>43</v>
      </c>
      <c r="M24" s="74"/>
    </row>
    <row r="25" spans="1:13" s="1" customFormat="1" x14ac:dyDescent="0.25">
      <c r="A25" s="171" t="s">
        <v>48</v>
      </c>
      <c r="B25" s="172" t="s">
        <v>424</v>
      </c>
      <c r="C25" s="173">
        <v>2017</v>
      </c>
      <c r="D25" s="174" t="s">
        <v>45</v>
      </c>
      <c r="E25" s="174" t="s">
        <v>29</v>
      </c>
      <c r="F25" s="174" t="s">
        <v>46</v>
      </c>
      <c r="G25" s="174" t="s">
        <v>30</v>
      </c>
      <c r="H25" s="175">
        <v>1343648</v>
      </c>
      <c r="I25" s="176"/>
      <c r="J25" s="174" t="s">
        <v>47</v>
      </c>
      <c r="K25" s="174" t="s">
        <v>48</v>
      </c>
      <c r="L25" s="174" t="s">
        <v>32</v>
      </c>
      <c r="M25" s="177" t="s">
        <v>465</v>
      </c>
    </row>
    <row r="26" spans="1:13" ht="15" customHeight="1" x14ac:dyDescent="0.25">
      <c r="A26" s="7"/>
      <c r="B26" s="8" t="s">
        <v>425</v>
      </c>
      <c r="C26" s="9">
        <v>2017</v>
      </c>
      <c r="D26" s="10" t="s">
        <v>49</v>
      </c>
      <c r="E26" s="10" t="s">
        <v>29</v>
      </c>
      <c r="F26" s="10" t="s">
        <v>50</v>
      </c>
      <c r="G26" s="10" t="s">
        <v>40</v>
      </c>
      <c r="H26" s="11">
        <v>539842</v>
      </c>
      <c r="I26" s="12"/>
      <c r="J26" s="10" t="s">
        <v>51</v>
      </c>
      <c r="K26" s="10" t="s">
        <v>48</v>
      </c>
      <c r="L26" s="10" t="s">
        <v>43</v>
      </c>
      <c r="M26" s="13"/>
    </row>
    <row r="27" spans="1:13" ht="15" customHeight="1" x14ac:dyDescent="0.25">
      <c r="A27" s="16" t="s">
        <v>404</v>
      </c>
      <c r="B27" s="31" t="s">
        <v>425</v>
      </c>
      <c r="C27" s="21">
        <v>2016</v>
      </c>
      <c r="D27" s="22" t="s">
        <v>52</v>
      </c>
      <c r="E27" s="22" t="s">
        <v>17</v>
      </c>
      <c r="F27" s="22" t="s">
        <v>53</v>
      </c>
      <c r="G27" s="22" t="s">
        <v>13</v>
      </c>
      <c r="H27" s="23">
        <v>2360000</v>
      </c>
      <c r="I27" s="23">
        <v>1591760</v>
      </c>
      <c r="J27" s="22" t="s">
        <v>54</v>
      </c>
      <c r="K27" s="22" t="s">
        <v>55</v>
      </c>
      <c r="L27" s="22" t="s">
        <v>16</v>
      </c>
      <c r="M27" s="20"/>
    </row>
    <row r="28" spans="1:13" ht="15" customHeight="1" x14ac:dyDescent="0.25">
      <c r="A28" s="16"/>
      <c r="B28" s="31" t="s">
        <v>425</v>
      </c>
      <c r="C28" s="21">
        <v>2016</v>
      </c>
      <c r="D28" s="22" t="s">
        <v>52</v>
      </c>
      <c r="E28" s="22" t="s">
        <v>17</v>
      </c>
      <c r="F28" s="22" t="s">
        <v>53</v>
      </c>
      <c r="G28" s="22" t="s">
        <v>13</v>
      </c>
      <c r="H28" s="23">
        <v>1640000</v>
      </c>
      <c r="I28" s="23">
        <v>234610</v>
      </c>
      <c r="J28" s="22" t="s">
        <v>56</v>
      </c>
      <c r="K28" s="22" t="s">
        <v>55</v>
      </c>
      <c r="L28" s="22" t="s">
        <v>16</v>
      </c>
      <c r="M28" s="20"/>
    </row>
    <row r="29" spans="1:13" ht="15" customHeight="1" x14ac:dyDescent="0.25">
      <c r="A29" s="16"/>
      <c r="B29" s="31" t="s">
        <v>425</v>
      </c>
      <c r="C29" s="21">
        <v>2016</v>
      </c>
      <c r="D29" s="22" t="s">
        <v>52</v>
      </c>
      <c r="E29" s="22" t="s">
        <v>17</v>
      </c>
      <c r="F29" s="22" t="s">
        <v>53</v>
      </c>
      <c r="G29" s="22" t="s">
        <v>18</v>
      </c>
      <c r="H29" s="23">
        <v>2360000</v>
      </c>
      <c r="I29" s="23">
        <v>1591760</v>
      </c>
      <c r="J29" s="22" t="s">
        <v>58</v>
      </c>
      <c r="K29" s="22" t="s">
        <v>55</v>
      </c>
      <c r="L29" s="22" t="s">
        <v>20</v>
      </c>
      <c r="M29" s="20"/>
    </row>
    <row r="30" spans="1:13" ht="15" customHeight="1" x14ac:dyDescent="0.25">
      <c r="A30" s="16"/>
      <c r="B30" s="31" t="s">
        <v>425</v>
      </c>
      <c r="C30" s="21">
        <v>2016</v>
      </c>
      <c r="D30" s="22" t="s">
        <v>52</v>
      </c>
      <c r="E30" s="22" t="s">
        <v>17</v>
      </c>
      <c r="F30" s="22" t="s">
        <v>53</v>
      </c>
      <c r="G30" s="22" t="s">
        <v>18</v>
      </c>
      <c r="H30" s="32"/>
      <c r="I30" s="23">
        <v>1401885</v>
      </c>
      <c r="J30" s="22" t="s">
        <v>59</v>
      </c>
      <c r="K30" s="22" t="s">
        <v>55</v>
      </c>
      <c r="L30" s="22" t="s">
        <v>20</v>
      </c>
      <c r="M30" s="20"/>
    </row>
    <row r="31" spans="1:13" ht="15" customHeight="1" x14ac:dyDescent="0.25">
      <c r="A31" s="16"/>
      <c r="B31" s="31"/>
      <c r="C31" s="21"/>
      <c r="D31" s="22"/>
      <c r="E31" s="22"/>
      <c r="F31" s="22"/>
      <c r="G31" s="22"/>
      <c r="H31" s="32"/>
      <c r="I31" s="23"/>
      <c r="J31" s="22"/>
      <c r="K31" s="22"/>
      <c r="L31" s="22"/>
      <c r="M31" s="20"/>
    </row>
    <row r="32" spans="1:13" ht="15" customHeight="1" x14ac:dyDescent="0.25">
      <c r="A32" s="16"/>
      <c r="B32" s="31" t="s">
        <v>425</v>
      </c>
      <c r="C32" s="21" t="s">
        <v>422</v>
      </c>
      <c r="D32" s="22" t="s">
        <v>52</v>
      </c>
      <c r="E32" s="22" t="s">
        <v>29</v>
      </c>
      <c r="F32" s="22" t="s">
        <v>53</v>
      </c>
      <c r="G32" s="22" t="s">
        <v>13</v>
      </c>
      <c r="H32" s="32"/>
      <c r="I32" s="32"/>
      <c r="J32" s="22" t="s">
        <v>57</v>
      </c>
      <c r="K32" s="22" t="s">
        <v>55</v>
      </c>
      <c r="L32" s="22" t="s">
        <v>16</v>
      </c>
      <c r="M32" s="20"/>
    </row>
    <row r="33" spans="1:13" ht="15" customHeight="1" x14ac:dyDescent="0.25">
      <c r="A33" s="16"/>
      <c r="B33" s="31" t="s">
        <v>425</v>
      </c>
      <c r="C33" s="21" t="s">
        <v>422</v>
      </c>
      <c r="D33" s="22" t="s">
        <v>52</v>
      </c>
      <c r="E33" s="22" t="s">
        <v>29</v>
      </c>
      <c r="F33" s="22" t="s">
        <v>53</v>
      </c>
      <c r="G33" s="22" t="s">
        <v>18</v>
      </c>
      <c r="H33" s="32"/>
      <c r="I33" s="32"/>
      <c r="J33" s="22" t="s">
        <v>60</v>
      </c>
      <c r="K33" s="22" t="s">
        <v>55</v>
      </c>
      <c r="L33" s="22" t="s">
        <v>20</v>
      </c>
      <c r="M33" s="20"/>
    </row>
    <row r="34" spans="1:13" ht="15" customHeight="1" x14ac:dyDescent="0.25">
      <c r="A34" s="16"/>
      <c r="B34" s="31" t="s">
        <v>425</v>
      </c>
      <c r="C34" s="58" t="s">
        <v>422</v>
      </c>
      <c r="D34" s="22" t="s">
        <v>52</v>
      </c>
      <c r="E34" s="22" t="s">
        <v>29</v>
      </c>
      <c r="F34" s="22" t="s">
        <v>53</v>
      </c>
      <c r="G34" s="22" t="s">
        <v>21</v>
      </c>
      <c r="H34" s="23">
        <v>1816352</v>
      </c>
      <c r="I34" s="61"/>
      <c r="J34" s="22" t="s">
        <v>61</v>
      </c>
      <c r="K34" s="22" t="s">
        <v>55</v>
      </c>
      <c r="L34" s="22" t="s">
        <v>23</v>
      </c>
      <c r="M34" s="64"/>
    </row>
    <row r="35" spans="1:13" ht="15" customHeight="1" x14ac:dyDescent="0.25">
      <c r="A35" s="16"/>
      <c r="B35" s="31" t="s">
        <v>425</v>
      </c>
      <c r="C35" s="58" t="s">
        <v>422</v>
      </c>
      <c r="D35" s="22" t="s">
        <v>52</v>
      </c>
      <c r="E35" s="22" t="s">
        <v>29</v>
      </c>
      <c r="F35" s="22" t="s">
        <v>53</v>
      </c>
      <c r="G35" s="22" t="s">
        <v>30</v>
      </c>
      <c r="H35" s="23">
        <v>493664</v>
      </c>
      <c r="I35" s="61"/>
      <c r="J35" s="22" t="s">
        <v>62</v>
      </c>
      <c r="K35" s="22" t="s">
        <v>55</v>
      </c>
      <c r="L35" s="22" t="s">
        <v>32</v>
      </c>
      <c r="M35" s="64"/>
    </row>
    <row r="36" spans="1:13" ht="15" customHeight="1" x14ac:dyDescent="0.25">
      <c r="A36" s="16"/>
      <c r="B36" s="31"/>
      <c r="C36" s="21"/>
      <c r="D36" s="19"/>
      <c r="E36" s="19"/>
      <c r="F36" s="19"/>
      <c r="G36" s="401" t="s">
        <v>470</v>
      </c>
      <c r="H36" s="401"/>
      <c r="I36" s="55">
        <f>H34</f>
        <v>1816352</v>
      </c>
      <c r="J36" s="19"/>
      <c r="K36" s="19"/>
      <c r="L36" s="19"/>
      <c r="M36" s="20"/>
    </row>
    <row r="37" spans="1:13" ht="15" customHeight="1" x14ac:dyDescent="0.25">
      <c r="A37" s="7"/>
      <c r="B37" s="8"/>
      <c r="C37" s="9"/>
      <c r="D37" s="26"/>
      <c r="E37" s="26"/>
      <c r="F37" s="26"/>
      <c r="G37" s="402" t="s">
        <v>471</v>
      </c>
      <c r="H37" s="402"/>
      <c r="I37" s="70">
        <f>H35</f>
        <v>493664</v>
      </c>
      <c r="J37" s="26"/>
      <c r="K37" s="26"/>
      <c r="L37" s="26"/>
      <c r="M37" s="13"/>
    </row>
    <row r="38" spans="1:13" ht="15" customHeight="1" x14ac:dyDescent="0.25">
      <c r="A38" s="73" t="s">
        <v>403</v>
      </c>
      <c r="B38" s="74" t="s">
        <v>426</v>
      </c>
      <c r="C38" s="75">
        <v>2014</v>
      </c>
      <c r="D38" s="76" t="s">
        <v>68</v>
      </c>
      <c r="E38" s="76" t="s">
        <v>24</v>
      </c>
      <c r="F38" s="76" t="s">
        <v>69</v>
      </c>
      <c r="G38" s="76" t="s">
        <v>13</v>
      </c>
      <c r="H38" s="77">
        <v>10211905</v>
      </c>
      <c r="I38" s="77">
        <v>5793572</v>
      </c>
      <c r="J38" s="76" t="s">
        <v>70</v>
      </c>
      <c r="K38" s="76" t="s">
        <v>71</v>
      </c>
      <c r="L38" s="76" t="s">
        <v>16</v>
      </c>
      <c r="M38" s="78"/>
    </row>
    <row r="39" spans="1:13" ht="15" customHeight="1" x14ac:dyDescent="0.25">
      <c r="A39" s="73"/>
      <c r="B39" s="74" t="s">
        <v>426</v>
      </c>
      <c r="C39" s="75">
        <v>2014</v>
      </c>
      <c r="D39" s="76" t="s">
        <v>68</v>
      </c>
      <c r="E39" s="76" t="s">
        <v>24</v>
      </c>
      <c r="F39" s="76" t="s">
        <v>69</v>
      </c>
      <c r="G39" s="76" t="s">
        <v>18</v>
      </c>
      <c r="H39" s="79"/>
      <c r="I39" s="77">
        <v>6175211</v>
      </c>
      <c r="J39" s="76" t="s">
        <v>82</v>
      </c>
      <c r="K39" s="76" t="s">
        <v>71</v>
      </c>
      <c r="L39" s="76" t="s">
        <v>20</v>
      </c>
      <c r="M39" s="78"/>
    </row>
    <row r="40" spans="1:13" ht="15" customHeight="1" x14ac:dyDescent="0.25">
      <c r="A40" s="73"/>
      <c r="B40" s="74"/>
      <c r="C40" s="75"/>
      <c r="D40" s="76"/>
      <c r="E40" s="76"/>
      <c r="F40" s="76"/>
      <c r="G40" s="76"/>
      <c r="H40" s="79"/>
      <c r="I40" s="77"/>
      <c r="J40" s="76"/>
      <c r="K40" s="76"/>
      <c r="L40" s="76"/>
      <c r="M40" s="78"/>
    </row>
    <row r="41" spans="1:13" ht="15" customHeight="1" x14ac:dyDescent="0.25">
      <c r="A41" s="73"/>
      <c r="B41" s="74" t="s">
        <v>427</v>
      </c>
      <c r="C41" s="75">
        <v>2015</v>
      </c>
      <c r="D41" s="76" t="s">
        <v>72</v>
      </c>
      <c r="E41" s="76" t="s">
        <v>26</v>
      </c>
      <c r="F41" s="76" t="s">
        <v>73</v>
      </c>
      <c r="G41" s="76" t="s">
        <v>13</v>
      </c>
      <c r="H41" s="77">
        <v>6268229</v>
      </c>
      <c r="I41" s="77">
        <v>5219091</v>
      </c>
      <c r="J41" s="76" t="s">
        <v>74</v>
      </c>
      <c r="K41" s="76" t="s">
        <v>71</v>
      </c>
      <c r="L41" s="76" t="s">
        <v>16</v>
      </c>
      <c r="M41" s="78"/>
    </row>
    <row r="42" spans="1:13" ht="15" customHeight="1" x14ac:dyDescent="0.25">
      <c r="A42" s="73"/>
      <c r="B42" s="74" t="s">
        <v>427</v>
      </c>
      <c r="C42" s="75">
        <v>2015</v>
      </c>
      <c r="D42" s="76" t="s">
        <v>72</v>
      </c>
      <c r="E42" s="76" t="s">
        <v>26</v>
      </c>
      <c r="F42" s="76" t="s">
        <v>73</v>
      </c>
      <c r="G42" s="76" t="s">
        <v>18</v>
      </c>
      <c r="H42" s="77">
        <v>3400613</v>
      </c>
      <c r="I42" s="77">
        <v>2803608</v>
      </c>
      <c r="J42" s="76" t="s">
        <v>83</v>
      </c>
      <c r="K42" s="76" t="s">
        <v>71</v>
      </c>
      <c r="L42" s="76" t="s">
        <v>20</v>
      </c>
      <c r="M42" s="78"/>
    </row>
    <row r="43" spans="1:13" ht="15" customHeight="1" x14ac:dyDescent="0.25">
      <c r="A43" s="73"/>
      <c r="B43" s="74" t="s">
        <v>427</v>
      </c>
      <c r="C43" s="75">
        <v>2015</v>
      </c>
      <c r="D43" s="76" t="s">
        <v>72</v>
      </c>
      <c r="E43" s="76" t="s">
        <v>26</v>
      </c>
      <c r="F43" s="76" t="s">
        <v>73</v>
      </c>
      <c r="G43" s="76" t="s">
        <v>30</v>
      </c>
      <c r="H43" s="77">
        <v>6268229</v>
      </c>
      <c r="I43" s="77">
        <v>5219091</v>
      </c>
      <c r="J43" s="76" t="s">
        <v>87</v>
      </c>
      <c r="K43" s="76" t="s">
        <v>71</v>
      </c>
      <c r="L43" s="76" t="s">
        <v>32</v>
      </c>
      <c r="M43" s="78"/>
    </row>
    <row r="44" spans="1:13" ht="15" customHeight="1" x14ac:dyDescent="0.25">
      <c r="A44" s="164"/>
      <c r="B44" s="165"/>
      <c r="C44" s="166"/>
      <c r="D44" s="167"/>
      <c r="E44" s="167"/>
      <c r="F44" s="167"/>
      <c r="G44" s="167"/>
      <c r="H44" s="168"/>
      <c r="I44" s="168"/>
      <c r="J44" s="167"/>
      <c r="K44" s="167"/>
      <c r="L44" s="167"/>
      <c r="M44" s="169"/>
    </row>
    <row r="45" spans="1:13" ht="26.25" x14ac:dyDescent="0.25">
      <c r="A45" s="164"/>
      <c r="B45" s="165" t="s">
        <v>427</v>
      </c>
      <c r="C45" s="166">
        <v>2016</v>
      </c>
      <c r="D45" s="167" t="s">
        <v>75</v>
      </c>
      <c r="E45" s="167" t="s">
        <v>17</v>
      </c>
      <c r="F45" s="167" t="s">
        <v>76</v>
      </c>
      <c r="G45" s="167" t="s">
        <v>13</v>
      </c>
      <c r="H45" s="168">
        <v>3140920</v>
      </c>
      <c r="I45" s="168">
        <v>2893248</v>
      </c>
      <c r="J45" s="167" t="s">
        <v>77</v>
      </c>
      <c r="K45" s="167" t="s">
        <v>71</v>
      </c>
      <c r="L45" s="167" t="s">
        <v>16</v>
      </c>
      <c r="M45" s="169"/>
    </row>
    <row r="46" spans="1:13" x14ac:dyDescent="0.25">
      <c r="A46" s="164"/>
      <c r="B46" s="165" t="s">
        <v>427</v>
      </c>
      <c r="C46" s="166">
        <v>2016</v>
      </c>
      <c r="D46" s="167" t="s">
        <v>75</v>
      </c>
      <c r="E46" s="167" t="s">
        <v>17</v>
      </c>
      <c r="F46" s="167" t="s">
        <v>76</v>
      </c>
      <c r="G46" s="167" t="s">
        <v>18</v>
      </c>
      <c r="H46" s="168">
        <v>1729112</v>
      </c>
      <c r="I46" s="168">
        <v>1566188</v>
      </c>
      <c r="J46" s="167" t="s">
        <v>84</v>
      </c>
      <c r="K46" s="167" t="s">
        <v>71</v>
      </c>
      <c r="L46" s="167" t="s">
        <v>20</v>
      </c>
      <c r="M46" s="169"/>
    </row>
    <row r="47" spans="1:13" x14ac:dyDescent="0.25">
      <c r="A47" s="164"/>
      <c r="B47" s="165"/>
      <c r="C47" s="166"/>
      <c r="D47" s="167"/>
      <c r="E47" s="167"/>
      <c r="F47" s="167"/>
      <c r="G47" s="167"/>
      <c r="H47" s="168"/>
      <c r="I47" s="168"/>
      <c r="J47" s="167"/>
      <c r="K47" s="167"/>
      <c r="L47" s="167"/>
      <c r="M47" s="169"/>
    </row>
    <row r="48" spans="1:13" ht="15" customHeight="1" x14ac:dyDescent="0.25">
      <c r="A48" s="164"/>
      <c r="B48" s="165" t="s">
        <v>427</v>
      </c>
      <c r="C48" s="166" t="s">
        <v>422</v>
      </c>
      <c r="D48" s="167" t="s">
        <v>78</v>
      </c>
      <c r="E48" s="167" t="s">
        <v>29</v>
      </c>
      <c r="F48" s="167" t="s">
        <v>79</v>
      </c>
      <c r="G48" s="167" t="s">
        <v>13</v>
      </c>
      <c r="H48" s="168">
        <v>205378</v>
      </c>
      <c r="I48" s="170"/>
      <c r="J48" s="167" t="s">
        <v>80</v>
      </c>
      <c r="K48" s="167" t="s">
        <v>71</v>
      </c>
      <c r="L48" s="167" t="s">
        <v>16</v>
      </c>
      <c r="M48" s="169"/>
    </row>
    <row r="49" spans="1:13" ht="15" customHeight="1" x14ac:dyDescent="0.25">
      <c r="A49" s="164"/>
      <c r="B49" s="165" t="s">
        <v>427</v>
      </c>
      <c r="C49" s="166" t="s">
        <v>422</v>
      </c>
      <c r="D49" s="167" t="s">
        <v>78</v>
      </c>
      <c r="E49" s="167" t="s">
        <v>29</v>
      </c>
      <c r="F49" s="167" t="s">
        <v>79</v>
      </c>
      <c r="G49" s="167" t="s">
        <v>13</v>
      </c>
      <c r="H49" s="168">
        <v>2989047</v>
      </c>
      <c r="I49" s="170"/>
      <c r="J49" s="167" t="s">
        <v>81</v>
      </c>
      <c r="K49" s="167" t="s">
        <v>71</v>
      </c>
      <c r="L49" s="167" t="s">
        <v>16</v>
      </c>
      <c r="M49" s="169"/>
    </row>
    <row r="50" spans="1:13" ht="15" customHeight="1" x14ac:dyDescent="0.25">
      <c r="A50" s="164"/>
      <c r="B50" s="165" t="s">
        <v>427</v>
      </c>
      <c r="C50" s="166" t="s">
        <v>422</v>
      </c>
      <c r="D50" s="167" t="s">
        <v>78</v>
      </c>
      <c r="E50" s="167" t="s">
        <v>29</v>
      </c>
      <c r="F50" s="167" t="s">
        <v>79</v>
      </c>
      <c r="G50" s="167" t="s">
        <v>18</v>
      </c>
      <c r="H50" s="168">
        <v>555312</v>
      </c>
      <c r="I50" s="170"/>
      <c r="J50" s="167" t="s">
        <v>85</v>
      </c>
      <c r="K50" s="167" t="s">
        <v>71</v>
      </c>
      <c r="L50" s="167" t="s">
        <v>20</v>
      </c>
      <c r="M50" s="169"/>
    </row>
    <row r="51" spans="1:13" ht="15" customHeight="1" x14ac:dyDescent="0.25">
      <c r="A51" s="164"/>
      <c r="B51" s="165" t="s">
        <v>427</v>
      </c>
      <c r="C51" s="166" t="s">
        <v>422</v>
      </c>
      <c r="D51" s="167" t="s">
        <v>78</v>
      </c>
      <c r="E51" s="167" t="s">
        <v>29</v>
      </c>
      <c r="F51" s="167" t="s">
        <v>79</v>
      </c>
      <c r="G51" s="167" t="s">
        <v>18</v>
      </c>
      <c r="H51" s="168">
        <v>2989047</v>
      </c>
      <c r="I51" s="170"/>
      <c r="J51" s="167" t="s">
        <v>86</v>
      </c>
      <c r="K51" s="167" t="s">
        <v>71</v>
      </c>
      <c r="L51" s="167" t="s">
        <v>20</v>
      </c>
      <c r="M51" s="169"/>
    </row>
    <row r="52" spans="1:13" ht="15" customHeight="1" x14ac:dyDescent="0.25">
      <c r="A52" s="164"/>
      <c r="B52" s="165" t="s">
        <v>427</v>
      </c>
      <c r="C52" s="166" t="s">
        <v>422</v>
      </c>
      <c r="D52" s="167" t="s">
        <v>78</v>
      </c>
      <c r="E52" s="167" t="s">
        <v>29</v>
      </c>
      <c r="F52" s="167" t="s">
        <v>79</v>
      </c>
      <c r="G52" s="167" t="s">
        <v>30</v>
      </c>
      <c r="H52" s="168">
        <v>958328</v>
      </c>
      <c r="I52" s="170"/>
      <c r="J52" s="167" t="s">
        <v>88</v>
      </c>
      <c r="K52" s="167" t="s">
        <v>71</v>
      </c>
      <c r="L52" s="167" t="s">
        <v>32</v>
      </c>
      <c r="M52" s="169"/>
    </row>
    <row r="53" spans="1:13" x14ac:dyDescent="0.25">
      <c r="A53" s="14" t="s">
        <v>405</v>
      </c>
      <c r="B53" s="62" t="s">
        <v>425</v>
      </c>
      <c r="C53" s="59" t="s">
        <v>422</v>
      </c>
      <c r="D53" s="29" t="s">
        <v>63</v>
      </c>
      <c r="E53" s="29" t="s">
        <v>29</v>
      </c>
      <c r="F53" s="29" t="s">
        <v>64</v>
      </c>
      <c r="G53" s="29" t="s">
        <v>21</v>
      </c>
      <c r="H53" s="23">
        <v>86809</v>
      </c>
      <c r="I53" s="60"/>
      <c r="J53" s="29" t="s">
        <v>65</v>
      </c>
      <c r="K53" s="29" t="s">
        <v>66</v>
      </c>
      <c r="L53" s="29" t="s">
        <v>23</v>
      </c>
      <c r="M53" s="33"/>
    </row>
    <row r="54" spans="1:13" x14ac:dyDescent="0.25">
      <c r="A54" s="16"/>
      <c r="B54" s="57" t="s">
        <v>425</v>
      </c>
      <c r="C54" s="58" t="s">
        <v>422</v>
      </c>
      <c r="D54" s="22" t="s">
        <v>63</v>
      </c>
      <c r="E54" s="22" t="s">
        <v>29</v>
      </c>
      <c r="F54" s="22" t="s">
        <v>64</v>
      </c>
      <c r="G54" s="22" t="s">
        <v>30</v>
      </c>
      <c r="H54" s="23">
        <v>722403</v>
      </c>
      <c r="I54" s="61"/>
      <c r="J54" s="22" t="s">
        <v>67</v>
      </c>
      <c r="K54" s="22" t="s">
        <v>66</v>
      </c>
      <c r="L54" s="22" t="s">
        <v>32</v>
      </c>
      <c r="M54" s="43"/>
    </row>
    <row r="55" spans="1:13" x14ac:dyDescent="0.25">
      <c r="A55" s="16"/>
      <c r="B55" s="17"/>
      <c r="C55" s="18"/>
      <c r="D55" s="19"/>
      <c r="E55" s="19"/>
      <c r="F55" s="19"/>
      <c r="G55" s="401" t="s">
        <v>470</v>
      </c>
      <c r="H55" s="401"/>
      <c r="I55" s="55">
        <f>H53</f>
        <v>86809</v>
      </c>
      <c r="J55" s="19"/>
      <c r="K55" s="19"/>
      <c r="L55" s="19"/>
      <c r="M55" s="43"/>
    </row>
    <row r="56" spans="1:13" x14ac:dyDescent="0.25">
      <c r="A56" s="7"/>
      <c r="B56" s="24"/>
      <c r="C56" s="25"/>
      <c r="D56" s="26"/>
      <c r="E56" s="26"/>
      <c r="F56" s="26"/>
      <c r="G56" s="402" t="s">
        <v>471</v>
      </c>
      <c r="H56" s="402"/>
      <c r="I56" s="70">
        <f>H54</f>
        <v>722403</v>
      </c>
      <c r="J56" s="26"/>
      <c r="K56" s="26"/>
      <c r="L56" s="26"/>
      <c r="M56" s="34"/>
    </row>
    <row r="57" spans="1:13" ht="26.25" x14ac:dyDescent="0.25">
      <c r="A57" s="16" t="s">
        <v>91</v>
      </c>
      <c r="B57" s="50" t="s">
        <v>426</v>
      </c>
      <c r="C57" s="51">
        <v>2014</v>
      </c>
      <c r="D57" s="49" t="s">
        <v>101</v>
      </c>
      <c r="E57" s="49" t="s">
        <v>24</v>
      </c>
      <c r="F57" s="49" t="s">
        <v>102</v>
      </c>
      <c r="G57" s="49" t="s">
        <v>13</v>
      </c>
      <c r="H57" s="52">
        <v>1049000</v>
      </c>
      <c r="I57" s="52">
        <v>2532179</v>
      </c>
      <c r="J57" s="22" t="s">
        <v>103</v>
      </c>
      <c r="K57" s="22" t="s">
        <v>91</v>
      </c>
      <c r="L57" s="22" t="s">
        <v>16</v>
      </c>
      <c r="M57" s="20"/>
    </row>
    <row r="58" spans="1:13" x14ac:dyDescent="0.25">
      <c r="A58" s="16"/>
      <c r="B58" s="50"/>
      <c r="C58" s="51"/>
      <c r="D58" s="49"/>
      <c r="E58" s="49"/>
      <c r="F58" s="49"/>
      <c r="G58" s="49"/>
      <c r="H58" s="52"/>
      <c r="I58" s="52"/>
      <c r="J58" s="22"/>
      <c r="K58" s="22"/>
      <c r="L58" s="22"/>
      <c r="M58" s="20"/>
    </row>
    <row r="59" spans="1:13" ht="26.25" x14ac:dyDescent="0.25">
      <c r="A59" s="16"/>
      <c r="B59" s="50" t="s">
        <v>426</v>
      </c>
      <c r="C59" s="51">
        <v>2015</v>
      </c>
      <c r="D59" s="49" t="s">
        <v>105</v>
      </c>
      <c r="E59" s="49" t="s">
        <v>26</v>
      </c>
      <c r="F59" s="49" t="s">
        <v>106</v>
      </c>
      <c r="G59" s="49" t="s">
        <v>13</v>
      </c>
      <c r="H59" s="52">
        <v>2910198</v>
      </c>
      <c r="I59" s="52">
        <v>0</v>
      </c>
      <c r="J59" s="22" t="s">
        <v>107</v>
      </c>
      <c r="K59" s="22" t="s">
        <v>91</v>
      </c>
      <c r="L59" s="22" t="s">
        <v>16</v>
      </c>
      <c r="M59" s="20"/>
    </row>
    <row r="60" spans="1:13" x14ac:dyDescent="0.25">
      <c r="A60" s="16"/>
      <c r="B60" s="50" t="s">
        <v>426</v>
      </c>
      <c r="C60" s="51">
        <v>2015</v>
      </c>
      <c r="D60" s="49" t="s">
        <v>105</v>
      </c>
      <c r="E60" s="49" t="s">
        <v>26</v>
      </c>
      <c r="F60" s="49" t="s">
        <v>106</v>
      </c>
      <c r="G60" s="49" t="s">
        <v>18</v>
      </c>
      <c r="H60" s="52">
        <v>0</v>
      </c>
      <c r="I60" s="52">
        <v>1705576</v>
      </c>
      <c r="J60" s="22" t="s">
        <v>115</v>
      </c>
      <c r="K60" s="22" t="s">
        <v>91</v>
      </c>
      <c r="L60" s="22" t="s">
        <v>20</v>
      </c>
      <c r="M60" s="20"/>
    </row>
    <row r="61" spans="1:13" x14ac:dyDescent="0.25">
      <c r="A61" s="16"/>
      <c r="B61" s="50" t="s">
        <v>426</v>
      </c>
      <c r="C61" s="51">
        <v>2015</v>
      </c>
      <c r="D61" s="49" t="s">
        <v>105</v>
      </c>
      <c r="E61" s="49" t="s">
        <v>26</v>
      </c>
      <c r="F61" s="49" t="s">
        <v>106</v>
      </c>
      <c r="G61" s="49" t="s">
        <v>21</v>
      </c>
      <c r="H61" s="52">
        <v>0</v>
      </c>
      <c r="I61" s="52">
        <v>0</v>
      </c>
      <c r="J61" s="22" t="s">
        <v>129</v>
      </c>
      <c r="K61" s="22" t="s">
        <v>91</v>
      </c>
      <c r="L61" s="22" t="s">
        <v>23</v>
      </c>
      <c r="M61" s="20"/>
    </row>
    <row r="62" spans="1:13" x14ac:dyDescent="0.25">
      <c r="A62" s="16"/>
      <c r="B62" s="50" t="s">
        <v>426</v>
      </c>
      <c r="C62" s="51">
        <v>2015</v>
      </c>
      <c r="D62" s="49" t="s">
        <v>105</v>
      </c>
      <c r="E62" s="49" t="s">
        <v>26</v>
      </c>
      <c r="F62" s="49" t="s">
        <v>106</v>
      </c>
      <c r="G62" s="49" t="s">
        <v>30</v>
      </c>
      <c r="H62" s="52">
        <v>0</v>
      </c>
      <c r="I62" s="52">
        <v>0</v>
      </c>
      <c r="J62" s="22" t="s">
        <v>139</v>
      </c>
      <c r="K62" s="22" t="s">
        <v>91</v>
      </c>
      <c r="L62" s="22" t="s">
        <v>32</v>
      </c>
      <c r="M62" s="20"/>
    </row>
    <row r="63" spans="1:13" ht="26.25" x14ac:dyDescent="0.25">
      <c r="A63" s="16"/>
      <c r="B63" s="31" t="s">
        <v>428</v>
      </c>
      <c r="C63" s="21">
        <v>2015</v>
      </c>
      <c r="D63" s="22" t="s">
        <v>89</v>
      </c>
      <c r="E63" s="22" t="s">
        <v>26</v>
      </c>
      <c r="F63" s="22" t="s">
        <v>90</v>
      </c>
      <c r="G63" s="22" t="s">
        <v>13</v>
      </c>
      <c r="H63" s="23">
        <v>212800</v>
      </c>
      <c r="I63" s="23">
        <v>131698</v>
      </c>
      <c r="J63" s="22" t="s">
        <v>104</v>
      </c>
      <c r="K63" s="22" t="s">
        <v>91</v>
      </c>
      <c r="L63" s="22" t="s">
        <v>16</v>
      </c>
      <c r="M63" s="20"/>
    </row>
    <row r="64" spans="1:13" x14ac:dyDescent="0.25">
      <c r="A64" s="16"/>
      <c r="B64" s="31" t="s">
        <v>428</v>
      </c>
      <c r="C64" s="21">
        <v>2015</v>
      </c>
      <c r="D64" s="22" t="s">
        <v>89</v>
      </c>
      <c r="E64" s="22" t="s">
        <v>26</v>
      </c>
      <c r="F64" s="22" t="s">
        <v>90</v>
      </c>
      <c r="G64" s="22" t="s">
        <v>30</v>
      </c>
      <c r="H64" s="23">
        <v>212800</v>
      </c>
      <c r="I64" s="23">
        <v>231330</v>
      </c>
      <c r="J64" s="22" t="s">
        <v>137</v>
      </c>
      <c r="K64" s="22" t="s">
        <v>91</v>
      </c>
      <c r="L64" s="22" t="s">
        <v>32</v>
      </c>
      <c r="M64" s="20"/>
    </row>
    <row r="65" spans="1:13" ht="26.25" x14ac:dyDescent="0.25">
      <c r="A65" s="16"/>
      <c r="B65" s="31" t="s">
        <v>430</v>
      </c>
      <c r="C65" s="21">
        <v>2015</v>
      </c>
      <c r="D65" s="22" t="s">
        <v>92</v>
      </c>
      <c r="E65" s="22" t="s">
        <v>26</v>
      </c>
      <c r="F65" s="22" t="s">
        <v>93</v>
      </c>
      <c r="G65" s="22" t="s">
        <v>13</v>
      </c>
      <c r="H65" s="23">
        <v>271119</v>
      </c>
      <c r="I65" s="23">
        <v>156678</v>
      </c>
      <c r="J65" s="22" t="s">
        <v>108</v>
      </c>
      <c r="K65" s="22" t="s">
        <v>91</v>
      </c>
      <c r="L65" s="22" t="s">
        <v>16</v>
      </c>
      <c r="M65" s="20"/>
    </row>
    <row r="66" spans="1:13" x14ac:dyDescent="0.25">
      <c r="A66" s="16"/>
      <c r="B66" s="31" t="s">
        <v>430</v>
      </c>
      <c r="C66" s="21">
        <v>2015</v>
      </c>
      <c r="D66" s="22" t="s">
        <v>92</v>
      </c>
      <c r="E66" s="22" t="s">
        <v>26</v>
      </c>
      <c r="F66" s="22" t="s">
        <v>93</v>
      </c>
      <c r="G66" s="22" t="s">
        <v>18</v>
      </c>
      <c r="H66" s="23">
        <v>659784</v>
      </c>
      <c r="I66" s="23">
        <v>603075</v>
      </c>
      <c r="J66" s="22" t="s">
        <v>116</v>
      </c>
      <c r="K66" s="22" t="s">
        <v>91</v>
      </c>
      <c r="L66" s="22" t="s">
        <v>20</v>
      </c>
      <c r="M66" s="20"/>
    </row>
    <row r="67" spans="1:13" x14ac:dyDescent="0.25">
      <c r="A67" s="16"/>
      <c r="B67" s="31" t="s">
        <v>430</v>
      </c>
      <c r="C67" s="21">
        <v>2015</v>
      </c>
      <c r="D67" s="22" t="s">
        <v>92</v>
      </c>
      <c r="E67" s="22" t="s">
        <v>26</v>
      </c>
      <c r="F67" s="22" t="s">
        <v>93</v>
      </c>
      <c r="G67" s="22" t="s">
        <v>21</v>
      </c>
      <c r="H67" s="23">
        <v>135046</v>
      </c>
      <c r="I67" s="23">
        <v>13454</v>
      </c>
      <c r="J67" s="22" t="s">
        <v>128</v>
      </c>
      <c r="K67" s="22" t="s">
        <v>91</v>
      </c>
      <c r="L67" s="22" t="s">
        <v>23</v>
      </c>
      <c r="M67" s="20"/>
    </row>
    <row r="68" spans="1:13" x14ac:dyDescent="0.25">
      <c r="A68" s="16"/>
      <c r="B68" s="31" t="s">
        <v>430</v>
      </c>
      <c r="C68" s="21">
        <v>2015</v>
      </c>
      <c r="D68" s="22" t="s">
        <v>92</v>
      </c>
      <c r="E68" s="22" t="s">
        <v>26</v>
      </c>
      <c r="F68" s="22" t="s">
        <v>93</v>
      </c>
      <c r="G68" s="22" t="s">
        <v>30</v>
      </c>
      <c r="H68" s="23">
        <v>135046</v>
      </c>
      <c r="I68" s="23">
        <v>84672</v>
      </c>
      <c r="J68" s="22" t="s">
        <v>138</v>
      </c>
      <c r="K68" s="22" t="s">
        <v>91</v>
      </c>
      <c r="L68" s="22" t="s">
        <v>32</v>
      </c>
      <c r="M68" s="20"/>
    </row>
    <row r="69" spans="1:13" x14ac:dyDescent="0.25">
      <c r="A69" s="16"/>
      <c r="B69" s="31"/>
      <c r="C69" s="21"/>
      <c r="D69" s="22"/>
      <c r="E69" s="22"/>
      <c r="F69" s="22"/>
      <c r="G69" s="401" t="s">
        <v>466</v>
      </c>
      <c r="H69" s="401"/>
      <c r="I69" s="55">
        <f>I61+I67</f>
        <v>13454</v>
      </c>
      <c r="J69" s="22"/>
      <c r="K69" s="22"/>
      <c r="L69" s="22"/>
      <c r="M69" s="20"/>
    </row>
    <row r="70" spans="1:13" x14ac:dyDescent="0.25">
      <c r="A70" s="16"/>
      <c r="B70" s="50"/>
      <c r="C70" s="51"/>
      <c r="D70" s="49"/>
      <c r="E70" s="49"/>
      <c r="F70" s="49"/>
      <c r="G70" s="401" t="s">
        <v>467</v>
      </c>
      <c r="H70" s="401"/>
      <c r="I70" s="55">
        <f>I62+I64+I68</f>
        <v>316002</v>
      </c>
      <c r="J70" s="22"/>
      <c r="K70" s="22"/>
      <c r="L70" s="22"/>
      <c r="M70" s="20"/>
    </row>
    <row r="71" spans="1:13" ht="26.25" x14ac:dyDescent="0.25">
      <c r="A71" s="16"/>
      <c r="B71" s="188" t="s">
        <v>458</v>
      </c>
      <c r="C71" s="189">
        <v>2016</v>
      </c>
      <c r="D71" s="49" t="s">
        <v>105</v>
      </c>
      <c r="E71" s="49" t="s">
        <v>17</v>
      </c>
      <c r="F71" s="49" t="s">
        <v>106</v>
      </c>
      <c r="G71" s="49" t="s">
        <v>13</v>
      </c>
      <c r="H71" s="190"/>
      <c r="I71" s="52">
        <v>1650246</v>
      </c>
      <c r="J71" s="22" t="s">
        <v>111</v>
      </c>
      <c r="K71" s="22" t="s">
        <v>91</v>
      </c>
      <c r="L71" s="22" t="s">
        <v>16</v>
      </c>
      <c r="M71" s="410" t="s">
        <v>462</v>
      </c>
    </row>
    <row r="72" spans="1:13" x14ac:dyDescent="0.25">
      <c r="A72" s="16"/>
      <c r="B72" s="188" t="s">
        <v>458</v>
      </c>
      <c r="C72" s="189">
        <v>2016</v>
      </c>
      <c r="D72" s="49" t="s">
        <v>105</v>
      </c>
      <c r="E72" s="49" t="s">
        <v>17</v>
      </c>
      <c r="F72" s="49" t="s">
        <v>106</v>
      </c>
      <c r="G72" s="49" t="s">
        <v>18</v>
      </c>
      <c r="H72" s="190"/>
      <c r="I72" s="52">
        <v>3002932</v>
      </c>
      <c r="J72" s="22" t="s">
        <v>118</v>
      </c>
      <c r="K72" s="22" t="s">
        <v>91</v>
      </c>
      <c r="L72" s="22" t="s">
        <v>20</v>
      </c>
      <c r="M72" s="410"/>
    </row>
    <row r="73" spans="1:13" x14ac:dyDescent="0.25">
      <c r="A73" s="16"/>
      <c r="B73" s="188" t="s">
        <v>458</v>
      </c>
      <c r="C73" s="189">
        <v>2016</v>
      </c>
      <c r="D73" s="49" t="s">
        <v>105</v>
      </c>
      <c r="E73" s="49" t="s">
        <v>17</v>
      </c>
      <c r="F73" s="49" t="s">
        <v>106</v>
      </c>
      <c r="G73" s="49" t="s">
        <v>21</v>
      </c>
      <c r="H73" s="190"/>
      <c r="I73" s="52">
        <v>451225</v>
      </c>
      <c r="J73" s="22" t="s">
        <v>133</v>
      </c>
      <c r="K73" s="22" t="s">
        <v>91</v>
      </c>
      <c r="L73" s="22" t="s">
        <v>23</v>
      </c>
      <c r="M73" s="410"/>
    </row>
    <row r="74" spans="1:13" x14ac:dyDescent="0.25">
      <c r="A74" s="16"/>
      <c r="B74" s="188" t="s">
        <v>458</v>
      </c>
      <c r="C74" s="189">
        <v>2016</v>
      </c>
      <c r="D74" s="49" t="s">
        <v>105</v>
      </c>
      <c r="E74" s="49" t="s">
        <v>17</v>
      </c>
      <c r="F74" s="49" t="s">
        <v>106</v>
      </c>
      <c r="G74" s="49" t="s">
        <v>30</v>
      </c>
      <c r="H74" s="190"/>
      <c r="I74" s="52">
        <v>1219437</v>
      </c>
      <c r="J74" s="22" t="s">
        <v>144</v>
      </c>
      <c r="K74" s="22" t="s">
        <v>91</v>
      </c>
      <c r="L74" s="22" t="s">
        <v>32</v>
      </c>
      <c r="M74" s="410"/>
    </row>
    <row r="75" spans="1:13" ht="15" customHeight="1" x14ac:dyDescent="0.25">
      <c r="A75" s="16"/>
      <c r="B75" s="57" t="s">
        <v>423</v>
      </c>
      <c r="C75" s="58">
        <v>2016</v>
      </c>
      <c r="D75" s="22" t="s">
        <v>123</v>
      </c>
      <c r="E75" s="22" t="s">
        <v>17</v>
      </c>
      <c r="F75" s="22" t="s">
        <v>124</v>
      </c>
      <c r="G75" s="22" t="s">
        <v>18</v>
      </c>
      <c r="H75" s="23">
        <v>5035902</v>
      </c>
      <c r="I75" s="61"/>
      <c r="J75" s="22" t="s">
        <v>125</v>
      </c>
      <c r="K75" s="22" t="s">
        <v>91</v>
      </c>
      <c r="L75" s="22" t="s">
        <v>20</v>
      </c>
      <c r="M75" s="64"/>
    </row>
    <row r="76" spans="1:13" ht="15" customHeight="1" x14ac:dyDescent="0.25">
      <c r="A76" s="16"/>
      <c r="B76" s="31" t="s">
        <v>423</v>
      </c>
      <c r="C76" s="21">
        <v>2016</v>
      </c>
      <c r="D76" s="22" t="s">
        <v>123</v>
      </c>
      <c r="E76" s="22" t="s">
        <v>17</v>
      </c>
      <c r="F76" s="22" t="s">
        <v>124</v>
      </c>
      <c r="G76" s="22" t="s">
        <v>21</v>
      </c>
      <c r="H76" s="23">
        <v>99427</v>
      </c>
      <c r="I76" s="32"/>
      <c r="J76" s="22" t="s">
        <v>132</v>
      </c>
      <c r="K76" s="22" t="s">
        <v>91</v>
      </c>
      <c r="L76" s="22" t="s">
        <v>23</v>
      </c>
      <c r="M76" s="20"/>
    </row>
    <row r="77" spans="1:13" ht="15" customHeight="1" x14ac:dyDescent="0.25">
      <c r="A77" s="17"/>
      <c r="B77" s="31" t="s">
        <v>423</v>
      </c>
      <c r="C77" s="21">
        <v>2016</v>
      </c>
      <c r="D77" s="22" t="s">
        <v>123</v>
      </c>
      <c r="E77" s="22" t="s">
        <v>17</v>
      </c>
      <c r="F77" s="22" t="s">
        <v>124</v>
      </c>
      <c r="G77" s="22" t="s">
        <v>30</v>
      </c>
      <c r="H77" s="23">
        <v>1168612</v>
      </c>
      <c r="I77" s="32"/>
      <c r="J77" s="22" t="s">
        <v>143</v>
      </c>
      <c r="K77" s="22" t="s">
        <v>91</v>
      </c>
      <c r="L77" s="22" t="s">
        <v>32</v>
      </c>
      <c r="M77" s="20"/>
    </row>
    <row r="78" spans="1:13" ht="15" customHeight="1" x14ac:dyDescent="0.25">
      <c r="A78" s="17"/>
      <c r="B78" s="31" t="s">
        <v>423</v>
      </c>
      <c r="C78" s="21">
        <v>2016</v>
      </c>
      <c r="D78" s="22" t="s">
        <v>120</v>
      </c>
      <c r="E78" s="22" t="s">
        <v>17</v>
      </c>
      <c r="F78" s="22" t="s">
        <v>121</v>
      </c>
      <c r="G78" s="22" t="s">
        <v>18</v>
      </c>
      <c r="H78" s="23">
        <v>9311485</v>
      </c>
      <c r="I78" s="23">
        <v>179372</v>
      </c>
      <c r="J78" s="22" t="s">
        <v>122</v>
      </c>
      <c r="K78" s="22" t="s">
        <v>91</v>
      </c>
      <c r="L78" s="22" t="s">
        <v>20</v>
      </c>
      <c r="M78" s="20"/>
    </row>
    <row r="79" spans="1:13" ht="26.25" x14ac:dyDescent="0.25">
      <c r="A79" s="17"/>
      <c r="B79" s="57" t="s">
        <v>428</v>
      </c>
      <c r="C79" s="58" t="s">
        <v>440</v>
      </c>
      <c r="D79" s="22" t="s">
        <v>89</v>
      </c>
      <c r="E79" s="22" t="s">
        <v>17</v>
      </c>
      <c r="F79" s="22" t="s">
        <v>90</v>
      </c>
      <c r="G79" s="22" t="s">
        <v>13</v>
      </c>
      <c r="H79" s="23">
        <v>212800</v>
      </c>
      <c r="I79" s="23">
        <v>232366</v>
      </c>
      <c r="J79" s="22" t="s">
        <v>110</v>
      </c>
      <c r="K79" s="22" t="s">
        <v>91</v>
      </c>
      <c r="L79" s="22" t="s">
        <v>16</v>
      </c>
      <c r="M79" s="64"/>
    </row>
    <row r="80" spans="1:13" x14ac:dyDescent="0.25">
      <c r="A80" s="17"/>
      <c r="B80" s="57" t="s">
        <v>428</v>
      </c>
      <c r="C80" s="58" t="s">
        <v>440</v>
      </c>
      <c r="D80" s="22" t="s">
        <v>89</v>
      </c>
      <c r="E80" s="22" t="s">
        <v>17</v>
      </c>
      <c r="F80" s="22" t="s">
        <v>90</v>
      </c>
      <c r="G80" s="22" t="s">
        <v>21</v>
      </c>
      <c r="H80" s="23">
        <v>63840</v>
      </c>
      <c r="I80" s="23">
        <v>106811</v>
      </c>
      <c r="J80" s="22" t="s">
        <v>131</v>
      </c>
      <c r="K80" s="22" t="s">
        <v>91</v>
      </c>
      <c r="L80" s="22" t="s">
        <v>23</v>
      </c>
      <c r="M80" s="64"/>
    </row>
    <row r="81" spans="1:13" x14ac:dyDescent="0.25">
      <c r="A81" s="17"/>
      <c r="B81" s="57" t="s">
        <v>428</v>
      </c>
      <c r="C81" s="58" t="s">
        <v>440</v>
      </c>
      <c r="D81" s="22" t="s">
        <v>89</v>
      </c>
      <c r="E81" s="22" t="s">
        <v>17</v>
      </c>
      <c r="F81" s="22" t="s">
        <v>90</v>
      </c>
      <c r="G81" s="22" t="s">
        <v>30</v>
      </c>
      <c r="H81" s="23">
        <v>212800</v>
      </c>
      <c r="I81" s="23">
        <v>121535</v>
      </c>
      <c r="J81" s="22" t="s">
        <v>141</v>
      </c>
      <c r="K81" s="22" t="s">
        <v>91</v>
      </c>
      <c r="L81" s="22" t="s">
        <v>32</v>
      </c>
      <c r="M81" s="64"/>
    </row>
    <row r="82" spans="1:13" ht="15" customHeight="1" x14ac:dyDescent="0.25">
      <c r="A82" s="16"/>
      <c r="B82" s="57" t="s">
        <v>430</v>
      </c>
      <c r="C82" s="58" t="s">
        <v>440</v>
      </c>
      <c r="D82" s="22" t="s">
        <v>92</v>
      </c>
      <c r="E82" s="22" t="s">
        <v>17</v>
      </c>
      <c r="F82" s="22" t="s">
        <v>93</v>
      </c>
      <c r="G82" s="22" t="s">
        <v>18</v>
      </c>
      <c r="H82" s="61"/>
      <c r="I82" s="23">
        <v>36790</v>
      </c>
      <c r="J82" s="22" t="s">
        <v>119</v>
      </c>
      <c r="K82" s="22" t="s">
        <v>91</v>
      </c>
      <c r="L82" s="22" t="s">
        <v>20</v>
      </c>
      <c r="M82" s="411"/>
    </row>
    <row r="83" spans="1:13" ht="15" customHeight="1" x14ac:dyDescent="0.25">
      <c r="A83" s="16"/>
      <c r="B83" s="57" t="s">
        <v>430</v>
      </c>
      <c r="C83" s="58" t="s">
        <v>440</v>
      </c>
      <c r="D83" s="22" t="s">
        <v>94</v>
      </c>
      <c r="E83" s="22" t="s">
        <v>17</v>
      </c>
      <c r="F83" s="22" t="s">
        <v>95</v>
      </c>
      <c r="G83" s="22" t="s">
        <v>18</v>
      </c>
      <c r="H83" s="23">
        <v>2671384</v>
      </c>
      <c r="I83" s="23">
        <v>1948290</v>
      </c>
      <c r="J83" s="22" t="s">
        <v>117</v>
      </c>
      <c r="K83" s="22" t="s">
        <v>91</v>
      </c>
      <c r="L83" s="22" t="s">
        <v>20</v>
      </c>
      <c r="M83" s="411"/>
    </row>
    <row r="84" spans="1:13" ht="15" customHeight="1" x14ac:dyDescent="0.25">
      <c r="A84" s="16"/>
      <c r="B84" s="31" t="s">
        <v>430</v>
      </c>
      <c r="C84" s="21" t="s">
        <v>440</v>
      </c>
      <c r="D84" s="22" t="s">
        <v>92</v>
      </c>
      <c r="E84" s="22" t="s">
        <v>17</v>
      </c>
      <c r="F84" s="22" t="s">
        <v>93</v>
      </c>
      <c r="G84" s="22" t="s">
        <v>30</v>
      </c>
      <c r="H84" s="32"/>
      <c r="I84" s="23">
        <v>62540</v>
      </c>
      <c r="J84" s="22" t="s">
        <v>142</v>
      </c>
      <c r="K84" s="22" t="s">
        <v>91</v>
      </c>
      <c r="L84" s="22" t="s">
        <v>32</v>
      </c>
      <c r="M84" s="411"/>
    </row>
    <row r="85" spans="1:13" ht="15" customHeight="1" x14ac:dyDescent="0.25">
      <c r="A85" s="16"/>
      <c r="B85" s="31" t="s">
        <v>430</v>
      </c>
      <c r="C85" s="21" t="s">
        <v>440</v>
      </c>
      <c r="D85" s="22" t="s">
        <v>94</v>
      </c>
      <c r="E85" s="22" t="s">
        <v>17</v>
      </c>
      <c r="F85" s="22" t="s">
        <v>95</v>
      </c>
      <c r="G85" s="22" t="s">
        <v>30</v>
      </c>
      <c r="H85" s="23">
        <v>482464</v>
      </c>
      <c r="I85" s="23">
        <v>723220</v>
      </c>
      <c r="J85" s="22" t="s">
        <v>140</v>
      </c>
      <c r="K85" s="22" t="s">
        <v>91</v>
      </c>
      <c r="L85" s="22" t="s">
        <v>32</v>
      </c>
      <c r="M85" s="411"/>
    </row>
    <row r="86" spans="1:13" ht="15" customHeight="1" x14ac:dyDescent="0.25">
      <c r="A86" s="16"/>
      <c r="B86" s="31" t="s">
        <v>430</v>
      </c>
      <c r="C86" s="21" t="s">
        <v>440</v>
      </c>
      <c r="D86" s="22" t="s">
        <v>94</v>
      </c>
      <c r="E86" s="22" t="s">
        <v>17</v>
      </c>
      <c r="F86" s="22" t="s">
        <v>95</v>
      </c>
      <c r="G86" s="22" t="s">
        <v>13</v>
      </c>
      <c r="H86" s="23">
        <v>294173</v>
      </c>
      <c r="I86" s="23">
        <v>429369</v>
      </c>
      <c r="J86" s="22" t="s">
        <v>109</v>
      </c>
      <c r="K86" s="22" t="s">
        <v>91</v>
      </c>
      <c r="L86" s="22" t="s">
        <v>16</v>
      </c>
      <c r="M86" s="20"/>
    </row>
    <row r="87" spans="1:13" ht="15" customHeight="1" x14ac:dyDescent="0.25">
      <c r="A87" s="16"/>
      <c r="B87" s="31" t="s">
        <v>430</v>
      </c>
      <c r="C87" s="21" t="s">
        <v>440</v>
      </c>
      <c r="D87" s="22" t="s">
        <v>94</v>
      </c>
      <c r="E87" s="22" t="s">
        <v>17</v>
      </c>
      <c r="F87" s="22" t="s">
        <v>95</v>
      </c>
      <c r="G87" s="22" t="s">
        <v>21</v>
      </c>
      <c r="H87" s="23">
        <v>86668</v>
      </c>
      <c r="I87" s="23">
        <v>473571</v>
      </c>
      <c r="J87" s="22" t="s">
        <v>130</v>
      </c>
      <c r="K87" s="22" t="s">
        <v>91</v>
      </c>
      <c r="L87" s="22" t="s">
        <v>23</v>
      </c>
      <c r="M87" s="20"/>
    </row>
    <row r="88" spans="1:13" ht="15" customHeight="1" x14ac:dyDescent="0.25">
      <c r="A88" s="16"/>
      <c r="B88" s="31"/>
      <c r="C88" s="21"/>
      <c r="D88" s="22"/>
      <c r="E88" s="22"/>
      <c r="F88" s="22"/>
      <c r="G88" s="401" t="s">
        <v>474</v>
      </c>
      <c r="H88" s="401"/>
      <c r="I88" s="55">
        <f>I73+I76+I80+I87</f>
        <v>1031607</v>
      </c>
      <c r="J88" s="22"/>
      <c r="K88" s="22"/>
      <c r="L88" s="22"/>
      <c r="M88" s="20"/>
    </row>
    <row r="89" spans="1:13" ht="15" customHeight="1" x14ac:dyDescent="0.25">
      <c r="A89" s="16"/>
      <c r="B89" s="31"/>
      <c r="C89" s="21"/>
      <c r="D89" s="22"/>
      <c r="E89" s="22"/>
      <c r="F89" s="22"/>
      <c r="G89" s="401" t="s">
        <v>475</v>
      </c>
      <c r="H89" s="401"/>
      <c r="I89" s="55">
        <f>I74+I77+I81+I84+I85</f>
        <v>2126732</v>
      </c>
      <c r="J89" s="22"/>
      <c r="K89" s="22"/>
      <c r="L89" s="22"/>
      <c r="M89" s="20"/>
    </row>
    <row r="90" spans="1:13" ht="26.25" x14ac:dyDescent="0.25">
      <c r="A90" s="16"/>
      <c r="B90" s="31" t="s">
        <v>428</v>
      </c>
      <c r="C90" s="21" t="s">
        <v>429</v>
      </c>
      <c r="D90" s="22" t="s">
        <v>89</v>
      </c>
      <c r="E90" s="22" t="s">
        <v>29</v>
      </c>
      <c r="F90" s="22" t="s">
        <v>90</v>
      </c>
      <c r="G90" s="22" t="s">
        <v>13</v>
      </c>
      <c r="H90" s="23">
        <v>212800</v>
      </c>
      <c r="I90" s="32"/>
      <c r="J90" s="22" t="s">
        <v>113</v>
      </c>
      <c r="K90" s="22" t="s">
        <v>91</v>
      </c>
      <c r="L90" s="22" t="s">
        <v>16</v>
      </c>
      <c r="M90" s="20"/>
    </row>
    <row r="91" spans="1:13" x14ac:dyDescent="0.25">
      <c r="A91" s="16"/>
      <c r="B91" s="31" t="s">
        <v>428</v>
      </c>
      <c r="C91" s="21" t="s">
        <v>429</v>
      </c>
      <c r="D91" s="22" t="s">
        <v>89</v>
      </c>
      <c r="E91" s="22" t="s">
        <v>29</v>
      </c>
      <c r="F91" s="22" t="s">
        <v>90</v>
      </c>
      <c r="G91" s="22" t="s">
        <v>21</v>
      </c>
      <c r="H91" s="23">
        <v>63840</v>
      </c>
      <c r="I91" s="32"/>
      <c r="J91" s="22" t="s">
        <v>135</v>
      </c>
      <c r="K91" s="22" t="s">
        <v>91</v>
      </c>
      <c r="L91" s="22" t="s">
        <v>23</v>
      </c>
      <c r="M91" s="20"/>
    </row>
    <row r="92" spans="1:13" x14ac:dyDescent="0.25">
      <c r="A92" s="16"/>
      <c r="B92" s="31" t="s">
        <v>428</v>
      </c>
      <c r="C92" s="21" t="s">
        <v>429</v>
      </c>
      <c r="D92" s="22" t="s">
        <v>89</v>
      </c>
      <c r="E92" s="22" t="s">
        <v>29</v>
      </c>
      <c r="F92" s="22" t="s">
        <v>90</v>
      </c>
      <c r="G92" s="22" t="s">
        <v>30</v>
      </c>
      <c r="H92" s="23">
        <v>212800</v>
      </c>
      <c r="I92" s="32"/>
      <c r="J92" s="22" t="s">
        <v>146</v>
      </c>
      <c r="K92" s="22" t="s">
        <v>91</v>
      </c>
      <c r="L92" s="22" t="s">
        <v>32</v>
      </c>
      <c r="M92" s="20"/>
    </row>
    <row r="93" spans="1:13" ht="15" customHeight="1" x14ac:dyDescent="0.25">
      <c r="A93" s="16"/>
      <c r="B93" s="31" t="s">
        <v>430</v>
      </c>
      <c r="C93" s="21" t="s">
        <v>422</v>
      </c>
      <c r="D93" s="22" t="s">
        <v>94</v>
      </c>
      <c r="E93" s="22" t="s">
        <v>29</v>
      </c>
      <c r="F93" s="22" t="s">
        <v>95</v>
      </c>
      <c r="G93" s="22" t="s">
        <v>96</v>
      </c>
      <c r="H93" s="23">
        <v>1262837</v>
      </c>
      <c r="I93" s="32"/>
      <c r="J93" s="22" t="s">
        <v>97</v>
      </c>
      <c r="K93" s="22" t="s">
        <v>91</v>
      </c>
      <c r="L93" s="36"/>
      <c r="M93" s="20"/>
    </row>
    <row r="94" spans="1:13" ht="15" customHeight="1" x14ac:dyDescent="0.25">
      <c r="A94" s="16"/>
      <c r="B94" s="31" t="s">
        <v>430</v>
      </c>
      <c r="C94" s="21" t="s">
        <v>422</v>
      </c>
      <c r="D94" s="22" t="s">
        <v>94</v>
      </c>
      <c r="E94" s="22" t="s">
        <v>29</v>
      </c>
      <c r="F94" s="22" t="s">
        <v>95</v>
      </c>
      <c r="G94" s="22" t="s">
        <v>96</v>
      </c>
      <c r="H94" s="23">
        <v>3156742</v>
      </c>
      <c r="I94" s="32"/>
      <c r="J94" s="22" t="s">
        <v>98</v>
      </c>
      <c r="K94" s="22" t="s">
        <v>91</v>
      </c>
      <c r="L94" s="36"/>
      <c r="M94" s="20"/>
    </row>
    <row r="95" spans="1:13" ht="15" customHeight="1" x14ac:dyDescent="0.25">
      <c r="A95" s="16"/>
      <c r="B95" s="31" t="s">
        <v>430</v>
      </c>
      <c r="C95" s="21" t="s">
        <v>422</v>
      </c>
      <c r="D95" s="22" t="s">
        <v>94</v>
      </c>
      <c r="E95" s="22" t="s">
        <v>29</v>
      </c>
      <c r="F95" s="22" t="s">
        <v>95</v>
      </c>
      <c r="G95" s="22" t="s">
        <v>13</v>
      </c>
      <c r="H95" s="23">
        <v>405216</v>
      </c>
      <c r="I95" s="32"/>
      <c r="J95" s="22" t="s">
        <v>112</v>
      </c>
      <c r="K95" s="22" t="s">
        <v>91</v>
      </c>
      <c r="L95" s="22" t="s">
        <v>16</v>
      </c>
      <c r="M95" s="20"/>
    </row>
    <row r="96" spans="1:13" ht="15" customHeight="1" x14ac:dyDescent="0.25">
      <c r="A96" s="16"/>
      <c r="B96" s="31" t="s">
        <v>430</v>
      </c>
      <c r="C96" s="21" t="s">
        <v>422</v>
      </c>
      <c r="D96" s="22" t="s">
        <v>94</v>
      </c>
      <c r="E96" s="22" t="s">
        <v>29</v>
      </c>
      <c r="F96" s="22" t="s">
        <v>95</v>
      </c>
      <c r="G96" s="22" t="s">
        <v>18</v>
      </c>
      <c r="H96" s="23">
        <v>2751526</v>
      </c>
      <c r="I96" s="32"/>
      <c r="J96" s="22" t="s">
        <v>126</v>
      </c>
      <c r="K96" s="22" t="s">
        <v>91</v>
      </c>
      <c r="L96" s="22" t="s">
        <v>20</v>
      </c>
      <c r="M96" s="20"/>
    </row>
    <row r="97" spans="1:13" ht="15" customHeight="1" x14ac:dyDescent="0.25">
      <c r="A97" s="16"/>
      <c r="B97" s="31" t="s">
        <v>430</v>
      </c>
      <c r="C97" s="21" t="s">
        <v>422</v>
      </c>
      <c r="D97" s="22" t="s">
        <v>94</v>
      </c>
      <c r="E97" s="22" t="s">
        <v>29</v>
      </c>
      <c r="F97" s="22" t="s">
        <v>95</v>
      </c>
      <c r="G97" s="22" t="s">
        <v>21</v>
      </c>
      <c r="H97" s="23">
        <v>384537</v>
      </c>
      <c r="I97" s="32"/>
      <c r="J97" s="22" t="s">
        <v>134</v>
      </c>
      <c r="K97" s="22" t="s">
        <v>91</v>
      </c>
      <c r="L97" s="22" t="s">
        <v>23</v>
      </c>
      <c r="M97" s="20"/>
    </row>
    <row r="98" spans="1:13" ht="15" customHeight="1" x14ac:dyDescent="0.25">
      <c r="A98" s="16"/>
      <c r="B98" s="31" t="s">
        <v>430</v>
      </c>
      <c r="C98" s="21" t="s">
        <v>422</v>
      </c>
      <c r="D98" s="22" t="s">
        <v>94</v>
      </c>
      <c r="E98" s="22" t="s">
        <v>29</v>
      </c>
      <c r="F98" s="22" t="s">
        <v>95</v>
      </c>
      <c r="G98" s="22" t="s">
        <v>30</v>
      </c>
      <c r="H98" s="23">
        <v>878300</v>
      </c>
      <c r="I98" s="32"/>
      <c r="J98" s="22" t="s">
        <v>145</v>
      </c>
      <c r="K98" s="22" t="s">
        <v>91</v>
      </c>
      <c r="L98" s="22" t="s">
        <v>32</v>
      </c>
      <c r="M98" s="20"/>
    </row>
    <row r="99" spans="1:13" ht="15" hidden="1" customHeight="1" x14ac:dyDescent="0.25">
      <c r="A99" s="16"/>
      <c r="B99" s="37"/>
      <c r="C99" s="38"/>
      <c r="D99" s="35" t="s">
        <v>94</v>
      </c>
      <c r="E99" s="35" t="s">
        <v>100</v>
      </c>
      <c r="F99" s="35" t="s">
        <v>95</v>
      </c>
      <c r="G99" s="35" t="s">
        <v>96</v>
      </c>
      <c r="H99" s="39">
        <v>4806106</v>
      </c>
      <c r="I99" s="40"/>
      <c r="J99" s="35" t="s">
        <v>99</v>
      </c>
      <c r="K99" s="35" t="s">
        <v>91</v>
      </c>
      <c r="L99" s="41"/>
      <c r="M99" s="20"/>
    </row>
    <row r="100" spans="1:13" ht="15" hidden="1" customHeight="1" x14ac:dyDescent="0.25">
      <c r="A100" s="16"/>
      <c r="B100" s="37"/>
      <c r="C100" s="38"/>
      <c r="D100" s="35" t="s">
        <v>94</v>
      </c>
      <c r="E100" s="35" t="s">
        <v>100</v>
      </c>
      <c r="F100" s="35" t="s">
        <v>95</v>
      </c>
      <c r="G100" s="35" t="s">
        <v>13</v>
      </c>
      <c r="H100" s="39">
        <v>417372</v>
      </c>
      <c r="I100" s="40"/>
      <c r="J100" s="35" t="s">
        <v>114</v>
      </c>
      <c r="K100" s="35" t="s">
        <v>91</v>
      </c>
      <c r="L100" s="35" t="s">
        <v>16</v>
      </c>
      <c r="M100" s="20"/>
    </row>
    <row r="101" spans="1:13" ht="15" hidden="1" customHeight="1" x14ac:dyDescent="0.25">
      <c r="A101" s="16"/>
      <c r="B101" s="37"/>
      <c r="C101" s="38"/>
      <c r="D101" s="35" t="s">
        <v>94</v>
      </c>
      <c r="E101" s="35" t="s">
        <v>100</v>
      </c>
      <c r="F101" s="35" t="s">
        <v>95</v>
      </c>
      <c r="G101" s="35" t="s">
        <v>18</v>
      </c>
      <c r="H101" s="39">
        <v>2834071</v>
      </c>
      <c r="I101" s="40"/>
      <c r="J101" s="35" t="s">
        <v>127</v>
      </c>
      <c r="K101" s="35" t="s">
        <v>91</v>
      </c>
      <c r="L101" s="35" t="s">
        <v>20</v>
      </c>
      <c r="M101" s="20"/>
    </row>
    <row r="102" spans="1:13" ht="15" hidden="1" customHeight="1" x14ac:dyDescent="0.25">
      <c r="A102" s="16"/>
      <c r="B102" s="37"/>
      <c r="C102" s="38"/>
      <c r="D102" s="35" t="s">
        <v>94</v>
      </c>
      <c r="E102" s="35" t="s">
        <v>100</v>
      </c>
      <c r="F102" s="35" t="s">
        <v>95</v>
      </c>
      <c r="G102" s="35" t="s">
        <v>21</v>
      </c>
      <c r="H102" s="39">
        <v>650013</v>
      </c>
      <c r="I102" s="40"/>
      <c r="J102" s="35" t="s">
        <v>136</v>
      </c>
      <c r="K102" s="35" t="s">
        <v>91</v>
      </c>
      <c r="L102" s="35" t="s">
        <v>23</v>
      </c>
      <c r="M102" s="20"/>
    </row>
    <row r="103" spans="1:13" ht="15" hidden="1" customHeight="1" x14ac:dyDescent="0.25">
      <c r="A103" s="16"/>
      <c r="B103" s="37"/>
      <c r="C103" s="38"/>
      <c r="D103" s="35" t="s">
        <v>94</v>
      </c>
      <c r="E103" s="35" t="s">
        <v>100</v>
      </c>
      <c r="F103" s="35" t="s">
        <v>95</v>
      </c>
      <c r="G103" s="35" t="s">
        <v>30</v>
      </c>
      <c r="H103" s="39">
        <v>904649</v>
      </c>
      <c r="I103" s="40"/>
      <c r="J103" s="35" t="s">
        <v>147</v>
      </c>
      <c r="K103" s="35" t="s">
        <v>91</v>
      </c>
      <c r="L103" s="35" t="s">
        <v>32</v>
      </c>
      <c r="M103" s="20"/>
    </row>
    <row r="104" spans="1:13" ht="15" customHeight="1" x14ac:dyDescent="0.25">
      <c r="A104" s="17"/>
      <c r="B104" s="37"/>
      <c r="C104" s="38"/>
      <c r="D104" s="35"/>
      <c r="E104" s="35"/>
      <c r="F104" s="35"/>
      <c r="G104" s="401" t="s">
        <v>470</v>
      </c>
      <c r="H104" s="401"/>
      <c r="I104" s="55">
        <f>H91+H93+H94+H97</f>
        <v>4867956</v>
      </c>
      <c r="J104" s="35"/>
      <c r="K104" s="35"/>
      <c r="L104" s="35"/>
      <c r="M104" s="31"/>
    </row>
    <row r="105" spans="1:13" x14ac:dyDescent="0.25">
      <c r="G105" s="401" t="s">
        <v>471</v>
      </c>
      <c r="H105" s="401"/>
      <c r="I105" s="55">
        <f>H92+H98</f>
        <v>1091100</v>
      </c>
    </row>
    <row r="106" spans="1:13" x14ac:dyDescent="0.25">
      <c r="A106" s="80" t="s">
        <v>406</v>
      </c>
      <c r="B106" s="81" t="s">
        <v>431</v>
      </c>
      <c r="C106" s="82" t="s">
        <v>422</v>
      </c>
      <c r="D106" s="83" t="s">
        <v>148</v>
      </c>
      <c r="E106" s="83" t="s">
        <v>29</v>
      </c>
      <c r="F106" s="87"/>
      <c r="G106" s="83" t="s">
        <v>40</v>
      </c>
      <c r="H106" s="84">
        <v>599525</v>
      </c>
      <c r="I106" s="85"/>
      <c r="J106" s="83" t="s">
        <v>149</v>
      </c>
      <c r="K106" s="83" t="s">
        <v>150</v>
      </c>
      <c r="L106" s="83" t="s">
        <v>43</v>
      </c>
      <c r="M106" s="86"/>
    </row>
    <row r="107" spans="1:13" x14ac:dyDescent="0.25">
      <c r="A107" s="73"/>
      <c r="B107" s="74"/>
      <c r="C107" s="75"/>
      <c r="D107" s="76"/>
      <c r="E107" s="76"/>
      <c r="F107" s="254"/>
      <c r="G107" s="76"/>
      <c r="H107" s="77"/>
      <c r="I107" s="79"/>
      <c r="J107" s="76"/>
      <c r="K107" s="76"/>
      <c r="L107" s="76"/>
      <c r="M107" s="78"/>
    </row>
    <row r="108" spans="1:13" x14ac:dyDescent="0.25">
      <c r="A108" s="14" t="s">
        <v>407</v>
      </c>
      <c r="B108" s="27" t="s">
        <v>493</v>
      </c>
      <c r="C108" s="28" t="s">
        <v>432</v>
      </c>
      <c r="D108" s="29" t="s">
        <v>167</v>
      </c>
      <c r="E108" s="29" t="s">
        <v>24</v>
      </c>
      <c r="F108" s="29" t="s">
        <v>168</v>
      </c>
      <c r="G108" s="29" t="s">
        <v>165</v>
      </c>
      <c r="H108" s="30">
        <v>10000000</v>
      </c>
      <c r="I108" s="30">
        <v>7858197</v>
      </c>
      <c r="J108" s="29" t="s">
        <v>169</v>
      </c>
      <c r="K108" s="29" t="s">
        <v>154</v>
      </c>
      <c r="L108" s="29" t="s">
        <v>32</v>
      </c>
      <c r="M108" s="15"/>
    </row>
    <row r="109" spans="1:13" x14ac:dyDescent="0.25">
      <c r="A109" s="16"/>
      <c r="B109" s="31" t="s">
        <v>433</v>
      </c>
      <c r="C109" s="21">
        <v>2014</v>
      </c>
      <c r="D109" s="22" t="s">
        <v>155</v>
      </c>
      <c r="E109" s="22" t="s">
        <v>24</v>
      </c>
      <c r="F109" s="22" t="s">
        <v>156</v>
      </c>
      <c r="G109" s="22" t="s">
        <v>21</v>
      </c>
      <c r="H109" s="23">
        <v>3600000</v>
      </c>
      <c r="I109" s="23">
        <v>0</v>
      </c>
      <c r="J109" s="22" t="s">
        <v>157</v>
      </c>
      <c r="K109" s="22" t="s">
        <v>154</v>
      </c>
      <c r="L109" s="22" t="s">
        <v>23</v>
      </c>
      <c r="M109" s="20"/>
    </row>
    <row r="110" spans="1:13" x14ac:dyDescent="0.25">
      <c r="A110" s="16"/>
      <c r="B110" s="31" t="s">
        <v>433</v>
      </c>
      <c r="C110" s="21">
        <v>2014</v>
      </c>
      <c r="D110" s="22" t="s">
        <v>155</v>
      </c>
      <c r="E110" s="22" t="s">
        <v>24</v>
      </c>
      <c r="F110" s="22" t="s">
        <v>156</v>
      </c>
      <c r="G110" s="22" t="s">
        <v>165</v>
      </c>
      <c r="H110" s="23">
        <v>3600000</v>
      </c>
      <c r="I110" s="23">
        <v>0</v>
      </c>
      <c r="J110" s="22" t="s">
        <v>166</v>
      </c>
      <c r="K110" s="22" t="s">
        <v>154</v>
      </c>
      <c r="L110" s="22" t="s">
        <v>32</v>
      </c>
      <c r="M110" s="20"/>
    </row>
    <row r="111" spans="1:13" x14ac:dyDescent="0.25">
      <c r="A111" s="16"/>
      <c r="B111" s="31"/>
      <c r="C111" s="21"/>
      <c r="D111" s="22"/>
      <c r="E111" s="22"/>
      <c r="F111" s="22"/>
      <c r="G111" s="401" t="s">
        <v>472</v>
      </c>
      <c r="H111" s="401"/>
      <c r="I111" s="55">
        <f>I110</f>
        <v>0</v>
      </c>
      <c r="J111" s="22"/>
      <c r="K111" s="22"/>
      <c r="L111" s="22"/>
      <c r="M111" s="20"/>
    </row>
    <row r="112" spans="1:13" x14ac:dyDescent="0.25">
      <c r="A112" s="16"/>
      <c r="B112" s="31"/>
      <c r="C112" s="21"/>
      <c r="D112" s="22"/>
      <c r="E112" s="22"/>
      <c r="F112" s="22"/>
      <c r="G112" s="401" t="s">
        <v>473</v>
      </c>
      <c r="H112" s="401"/>
      <c r="I112" s="55">
        <f>I108</f>
        <v>7858197</v>
      </c>
      <c r="J112" s="22"/>
      <c r="K112" s="22"/>
      <c r="L112" s="22"/>
      <c r="M112" s="20"/>
    </row>
    <row r="113" spans="1:13" x14ac:dyDescent="0.25">
      <c r="A113" s="16"/>
      <c r="B113" s="31" t="s">
        <v>433</v>
      </c>
      <c r="C113" s="21">
        <v>2015</v>
      </c>
      <c r="D113" s="22" t="s">
        <v>155</v>
      </c>
      <c r="E113" s="22" t="s">
        <v>26</v>
      </c>
      <c r="F113" s="22" t="s">
        <v>156</v>
      </c>
      <c r="G113" s="22" t="s">
        <v>21</v>
      </c>
      <c r="H113" s="23">
        <v>2501673</v>
      </c>
      <c r="I113" s="23">
        <v>0</v>
      </c>
      <c r="J113" s="22" t="s">
        <v>158</v>
      </c>
      <c r="K113" s="22" t="s">
        <v>154</v>
      </c>
      <c r="L113" s="22" t="s">
        <v>23</v>
      </c>
      <c r="M113" s="20"/>
    </row>
    <row r="114" spans="1:13" x14ac:dyDescent="0.25">
      <c r="A114" s="16"/>
      <c r="B114" s="31" t="s">
        <v>433</v>
      </c>
      <c r="C114" s="21">
        <v>2015</v>
      </c>
      <c r="D114" s="22" t="s">
        <v>155</v>
      </c>
      <c r="E114" s="22" t="s">
        <v>26</v>
      </c>
      <c r="F114" s="22" t="s">
        <v>156</v>
      </c>
      <c r="G114" s="22" t="s">
        <v>21</v>
      </c>
      <c r="H114" s="23">
        <v>4000000</v>
      </c>
      <c r="I114" s="23">
        <v>5180115</v>
      </c>
      <c r="J114" s="22" t="s">
        <v>159</v>
      </c>
      <c r="K114" s="22" t="s">
        <v>154</v>
      </c>
      <c r="L114" s="22" t="s">
        <v>23</v>
      </c>
      <c r="M114" s="20"/>
    </row>
    <row r="115" spans="1:13" x14ac:dyDescent="0.25">
      <c r="A115" s="16"/>
      <c r="B115" s="31" t="s">
        <v>433</v>
      </c>
      <c r="C115" s="21">
        <v>2015</v>
      </c>
      <c r="D115" s="22" t="s">
        <v>155</v>
      </c>
      <c r="E115" s="22" t="s">
        <v>26</v>
      </c>
      <c r="F115" s="22" t="s">
        <v>156</v>
      </c>
      <c r="G115" s="22" t="s">
        <v>165</v>
      </c>
      <c r="H115" s="23">
        <v>3400000</v>
      </c>
      <c r="I115" s="23">
        <v>2501673</v>
      </c>
      <c r="J115" s="22" t="s">
        <v>170</v>
      </c>
      <c r="K115" s="22" t="s">
        <v>154</v>
      </c>
      <c r="L115" s="22" t="s">
        <v>32</v>
      </c>
      <c r="M115" s="20"/>
    </row>
    <row r="116" spans="1:13" x14ac:dyDescent="0.25">
      <c r="A116" s="16"/>
      <c r="B116" s="31" t="s">
        <v>433</v>
      </c>
      <c r="C116" s="21">
        <v>2015</v>
      </c>
      <c r="D116" s="22" t="s">
        <v>155</v>
      </c>
      <c r="E116" s="22" t="s">
        <v>26</v>
      </c>
      <c r="F116" s="22" t="s">
        <v>156</v>
      </c>
      <c r="G116" s="22" t="s">
        <v>165</v>
      </c>
      <c r="H116" s="23">
        <v>7000000</v>
      </c>
      <c r="I116" s="23">
        <v>5928456</v>
      </c>
      <c r="J116" s="22" t="s">
        <v>171</v>
      </c>
      <c r="K116" s="22" t="s">
        <v>154</v>
      </c>
      <c r="L116" s="22" t="s">
        <v>32</v>
      </c>
      <c r="M116" s="48"/>
    </row>
    <row r="117" spans="1:13" x14ac:dyDescent="0.25">
      <c r="A117" s="16"/>
      <c r="B117" s="31" t="s">
        <v>493</v>
      </c>
      <c r="C117" s="21">
        <v>2015</v>
      </c>
      <c r="D117" s="22" t="s">
        <v>160</v>
      </c>
      <c r="E117" s="22" t="s">
        <v>26</v>
      </c>
      <c r="F117" s="22" t="s">
        <v>161</v>
      </c>
      <c r="G117" s="22" t="s">
        <v>21</v>
      </c>
      <c r="H117" s="23">
        <v>2500000</v>
      </c>
      <c r="I117" s="23">
        <v>2410597</v>
      </c>
      <c r="J117" s="22" t="s">
        <v>162</v>
      </c>
      <c r="K117" s="22" t="s">
        <v>154</v>
      </c>
      <c r="L117" s="22" t="s">
        <v>23</v>
      </c>
      <c r="M117" s="20"/>
    </row>
    <row r="118" spans="1:13" x14ac:dyDescent="0.25">
      <c r="A118" s="16"/>
      <c r="B118" s="31" t="s">
        <v>493</v>
      </c>
      <c r="C118" s="21">
        <v>2015</v>
      </c>
      <c r="D118" s="22" t="s">
        <v>160</v>
      </c>
      <c r="E118" s="22" t="s">
        <v>26</v>
      </c>
      <c r="F118" s="22" t="s">
        <v>161</v>
      </c>
      <c r="G118" s="22" t="s">
        <v>165</v>
      </c>
      <c r="H118" s="23">
        <v>6300000</v>
      </c>
      <c r="I118" s="23">
        <v>5335611</v>
      </c>
      <c r="J118" s="22" t="s">
        <v>172</v>
      </c>
      <c r="K118" s="22" t="s">
        <v>154</v>
      </c>
      <c r="L118" s="22" t="s">
        <v>32</v>
      </c>
      <c r="M118" s="20"/>
    </row>
    <row r="119" spans="1:13" x14ac:dyDescent="0.25">
      <c r="A119" s="16"/>
      <c r="B119" s="31"/>
      <c r="C119" s="21"/>
      <c r="D119" s="22"/>
      <c r="E119" s="22"/>
      <c r="F119" s="22"/>
      <c r="G119" s="401" t="s">
        <v>466</v>
      </c>
      <c r="H119" s="401"/>
      <c r="I119" s="55">
        <f>I113+I114+I117</f>
        <v>7590712</v>
      </c>
      <c r="J119" s="22"/>
      <c r="K119" s="22"/>
      <c r="L119" s="22"/>
      <c r="M119" s="20"/>
    </row>
    <row r="120" spans="1:13" x14ac:dyDescent="0.25">
      <c r="A120" s="16"/>
      <c r="B120" s="31"/>
      <c r="C120" s="21"/>
      <c r="D120" s="22"/>
      <c r="E120" s="22"/>
      <c r="F120" s="22"/>
      <c r="G120" s="401" t="s">
        <v>467</v>
      </c>
      <c r="H120" s="401"/>
      <c r="I120" s="55">
        <f>I115+I116+I118</f>
        <v>13765740</v>
      </c>
      <c r="J120" s="22"/>
      <c r="K120" s="22"/>
      <c r="L120" s="22"/>
      <c r="M120" s="20"/>
    </row>
    <row r="121" spans="1:13" x14ac:dyDescent="0.25">
      <c r="A121" s="16"/>
      <c r="B121" s="31"/>
      <c r="C121" s="21"/>
      <c r="D121" s="22"/>
      <c r="E121" s="22"/>
      <c r="F121" s="22"/>
      <c r="G121" s="22"/>
      <c r="H121" s="23"/>
      <c r="I121" s="23"/>
      <c r="J121" s="22"/>
      <c r="K121" s="22"/>
      <c r="L121" s="22"/>
      <c r="M121" s="48"/>
    </row>
    <row r="122" spans="1:13" x14ac:dyDescent="0.25">
      <c r="A122" s="16"/>
      <c r="B122" s="31" t="s">
        <v>433</v>
      </c>
      <c r="C122" s="21" t="s">
        <v>440</v>
      </c>
      <c r="D122" s="22" t="s">
        <v>155</v>
      </c>
      <c r="E122" s="22" t="s">
        <v>17</v>
      </c>
      <c r="F122" s="22" t="s">
        <v>156</v>
      </c>
      <c r="G122" s="22" t="s">
        <v>21</v>
      </c>
      <c r="H122" s="23">
        <v>2572621</v>
      </c>
      <c r="I122" s="23">
        <v>1484936</v>
      </c>
      <c r="J122" s="22" t="s">
        <v>163</v>
      </c>
      <c r="K122" s="22" t="s">
        <v>154</v>
      </c>
      <c r="L122" s="22" t="s">
        <v>23</v>
      </c>
      <c r="M122" s="406" t="s">
        <v>788</v>
      </c>
    </row>
    <row r="123" spans="1:13" x14ac:dyDescent="0.25">
      <c r="A123" s="16"/>
      <c r="B123" s="31" t="s">
        <v>433</v>
      </c>
      <c r="C123" s="21" t="s">
        <v>440</v>
      </c>
      <c r="D123" s="22" t="s">
        <v>155</v>
      </c>
      <c r="E123" s="22" t="s">
        <v>17</v>
      </c>
      <c r="F123" s="22" t="s">
        <v>156</v>
      </c>
      <c r="G123" s="22" t="s">
        <v>165</v>
      </c>
      <c r="H123" s="23">
        <v>10000000</v>
      </c>
      <c r="I123" s="23">
        <v>4856497</v>
      </c>
      <c r="J123" s="22" t="s">
        <v>173</v>
      </c>
      <c r="K123" s="22" t="s">
        <v>154</v>
      </c>
      <c r="L123" s="22" t="s">
        <v>32</v>
      </c>
      <c r="M123" s="406"/>
    </row>
    <row r="124" spans="1:13" x14ac:dyDescent="0.25">
      <c r="A124" s="16"/>
      <c r="B124" s="31" t="s">
        <v>493</v>
      </c>
      <c r="C124" s="21" t="s">
        <v>440</v>
      </c>
      <c r="D124" s="22" t="s">
        <v>160</v>
      </c>
      <c r="E124" s="22" t="s">
        <v>17</v>
      </c>
      <c r="F124" s="22" t="s">
        <v>161</v>
      </c>
      <c r="G124" s="22" t="s">
        <v>21</v>
      </c>
      <c r="H124" s="23">
        <v>2572622</v>
      </c>
      <c r="I124" s="23">
        <v>1484936</v>
      </c>
      <c r="J124" s="22" t="s">
        <v>164</v>
      </c>
      <c r="K124" s="22" t="s">
        <v>154</v>
      </c>
      <c r="L124" s="22" t="s">
        <v>23</v>
      </c>
      <c r="M124" s="406"/>
    </row>
    <row r="125" spans="1:13" x14ac:dyDescent="0.25">
      <c r="A125" s="16"/>
      <c r="B125" s="31" t="s">
        <v>493</v>
      </c>
      <c r="C125" s="21" t="s">
        <v>440</v>
      </c>
      <c r="D125" s="22" t="s">
        <v>160</v>
      </c>
      <c r="E125" s="22" t="s">
        <v>17</v>
      </c>
      <c r="F125" s="22" t="s">
        <v>161</v>
      </c>
      <c r="G125" s="22" t="s">
        <v>165</v>
      </c>
      <c r="H125" s="23">
        <v>3018643</v>
      </c>
      <c r="I125" s="23">
        <v>4449086</v>
      </c>
      <c r="J125" s="22" t="s">
        <v>174</v>
      </c>
      <c r="K125" s="22" t="s">
        <v>154</v>
      </c>
      <c r="L125" s="22" t="s">
        <v>32</v>
      </c>
      <c r="M125" s="406"/>
    </row>
    <row r="126" spans="1:13" x14ac:dyDescent="0.25">
      <c r="A126" s="16"/>
      <c r="B126" s="31" t="s">
        <v>493</v>
      </c>
      <c r="C126" s="21" t="s">
        <v>440</v>
      </c>
      <c r="D126" s="22" t="s">
        <v>160</v>
      </c>
      <c r="E126" s="22" t="s">
        <v>17</v>
      </c>
      <c r="F126" s="22" t="s">
        <v>161</v>
      </c>
      <c r="G126" s="22" t="s">
        <v>165</v>
      </c>
      <c r="H126" s="23">
        <v>5019894</v>
      </c>
      <c r="I126" s="23">
        <v>407411</v>
      </c>
      <c r="J126" s="22" t="s">
        <v>175</v>
      </c>
      <c r="K126" s="22" t="s">
        <v>154</v>
      </c>
      <c r="L126" s="22" t="s">
        <v>32</v>
      </c>
      <c r="M126" s="406"/>
    </row>
    <row r="127" spans="1:13" ht="15" customHeight="1" x14ac:dyDescent="0.25">
      <c r="A127" s="16"/>
      <c r="B127" s="31"/>
      <c r="C127" s="21"/>
      <c r="D127" s="22"/>
      <c r="E127" s="22"/>
      <c r="F127" s="22"/>
      <c r="G127" s="401" t="s">
        <v>474</v>
      </c>
      <c r="H127" s="401"/>
      <c r="I127" s="55">
        <v>4296419</v>
      </c>
      <c r="J127" s="22"/>
      <c r="K127" s="22"/>
      <c r="L127" s="49"/>
      <c r="M127" s="406"/>
    </row>
    <row r="128" spans="1:13" x14ac:dyDescent="0.25">
      <c r="A128" s="16"/>
      <c r="B128" s="31"/>
      <c r="C128" s="21"/>
      <c r="D128" s="22"/>
      <c r="E128" s="22"/>
      <c r="F128" s="22"/>
      <c r="G128" s="401" t="s">
        <v>475</v>
      </c>
      <c r="H128" s="401"/>
      <c r="I128" s="55">
        <v>13078439</v>
      </c>
      <c r="J128" s="22"/>
      <c r="K128" s="22"/>
      <c r="L128" s="49"/>
      <c r="M128" s="406"/>
    </row>
    <row r="129" spans="1:13" x14ac:dyDescent="0.25">
      <c r="A129" s="16"/>
      <c r="B129" s="31" t="s">
        <v>434</v>
      </c>
      <c r="C129" s="21">
        <v>2016</v>
      </c>
      <c r="D129" s="22" t="s">
        <v>176</v>
      </c>
      <c r="E129" s="22" t="s">
        <v>17</v>
      </c>
      <c r="F129" s="22" t="s">
        <v>177</v>
      </c>
      <c r="G129" s="22" t="s">
        <v>40</v>
      </c>
      <c r="H129" s="23">
        <v>142084</v>
      </c>
      <c r="I129" s="23">
        <v>130949</v>
      </c>
      <c r="J129" s="22" t="s">
        <v>178</v>
      </c>
      <c r="K129" s="22" t="s">
        <v>154</v>
      </c>
      <c r="L129" s="22" t="s">
        <v>43</v>
      </c>
      <c r="M129" s="20"/>
    </row>
    <row r="130" spans="1:13" x14ac:dyDescent="0.25">
      <c r="A130" s="7"/>
      <c r="B130" s="8" t="s">
        <v>435</v>
      </c>
      <c r="C130" s="9">
        <v>2016</v>
      </c>
      <c r="D130" s="10" t="s">
        <v>151</v>
      </c>
      <c r="E130" s="10" t="s">
        <v>17</v>
      </c>
      <c r="F130" s="10" t="s">
        <v>152</v>
      </c>
      <c r="G130" s="10" t="s">
        <v>18</v>
      </c>
      <c r="H130" s="11">
        <v>1107909</v>
      </c>
      <c r="I130" s="11">
        <v>1268077</v>
      </c>
      <c r="J130" s="10" t="s">
        <v>153</v>
      </c>
      <c r="K130" s="10" t="s">
        <v>154</v>
      </c>
      <c r="L130" s="10" t="s">
        <v>20</v>
      </c>
      <c r="M130" s="13"/>
    </row>
    <row r="131" spans="1:13" x14ac:dyDescent="0.25">
      <c r="A131" s="16" t="s">
        <v>408</v>
      </c>
      <c r="B131" s="57" t="s">
        <v>459</v>
      </c>
      <c r="C131" s="58">
        <v>2014</v>
      </c>
      <c r="D131" s="22" t="s">
        <v>179</v>
      </c>
      <c r="E131" s="22" t="s">
        <v>24</v>
      </c>
      <c r="F131" s="22" t="s">
        <v>180</v>
      </c>
      <c r="G131" s="22" t="s">
        <v>30</v>
      </c>
      <c r="H131" s="23">
        <v>17000000</v>
      </c>
      <c r="I131" s="23">
        <v>17490519</v>
      </c>
      <c r="J131" s="22" t="s">
        <v>181</v>
      </c>
      <c r="K131" s="22" t="s">
        <v>182</v>
      </c>
      <c r="L131" s="22" t="s">
        <v>32</v>
      </c>
      <c r="M131" s="64"/>
    </row>
    <row r="132" spans="1:13" x14ac:dyDescent="0.25">
      <c r="A132" s="16"/>
      <c r="B132" s="17"/>
      <c r="C132" s="18"/>
      <c r="D132" s="19"/>
      <c r="E132" s="19"/>
      <c r="F132" s="19"/>
      <c r="G132" s="401" t="s">
        <v>473</v>
      </c>
      <c r="H132" s="401"/>
      <c r="I132" s="55">
        <f>I131</f>
        <v>17490519</v>
      </c>
      <c r="J132" s="19"/>
      <c r="K132" s="19"/>
      <c r="L132" s="19"/>
      <c r="M132" s="43"/>
    </row>
    <row r="133" spans="1:13" x14ac:dyDescent="0.25">
      <c r="A133" s="16"/>
      <c r="B133" s="57" t="s">
        <v>460</v>
      </c>
      <c r="C133" s="58">
        <v>2016</v>
      </c>
      <c r="D133" s="22" t="s">
        <v>183</v>
      </c>
      <c r="E133" s="22" t="s">
        <v>17</v>
      </c>
      <c r="F133" s="22" t="s">
        <v>184</v>
      </c>
      <c r="G133" s="22" t="s">
        <v>30</v>
      </c>
      <c r="H133" s="23">
        <v>12721191</v>
      </c>
      <c r="I133" s="23">
        <v>12607191</v>
      </c>
      <c r="J133" s="22" t="s">
        <v>185</v>
      </c>
      <c r="K133" s="22" t="s">
        <v>182</v>
      </c>
      <c r="L133" s="22" t="s">
        <v>32</v>
      </c>
      <c r="M133" s="405"/>
    </row>
    <row r="134" spans="1:13" x14ac:dyDescent="0.25">
      <c r="A134" s="16"/>
      <c r="B134" s="57" t="s">
        <v>460</v>
      </c>
      <c r="C134" s="58">
        <v>2016</v>
      </c>
      <c r="D134" s="22" t="s">
        <v>183</v>
      </c>
      <c r="E134" s="22" t="s">
        <v>17</v>
      </c>
      <c r="F134" s="22" t="s">
        <v>184</v>
      </c>
      <c r="G134" s="22" t="s">
        <v>30</v>
      </c>
      <c r="H134" s="23">
        <v>5589355</v>
      </c>
      <c r="I134" s="23">
        <v>4438127</v>
      </c>
      <c r="J134" s="22" t="s">
        <v>186</v>
      </c>
      <c r="K134" s="22" t="s">
        <v>182</v>
      </c>
      <c r="L134" s="22" t="s">
        <v>32</v>
      </c>
      <c r="M134" s="405"/>
    </row>
    <row r="135" spans="1:13" x14ac:dyDescent="0.25">
      <c r="A135" s="16"/>
      <c r="B135" s="57" t="s">
        <v>460</v>
      </c>
      <c r="C135" s="58">
        <v>2016</v>
      </c>
      <c r="D135" s="22" t="s">
        <v>183</v>
      </c>
      <c r="E135" s="22" t="s">
        <v>17</v>
      </c>
      <c r="F135" s="22" t="s">
        <v>184</v>
      </c>
      <c r="G135" s="22" t="s">
        <v>30</v>
      </c>
      <c r="H135" s="23">
        <v>1255630</v>
      </c>
      <c r="I135" s="23">
        <v>471618</v>
      </c>
      <c r="J135" s="22" t="s">
        <v>187</v>
      </c>
      <c r="K135" s="22" t="s">
        <v>182</v>
      </c>
      <c r="L135" s="22" t="s">
        <v>32</v>
      </c>
      <c r="M135" s="405"/>
    </row>
    <row r="136" spans="1:13" x14ac:dyDescent="0.25">
      <c r="A136" s="16"/>
      <c r="B136" s="17"/>
      <c r="C136" s="18"/>
      <c r="D136" s="19"/>
      <c r="E136" s="19"/>
      <c r="F136" s="19"/>
      <c r="G136" s="401" t="s">
        <v>469</v>
      </c>
      <c r="H136" s="401"/>
      <c r="I136" s="55">
        <f>I133+I134+I135</f>
        <v>17516936</v>
      </c>
      <c r="J136" s="19"/>
      <c r="K136" s="19"/>
      <c r="L136" s="19"/>
      <c r="M136" s="193"/>
    </row>
    <row r="137" spans="1:13" ht="15" customHeight="1" x14ac:dyDescent="0.25">
      <c r="A137" s="56"/>
      <c r="B137" s="57" t="s">
        <v>460</v>
      </c>
      <c r="C137" s="58" t="s">
        <v>422</v>
      </c>
      <c r="D137" s="22" t="s">
        <v>183</v>
      </c>
      <c r="E137" s="22" t="s">
        <v>29</v>
      </c>
      <c r="F137" s="22" t="s">
        <v>184</v>
      </c>
      <c r="G137" s="22" t="s">
        <v>30</v>
      </c>
      <c r="H137" s="23">
        <v>13100738</v>
      </c>
      <c r="I137" s="61"/>
      <c r="J137" s="22" t="s">
        <v>188</v>
      </c>
      <c r="K137" s="22" t="s">
        <v>182</v>
      </c>
      <c r="L137" s="22" t="s">
        <v>32</v>
      </c>
      <c r="M137" s="405"/>
    </row>
    <row r="138" spans="1:13" s="31" customFormat="1" x14ac:dyDescent="0.25">
      <c r="A138" s="56"/>
      <c r="B138" s="57" t="s">
        <v>460</v>
      </c>
      <c r="C138" s="58" t="s">
        <v>422</v>
      </c>
      <c r="D138" s="22" t="s">
        <v>183</v>
      </c>
      <c r="E138" s="22" t="s">
        <v>29</v>
      </c>
      <c r="F138" s="22" t="s">
        <v>184</v>
      </c>
      <c r="G138" s="22" t="s">
        <v>30</v>
      </c>
      <c r="H138" s="23">
        <v>3905552</v>
      </c>
      <c r="I138" s="61"/>
      <c r="J138" s="22" t="s">
        <v>189</v>
      </c>
      <c r="K138" s="22" t="s">
        <v>182</v>
      </c>
      <c r="L138" s="22" t="s">
        <v>32</v>
      </c>
      <c r="M138" s="405"/>
    </row>
    <row r="139" spans="1:13" s="31" customFormat="1" x14ac:dyDescent="0.25">
      <c r="A139" s="56"/>
      <c r="B139" s="57" t="s">
        <v>460</v>
      </c>
      <c r="C139" s="58" t="s">
        <v>422</v>
      </c>
      <c r="D139" s="22" t="s">
        <v>183</v>
      </c>
      <c r="E139" s="22" t="s">
        <v>29</v>
      </c>
      <c r="F139" s="22" t="s">
        <v>184</v>
      </c>
      <c r="G139" s="22" t="s">
        <v>30</v>
      </c>
      <c r="H139" s="23">
        <v>391144</v>
      </c>
      <c r="I139" s="61"/>
      <c r="J139" s="22" t="s">
        <v>190</v>
      </c>
      <c r="K139" s="22" t="s">
        <v>182</v>
      </c>
      <c r="L139" s="22" t="s">
        <v>32</v>
      </c>
      <c r="M139" s="405"/>
    </row>
    <row r="140" spans="1:13" x14ac:dyDescent="0.25">
      <c r="A140" s="7"/>
      <c r="B140" s="24"/>
      <c r="C140" s="25"/>
      <c r="D140" s="26"/>
      <c r="E140" s="26"/>
      <c r="F140" s="26"/>
      <c r="G140" s="402" t="s">
        <v>471</v>
      </c>
      <c r="H140" s="402"/>
      <c r="I140" s="70">
        <f>H137+H138+H139</f>
        <v>17397434</v>
      </c>
      <c r="J140" s="26"/>
      <c r="K140" s="26"/>
      <c r="L140" s="26"/>
      <c r="M140" s="71"/>
    </row>
    <row r="141" spans="1:13" x14ac:dyDescent="0.25">
      <c r="A141" s="16" t="s">
        <v>409</v>
      </c>
      <c r="B141" s="57" t="s">
        <v>461</v>
      </c>
      <c r="C141" s="58">
        <v>2013</v>
      </c>
      <c r="D141" s="22" t="s">
        <v>196</v>
      </c>
      <c r="E141" s="22" t="s">
        <v>33</v>
      </c>
      <c r="F141" s="22" t="s">
        <v>197</v>
      </c>
      <c r="G141" s="22" t="s">
        <v>21</v>
      </c>
      <c r="H141" s="61"/>
      <c r="I141" s="23">
        <v>97907</v>
      </c>
      <c r="J141" s="22" t="s">
        <v>198</v>
      </c>
      <c r="K141" s="22" t="s">
        <v>194</v>
      </c>
      <c r="L141" s="22" t="s">
        <v>23</v>
      </c>
      <c r="M141" s="20"/>
    </row>
    <row r="142" spans="1:13" x14ac:dyDescent="0.25">
      <c r="A142" s="16"/>
      <c r="B142" s="57" t="s">
        <v>461</v>
      </c>
      <c r="C142" s="58">
        <v>2013</v>
      </c>
      <c r="D142" s="22" t="s">
        <v>196</v>
      </c>
      <c r="E142" s="22" t="s">
        <v>33</v>
      </c>
      <c r="F142" s="22" t="s">
        <v>197</v>
      </c>
      <c r="G142" s="22" t="s">
        <v>30</v>
      </c>
      <c r="H142" s="61"/>
      <c r="I142" s="23">
        <v>123150</v>
      </c>
      <c r="J142" s="22" t="s">
        <v>201</v>
      </c>
      <c r="K142" s="22" t="s">
        <v>194</v>
      </c>
      <c r="L142" s="22" t="s">
        <v>32</v>
      </c>
      <c r="M142" s="20"/>
    </row>
    <row r="143" spans="1:13" x14ac:dyDescent="0.25">
      <c r="A143" s="16"/>
      <c r="B143" s="31"/>
      <c r="C143" s="18"/>
      <c r="D143" s="19"/>
      <c r="E143" s="19"/>
      <c r="F143" s="19"/>
      <c r="G143" s="401" t="s">
        <v>476</v>
      </c>
      <c r="H143" s="401"/>
      <c r="I143" s="55">
        <f>I141</f>
        <v>97907</v>
      </c>
      <c r="J143" s="19"/>
      <c r="K143" s="19"/>
      <c r="L143" s="19"/>
      <c r="M143" s="20"/>
    </row>
    <row r="144" spans="1:13" x14ac:dyDescent="0.25">
      <c r="A144" s="16"/>
      <c r="B144" s="31"/>
      <c r="C144" s="18"/>
      <c r="D144" s="19"/>
      <c r="E144" s="19"/>
      <c r="F144" s="19"/>
      <c r="G144" s="401" t="s">
        <v>477</v>
      </c>
      <c r="H144" s="401"/>
      <c r="I144" s="55">
        <f>I142</f>
        <v>123150</v>
      </c>
      <c r="J144" s="19"/>
      <c r="K144" s="19"/>
      <c r="L144" s="19"/>
      <c r="M144" s="20"/>
    </row>
    <row r="145" spans="1:13" x14ac:dyDescent="0.25">
      <c r="A145" s="56"/>
      <c r="B145" s="57" t="s">
        <v>461</v>
      </c>
      <c r="C145" s="58">
        <v>2014</v>
      </c>
      <c r="D145" s="22" t="s">
        <v>196</v>
      </c>
      <c r="E145" s="22" t="s">
        <v>24</v>
      </c>
      <c r="F145" s="22" t="s">
        <v>197</v>
      </c>
      <c r="G145" s="22" t="s">
        <v>21</v>
      </c>
      <c r="H145" s="23">
        <v>200000</v>
      </c>
      <c r="I145" s="23">
        <v>376398</v>
      </c>
      <c r="J145" s="22" t="s">
        <v>199</v>
      </c>
      <c r="K145" s="22" t="s">
        <v>194</v>
      </c>
      <c r="L145" s="22" t="s">
        <v>23</v>
      </c>
      <c r="M145" s="20"/>
    </row>
    <row r="146" spans="1:13" x14ac:dyDescent="0.25">
      <c r="A146" s="56"/>
      <c r="B146" s="57" t="s">
        <v>461</v>
      </c>
      <c r="C146" s="58">
        <v>2014</v>
      </c>
      <c r="D146" s="22" t="s">
        <v>196</v>
      </c>
      <c r="E146" s="22" t="s">
        <v>24</v>
      </c>
      <c r="F146" s="22" t="s">
        <v>197</v>
      </c>
      <c r="G146" s="22" t="s">
        <v>30</v>
      </c>
      <c r="H146" s="23">
        <v>200000</v>
      </c>
      <c r="I146" s="23">
        <v>474818</v>
      </c>
      <c r="J146" s="22" t="s">
        <v>202</v>
      </c>
      <c r="K146" s="22" t="s">
        <v>194</v>
      </c>
      <c r="L146" s="22" t="s">
        <v>32</v>
      </c>
      <c r="M146" s="20"/>
    </row>
    <row r="147" spans="1:13" x14ac:dyDescent="0.25">
      <c r="A147" s="16"/>
      <c r="B147" s="31"/>
      <c r="C147" s="18"/>
      <c r="D147" s="19"/>
      <c r="E147" s="19"/>
      <c r="F147" s="19"/>
      <c r="G147" s="401" t="s">
        <v>472</v>
      </c>
      <c r="H147" s="401"/>
      <c r="I147" s="55">
        <f>I145</f>
        <v>376398</v>
      </c>
      <c r="J147" s="19"/>
      <c r="K147" s="19"/>
      <c r="L147" s="19"/>
      <c r="M147" s="20"/>
    </row>
    <row r="148" spans="1:13" x14ac:dyDescent="0.25">
      <c r="A148" s="16"/>
      <c r="B148" s="31"/>
      <c r="C148" s="18"/>
      <c r="D148" s="19"/>
      <c r="E148" s="19"/>
      <c r="F148" s="19"/>
      <c r="G148" s="401" t="s">
        <v>473</v>
      </c>
      <c r="H148" s="401"/>
      <c r="I148" s="55">
        <f>I146</f>
        <v>474818</v>
      </c>
      <c r="J148" s="19"/>
      <c r="K148" s="19"/>
      <c r="L148" s="19"/>
      <c r="M148" s="20"/>
    </row>
    <row r="149" spans="1:13" x14ac:dyDescent="0.25">
      <c r="A149" s="56"/>
      <c r="B149" s="57" t="s">
        <v>461</v>
      </c>
      <c r="C149" s="58">
        <v>2016</v>
      </c>
      <c r="D149" s="22" t="s">
        <v>196</v>
      </c>
      <c r="E149" s="22" t="s">
        <v>17</v>
      </c>
      <c r="F149" s="22" t="s">
        <v>197</v>
      </c>
      <c r="G149" s="22" t="s">
        <v>21</v>
      </c>
      <c r="H149" s="23">
        <v>111160</v>
      </c>
      <c r="I149" s="23">
        <v>128962</v>
      </c>
      <c r="J149" s="22" t="s">
        <v>200</v>
      </c>
      <c r="K149" s="22" t="s">
        <v>194</v>
      </c>
      <c r="L149" s="22" t="s">
        <v>23</v>
      </c>
      <c r="M149" s="20"/>
    </row>
    <row r="150" spans="1:13" x14ac:dyDescent="0.25">
      <c r="A150" s="56"/>
      <c r="B150" s="57" t="s">
        <v>461</v>
      </c>
      <c r="C150" s="58">
        <v>2016</v>
      </c>
      <c r="D150" s="22" t="s">
        <v>196</v>
      </c>
      <c r="E150" s="22" t="s">
        <v>17</v>
      </c>
      <c r="F150" s="22" t="s">
        <v>197</v>
      </c>
      <c r="G150" s="22" t="s">
        <v>30</v>
      </c>
      <c r="H150" s="23">
        <v>111160</v>
      </c>
      <c r="I150" s="23">
        <v>105382</v>
      </c>
      <c r="J150" s="22" t="s">
        <v>203</v>
      </c>
      <c r="K150" s="22" t="s">
        <v>194</v>
      </c>
      <c r="L150" s="22" t="s">
        <v>32</v>
      </c>
      <c r="M150" s="20"/>
    </row>
    <row r="151" spans="1:13" ht="26.25" x14ac:dyDescent="0.25">
      <c r="A151" s="56"/>
      <c r="B151" s="57" t="s">
        <v>461</v>
      </c>
      <c r="C151" s="58">
        <v>2016</v>
      </c>
      <c r="D151" s="22" t="s">
        <v>191</v>
      </c>
      <c r="E151" s="22" t="s">
        <v>17</v>
      </c>
      <c r="F151" s="22" t="s">
        <v>192</v>
      </c>
      <c r="G151" s="22" t="s">
        <v>13</v>
      </c>
      <c r="H151" s="23">
        <v>0</v>
      </c>
      <c r="I151" s="23">
        <v>2006919</v>
      </c>
      <c r="J151" s="22" t="s">
        <v>193</v>
      </c>
      <c r="K151" s="22" t="s">
        <v>194</v>
      </c>
      <c r="L151" s="22" t="s">
        <v>16</v>
      </c>
      <c r="M151" s="20"/>
    </row>
    <row r="152" spans="1:13" x14ac:dyDescent="0.25">
      <c r="A152" s="16"/>
      <c r="B152" s="31"/>
      <c r="C152" s="21"/>
      <c r="D152" s="22"/>
      <c r="E152" s="22"/>
      <c r="F152" s="22"/>
      <c r="G152" s="401" t="s">
        <v>468</v>
      </c>
      <c r="H152" s="401"/>
      <c r="I152" s="55">
        <f>I149</f>
        <v>128962</v>
      </c>
      <c r="J152" s="22"/>
      <c r="K152" s="22"/>
      <c r="L152" s="22"/>
      <c r="M152" s="20"/>
    </row>
    <row r="153" spans="1:13" x14ac:dyDescent="0.25">
      <c r="A153" s="16"/>
      <c r="B153" s="31"/>
      <c r="C153" s="21"/>
      <c r="D153" s="22"/>
      <c r="E153" s="22"/>
      <c r="F153" s="22"/>
      <c r="G153" s="401" t="s">
        <v>469</v>
      </c>
      <c r="H153" s="401"/>
      <c r="I153" s="55">
        <f>I150</f>
        <v>105382</v>
      </c>
      <c r="J153" s="22"/>
      <c r="K153" s="22"/>
      <c r="L153" s="22"/>
      <c r="M153" s="20"/>
    </row>
    <row r="154" spans="1:13" ht="26.25" x14ac:dyDescent="0.25">
      <c r="A154" s="7"/>
      <c r="B154" s="8" t="s">
        <v>461</v>
      </c>
      <c r="C154" s="9" t="s">
        <v>422</v>
      </c>
      <c r="D154" s="10" t="s">
        <v>191</v>
      </c>
      <c r="E154" s="10" t="s">
        <v>29</v>
      </c>
      <c r="F154" s="10" t="s">
        <v>192</v>
      </c>
      <c r="G154" s="10" t="s">
        <v>13</v>
      </c>
      <c r="H154" s="11">
        <v>630000</v>
      </c>
      <c r="I154" s="12"/>
      <c r="J154" s="10" t="s">
        <v>195</v>
      </c>
      <c r="K154" s="10" t="s">
        <v>194</v>
      </c>
      <c r="L154" s="10" t="s">
        <v>16</v>
      </c>
      <c r="M154" s="13"/>
    </row>
    <row r="155" spans="1:13" x14ac:dyDescent="0.25">
      <c r="A155" s="14" t="s">
        <v>410</v>
      </c>
      <c r="B155" s="62" t="s">
        <v>433</v>
      </c>
      <c r="C155" s="59">
        <v>2014</v>
      </c>
      <c r="D155" s="29" t="s">
        <v>204</v>
      </c>
      <c r="E155" s="29" t="s">
        <v>24</v>
      </c>
      <c r="F155" s="29" t="s">
        <v>205</v>
      </c>
      <c r="G155" s="29" t="s">
        <v>21</v>
      </c>
      <c r="H155" s="30">
        <v>261000</v>
      </c>
      <c r="I155" s="30">
        <v>420000</v>
      </c>
      <c r="J155" s="29" t="s">
        <v>206</v>
      </c>
      <c r="K155" s="29" t="s">
        <v>207</v>
      </c>
      <c r="L155" s="29" t="s">
        <v>23</v>
      </c>
      <c r="M155" s="241"/>
    </row>
    <row r="156" spans="1:13" x14ac:dyDescent="0.25">
      <c r="A156" s="16"/>
      <c r="B156" s="17"/>
      <c r="C156" s="18"/>
      <c r="D156" s="19"/>
      <c r="E156" s="19"/>
      <c r="F156" s="19"/>
      <c r="G156" s="401" t="s">
        <v>472</v>
      </c>
      <c r="H156" s="401"/>
      <c r="I156" s="55">
        <v>0</v>
      </c>
      <c r="J156" s="19"/>
      <c r="K156" s="19"/>
      <c r="L156" s="19"/>
      <c r="M156" s="356" t="s">
        <v>798</v>
      </c>
    </row>
    <row r="157" spans="1:13" s="31" customFormat="1" x14ac:dyDescent="0.25">
      <c r="A157" s="17"/>
      <c r="B157" s="57" t="s">
        <v>433</v>
      </c>
      <c r="C157" s="58">
        <v>2016</v>
      </c>
      <c r="D157" s="22" t="s">
        <v>204</v>
      </c>
      <c r="E157" s="22" t="s">
        <v>17</v>
      </c>
      <c r="F157" s="22" t="s">
        <v>205</v>
      </c>
      <c r="G157" s="22" t="s">
        <v>21</v>
      </c>
      <c r="H157" s="23">
        <v>325000</v>
      </c>
      <c r="I157" s="23">
        <v>334677</v>
      </c>
      <c r="J157" s="22" t="s">
        <v>208</v>
      </c>
      <c r="K157" s="22" t="s">
        <v>207</v>
      </c>
      <c r="L157" s="22" t="s">
        <v>23</v>
      </c>
      <c r="M157" s="20"/>
    </row>
    <row r="158" spans="1:13" s="31" customFormat="1" x14ac:dyDescent="0.25">
      <c r="A158" s="17"/>
      <c r="B158" s="57" t="s">
        <v>433</v>
      </c>
      <c r="C158" s="58">
        <v>2016</v>
      </c>
      <c r="D158" s="22" t="s">
        <v>204</v>
      </c>
      <c r="E158" s="22" t="s">
        <v>17</v>
      </c>
      <c r="F158" s="22" t="s">
        <v>205</v>
      </c>
      <c r="G158" s="22" t="s">
        <v>30</v>
      </c>
      <c r="H158" s="23">
        <v>125000</v>
      </c>
      <c r="I158" s="61"/>
      <c r="J158" s="22" t="s">
        <v>209</v>
      </c>
      <c r="K158" s="22" t="s">
        <v>207</v>
      </c>
      <c r="L158" s="22" t="s">
        <v>32</v>
      </c>
      <c r="M158" s="17"/>
    </row>
    <row r="159" spans="1:13" s="31" customFormat="1" x14ac:dyDescent="0.25">
      <c r="A159" s="17"/>
      <c r="B159" s="17"/>
      <c r="C159" s="18"/>
      <c r="D159" s="19"/>
      <c r="E159" s="19"/>
      <c r="F159" s="19"/>
      <c r="G159" s="401" t="s">
        <v>468</v>
      </c>
      <c r="H159" s="401"/>
      <c r="I159" s="55">
        <f>I157</f>
        <v>334677</v>
      </c>
      <c r="J159" s="19"/>
      <c r="K159" s="19"/>
      <c r="L159" s="19"/>
      <c r="M159" s="17"/>
    </row>
    <row r="160" spans="1:13" x14ac:dyDescent="0.25">
      <c r="A160" s="16"/>
      <c r="B160" s="17"/>
      <c r="C160" s="18"/>
      <c r="D160" s="19"/>
      <c r="E160" s="19"/>
      <c r="F160" s="19"/>
      <c r="G160" s="401" t="s">
        <v>469</v>
      </c>
      <c r="H160" s="401"/>
      <c r="I160" s="55">
        <f>I158</f>
        <v>0</v>
      </c>
      <c r="J160" s="19"/>
      <c r="K160" s="19"/>
      <c r="L160" s="19"/>
      <c r="M160" s="43"/>
    </row>
    <row r="161" spans="1:13" ht="26.25" x14ac:dyDescent="0.25">
      <c r="A161" s="14" t="s">
        <v>411</v>
      </c>
      <c r="B161" s="27" t="s">
        <v>437</v>
      </c>
      <c r="C161" s="28">
        <v>2012</v>
      </c>
      <c r="D161" s="29" t="s">
        <v>210</v>
      </c>
      <c r="E161" s="29" t="s">
        <v>44</v>
      </c>
      <c r="F161" s="29" t="s">
        <v>211</v>
      </c>
      <c r="G161" s="29" t="s">
        <v>13</v>
      </c>
      <c r="H161" s="42"/>
      <c r="I161" s="30">
        <v>8112111</v>
      </c>
      <c r="J161" s="29" t="s">
        <v>212</v>
      </c>
      <c r="K161" s="29" t="s">
        <v>213</v>
      </c>
      <c r="L161" s="29" t="s">
        <v>16</v>
      </c>
      <c r="M161" s="15"/>
    </row>
    <row r="162" spans="1:13" x14ac:dyDescent="0.25">
      <c r="A162" s="16"/>
      <c r="B162" s="31" t="s">
        <v>437</v>
      </c>
      <c r="C162" s="21">
        <v>2012</v>
      </c>
      <c r="D162" s="22" t="s">
        <v>210</v>
      </c>
      <c r="E162" s="22" t="s">
        <v>44</v>
      </c>
      <c r="F162" s="22" t="s">
        <v>211</v>
      </c>
      <c r="G162" s="22" t="s">
        <v>218</v>
      </c>
      <c r="H162" s="32"/>
      <c r="I162" s="23">
        <v>1973520</v>
      </c>
      <c r="J162" s="22" t="s">
        <v>219</v>
      </c>
      <c r="K162" s="22" t="s">
        <v>213</v>
      </c>
      <c r="L162" s="22" t="s">
        <v>20</v>
      </c>
      <c r="M162" s="20"/>
    </row>
    <row r="163" spans="1:13" x14ac:dyDescent="0.25">
      <c r="A163" s="16"/>
      <c r="B163" s="31" t="s">
        <v>437</v>
      </c>
      <c r="C163" s="21">
        <v>2012</v>
      </c>
      <c r="D163" s="22" t="s">
        <v>210</v>
      </c>
      <c r="E163" s="22" t="s">
        <v>44</v>
      </c>
      <c r="F163" s="22" t="s">
        <v>211</v>
      </c>
      <c r="G163" s="22" t="s">
        <v>21</v>
      </c>
      <c r="H163" s="32"/>
      <c r="I163" s="23">
        <v>2738793</v>
      </c>
      <c r="J163" s="22" t="s">
        <v>222</v>
      </c>
      <c r="K163" s="22" t="s">
        <v>213</v>
      </c>
      <c r="L163" s="22" t="s">
        <v>23</v>
      </c>
      <c r="M163" s="20"/>
    </row>
    <row r="164" spans="1:13" x14ac:dyDescent="0.25">
      <c r="A164" s="16"/>
      <c r="B164" s="31" t="s">
        <v>437</v>
      </c>
      <c r="C164" s="21">
        <v>2012</v>
      </c>
      <c r="D164" s="22" t="s">
        <v>210</v>
      </c>
      <c r="E164" s="22" t="s">
        <v>44</v>
      </c>
      <c r="F164" s="22" t="s">
        <v>211</v>
      </c>
      <c r="G164" s="22" t="s">
        <v>225</v>
      </c>
      <c r="H164" s="32"/>
      <c r="I164" s="23">
        <v>8112111</v>
      </c>
      <c r="J164" s="22" t="s">
        <v>226</v>
      </c>
      <c r="K164" s="22" t="s">
        <v>213</v>
      </c>
      <c r="L164" s="22" t="s">
        <v>32</v>
      </c>
      <c r="M164" s="20"/>
    </row>
    <row r="165" spans="1:13" s="1" customFormat="1" ht="26.25" x14ac:dyDescent="0.25">
      <c r="A165" s="44"/>
      <c r="B165" s="179" t="s">
        <v>437</v>
      </c>
      <c r="C165" s="180">
        <v>2012</v>
      </c>
      <c r="D165" s="181" t="s">
        <v>210</v>
      </c>
      <c r="E165" s="181" t="s">
        <v>33</v>
      </c>
      <c r="F165" s="181" t="s">
        <v>211</v>
      </c>
      <c r="G165" s="181" t="s">
        <v>13</v>
      </c>
      <c r="H165" s="184"/>
      <c r="I165" s="184"/>
      <c r="J165" s="181" t="s">
        <v>217</v>
      </c>
      <c r="K165" s="181" t="s">
        <v>213</v>
      </c>
      <c r="L165" s="181" t="s">
        <v>16</v>
      </c>
      <c r="M165" s="185"/>
    </row>
    <row r="166" spans="1:13" x14ac:dyDescent="0.25">
      <c r="A166" s="16"/>
      <c r="B166" s="31" t="s">
        <v>437</v>
      </c>
      <c r="C166" s="21">
        <v>2012</v>
      </c>
      <c r="D166" s="22" t="s">
        <v>210</v>
      </c>
      <c r="E166" s="22" t="s">
        <v>33</v>
      </c>
      <c r="F166" s="22" t="s">
        <v>211</v>
      </c>
      <c r="G166" s="22" t="s">
        <v>218</v>
      </c>
      <c r="H166" s="32"/>
      <c r="I166" s="32"/>
      <c r="J166" s="22" t="s">
        <v>221</v>
      </c>
      <c r="K166" s="22" t="s">
        <v>213</v>
      </c>
      <c r="L166" s="22" t="s">
        <v>20</v>
      </c>
      <c r="M166" s="20"/>
    </row>
    <row r="167" spans="1:13" x14ac:dyDescent="0.25">
      <c r="A167" s="16"/>
      <c r="B167" s="31" t="s">
        <v>437</v>
      </c>
      <c r="C167" s="21">
        <v>2012</v>
      </c>
      <c r="D167" s="22" t="s">
        <v>210</v>
      </c>
      <c r="E167" s="22" t="s">
        <v>33</v>
      </c>
      <c r="F167" s="22" t="s">
        <v>211</v>
      </c>
      <c r="G167" s="22" t="s">
        <v>21</v>
      </c>
      <c r="H167" s="32"/>
      <c r="I167" s="23">
        <v>0</v>
      </c>
      <c r="J167" s="22" t="s">
        <v>223</v>
      </c>
      <c r="K167" s="22" t="s">
        <v>213</v>
      </c>
      <c r="L167" s="22" t="s">
        <v>23</v>
      </c>
      <c r="M167" s="20"/>
    </row>
    <row r="168" spans="1:13" x14ac:dyDescent="0.25">
      <c r="A168" s="16"/>
      <c r="B168" s="31"/>
      <c r="C168" s="21"/>
      <c r="D168" s="22"/>
      <c r="E168" s="22"/>
      <c r="F168" s="22"/>
      <c r="G168" s="401" t="s">
        <v>478</v>
      </c>
      <c r="H168" s="401"/>
      <c r="I168" s="55">
        <f>I163+I167</f>
        <v>2738793</v>
      </c>
      <c r="J168" s="22"/>
      <c r="K168" s="22"/>
      <c r="L168" s="22"/>
      <c r="M168" s="20"/>
    </row>
    <row r="169" spans="1:13" x14ac:dyDescent="0.25">
      <c r="A169" s="16"/>
      <c r="B169" s="31"/>
      <c r="C169" s="21"/>
      <c r="D169" s="22"/>
      <c r="E169" s="22"/>
      <c r="F169" s="22"/>
      <c r="G169" s="401" t="s">
        <v>479</v>
      </c>
      <c r="H169" s="401"/>
      <c r="I169" s="55">
        <f>I164</f>
        <v>8112111</v>
      </c>
      <c r="J169" s="22"/>
      <c r="K169" s="22"/>
      <c r="L169" s="22"/>
      <c r="M169" s="20"/>
    </row>
    <row r="170" spans="1:13" ht="26.25" x14ac:dyDescent="0.25">
      <c r="A170" s="16"/>
      <c r="B170" s="31" t="s">
        <v>446</v>
      </c>
      <c r="C170" s="21">
        <v>2013</v>
      </c>
      <c r="D170" s="22" t="s">
        <v>214</v>
      </c>
      <c r="E170" s="22" t="s">
        <v>33</v>
      </c>
      <c r="F170" s="22" t="s">
        <v>215</v>
      </c>
      <c r="G170" s="22" t="s">
        <v>13</v>
      </c>
      <c r="H170" s="32"/>
      <c r="I170" s="23">
        <v>11959908</v>
      </c>
      <c r="J170" s="22" t="s">
        <v>216</v>
      </c>
      <c r="K170" s="22" t="s">
        <v>213</v>
      </c>
      <c r="L170" s="22" t="s">
        <v>16</v>
      </c>
      <c r="M170" s="20"/>
    </row>
    <row r="171" spans="1:13" s="31" customFormat="1" x14ac:dyDescent="0.25">
      <c r="A171" s="16"/>
      <c r="B171" s="31" t="s">
        <v>446</v>
      </c>
      <c r="C171" s="21">
        <v>2013</v>
      </c>
      <c r="D171" s="22" t="s">
        <v>214</v>
      </c>
      <c r="E171" s="22" t="s">
        <v>33</v>
      </c>
      <c r="F171" s="22" t="s">
        <v>215</v>
      </c>
      <c r="G171" s="22" t="s">
        <v>218</v>
      </c>
      <c r="H171" s="32"/>
      <c r="I171" s="23">
        <v>4149705</v>
      </c>
      <c r="J171" s="22" t="s">
        <v>220</v>
      </c>
      <c r="K171" s="22" t="s">
        <v>213</v>
      </c>
      <c r="L171" s="22" t="s">
        <v>20</v>
      </c>
      <c r="M171" s="20"/>
    </row>
    <row r="172" spans="1:13" s="31" customFormat="1" x14ac:dyDescent="0.25">
      <c r="A172" s="16"/>
      <c r="B172" s="31" t="s">
        <v>446</v>
      </c>
      <c r="C172" s="21">
        <v>2013</v>
      </c>
      <c r="D172" s="22" t="s">
        <v>214</v>
      </c>
      <c r="E172" s="22" t="s">
        <v>33</v>
      </c>
      <c r="F172" s="22" t="s">
        <v>215</v>
      </c>
      <c r="G172" s="22" t="s">
        <v>21</v>
      </c>
      <c r="H172" s="32"/>
      <c r="I172" s="23">
        <v>4135988</v>
      </c>
      <c r="J172" s="22" t="s">
        <v>224</v>
      </c>
      <c r="K172" s="22" t="s">
        <v>213</v>
      </c>
      <c r="L172" s="22" t="s">
        <v>23</v>
      </c>
      <c r="M172" s="20"/>
    </row>
    <row r="173" spans="1:13" s="31" customFormat="1" x14ac:dyDescent="0.25">
      <c r="A173" s="16"/>
      <c r="B173" s="31" t="s">
        <v>446</v>
      </c>
      <c r="C173" s="21">
        <v>2013</v>
      </c>
      <c r="D173" s="22" t="s">
        <v>214</v>
      </c>
      <c r="E173" s="22" t="s">
        <v>33</v>
      </c>
      <c r="F173" s="22" t="s">
        <v>215</v>
      </c>
      <c r="G173" s="22" t="s">
        <v>225</v>
      </c>
      <c r="H173" s="32"/>
      <c r="I173" s="23">
        <v>5162457</v>
      </c>
      <c r="J173" s="22" t="s">
        <v>227</v>
      </c>
      <c r="K173" s="22" t="s">
        <v>213</v>
      </c>
      <c r="L173" s="22" t="s">
        <v>32</v>
      </c>
      <c r="M173" s="20"/>
    </row>
    <row r="174" spans="1:13" s="31" customFormat="1" x14ac:dyDescent="0.25">
      <c r="A174" s="16"/>
      <c r="C174" s="21"/>
      <c r="D174" s="22"/>
      <c r="E174" s="22"/>
      <c r="F174" s="22"/>
      <c r="G174" s="401" t="s">
        <v>476</v>
      </c>
      <c r="H174" s="401"/>
      <c r="I174" s="55">
        <f>I172</f>
        <v>4135988</v>
      </c>
      <c r="J174" s="22"/>
      <c r="K174" s="22"/>
      <c r="L174" s="22"/>
      <c r="M174" s="20"/>
    </row>
    <row r="175" spans="1:13" x14ac:dyDescent="0.25">
      <c r="A175" s="7"/>
      <c r="B175" s="8"/>
      <c r="C175" s="9"/>
      <c r="D175" s="10"/>
      <c r="E175" s="10"/>
      <c r="F175" s="10"/>
      <c r="G175" s="402" t="s">
        <v>477</v>
      </c>
      <c r="H175" s="402"/>
      <c r="I175" s="70">
        <f>I173</f>
        <v>5162457</v>
      </c>
      <c r="J175" s="10"/>
      <c r="K175" s="10"/>
      <c r="L175" s="10"/>
      <c r="M175" s="13"/>
    </row>
    <row r="176" spans="1:13" s="1" customFormat="1" x14ac:dyDescent="0.25">
      <c r="A176" s="171" t="s">
        <v>412</v>
      </c>
      <c r="B176" s="172" t="s">
        <v>412</v>
      </c>
      <c r="C176" s="173">
        <v>2015</v>
      </c>
      <c r="D176" s="174" t="s">
        <v>228</v>
      </c>
      <c r="E176" s="174" t="s">
        <v>26</v>
      </c>
      <c r="F176" s="174" t="s">
        <v>229</v>
      </c>
      <c r="G176" s="174" t="s">
        <v>30</v>
      </c>
      <c r="H176" s="175">
        <v>148539</v>
      </c>
      <c r="I176" s="175">
        <v>0</v>
      </c>
      <c r="J176" s="174" t="s">
        <v>230</v>
      </c>
      <c r="K176" s="174" t="s">
        <v>231</v>
      </c>
      <c r="L176" s="174" t="s">
        <v>32</v>
      </c>
      <c r="M176" s="46"/>
    </row>
    <row r="177" spans="1:13" s="1" customFormat="1" x14ac:dyDescent="0.25">
      <c r="A177" s="178"/>
      <c r="B177" s="179" t="s">
        <v>412</v>
      </c>
      <c r="C177" s="180">
        <v>2015</v>
      </c>
      <c r="D177" s="181" t="s">
        <v>228</v>
      </c>
      <c r="E177" s="181" t="s">
        <v>26</v>
      </c>
      <c r="F177" s="181" t="s">
        <v>229</v>
      </c>
      <c r="G177" s="181" t="s">
        <v>30</v>
      </c>
      <c r="H177" s="182">
        <v>2519075</v>
      </c>
      <c r="I177" s="182">
        <v>0</v>
      </c>
      <c r="J177" s="181" t="s">
        <v>232</v>
      </c>
      <c r="K177" s="181" t="s">
        <v>231</v>
      </c>
      <c r="L177" s="181" t="s">
        <v>32</v>
      </c>
      <c r="M177" s="45"/>
    </row>
    <row r="178" spans="1:13" s="1" customFormat="1" x14ac:dyDescent="0.25">
      <c r="A178" s="178"/>
      <c r="B178" s="179" t="s">
        <v>412</v>
      </c>
      <c r="C178" s="180">
        <v>2015</v>
      </c>
      <c r="D178" s="181" t="s">
        <v>228</v>
      </c>
      <c r="E178" s="181" t="s">
        <v>26</v>
      </c>
      <c r="F178" s="181" t="s">
        <v>229</v>
      </c>
      <c r="G178" s="181" t="s">
        <v>30</v>
      </c>
      <c r="H178" s="182">
        <v>100000</v>
      </c>
      <c r="I178" s="182">
        <v>0</v>
      </c>
      <c r="J178" s="181" t="s">
        <v>233</v>
      </c>
      <c r="K178" s="181" t="s">
        <v>231</v>
      </c>
      <c r="L178" s="181" t="s">
        <v>32</v>
      </c>
      <c r="M178" s="45"/>
    </row>
    <row r="179" spans="1:13" s="1" customFormat="1" x14ac:dyDescent="0.25">
      <c r="A179" s="178"/>
      <c r="B179" s="179" t="s">
        <v>412</v>
      </c>
      <c r="C179" s="180">
        <v>2015</v>
      </c>
      <c r="D179" s="181" t="s">
        <v>228</v>
      </c>
      <c r="E179" s="181" t="s">
        <v>26</v>
      </c>
      <c r="F179" s="181" t="s">
        <v>229</v>
      </c>
      <c r="G179" s="181" t="s">
        <v>30</v>
      </c>
      <c r="H179" s="182">
        <v>700000</v>
      </c>
      <c r="I179" s="182">
        <v>366088</v>
      </c>
      <c r="J179" s="181" t="s">
        <v>234</v>
      </c>
      <c r="K179" s="181" t="s">
        <v>231</v>
      </c>
      <c r="L179" s="181" t="s">
        <v>32</v>
      </c>
      <c r="M179" s="45"/>
    </row>
    <row r="180" spans="1:13" s="1" customFormat="1" x14ac:dyDescent="0.25">
      <c r="A180" s="178"/>
      <c r="B180" s="179"/>
      <c r="C180" s="180"/>
      <c r="D180" s="181"/>
      <c r="E180" s="181"/>
      <c r="F180" s="181"/>
      <c r="G180" s="407" t="s">
        <v>467</v>
      </c>
      <c r="H180" s="407"/>
      <c r="I180" s="183">
        <f>I179</f>
        <v>366088</v>
      </c>
      <c r="J180" s="181"/>
      <c r="K180" s="181"/>
      <c r="L180" s="181"/>
      <c r="M180" s="45"/>
    </row>
    <row r="181" spans="1:13" s="1" customFormat="1" x14ac:dyDescent="0.25">
      <c r="A181" s="178"/>
      <c r="B181" s="179" t="s">
        <v>412</v>
      </c>
      <c r="C181" s="180">
        <v>2016</v>
      </c>
      <c r="D181" s="181" t="s">
        <v>228</v>
      </c>
      <c r="E181" s="181" t="s">
        <v>17</v>
      </c>
      <c r="F181" s="181" t="s">
        <v>229</v>
      </c>
      <c r="G181" s="181" t="s">
        <v>30</v>
      </c>
      <c r="H181" s="182">
        <v>723099</v>
      </c>
      <c r="I181" s="182">
        <v>159147</v>
      </c>
      <c r="J181" s="181" t="s">
        <v>235</v>
      </c>
      <c r="K181" s="181" t="s">
        <v>231</v>
      </c>
      <c r="L181" s="181" t="s">
        <v>32</v>
      </c>
      <c r="M181" s="45"/>
    </row>
    <row r="182" spans="1:13" s="1" customFormat="1" x14ac:dyDescent="0.25">
      <c r="A182" s="178"/>
      <c r="B182" s="179" t="s">
        <v>412</v>
      </c>
      <c r="C182" s="180">
        <v>2016</v>
      </c>
      <c r="D182" s="181" t="s">
        <v>228</v>
      </c>
      <c r="E182" s="181" t="s">
        <v>17</v>
      </c>
      <c r="F182" s="181" t="s">
        <v>229</v>
      </c>
      <c r="G182" s="181" t="s">
        <v>30</v>
      </c>
      <c r="H182" s="182">
        <v>207443</v>
      </c>
      <c r="I182" s="182">
        <v>120227</v>
      </c>
      <c r="J182" s="181" t="s">
        <v>236</v>
      </c>
      <c r="K182" s="181" t="s">
        <v>231</v>
      </c>
      <c r="L182" s="181" t="s">
        <v>32</v>
      </c>
      <c r="M182" s="45"/>
    </row>
    <row r="183" spans="1:13" s="1" customFormat="1" x14ac:dyDescent="0.25">
      <c r="A183" s="178"/>
      <c r="B183" s="179" t="s">
        <v>412</v>
      </c>
      <c r="C183" s="180">
        <v>2016</v>
      </c>
      <c r="D183" s="181" t="s">
        <v>228</v>
      </c>
      <c r="E183" s="181" t="s">
        <v>17</v>
      </c>
      <c r="F183" s="181" t="s">
        <v>229</v>
      </c>
      <c r="G183" s="181" t="s">
        <v>30</v>
      </c>
      <c r="H183" s="182">
        <v>2519075</v>
      </c>
      <c r="I183" s="182">
        <v>1742253</v>
      </c>
      <c r="J183" s="181" t="s">
        <v>237</v>
      </c>
      <c r="K183" s="181" t="s">
        <v>231</v>
      </c>
      <c r="L183" s="181" t="s">
        <v>32</v>
      </c>
      <c r="M183" s="45"/>
    </row>
    <row r="184" spans="1:13" s="1" customFormat="1" x14ac:dyDescent="0.25">
      <c r="A184" s="178"/>
      <c r="B184" s="179" t="s">
        <v>412</v>
      </c>
      <c r="C184" s="180">
        <v>2016</v>
      </c>
      <c r="D184" s="181" t="s">
        <v>228</v>
      </c>
      <c r="E184" s="181" t="s">
        <v>17</v>
      </c>
      <c r="F184" s="181" t="s">
        <v>229</v>
      </c>
      <c r="G184" s="181" t="s">
        <v>30</v>
      </c>
      <c r="H184" s="182">
        <v>310891</v>
      </c>
      <c r="I184" s="184"/>
      <c r="J184" s="181" t="s">
        <v>238</v>
      </c>
      <c r="K184" s="181" t="s">
        <v>231</v>
      </c>
      <c r="L184" s="181" t="s">
        <v>32</v>
      </c>
      <c r="M184" s="45"/>
    </row>
    <row r="185" spans="1:13" s="1" customFormat="1" x14ac:dyDescent="0.25">
      <c r="A185" s="178"/>
      <c r="B185" s="179" t="s">
        <v>412</v>
      </c>
      <c r="C185" s="180">
        <v>2016</v>
      </c>
      <c r="D185" s="181" t="s">
        <v>228</v>
      </c>
      <c r="E185" s="181" t="s">
        <v>17</v>
      </c>
      <c r="F185" s="181" t="s">
        <v>229</v>
      </c>
      <c r="G185" s="181" t="s">
        <v>30</v>
      </c>
      <c r="H185" s="182">
        <v>894593</v>
      </c>
      <c r="I185" s="182">
        <v>580626</v>
      </c>
      <c r="J185" s="181" t="s">
        <v>239</v>
      </c>
      <c r="K185" s="181" t="s">
        <v>231</v>
      </c>
      <c r="L185" s="181" t="s">
        <v>32</v>
      </c>
      <c r="M185" s="45"/>
    </row>
    <row r="186" spans="1:13" s="1" customFormat="1" x14ac:dyDescent="0.25">
      <c r="A186" s="178"/>
      <c r="B186" s="179" t="s">
        <v>412</v>
      </c>
      <c r="C186" s="180">
        <v>2016</v>
      </c>
      <c r="D186" s="181" t="s">
        <v>228</v>
      </c>
      <c r="E186" s="181" t="s">
        <v>17</v>
      </c>
      <c r="F186" s="181" t="s">
        <v>229</v>
      </c>
      <c r="G186" s="181" t="s">
        <v>30</v>
      </c>
      <c r="H186" s="184"/>
      <c r="I186" s="182">
        <v>315571</v>
      </c>
      <c r="J186" s="181" t="s">
        <v>240</v>
      </c>
      <c r="K186" s="181" t="s">
        <v>231</v>
      </c>
      <c r="L186" s="181" t="s">
        <v>32</v>
      </c>
      <c r="M186" s="45"/>
    </row>
    <row r="187" spans="1:13" s="1" customFormat="1" x14ac:dyDescent="0.25">
      <c r="A187" s="178"/>
      <c r="B187" s="179" t="s">
        <v>412</v>
      </c>
      <c r="C187" s="180">
        <v>2016</v>
      </c>
      <c r="D187" s="181" t="s">
        <v>228</v>
      </c>
      <c r="E187" s="181" t="s">
        <v>17</v>
      </c>
      <c r="F187" s="181" t="s">
        <v>229</v>
      </c>
      <c r="G187" s="181" t="s">
        <v>30</v>
      </c>
      <c r="H187" s="182">
        <v>7549853</v>
      </c>
      <c r="I187" s="182">
        <v>7200000</v>
      </c>
      <c r="J187" s="181" t="s">
        <v>241</v>
      </c>
      <c r="K187" s="181" t="s">
        <v>231</v>
      </c>
      <c r="L187" s="181" t="s">
        <v>32</v>
      </c>
      <c r="M187" s="45"/>
    </row>
    <row r="188" spans="1:13" s="1" customFormat="1" x14ac:dyDescent="0.25">
      <c r="A188" s="178"/>
      <c r="B188" s="179"/>
      <c r="C188" s="180"/>
      <c r="D188" s="181"/>
      <c r="E188" s="181"/>
      <c r="F188" s="181"/>
      <c r="G188" s="407" t="s">
        <v>469</v>
      </c>
      <c r="H188" s="407"/>
      <c r="I188" s="183">
        <f>I181+I182+I183+I185+I186+I187</f>
        <v>10117824</v>
      </c>
      <c r="J188" s="181"/>
      <c r="K188" s="181"/>
      <c r="L188" s="181"/>
      <c r="M188" s="45"/>
    </row>
    <row r="189" spans="1:13" x14ac:dyDescent="0.25">
      <c r="A189" s="14" t="s">
        <v>413</v>
      </c>
      <c r="B189" s="62" t="s">
        <v>438</v>
      </c>
      <c r="C189" s="59">
        <v>2012</v>
      </c>
      <c r="D189" s="29" t="s">
        <v>242</v>
      </c>
      <c r="E189" s="29" t="s">
        <v>44</v>
      </c>
      <c r="F189" s="29" t="s">
        <v>243</v>
      </c>
      <c r="G189" s="29" t="s">
        <v>21</v>
      </c>
      <c r="H189" s="60"/>
      <c r="I189" s="30">
        <v>5918</v>
      </c>
      <c r="J189" s="29" t="s">
        <v>244</v>
      </c>
      <c r="K189" s="29" t="s">
        <v>245</v>
      </c>
      <c r="L189" s="29" t="s">
        <v>23</v>
      </c>
      <c r="M189" s="63"/>
    </row>
    <row r="190" spans="1:13" x14ac:dyDescent="0.25">
      <c r="A190" s="16"/>
      <c r="B190" s="57" t="s">
        <v>438</v>
      </c>
      <c r="C190" s="58">
        <v>2012</v>
      </c>
      <c r="D190" s="22" t="s">
        <v>242</v>
      </c>
      <c r="E190" s="22" t="s">
        <v>44</v>
      </c>
      <c r="F190" s="22" t="s">
        <v>243</v>
      </c>
      <c r="G190" s="22" t="s">
        <v>30</v>
      </c>
      <c r="H190" s="61"/>
      <c r="I190" s="23">
        <v>5918</v>
      </c>
      <c r="J190" s="22" t="s">
        <v>250</v>
      </c>
      <c r="K190" s="22" t="s">
        <v>245</v>
      </c>
      <c r="L190" s="22" t="s">
        <v>32</v>
      </c>
      <c r="M190" s="64"/>
    </row>
    <row r="191" spans="1:13" x14ac:dyDescent="0.25">
      <c r="A191" s="16"/>
      <c r="B191" s="57"/>
      <c r="C191" s="58"/>
      <c r="D191" s="22"/>
      <c r="E191" s="22"/>
      <c r="F191" s="22"/>
      <c r="G191" s="401" t="s">
        <v>478</v>
      </c>
      <c r="H191" s="401"/>
      <c r="I191" s="55">
        <f>I189</f>
        <v>5918</v>
      </c>
      <c r="J191" s="22"/>
      <c r="K191" s="22"/>
      <c r="L191" s="22"/>
      <c r="M191" s="64"/>
    </row>
    <row r="192" spans="1:13" x14ac:dyDescent="0.25">
      <c r="A192" s="16"/>
      <c r="B192" s="57"/>
      <c r="C192" s="58"/>
      <c r="D192" s="22"/>
      <c r="E192" s="22"/>
      <c r="F192" s="22"/>
      <c r="G192" s="401" t="s">
        <v>479</v>
      </c>
      <c r="H192" s="401"/>
      <c r="I192" s="55">
        <f>I190</f>
        <v>5918</v>
      </c>
      <c r="J192" s="22"/>
      <c r="K192" s="22"/>
      <c r="L192" s="22"/>
      <c r="M192" s="64"/>
    </row>
    <row r="193" spans="1:13" x14ac:dyDescent="0.25">
      <c r="A193" s="16"/>
      <c r="B193" s="57" t="s">
        <v>438</v>
      </c>
      <c r="C193" s="58">
        <v>2013</v>
      </c>
      <c r="D193" s="22" t="s">
        <v>242</v>
      </c>
      <c r="E193" s="22" t="s">
        <v>33</v>
      </c>
      <c r="F193" s="22" t="s">
        <v>243</v>
      </c>
      <c r="G193" s="22" t="s">
        <v>21</v>
      </c>
      <c r="H193" s="61"/>
      <c r="I193" s="23">
        <v>12381</v>
      </c>
      <c r="J193" s="22" t="s">
        <v>246</v>
      </c>
      <c r="K193" s="22" t="s">
        <v>245</v>
      </c>
      <c r="L193" s="22" t="s">
        <v>23</v>
      </c>
      <c r="M193" s="64"/>
    </row>
    <row r="194" spans="1:13" x14ac:dyDescent="0.25">
      <c r="A194" s="16"/>
      <c r="B194" s="57" t="s">
        <v>438</v>
      </c>
      <c r="C194" s="58">
        <v>2013</v>
      </c>
      <c r="D194" s="22" t="s">
        <v>242</v>
      </c>
      <c r="E194" s="22" t="s">
        <v>33</v>
      </c>
      <c r="F194" s="22" t="s">
        <v>243</v>
      </c>
      <c r="G194" s="22" t="s">
        <v>30</v>
      </c>
      <c r="H194" s="61"/>
      <c r="I194" s="23">
        <v>12381</v>
      </c>
      <c r="J194" s="22" t="s">
        <v>251</v>
      </c>
      <c r="K194" s="22" t="s">
        <v>245</v>
      </c>
      <c r="L194" s="22" t="s">
        <v>32</v>
      </c>
      <c r="M194" s="64"/>
    </row>
    <row r="195" spans="1:13" x14ac:dyDescent="0.25">
      <c r="A195" s="16"/>
      <c r="B195" s="57"/>
      <c r="C195" s="58"/>
      <c r="D195" s="22"/>
      <c r="E195" s="22"/>
      <c r="F195" s="22"/>
      <c r="G195" s="401" t="s">
        <v>476</v>
      </c>
      <c r="H195" s="401"/>
      <c r="I195" s="55">
        <f>I193</f>
        <v>12381</v>
      </c>
      <c r="J195" s="22"/>
      <c r="K195" s="22"/>
      <c r="L195" s="22"/>
      <c r="M195" s="64"/>
    </row>
    <row r="196" spans="1:13" x14ac:dyDescent="0.25">
      <c r="A196" s="16"/>
      <c r="B196" s="57"/>
      <c r="C196" s="58"/>
      <c r="D196" s="22"/>
      <c r="E196" s="22"/>
      <c r="F196" s="22"/>
      <c r="G196" s="401" t="s">
        <v>477</v>
      </c>
      <c r="H196" s="401"/>
      <c r="I196" s="55">
        <f>I194</f>
        <v>12381</v>
      </c>
      <c r="J196" s="22"/>
      <c r="K196" s="22"/>
      <c r="L196" s="22"/>
      <c r="M196" s="64"/>
    </row>
    <row r="197" spans="1:13" x14ac:dyDescent="0.25">
      <c r="A197" s="16"/>
      <c r="B197" s="57" t="s">
        <v>439</v>
      </c>
      <c r="C197" s="58">
        <v>2014</v>
      </c>
      <c r="D197" s="22" t="s">
        <v>247</v>
      </c>
      <c r="E197" s="22" t="s">
        <v>24</v>
      </c>
      <c r="F197" s="22" t="s">
        <v>248</v>
      </c>
      <c r="G197" s="22" t="s">
        <v>21</v>
      </c>
      <c r="H197" s="23">
        <v>397569</v>
      </c>
      <c r="I197" s="23">
        <v>14972</v>
      </c>
      <c r="J197" s="22" t="s">
        <v>249</v>
      </c>
      <c r="K197" s="22" t="s">
        <v>245</v>
      </c>
      <c r="L197" s="22" t="s">
        <v>23</v>
      </c>
      <c r="M197" s="64"/>
    </row>
    <row r="198" spans="1:13" x14ac:dyDescent="0.25">
      <c r="A198" s="16"/>
      <c r="B198" s="57" t="s">
        <v>439</v>
      </c>
      <c r="C198" s="58">
        <v>2014</v>
      </c>
      <c r="D198" s="22" t="s">
        <v>247</v>
      </c>
      <c r="E198" s="22" t="s">
        <v>24</v>
      </c>
      <c r="F198" s="22" t="s">
        <v>248</v>
      </c>
      <c r="G198" s="22" t="s">
        <v>30</v>
      </c>
      <c r="H198" s="23">
        <v>397569</v>
      </c>
      <c r="I198" s="23">
        <v>12861</v>
      </c>
      <c r="J198" s="22" t="s">
        <v>252</v>
      </c>
      <c r="K198" s="22" t="s">
        <v>245</v>
      </c>
      <c r="L198" s="22" t="s">
        <v>32</v>
      </c>
      <c r="M198" s="64"/>
    </row>
    <row r="199" spans="1:13" x14ac:dyDescent="0.25">
      <c r="A199" s="16"/>
      <c r="B199" s="57"/>
      <c r="C199" s="58"/>
      <c r="D199" s="22"/>
      <c r="E199" s="22"/>
      <c r="F199" s="22"/>
      <c r="G199" s="401" t="s">
        <v>472</v>
      </c>
      <c r="H199" s="401"/>
      <c r="I199" s="55">
        <f>I197</f>
        <v>14972</v>
      </c>
      <c r="J199" s="22"/>
      <c r="K199" s="22"/>
      <c r="L199" s="22"/>
      <c r="M199" s="64"/>
    </row>
    <row r="200" spans="1:13" x14ac:dyDescent="0.25">
      <c r="A200" s="7"/>
      <c r="B200" s="54"/>
      <c r="C200" s="66"/>
      <c r="D200" s="10"/>
      <c r="E200" s="10"/>
      <c r="F200" s="10"/>
      <c r="G200" s="402" t="s">
        <v>473</v>
      </c>
      <c r="H200" s="402"/>
      <c r="I200" s="70">
        <f>I198</f>
        <v>12861</v>
      </c>
      <c r="J200" s="10"/>
      <c r="K200" s="10"/>
      <c r="L200" s="10"/>
      <c r="M200" s="65"/>
    </row>
    <row r="201" spans="1:13" ht="26.25" x14ac:dyDescent="0.25">
      <c r="A201" s="16" t="s">
        <v>414</v>
      </c>
      <c r="B201" s="57" t="s">
        <v>448</v>
      </c>
      <c r="C201" s="58">
        <v>2013</v>
      </c>
      <c r="D201" s="22" t="s">
        <v>260</v>
      </c>
      <c r="E201" s="22" t="s">
        <v>33</v>
      </c>
      <c r="F201" s="22" t="s">
        <v>261</v>
      </c>
      <c r="G201" s="22" t="s">
        <v>13</v>
      </c>
      <c r="H201" s="61"/>
      <c r="I201" s="23">
        <v>5345213</v>
      </c>
      <c r="J201" s="22" t="s">
        <v>262</v>
      </c>
      <c r="K201" s="22" t="s">
        <v>263</v>
      </c>
      <c r="L201" s="22" t="s">
        <v>16</v>
      </c>
      <c r="M201" s="20"/>
    </row>
    <row r="202" spans="1:13" x14ac:dyDescent="0.25">
      <c r="A202" s="16"/>
      <c r="B202" s="57" t="s">
        <v>448</v>
      </c>
      <c r="C202" s="58">
        <v>2013</v>
      </c>
      <c r="D202" s="22" t="s">
        <v>260</v>
      </c>
      <c r="E202" s="22" t="s">
        <v>33</v>
      </c>
      <c r="F202" s="22" t="s">
        <v>261</v>
      </c>
      <c r="G202" s="22" t="s">
        <v>18</v>
      </c>
      <c r="H202" s="61"/>
      <c r="I202" s="23">
        <v>4479513</v>
      </c>
      <c r="J202" s="22" t="s">
        <v>284</v>
      </c>
      <c r="K202" s="22" t="s">
        <v>263</v>
      </c>
      <c r="L202" s="22" t="s">
        <v>20</v>
      </c>
      <c r="M202" s="20"/>
    </row>
    <row r="203" spans="1:13" x14ac:dyDescent="0.25">
      <c r="A203" s="16"/>
      <c r="B203" s="57" t="s">
        <v>448</v>
      </c>
      <c r="C203" s="58">
        <v>2013</v>
      </c>
      <c r="D203" s="22" t="s">
        <v>260</v>
      </c>
      <c r="E203" s="22" t="s">
        <v>33</v>
      </c>
      <c r="F203" s="22" t="s">
        <v>261</v>
      </c>
      <c r="G203" s="22" t="s">
        <v>21</v>
      </c>
      <c r="H203" s="61"/>
      <c r="I203" s="23">
        <v>909623</v>
      </c>
      <c r="J203" s="22" t="s">
        <v>294</v>
      </c>
      <c r="K203" s="22" t="s">
        <v>263</v>
      </c>
      <c r="L203" s="22" t="s">
        <v>23</v>
      </c>
      <c r="M203" s="20"/>
    </row>
    <row r="204" spans="1:13" x14ac:dyDescent="0.25">
      <c r="A204" s="16"/>
      <c r="B204" s="57" t="s">
        <v>448</v>
      </c>
      <c r="C204" s="58">
        <v>2013</v>
      </c>
      <c r="D204" s="22" t="s">
        <v>260</v>
      </c>
      <c r="E204" s="22" t="s">
        <v>33</v>
      </c>
      <c r="F204" s="22" t="s">
        <v>261</v>
      </c>
      <c r="G204" s="22" t="s">
        <v>30</v>
      </c>
      <c r="H204" s="61"/>
      <c r="I204" s="23">
        <v>909623</v>
      </c>
      <c r="J204" s="22" t="s">
        <v>304</v>
      </c>
      <c r="K204" s="22" t="s">
        <v>263</v>
      </c>
      <c r="L204" s="22" t="s">
        <v>32</v>
      </c>
      <c r="M204" s="20"/>
    </row>
    <row r="205" spans="1:13" x14ac:dyDescent="0.25">
      <c r="A205" s="16"/>
      <c r="B205" s="57" t="s">
        <v>448</v>
      </c>
      <c r="C205" s="58">
        <v>2013</v>
      </c>
      <c r="D205" s="22" t="s">
        <v>260</v>
      </c>
      <c r="E205" s="22" t="s">
        <v>33</v>
      </c>
      <c r="F205" s="22" t="s">
        <v>261</v>
      </c>
      <c r="G205" s="22" t="s">
        <v>40</v>
      </c>
      <c r="H205" s="61"/>
      <c r="I205" s="23">
        <v>2086522</v>
      </c>
      <c r="J205" s="22" t="s">
        <v>313</v>
      </c>
      <c r="K205" s="22" t="s">
        <v>263</v>
      </c>
      <c r="L205" s="22" t="s">
        <v>43</v>
      </c>
      <c r="M205" s="20"/>
    </row>
    <row r="206" spans="1:13" x14ac:dyDescent="0.25">
      <c r="A206" s="16"/>
      <c r="B206" s="31"/>
      <c r="C206" s="21"/>
      <c r="D206" s="22"/>
      <c r="E206" s="22"/>
      <c r="F206" s="22"/>
      <c r="G206" s="401" t="s">
        <v>476</v>
      </c>
      <c r="H206" s="401"/>
      <c r="I206" s="55">
        <f>I203</f>
        <v>909623</v>
      </c>
      <c r="J206" s="22"/>
      <c r="K206" s="22"/>
      <c r="L206" s="22"/>
      <c r="M206" s="20"/>
    </row>
    <row r="207" spans="1:13" x14ac:dyDescent="0.25">
      <c r="A207" s="16"/>
      <c r="B207" s="31"/>
      <c r="C207" s="21"/>
      <c r="D207" s="22"/>
      <c r="E207" s="22"/>
      <c r="F207" s="22"/>
      <c r="G207" s="401" t="s">
        <v>477</v>
      </c>
      <c r="H207" s="401"/>
      <c r="I207" s="55">
        <f>I204</f>
        <v>909623</v>
      </c>
      <c r="J207" s="22"/>
      <c r="K207" s="22"/>
      <c r="L207" s="22"/>
      <c r="M207" s="20"/>
    </row>
    <row r="208" spans="1:13" ht="26.25" x14ac:dyDescent="0.25">
      <c r="A208" s="16"/>
      <c r="B208" s="31" t="s">
        <v>449</v>
      </c>
      <c r="C208" s="21">
        <v>2015</v>
      </c>
      <c r="D208" s="22" t="s">
        <v>264</v>
      </c>
      <c r="E208" s="22" t="s">
        <v>26</v>
      </c>
      <c r="F208" s="22" t="s">
        <v>265</v>
      </c>
      <c r="G208" s="22" t="s">
        <v>13</v>
      </c>
      <c r="H208" s="23">
        <v>1000000</v>
      </c>
      <c r="I208" s="23">
        <v>863748</v>
      </c>
      <c r="J208" s="22" t="s">
        <v>266</v>
      </c>
      <c r="K208" s="22" t="s">
        <v>263</v>
      </c>
      <c r="L208" s="22" t="s">
        <v>16</v>
      </c>
      <c r="M208" s="20"/>
    </row>
    <row r="209" spans="1:13" x14ac:dyDescent="0.25">
      <c r="A209" s="16"/>
      <c r="B209" s="31" t="s">
        <v>449</v>
      </c>
      <c r="C209" s="21">
        <v>2015</v>
      </c>
      <c r="D209" s="22" t="s">
        <v>264</v>
      </c>
      <c r="E209" s="22" t="s">
        <v>26</v>
      </c>
      <c r="F209" s="22" t="s">
        <v>265</v>
      </c>
      <c r="G209" s="22" t="s">
        <v>18</v>
      </c>
      <c r="H209" s="23">
        <v>1000000</v>
      </c>
      <c r="I209" s="23">
        <v>863748</v>
      </c>
      <c r="J209" s="22" t="s">
        <v>285</v>
      </c>
      <c r="K209" s="22" t="s">
        <v>263</v>
      </c>
      <c r="L209" s="22" t="s">
        <v>20</v>
      </c>
      <c r="M209" s="20"/>
    </row>
    <row r="210" spans="1:13" x14ac:dyDescent="0.25">
      <c r="A210" s="16"/>
      <c r="B210" s="57" t="s">
        <v>449</v>
      </c>
      <c r="C210" s="58">
        <v>2015</v>
      </c>
      <c r="D210" s="22" t="s">
        <v>264</v>
      </c>
      <c r="E210" s="22" t="s">
        <v>26</v>
      </c>
      <c r="F210" s="22" t="s">
        <v>265</v>
      </c>
      <c r="G210" s="22" t="s">
        <v>21</v>
      </c>
      <c r="H210" s="23">
        <v>540901</v>
      </c>
      <c r="I210" s="23">
        <v>179053</v>
      </c>
      <c r="J210" s="22" t="s">
        <v>295</v>
      </c>
      <c r="K210" s="22" t="s">
        <v>263</v>
      </c>
      <c r="L210" s="22" t="s">
        <v>23</v>
      </c>
      <c r="M210" s="64"/>
    </row>
    <row r="211" spans="1:13" ht="14.1" customHeight="1" x14ac:dyDescent="0.25">
      <c r="A211" s="16"/>
      <c r="B211" s="57" t="s">
        <v>449</v>
      </c>
      <c r="C211" s="58">
        <v>2015</v>
      </c>
      <c r="D211" s="22" t="s">
        <v>264</v>
      </c>
      <c r="E211" s="22" t="s">
        <v>26</v>
      </c>
      <c r="F211" s="22" t="s">
        <v>265</v>
      </c>
      <c r="G211" s="22" t="s">
        <v>30</v>
      </c>
      <c r="H211" s="23">
        <v>571886</v>
      </c>
      <c r="I211" s="23">
        <v>237047</v>
      </c>
      <c r="J211" s="22" t="s">
        <v>305</v>
      </c>
      <c r="K211" s="22" t="s">
        <v>263</v>
      </c>
      <c r="L211" s="22" t="s">
        <v>32</v>
      </c>
      <c r="M211" s="64"/>
    </row>
    <row r="212" spans="1:13" ht="26.25" x14ac:dyDescent="0.25">
      <c r="A212" s="16"/>
      <c r="B212" s="57" t="s">
        <v>450</v>
      </c>
      <c r="C212" s="58">
        <v>2015</v>
      </c>
      <c r="D212" s="22" t="s">
        <v>267</v>
      </c>
      <c r="E212" s="22" t="s">
        <v>26</v>
      </c>
      <c r="F212" s="22" t="s">
        <v>268</v>
      </c>
      <c r="G212" s="22" t="s">
        <v>13</v>
      </c>
      <c r="H212" s="23">
        <v>388087</v>
      </c>
      <c r="I212" s="23">
        <v>307912</v>
      </c>
      <c r="J212" s="22" t="s">
        <v>269</v>
      </c>
      <c r="K212" s="22" t="s">
        <v>263</v>
      </c>
      <c r="L212" s="22" t="s">
        <v>16</v>
      </c>
      <c r="M212" s="64"/>
    </row>
    <row r="213" spans="1:13" ht="26.25" x14ac:dyDescent="0.25">
      <c r="A213" s="16"/>
      <c r="B213" s="57" t="s">
        <v>451</v>
      </c>
      <c r="C213" s="58">
        <v>2015</v>
      </c>
      <c r="D213" s="22" t="s">
        <v>270</v>
      </c>
      <c r="E213" s="22" t="s">
        <v>26</v>
      </c>
      <c r="F213" s="22" t="s">
        <v>271</v>
      </c>
      <c r="G213" s="22" t="s">
        <v>13</v>
      </c>
      <c r="H213" s="23">
        <v>2000000</v>
      </c>
      <c r="I213" s="23">
        <v>1450449</v>
      </c>
      <c r="J213" s="22" t="s">
        <v>272</v>
      </c>
      <c r="K213" s="22" t="s">
        <v>263</v>
      </c>
      <c r="L213" s="22" t="s">
        <v>16</v>
      </c>
      <c r="M213" s="64"/>
    </row>
    <row r="214" spans="1:13" x14ac:dyDescent="0.25">
      <c r="A214" s="16"/>
      <c r="B214" s="57" t="s">
        <v>451</v>
      </c>
      <c r="C214" s="58">
        <v>2015</v>
      </c>
      <c r="D214" s="22" t="s">
        <v>270</v>
      </c>
      <c r="E214" s="22" t="s">
        <v>26</v>
      </c>
      <c r="F214" s="22" t="s">
        <v>271</v>
      </c>
      <c r="G214" s="22" t="s">
        <v>18</v>
      </c>
      <c r="H214" s="23">
        <v>2000000</v>
      </c>
      <c r="I214" s="23">
        <v>1305204</v>
      </c>
      <c r="J214" s="22" t="s">
        <v>286</v>
      </c>
      <c r="K214" s="22" t="s">
        <v>263</v>
      </c>
      <c r="L214" s="22" t="s">
        <v>20</v>
      </c>
      <c r="M214" s="64"/>
    </row>
    <row r="215" spans="1:13" x14ac:dyDescent="0.25">
      <c r="A215" s="16"/>
      <c r="B215" s="57" t="s">
        <v>451</v>
      </c>
      <c r="C215" s="58">
        <v>2015</v>
      </c>
      <c r="D215" s="22" t="s">
        <v>270</v>
      </c>
      <c r="E215" s="22" t="s">
        <v>26</v>
      </c>
      <c r="F215" s="22" t="s">
        <v>271</v>
      </c>
      <c r="G215" s="22" t="s">
        <v>21</v>
      </c>
      <c r="H215" s="23">
        <v>0</v>
      </c>
      <c r="I215" s="23">
        <v>52984</v>
      </c>
      <c r="J215" s="22" t="s">
        <v>297</v>
      </c>
      <c r="K215" s="22" t="s">
        <v>263</v>
      </c>
      <c r="L215" s="22" t="s">
        <v>23</v>
      </c>
      <c r="M215" s="64"/>
    </row>
    <row r="216" spans="1:13" x14ac:dyDescent="0.25">
      <c r="A216" s="16"/>
      <c r="B216" s="57" t="s">
        <v>452</v>
      </c>
      <c r="C216" s="58">
        <v>2015</v>
      </c>
      <c r="D216" s="22" t="s">
        <v>274</v>
      </c>
      <c r="E216" s="22" t="s">
        <v>26</v>
      </c>
      <c r="F216" s="22" t="s">
        <v>275</v>
      </c>
      <c r="G216" s="22" t="s">
        <v>21</v>
      </c>
      <c r="H216" s="61"/>
      <c r="I216" s="23">
        <v>170489</v>
      </c>
      <c r="J216" s="22" t="s">
        <v>296</v>
      </c>
      <c r="K216" s="22" t="s">
        <v>263</v>
      </c>
      <c r="L216" s="22" t="s">
        <v>23</v>
      </c>
      <c r="M216" s="64"/>
    </row>
    <row r="217" spans="1:13" ht="14.1" customHeight="1" x14ac:dyDescent="0.25">
      <c r="A217" s="16"/>
      <c r="B217" s="17"/>
      <c r="C217" s="18"/>
      <c r="D217" s="19"/>
      <c r="E217" s="19"/>
      <c r="F217" s="19"/>
      <c r="G217" s="401" t="s">
        <v>466</v>
      </c>
      <c r="H217" s="401"/>
      <c r="I217" s="55">
        <f>I210+I215+I216</f>
        <v>402526</v>
      </c>
      <c r="J217" s="19"/>
      <c r="K217" s="19"/>
      <c r="L217" s="19"/>
      <c r="M217" s="20"/>
    </row>
    <row r="218" spans="1:13" x14ac:dyDescent="0.25">
      <c r="A218" s="16"/>
      <c r="B218" s="17"/>
      <c r="C218" s="18"/>
      <c r="D218" s="19"/>
      <c r="E218" s="19"/>
      <c r="F218" s="19"/>
      <c r="G218" s="401" t="s">
        <v>467</v>
      </c>
      <c r="H218" s="401"/>
      <c r="I218" s="55">
        <f>I211</f>
        <v>237047</v>
      </c>
      <c r="J218" s="19"/>
      <c r="K218" s="19"/>
      <c r="L218" s="19"/>
      <c r="M218" s="20"/>
    </row>
    <row r="219" spans="1:13" ht="26.25" x14ac:dyDescent="0.25">
      <c r="A219" s="16"/>
      <c r="B219" s="57" t="s">
        <v>449</v>
      </c>
      <c r="C219" s="58">
        <v>2016</v>
      </c>
      <c r="D219" s="22" t="s">
        <v>264</v>
      </c>
      <c r="E219" s="22" t="s">
        <v>17</v>
      </c>
      <c r="F219" s="22" t="s">
        <v>265</v>
      </c>
      <c r="G219" s="22" t="s">
        <v>13</v>
      </c>
      <c r="H219" s="23">
        <v>1812353</v>
      </c>
      <c r="I219" s="23">
        <v>2150322</v>
      </c>
      <c r="J219" s="22" t="s">
        <v>273</v>
      </c>
      <c r="K219" s="22" t="s">
        <v>263</v>
      </c>
      <c r="L219" s="22" t="s">
        <v>16</v>
      </c>
      <c r="M219" s="20"/>
    </row>
    <row r="220" spans="1:13" x14ac:dyDescent="0.25">
      <c r="A220" s="16"/>
      <c r="B220" s="57" t="s">
        <v>449</v>
      </c>
      <c r="C220" s="58">
        <v>2016</v>
      </c>
      <c r="D220" s="22" t="s">
        <v>264</v>
      </c>
      <c r="E220" s="22" t="s">
        <v>17</v>
      </c>
      <c r="F220" s="22" t="s">
        <v>265</v>
      </c>
      <c r="G220" s="22" t="s">
        <v>18</v>
      </c>
      <c r="H220" s="23">
        <v>1812353</v>
      </c>
      <c r="I220" s="23">
        <v>2150322</v>
      </c>
      <c r="J220" s="22" t="s">
        <v>287</v>
      </c>
      <c r="K220" s="22" t="s">
        <v>263</v>
      </c>
      <c r="L220" s="22" t="s">
        <v>20</v>
      </c>
      <c r="M220" s="20"/>
    </row>
    <row r="221" spans="1:13" x14ac:dyDescent="0.25">
      <c r="A221" s="16"/>
      <c r="B221" s="57" t="s">
        <v>449</v>
      </c>
      <c r="C221" s="58">
        <v>2016</v>
      </c>
      <c r="D221" s="22" t="s">
        <v>264</v>
      </c>
      <c r="E221" s="22" t="s">
        <v>17</v>
      </c>
      <c r="F221" s="22" t="s">
        <v>265</v>
      </c>
      <c r="G221" s="22" t="s">
        <v>21</v>
      </c>
      <c r="H221" s="23">
        <v>554424</v>
      </c>
      <c r="I221" s="23">
        <v>116066</v>
      </c>
      <c r="J221" s="22" t="s">
        <v>298</v>
      </c>
      <c r="K221" s="22" t="s">
        <v>263</v>
      </c>
      <c r="L221" s="22" t="s">
        <v>23</v>
      </c>
      <c r="M221" s="20"/>
    </row>
    <row r="222" spans="1:13" x14ac:dyDescent="0.25">
      <c r="A222" s="16"/>
      <c r="B222" s="57" t="s">
        <v>449</v>
      </c>
      <c r="C222" s="58">
        <v>2016</v>
      </c>
      <c r="D222" s="22" t="s">
        <v>264</v>
      </c>
      <c r="E222" s="22" t="s">
        <v>17</v>
      </c>
      <c r="F222" s="22" t="s">
        <v>265</v>
      </c>
      <c r="G222" s="22" t="s">
        <v>30</v>
      </c>
      <c r="H222" s="23">
        <v>586183</v>
      </c>
      <c r="I222" s="23">
        <v>655671</v>
      </c>
      <c r="J222" s="22" t="s">
        <v>306</v>
      </c>
      <c r="K222" s="22" t="s">
        <v>263</v>
      </c>
      <c r="L222" s="22" t="s">
        <v>32</v>
      </c>
      <c r="M222" s="20"/>
    </row>
    <row r="223" spans="1:13" ht="26.25" x14ac:dyDescent="0.25">
      <c r="A223" s="16"/>
      <c r="B223" s="57" t="s">
        <v>451</v>
      </c>
      <c r="C223" s="58">
        <v>2016</v>
      </c>
      <c r="D223" s="22" t="s">
        <v>270</v>
      </c>
      <c r="E223" s="22" t="s">
        <v>17</v>
      </c>
      <c r="F223" s="22" t="s">
        <v>271</v>
      </c>
      <c r="G223" s="22" t="s">
        <v>13</v>
      </c>
      <c r="H223" s="23">
        <v>2347686</v>
      </c>
      <c r="I223" s="23">
        <v>1656749</v>
      </c>
      <c r="J223" s="22" t="s">
        <v>280</v>
      </c>
      <c r="K223" s="22" t="s">
        <v>263</v>
      </c>
      <c r="L223" s="22" t="s">
        <v>16</v>
      </c>
      <c r="M223" s="20"/>
    </row>
    <row r="224" spans="1:13" x14ac:dyDescent="0.25">
      <c r="A224" s="16"/>
      <c r="B224" s="57" t="s">
        <v>451</v>
      </c>
      <c r="C224" s="58">
        <v>2016</v>
      </c>
      <c r="D224" s="22" t="s">
        <v>270</v>
      </c>
      <c r="E224" s="22" t="s">
        <v>17</v>
      </c>
      <c r="F224" s="22" t="s">
        <v>271</v>
      </c>
      <c r="G224" s="22" t="s">
        <v>18</v>
      </c>
      <c r="H224" s="23">
        <v>1924728</v>
      </c>
      <c r="I224" s="23">
        <v>690129</v>
      </c>
      <c r="J224" s="22" t="s">
        <v>290</v>
      </c>
      <c r="K224" s="22" t="s">
        <v>263</v>
      </c>
      <c r="L224" s="22" t="s">
        <v>20</v>
      </c>
      <c r="M224" s="20"/>
    </row>
    <row r="225" spans="1:13" x14ac:dyDescent="0.25">
      <c r="A225" s="16"/>
      <c r="B225" s="57" t="s">
        <v>451</v>
      </c>
      <c r="C225" s="58">
        <v>2016</v>
      </c>
      <c r="D225" s="22" t="s">
        <v>270</v>
      </c>
      <c r="E225" s="22" t="s">
        <v>17</v>
      </c>
      <c r="F225" s="22" t="s">
        <v>271</v>
      </c>
      <c r="G225" s="22" t="s">
        <v>21</v>
      </c>
      <c r="H225" s="23">
        <v>233169</v>
      </c>
      <c r="I225" s="23">
        <v>203074</v>
      </c>
      <c r="J225" s="22" t="s">
        <v>301</v>
      </c>
      <c r="K225" s="22" t="s">
        <v>263</v>
      </c>
      <c r="L225" s="22" t="s">
        <v>23</v>
      </c>
      <c r="M225" s="20"/>
    </row>
    <row r="226" spans="1:13" x14ac:dyDescent="0.25">
      <c r="A226" s="16"/>
      <c r="B226" s="57" t="s">
        <v>451</v>
      </c>
      <c r="C226" s="58">
        <v>2016</v>
      </c>
      <c r="D226" s="22" t="s">
        <v>270</v>
      </c>
      <c r="E226" s="22" t="s">
        <v>17</v>
      </c>
      <c r="F226" s="22" t="s">
        <v>271</v>
      </c>
      <c r="G226" s="22" t="s">
        <v>30</v>
      </c>
      <c r="H226" s="23">
        <v>959698</v>
      </c>
      <c r="I226" s="23">
        <v>813232</v>
      </c>
      <c r="J226" s="22" t="s">
        <v>307</v>
      </c>
      <c r="K226" s="22" t="s">
        <v>263</v>
      </c>
      <c r="L226" s="22" t="s">
        <v>32</v>
      </c>
      <c r="M226" s="20"/>
    </row>
    <row r="227" spans="1:13" x14ac:dyDescent="0.25">
      <c r="A227" s="16"/>
      <c r="B227" s="57"/>
      <c r="C227" s="58"/>
      <c r="D227" s="22"/>
      <c r="E227" s="22"/>
      <c r="F227" s="22"/>
      <c r="G227" s="22"/>
      <c r="H227" s="23"/>
      <c r="I227" s="23"/>
      <c r="J227" s="22"/>
      <c r="K227" s="22"/>
      <c r="L227" s="22"/>
      <c r="M227" s="20"/>
    </row>
    <row r="228" spans="1:13" ht="26.25" x14ac:dyDescent="0.25">
      <c r="A228" s="16"/>
      <c r="B228" s="57" t="s">
        <v>452</v>
      </c>
      <c r="C228" s="58">
        <v>2016</v>
      </c>
      <c r="D228" s="22" t="s">
        <v>274</v>
      </c>
      <c r="E228" s="22" t="s">
        <v>17</v>
      </c>
      <c r="F228" s="22" t="s">
        <v>275</v>
      </c>
      <c r="G228" s="22" t="s">
        <v>13</v>
      </c>
      <c r="H228" s="23">
        <v>1611354</v>
      </c>
      <c r="I228" s="23">
        <v>1843993</v>
      </c>
      <c r="J228" s="22" t="s">
        <v>276</v>
      </c>
      <c r="K228" s="22" t="s">
        <v>263</v>
      </c>
      <c r="L228" s="22" t="s">
        <v>16</v>
      </c>
      <c r="M228" s="20"/>
    </row>
    <row r="229" spans="1:13" x14ac:dyDescent="0.25">
      <c r="A229" s="16"/>
      <c r="B229" s="57" t="s">
        <v>452</v>
      </c>
      <c r="C229" s="58">
        <v>2016</v>
      </c>
      <c r="D229" s="22" t="s">
        <v>274</v>
      </c>
      <c r="E229" s="22" t="s">
        <v>17</v>
      </c>
      <c r="F229" s="22" t="s">
        <v>275</v>
      </c>
      <c r="G229" s="22" t="s">
        <v>18</v>
      </c>
      <c r="H229" s="23">
        <v>1667186</v>
      </c>
      <c r="I229" s="23">
        <v>2078714</v>
      </c>
      <c r="J229" s="22" t="s">
        <v>288</v>
      </c>
      <c r="K229" s="22" t="s">
        <v>263</v>
      </c>
      <c r="L229" s="22" t="s">
        <v>20</v>
      </c>
      <c r="M229" s="20"/>
    </row>
    <row r="230" spans="1:13" x14ac:dyDescent="0.25">
      <c r="A230" s="16"/>
      <c r="B230" s="57" t="s">
        <v>452</v>
      </c>
      <c r="C230" s="58">
        <v>2016</v>
      </c>
      <c r="D230" s="22" t="s">
        <v>274</v>
      </c>
      <c r="E230" s="22" t="s">
        <v>17</v>
      </c>
      <c r="F230" s="22" t="s">
        <v>275</v>
      </c>
      <c r="G230" s="22" t="s">
        <v>21</v>
      </c>
      <c r="H230" s="23">
        <v>186281</v>
      </c>
      <c r="I230" s="23">
        <v>545413</v>
      </c>
      <c r="J230" s="22" t="s">
        <v>299</v>
      </c>
      <c r="K230" s="22" t="s">
        <v>263</v>
      </c>
      <c r="L230" s="22" t="s">
        <v>23</v>
      </c>
      <c r="M230" s="20"/>
    </row>
    <row r="231" spans="1:13" ht="26.25" x14ac:dyDescent="0.25">
      <c r="A231" s="16"/>
      <c r="B231" s="57" t="s">
        <v>453</v>
      </c>
      <c r="C231" s="58">
        <v>2016</v>
      </c>
      <c r="D231" s="22" t="s">
        <v>277</v>
      </c>
      <c r="E231" s="22" t="s">
        <v>17</v>
      </c>
      <c r="F231" s="22" t="s">
        <v>278</v>
      </c>
      <c r="G231" s="22" t="s">
        <v>13</v>
      </c>
      <c r="H231" s="23">
        <v>1092282</v>
      </c>
      <c r="I231" s="23">
        <v>933708</v>
      </c>
      <c r="J231" s="22" t="s">
        <v>279</v>
      </c>
      <c r="K231" s="22" t="s">
        <v>263</v>
      </c>
      <c r="L231" s="22" t="s">
        <v>16</v>
      </c>
      <c r="M231" s="20"/>
    </row>
    <row r="232" spans="1:13" x14ac:dyDescent="0.25">
      <c r="A232" s="16"/>
      <c r="B232" s="57" t="s">
        <v>453</v>
      </c>
      <c r="C232" s="58">
        <v>2016</v>
      </c>
      <c r="D232" s="22" t="s">
        <v>277</v>
      </c>
      <c r="E232" s="22" t="s">
        <v>17</v>
      </c>
      <c r="F232" s="22" t="s">
        <v>278</v>
      </c>
      <c r="G232" s="22" t="s">
        <v>18</v>
      </c>
      <c r="H232" s="23">
        <v>102123</v>
      </c>
      <c r="I232" s="23">
        <v>122956</v>
      </c>
      <c r="J232" s="22" t="s">
        <v>289</v>
      </c>
      <c r="K232" s="22" t="s">
        <v>263</v>
      </c>
      <c r="L232" s="22" t="s">
        <v>20</v>
      </c>
      <c r="M232" s="20"/>
    </row>
    <row r="233" spans="1:13" x14ac:dyDescent="0.25">
      <c r="A233" s="16"/>
      <c r="B233" s="57" t="s">
        <v>453</v>
      </c>
      <c r="C233" s="58">
        <v>2016</v>
      </c>
      <c r="D233" s="22" t="s">
        <v>277</v>
      </c>
      <c r="E233" s="22" t="s">
        <v>17</v>
      </c>
      <c r="F233" s="22" t="s">
        <v>278</v>
      </c>
      <c r="G233" s="22" t="s">
        <v>21</v>
      </c>
      <c r="H233" s="23">
        <v>69639</v>
      </c>
      <c r="I233" s="23">
        <v>81035</v>
      </c>
      <c r="J233" s="22" t="s">
        <v>300</v>
      </c>
      <c r="K233" s="22" t="s">
        <v>263</v>
      </c>
      <c r="L233" s="22" t="s">
        <v>23</v>
      </c>
      <c r="M233" s="20"/>
    </row>
    <row r="234" spans="1:13" x14ac:dyDescent="0.25">
      <c r="A234" s="16"/>
      <c r="B234" s="57" t="s">
        <v>453</v>
      </c>
      <c r="C234" s="58">
        <v>2016</v>
      </c>
      <c r="D234" s="22" t="s">
        <v>277</v>
      </c>
      <c r="E234" s="22" t="s">
        <v>17</v>
      </c>
      <c r="F234" s="22" t="s">
        <v>278</v>
      </c>
      <c r="G234" s="22" t="s">
        <v>30</v>
      </c>
      <c r="H234" s="23">
        <v>1092282</v>
      </c>
      <c r="I234" s="23">
        <v>933708</v>
      </c>
      <c r="J234" s="22" t="s">
        <v>308</v>
      </c>
      <c r="K234" s="22" t="s">
        <v>263</v>
      </c>
      <c r="L234" s="22" t="s">
        <v>32</v>
      </c>
      <c r="M234" s="399"/>
    </row>
    <row r="235" spans="1:13" x14ac:dyDescent="0.25">
      <c r="A235" s="16"/>
      <c r="B235" s="57" t="s">
        <v>453</v>
      </c>
      <c r="C235" s="58">
        <v>2016</v>
      </c>
      <c r="D235" s="22" t="s">
        <v>277</v>
      </c>
      <c r="E235" s="22" t="s">
        <v>17</v>
      </c>
      <c r="F235" s="22" t="s">
        <v>278</v>
      </c>
      <c r="G235" s="22" t="s">
        <v>30</v>
      </c>
      <c r="H235" s="23">
        <v>467060</v>
      </c>
      <c r="I235" s="23">
        <v>516661</v>
      </c>
      <c r="J235" s="22" t="s">
        <v>309</v>
      </c>
      <c r="K235" s="22" t="s">
        <v>263</v>
      </c>
      <c r="L235" s="22" t="s">
        <v>32</v>
      </c>
      <c r="M235" s="399"/>
    </row>
    <row r="236" spans="1:13" x14ac:dyDescent="0.25">
      <c r="A236" s="16"/>
      <c r="B236" s="31"/>
      <c r="C236" s="21"/>
      <c r="D236" s="22"/>
      <c r="E236" s="22"/>
      <c r="F236" s="22"/>
      <c r="G236" s="401" t="s">
        <v>468</v>
      </c>
      <c r="H236" s="401"/>
      <c r="I236" s="55">
        <f>I221+I225+I230+I233</f>
        <v>945588</v>
      </c>
      <c r="J236" s="22"/>
      <c r="K236" s="22"/>
      <c r="L236" s="22"/>
      <c r="M236" s="67"/>
    </row>
    <row r="237" spans="1:13" x14ac:dyDescent="0.25">
      <c r="A237" s="16"/>
      <c r="B237" s="17"/>
      <c r="C237" s="18"/>
      <c r="D237" s="19"/>
      <c r="E237" s="19"/>
      <c r="F237" s="19"/>
      <c r="G237" s="401" t="s">
        <v>469</v>
      </c>
      <c r="H237" s="401"/>
      <c r="I237" s="55">
        <f>I222+I226+I234+I235</f>
        <v>2919272</v>
      </c>
      <c r="J237" s="19"/>
      <c r="K237" s="19"/>
      <c r="L237" s="19"/>
      <c r="M237" s="20"/>
    </row>
    <row r="238" spans="1:13" ht="26.25" x14ac:dyDescent="0.25">
      <c r="A238" s="16"/>
      <c r="B238" s="31" t="s">
        <v>451</v>
      </c>
      <c r="C238" s="21" t="s">
        <v>422</v>
      </c>
      <c r="D238" s="22" t="s">
        <v>270</v>
      </c>
      <c r="E238" s="22" t="s">
        <v>29</v>
      </c>
      <c r="F238" s="22" t="s">
        <v>271</v>
      </c>
      <c r="G238" s="22" t="s">
        <v>13</v>
      </c>
      <c r="H238" s="23">
        <v>3158371</v>
      </c>
      <c r="I238" s="32"/>
      <c r="J238" s="22" t="s">
        <v>283</v>
      </c>
      <c r="K238" s="22" t="s">
        <v>263</v>
      </c>
      <c r="L238" s="22" t="s">
        <v>16</v>
      </c>
      <c r="M238" s="20"/>
    </row>
    <row r="239" spans="1:13" x14ac:dyDescent="0.25">
      <c r="A239" s="16"/>
      <c r="B239" s="31" t="s">
        <v>451</v>
      </c>
      <c r="C239" s="21" t="s">
        <v>422</v>
      </c>
      <c r="D239" s="22" t="s">
        <v>270</v>
      </c>
      <c r="E239" s="22" t="s">
        <v>29</v>
      </c>
      <c r="F239" s="22" t="s">
        <v>271</v>
      </c>
      <c r="G239" s="22" t="s">
        <v>18</v>
      </c>
      <c r="H239" s="23">
        <v>2589362</v>
      </c>
      <c r="I239" s="32"/>
      <c r="J239" s="22" t="s">
        <v>293</v>
      </c>
      <c r="K239" s="22" t="s">
        <v>263</v>
      </c>
      <c r="L239" s="22" t="s">
        <v>20</v>
      </c>
      <c r="M239" s="20"/>
    </row>
    <row r="240" spans="1:13" x14ac:dyDescent="0.25">
      <c r="A240" s="56"/>
      <c r="B240" s="57" t="s">
        <v>451</v>
      </c>
      <c r="C240" s="58" t="s">
        <v>422</v>
      </c>
      <c r="D240" s="22" t="s">
        <v>270</v>
      </c>
      <c r="E240" s="22" t="s">
        <v>29</v>
      </c>
      <c r="F240" s="22" t="s">
        <v>271</v>
      </c>
      <c r="G240" s="22" t="s">
        <v>21</v>
      </c>
      <c r="H240" s="23">
        <v>603822</v>
      </c>
      <c r="I240" s="61"/>
      <c r="J240" s="22" t="s">
        <v>303</v>
      </c>
      <c r="K240" s="22" t="s">
        <v>263</v>
      </c>
      <c r="L240" s="22" t="s">
        <v>23</v>
      </c>
      <c r="M240" s="20"/>
    </row>
    <row r="241" spans="1:13" x14ac:dyDescent="0.25">
      <c r="A241" s="56"/>
      <c r="B241" s="57" t="s">
        <v>451</v>
      </c>
      <c r="C241" s="58" t="s">
        <v>422</v>
      </c>
      <c r="D241" s="22" t="s">
        <v>270</v>
      </c>
      <c r="E241" s="22" t="s">
        <v>29</v>
      </c>
      <c r="F241" s="22" t="s">
        <v>271</v>
      </c>
      <c r="G241" s="22" t="s">
        <v>30</v>
      </c>
      <c r="H241" s="23">
        <v>959698</v>
      </c>
      <c r="I241" s="61"/>
      <c r="J241" s="22" t="s">
        <v>310</v>
      </c>
      <c r="K241" s="22" t="s">
        <v>263</v>
      </c>
      <c r="L241" s="22" t="s">
        <v>32</v>
      </c>
      <c r="M241" s="20"/>
    </row>
    <row r="242" spans="1:13" ht="26.25" x14ac:dyDescent="0.25">
      <c r="A242" s="56"/>
      <c r="B242" s="57" t="s">
        <v>452</v>
      </c>
      <c r="C242" s="58" t="s">
        <v>422</v>
      </c>
      <c r="D242" s="22" t="s">
        <v>274</v>
      </c>
      <c r="E242" s="22" t="s">
        <v>29</v>
      </c>
      <c r="F242" s="22" t="s">
        <v>275</v>
      </c>
      <c r="G242" s="22" t="s">
        <v>13</v>
      </c>
      <c r="H242" s="23">
        <v>2116160</v>
      </c>
      <c r="I242" s="61"/>
      <c r="J242" s="22" t="s">
        <v>281</v>
      </c>
      <c r="K242" s="22" t="s">
        <v>263</v>
      </c>
      <c r="L242" s="22" t="s">
        <v>16</v>
      </c>
      <c r="M242" s="20"/>
    </row>
    <row r="243" spans="1:13" x14ac:dyDescent="0.25">
      <c r="A243" s="16"/>
      <c r="B243" s="31" t="s">
        <v>452</v>
      </c>
      <c r="C243" s="21" t="s">
        <v>422</v>
      </c>
      <c r="D243" s="22" t="s">
        <v>274</v>
      </c>
      <c r="E243" s="22" t="s">
        <v>29</v>
      </c>
      <c r="F243" s="22" t="s">
        <v>275</v>
      </c>
      <c r="G243" s="22" t="s">
        <v>18</v>
      </c>
      <c r="H243" s="23">
        <v>1687024</v>
      </c>
      <c r="I243" s="32"/>
      <c r="J243" s="22" t="s">
        <v>291</v>
      </c>
      <c r="K243" s="22" t="s">
        <v>263</v>
      </c>
      <c r="L243" s="22" t="s">
        <v>20</v>
      </c>
      <c r="M243" s="20"/>
    </row>
    <row r="244" spans="1:13" ht="26.25" x14ac:dyDescent="0.25">
      <c r="A244" s="16"/>
      <c r="B244" s="31" t="s">
        <v>453</v>
      </c>
      <c r="C244" s="21" t="s">
        <v>422</v>
      </c>
      <c r="D244" s="22" t="s">
        <v>277</v>
      </c>
      <c r="E244" s="22" t="s">
        <v>29</v>
      </c>
      <c r="F244" s="22" t="s">
        <v>278</v>
      </c>
      <c r="G244" s="22" t="s">
        <v>13</v>
      </c>
      <c r="H244" s="23">
        <v>1119590</v>
      </c>
      <c r="I244" s="32"/>
      <c r="J244" s="22" t="s">
        <v>282</v>
      </c>
      <c r="K244" s="22" t="s">
        <v>263</v>
      </c>
      <c r="L244" s="22" t="s">
        <v>16</v>
      </c>
      <c r="M244" s="20"/>
    </row>
    <row r="245" spans="1:13" x14ac:dyDescent="0.25">
      <c r="A245" s="16"/>
      <c r="B245" s="31" t="s">
        <v>453</v>
      </c>
      <c r="C245" s="21" t="s">
        <v>422</v>
      </c>
      <c r="D245" s="22" t="s">
        <v>277</v>
      </c>
      <c r="E245" s="22" t="s">
        <v>29</v>
      </c>
      <c r="F245" s="22" t="s">
        <v>278</v>
      </c>
      <c r="G245" s="22" t="s">
        <v>18</v>
      </c>
      <c r="H245" s="23">
        <v>107294</v>
      </c>
      <c r="I245" s="32"/>
      <c r="J245" s="22" t="s">
        <v>292</v>
      </c>
      <c r="K245" s="22" t="s">
        <v>263</v>
      </c>
      <c r="L245" s="22" t="s">
        <v>20</v>
      </c>
      <c r="M245" s="20"/>
    </row>
    <row r="246" spans="1:13" x14ac:dyDescent="0.25">
      <c r="A246" s="16"/>
      <c r="B246" s="31" t="s">
        <v>453</v>
      </c>
      <c r="C246" s="21" t="s">
        <v>422</v>
      </c>
      <c r="D246" s="22" t="s">
        <v>277</v>
      </c>
      <c r="E246" s="22" t="s">
        <v>29</v>
      </c>
      <c r="F246" s="22" t="s">
        <v>278</v>
      </c>
      <c r="G246" s="22" t="s">
        <v>21</v>
      </c>
      <c r="H246" s="23">
        <v>97322</v>
      </c>
      <c r="I246" s="32"/>
      <c r="J246" s="22" t="s">
        <v>302</v>
      </c>
      <c r="K246" s="22" t="s">
        <v>263</v>
      </c>
      <c r="L246" s="22" t="s">
        <v>23</v>
      </c>
      <c r="M246" s="20"/>
    </row>
    <row r="247" spans="1:13" x14ac:dyDescent="0.25">
      <c r="A247" s="16"/>
      <c r="B247" s="31" t="s">
        <v>453</v>
      </c>
      <c r="C247" s="21" t="s">
        <v>422</v>
      </c>
      <c r="D247" s="22" t="s">
        <v>277</v>
      </c>
      <c r="E247" s="22" t="s">
        <v>29</v>
      </c>
      <c r="F247" s="22" t="s">
        <v>278</v>
      </c>
      <c r="G247" s="22" t="s">
        <v>30</v>
      </c>
      <c r="H247" s="23">
        <v>1119590</v>
      </c>
      <c r="I247" s="32"/>
      <c r="J247" s="22" t="s">
        <v>311</v>
      </c>
      <c r="K247" s="22" t="s">
        <v>263</v>
      </c>
      <c r="L247" s="22" t="s">
        <v>32</v>
      </c>
      <c r="M247" s="399"/>
    </row>
    <row r="248" spans="1:13" x14ac:dyDescent="0.25">
      <c r="A248" s="16"/>
      <c r="B248" s="31" t="s">
        <v>453</v>
      </c>
      <c r="C248" s="21" t="s">
        <v>422</v>
      </c>
      <c r="D248" s="22" t="s">
        <v>277</v>
      </c>
      <c r="E248" s="22" t="s">
        <v>29</v>
      </c>
      <c r="F248" s="22" t="s">
        <v>278</v>
      </c>
      <c r="G248" s="22" t="s">
        <v>30</v>
      </c>
      <c r="H248" s="23">
        <v>1011697</v>
      </c>
      <c r="I248" s="32"/>
      <c r="J248" s="22" t="s">
        <v>312</v>
      </c>
      <c r="K248" s="22" t="s">
        <v>263</v>
      </c>
      <c r="L248" s="22" t="s">
        <v>32</v>
      </c>
      <c r="M248" s="399"/>
    </row>
    <row r="249" spans="1:13" x14ac:dyDescent="0.25">
      <c r="A249" s="16"/>
      <c r="B249" s="31"/>
      <c r="C249" s="21"/>
      <c r="D249" s="22"/>
      <c r="E249" s="22"/>
      <c r="F249" s="22"/>
      <c r="G249" s="401" t="s">
        <v>470</v>
      </c>
      <c r="H249" s="401"/>
      <c r="I249" s="55">
        <f>H240+H246</f>
        <v>701144</v>
      </c>
      <c r="J249" s="22"/>
      <c r="K249" s="22"/>
      <c r="L249" s="22"/>
      <c r="M249" s="67"/>
    </row>
    <row r="250" spans="1:13" x14ac:dyDescent="0.25">
      <c r="A250" s="16"/>
      <c r="B250" s="31"/>
      <c r="C250" s="21"/>
      <c r="D250" s="22"/>
      <c r="E250" s="22"/>
      <c r="F250" s="22"/>
      <c r="G250" s="401" t="s">
        <v>471</v>
      </c>
      <c r="H250" s="401"/>
      <c r="I250" s="55">
        <f>H241+H247+H248</f>
        <v>3090985</v>
      </c>
      <c r="J250" s="22"/>
      <c r="K250" s="22"/>
      <c r="L250" s="22"/>
      <c r="M250" s="67"/>
    </row>
    <row r="251" spans="1:13" x14ac:dyDescent="0.25">
      <c r="A251" s="14" t="s">
        <v>454</v>
      </c>
      <c r="B251" s="27" t="s">
        <v>436</v>
      </c>
      <c r="C251" s="28">
        <v>2013</v>
      </c>
      <c r="D251" s="29" t="s">
        <v>253</v>
      </c>
      <c r="E251" s="29" t="s">
        <v>33</v>
      </c>
      <c r="F251" s="29" t="s">
        <v>254</v>
      </c>
      <c r="G251" s="29" t="s">
        <v>21</v>
      </c>
      <c r="H251" s="42"/>
      <c r="I251" s="30">
        <v>29453</v>
      </c>
      <c r="J251" s="29" t="s">
        <v>257</v>
      </c>
      <c r="K251" s="29" t="s">
        <v>256</v>
      </c>
      <c r="L251" s="29" t="s">
        <v>23</v>
      </c>
      <c r="M251" s="15"/>
    </row>
    <row r="252" spans="1:13" x14ac:dyDescent="0.25">
      <c r="A252" s="16"/>
      <c r="B252" s="31" t="s">
        <v>436</v>
      </c>
      <c r="C252" s="21">
        <v>2013</v>
      </c>
      <c r="D252" s="22" t="s">
        <v>253</v>
      </c>
      <c r="E252" s="22" t="s">
        <v>33</v>
      </c>
      <c r="F252" s="22" t="s">
        <v>254</v>
      </c>
      <c r="G252" s="22" t="s">
        <v>30</v>
      </c>
      <c r="H252" s="32"/>
      <c r="I252" s="23">
        <v>12911</v>
      </c>
      <c r="J252" s="22" t="s">
        <v>258</v>
      </c>
      <c r="K252" s="22" t="s">
        <v>256</v>
      </c>
      <c r="L252" s="22" t="s">
        <v>32</v>
      </c>
      <c r="M252" s="20"/>
    </row>
    <row r="253" spans="1:13" ht="26.25" x14ac:dyDescent="0.25">
      <c r="A253" s="16"/>
      <c r="B253" s="31" t="s">
        <v>436</v>
      </c>
      <c r="C253" s="21">
        <v>2013</v>
      </c>
      <c r="D253" s="22" t="s">
        <v>253</v>
      </c>
      <c r="E253" s="22" t="s">
        <v>33</v>
      </c>
      <c r="F253" s="22" t="s">
        <v>254</v>
      </c>
      <c r="G253" s="22" t="s">
        <v>13</v>
      </c>
      <c r="H253" s="32"/>
      <c r="I253" s="23">
        <v>26639</v>
      </c>
      <c r="J253" s="22" t="s">
        <v>255</v>
      </c>
      <c r="K253" s="22" t="s">
        <v>256</v>
      </c>
      <c r="L253" s="22" t="s">
        <v>16</v>
      </c>
      <c r="M253" s="20"/>
    </row>
    <row r="254" spans="1:13" x14ac:dyDescent="0.25">
      <c r="A254" s="16"/>
      <c r="B254" s="31" t="s">
        <v>436</v>
      </c>
      <c r="C254" s="21">
        <v>2013</v>
      </c>
      <c r="D254" s="22" t="s">
        <v>253</v>
      </c>
      <c r="E254" s="22" t="s">
        <v>33</v>
      </c>
      <c r="F254" s="22" t="s">
        <v>254</v>
      </c>
      <c r="G254" s="22" t="s">
        <v>40</v>
      </c>
      <c r="H254" s="32"/>
      <c r="I254" s="23">
        <v>14456</v>
      </c>
      <c r="J254" s="22" t="s">
        <v>259</v>
      </c>
      <c r="K254" s="22" t="s">
        <v>256</v>
      </c>
      <c r="L254" s="22" t="s">
        <v>43</v>
      </c>
      <c r="M254" s="20"/>
    </row>
    <row r="255" spans="1:13" x14ac:dyDescent="0.25">
      <c r="A255" s="16"/>
      <c r="B255" s="31"/>
      <c r="C255" s="21"/>
      <c r="D255" s="22"/>
      <c r="E255" s="22"/>
      <c r="F255" s="22"/>
      <c r="G255" s="401" t="s">
        <v>476</v>
      </c>
      <c r="H255" s="401"/>
      <c r="I255" s="55">
        <f>I251</f>
        <v>29453</v>
      </c>
      <c r="J255" s="22"/>
      <c r="K255" s="22"/>
      <c r="L255" s="22"/>
      <c r="M255" s="20"/>
    </row>
    <row r="256" spans="1:13" x14ac:dyDescent="0.25">
      <c r="A256" s="16"/>
      <c r="B256" s="31"/>
      <c r="C256" s="21"/>
      <c r="D256" s="22"/>
      <c r="E256" s="22"/>
      <c r="F256" s="22"/>
      <c r="G256" s="401" t="s">
        <v>477</v>
      </c>
      <c r="H256" s="401"/>
      <c r="I256" s="55">
        <f>I252</f>
        <v>12911</v>
      </c>
      <c r="J256" s="22"/>
      <c r="K256" s="22"/>
      <c r="L256" s="22"/>
      <c r="M256" s="20"/>
    </row>
    <row r="257" spans="1:13" ht="27.95" customHeight="1" x14ac:dyDescent="0.25">
      <c r="A257" s="14" t="s">
        <v>415</v>
      </c>
      <c r="B257" s="27" t="s">
        <v>433</v>
      </c>
      <c r="C257" s="28">
        <v>2013</v>
      </c>
      <c r="D257" s="29" t="s">
        <v>314</v>
      </c>
      <c r="E257" s="29" t="s">
        <v>33</v>
      </c>
      <c r="F257" s="29" t="s">
        <v>315</v>
      </c>
      <c r="G257" s="29" t="s">
        <v>30</v>
      </c>
      <c r="H257" s="42"/>
      <c r="I257" s="357">
        <v>2806011</v>
      </c>
      <c r="J257" s="226" t="s">
        <v>323</v>
      </c>
      <c r="K257" s="226" t="s">
        <v>317</v>
      </c>
      <c r="L257" s="226" t="s">
        <v>32</v>
      </c>
      <c r="M257" s="403" t="s">
        <v>767</v>
      </c>
    </row>
    <row r="258" spans="1:13" ht="27.95" customHeight="1" x14ac:dyDescent="0.25">
      <c r="A258" s="16"/>
      <c r="B258" s="31" t="s">
        <v>433</v>
      </c>
      <c r="C258" s="21">
        <v>2013</v>
      </c>
      <c r="D258" s="22" t="s">
        <v>314</v>
      </c>
      <c r="E258" s="22" t="s">
        <v>33</v>
      </c>
      <c r="F258" s="22" t="s">
        <v>315</v>
      </c>
      <c r="G258" s="22" t="s">
        <v>165</v>
      </c>
      <c r="H258" s="32"/>
      <c r="I258" s="52">
        <v>1318077</v>
      </c>
      <c r="J258" s="49" t="s">
        <v>324</v>
      </c>
      <c r="K258" s="49" t="s">
        <v>317</v>
      </c>
      <c r="L258" s="49" t="s">
        <v>32</v>
      </c>
      <c r="M258" s="404"/>
    </row>
    <row r="259" spans="1:13" x14ac:dyDescent="0.25">
      <c r="A259" s="16"/>
      <c r="B259" s="31"/>
      <c r="C259" s="21"/>
      <c r="D259" s="22"/>
      <c r="E259" s="22"/>
      <c r="F259" s="22"/>
      <c r="G259" s="401" t="s">
        <v>476</v>
      </c>
      <c r="H259" s="401"/>
      <c r="I259" s="55">
        <f>0</f>
        <v>0</v>
      </c>
      <c r="J259" s="22"/>
      <c r="K259" s="22"/>
      <c r="L259" s="22"/>
      <c r="M259" s="152"/>
    </row>
    <row r="260" spans="1:13" x14ac:dyDescent="0.25">
      <c r="A260" s="16"/>
      <c r="B260" s="31"/>
      <c r="C260" s="21"/>
      <c r="D260" s="22"/>
      <c r="E260" s="22"/>
      <c r="F260" s="22"/>
      <c r="G260" s="401" t="s">
        <v>477</v>
      </c>
      <c r="H260" s="401"/>
      <c r="I260" s="55">
        <f>I257+I258</f>
        <v>4124088</v>
      </c>
      <c r="J260" s="22"/>
      <c r="K260" s="22"/>
      <c r="L260" s="22"/>
      <c r="M260" s="153"/>
    </row>
    <row r="261" spans="1:13" x14ac:dyDescent="0.25">
      <c r="A261" s="16"/>
      <c r="B261" s="31" t="s">
        <v>433</v>
      </c>
      <c r="C261" s="21">
        <v>2014</v>
      </c>
      <c r="D261" s="22" t="s">
        <v>314</v>
      </c>
      <c r="E261" s="22" t="s">
        <v>24</v>
      </c>
      <c r="F261" s="22" t="s">
        <v>315</v>
      </c>
      <c r="G261" s="22" t="s">
        <v>30</v>
      </c>
      <c r="H261" s="23">
        <v>3101061</v>
      </c>
      <c r="I261" s="23">
        <v>3027176</v>
      </c>
      <c r="J261" s="22" t="s">
        <v>325</v>
      </c>
      <c r="K261" s="22" t="s">
        <v>317</v>
      </c>
      <c r="L261" s="22" t="s">
        <v>32</v>
      </c>
      <c r="M261" s="153"/>
    </row>
    <row r="262" spans="1:13" x14ac:dyDescent="0.25">
      <c r="A262" s="16"/>
      <c r="B262" s="31" t="s">
        <v>433</v>
      </c>
      <c r="C262" s="21">
        <v>2014</v>
      </c>
      <c r="D262" s="22" t="s">
        <v>314</v>
      </c>
      <c r="E262" s="22" t="s">
        <v>24</v>
      </c>
      <c r="F262" s="22" t="s">
        <v>315</v>
      </c>
      <c r="G262" s="22" t="s">
        <v>165</v>
      </c>
      <c r="H262" s="23">
        <v>1340133</v>
      </c>
      <c r="I262" s="23">
        <v>2421509</v>
      </c>
      <c r="J262" s="22" t="s">
        <v>326</v>
      </c>
      <c r="K262" s="22" t="s">
        <v>317</v>
      </c>
      <c r="L262" s="22" t="s">
        <v>32</v>
      </c>
      <c r="M262" s="153"/>
    </row>
    <row r="263" spans="1:13" x14ac:dyDescent="0.25">
      <c r="A263" s="16"/>
      <c r="B263" s="31" t="s">
        <v>433</v>
      </c>
      <c r="C263" s="21">
        <v>2014</v>
      </c>
      <c r="D263" s="22" t="s">
        <v>314</v>
      </c>
      <c r="E263" s="22" t="s">
        <v>24</v>
      </c>
      <c r="F263" s="22" t="s">
        <v>315</v>
      </c>
      <c r="G263" s="22" t="s">
        <v>21</v>
      </c>
      <c r="H263" s="23">
        <v>210772</v>
      </c>
      <c r="I263" s="23">
        <v>174762</v>
      </c>
      <c r="J263" s="22" t="s">
        <v>316</v>
      </c>
      <c r="K263" s="22" t="s">
        <v>317</v>
      </c>
      <c r="L263" s="22" t="s">
        <v>23</v>
      </c>
      <c r="M263" s="152"/>
    </row>
    <row r="264" spans="1:13" x14ac:dyDescent="0.25">
      <c r="A264" s="16"/>
      <c r="B264" s="31"/>
      <c r="C264" s="21"/>
      <c r="D264" s="22"/>
      <c r="E264" s="22"/>
      <c r="F264" s="22"/>
      <c r="G264" s="401" t="s">
        <v>472</v>
      </c>
      <c r="H264" s="401"/>
      <c r="I264" s="55">
        <f>I263</f>
        <v>174762</v>
      </c>
      <c r="J264" s="22"/>
      <c r="K264" s="22"/>
      <c r="L264" s="22"/>
      <c r="M264" s="152"/>
    </row>
    <row r="265" spans="1:13" x14ac:dyDescent="0.25">
      <c r="A265" s="16"/>
      <c r="B265" s="31"/>
      <c r="C265" s="21"/>
      <c r="D265" s="22"/>
      <c r="E265" s="22"/>
      <c r="F265" s="22"/>
      <c r="G265" s="401" t="s">
        <v>473</v>
      </c>
      <c r="H265" s="401"/>
      <c r="I265" s="55">
        <f>I261+I262</f>
        <v>5448685</v>
      </c>
      <c r="J265" s="22"/>
      <c r="K265" s="22"/>
      <c r="L265" s="22"/>
      <c r="M265" s="20"/>
    </row>
    <row r="266" spans="1:13" x14ac:dyDescent="0.25">
      <c r="A266" s="16"/>
      <c r="B266" s="31" t="s">
        <v>433</v>
      </c>
      <c r="C266" s="21">
        <v>2015</v>
      </c>
      <c r="D266" s="22" t="s">
        <v>314</v>
      </c>
      <c r="E266" s="22" t="s">
        <v>26</v>
      </c>
      <c r="F266" s="22" t="s">
        <v>315</v>
      </c>
      <c r="G266" s="22" t="s">
        <v>21</v>
      </c>
      <c r="H266" s="23">
        <v>262818</v>
      </c>
      <c r="I266" s="23">
        <v>212224</v>
      </c>
      <c r="J266" s="22" t="s">
        <v>318</v>
      </c>
      <c r="K266" s="22" t="s">
        <v>317</v>
      </c>
      <c r="L266" s="22" t="s">
        <v>23</v>
      </c>
      <c r="M266" s="20"/>
    </row>
    <row r="267" spans="1:13" x14ac:dyDescent="0.25">
      <c r="A267" s="16"/>
      <c r="B267" s="31" t="s">
        <v>433</v>
      </c>
      <c r="C267" s="21">
        <v>2015</v>
      </c>
      <c r="D267" s="22" t="s">
        <v>314</v>
      </c>
      <c r="E267" s="22" t="s">
        <v>26</v>
      </c>
      <c r="F267" s="22" t="s">
        <v>315</v>
      </c>
      <c r="G267" s="22" t="s">
        <v>165</v>
      </c>
      <c r="H267" s="23">
        <v>0</v>
      </c>
      <c r="I267" s="23">
        <v>2429146</v>
      </c>
      <c r="J267" s="22" t="s">
        <v>327</v>
      </c>
      <c r="K267" s="22" t="s">
        <v>317</v>
      </c>
      <c r="L267" s="22" t="s">
        <v>32</v>
      </c>
      <c r="M267" s="20"/>
    </row>
    <row r="268" spans="1:13" x14ac:dyDescent="0.25">
      <c r="A268" s="16"/>
      <c r="B268" s="31" t="s">
        <v>433</v>
      </c>
      <c r="C268" s="21">
        <v>2015</v>
      </c>
      <c r="D268" s="22" t="s">
        <v>314</v>
      </c>
      <c r="E268" s="22" t="s">
        <v>26</v>
      </c>
      <c r="F268" s="22" t="s">
        <v>315</v>
      </c>
      <c r="G268" s="22" t="s">
        <v>165</v>
      </c>
      <c r="H268" s="23">
        <v>1262412</v>
      </c>
      <c r="I268" s="23">
        <v>1353665</v>
      </c>
      <c r="J268" s="22" t="s">
        <v>328</v>
      </c>
      <c r="K268" s="22" t="s">
        <v>317</v>
      </c>
      <c r="L268" s="22" t="s">
        <v>32</v>
      </c>
      <c r="M268" s="20"/>
    </row>
    <row r="269" spans="1:13" x14ac:dyDescent="0.25">
      <c r="A269" s="16"/>
      <c r="B269" s="31" t="s">
        <v>433</v>
      </c>
      <c r="C269" s="21">
        <v>2015</v>
      </c>
      <c r="D269" s="22" t="s">
        <v>314</v>
      </c>
      <c r="E269" s="22" t="s">
        <v>26</v>
      </c>
      <c r="F269" s="22" t="s">
        <v>315</v>
      </c>
      <c r="G269" s="22" t="s">
        <v>30</v>
      </c>
      <c r="H269" s="23">
        <v>2933702</v>
      </c>
      <c r="I269" s="23">
        <v>1401435</v>
      </c>
      <c r="J269" s="22" t="s">
        <v>329</v>
      </c>
      <c r="K269" s="22" t="s">
        <v>317</v>
      </c>
      <c r="L269" s="22" t="s">
        <v>32</v>
      </c>
      <c r="M269" s="20"/>
    </row>
    <row r="270" spans="1:13" x14ac:dyDescent="0.25">
      <c r="A270" s="16"/>
      <c r="B270" s="31" t="s">
        <v>433</v>
      </c>
      <c r="C270" s="21">
        <v>2015</v>
      </c>
      <c r="D270" s="22" t="s">
        <v>314</v>
      </c>
      <c r="E270" s="22" t="s">
        <v>26</v>
      </c>
      <c r="F270" s="22" t="s">
        <v>315</v>
      </c>
      <c r="G270" s="22" t="s">
        <v>30</v>
      </c>
      <c r="H270" s="23">
        <v>0</v>
      </c>
      <c r="I270" s="23">
        <v>2916224</v>
      </c>
      <c r="J270" s="22" t="s">
        <v>330</v>
      </c>
      <c r="K270" s="22" t="s">
        <v>317</v>
      </c>
      <c r="L270" s="22" t="s">
        <v>32</v>
      </c>
      <c r="M270" s="20"/>
    </row>
    <row r="271" spans="1:13" x14ac:dyDescent="0.25">
      <c r="A271" s="16"/>
      <c r="B271" s="31"/>
      <c r="C271" s="21"/>
      <c r="D271" s="22"/>
      <c r="E271" s="22"/>
      <c r="F271" s="22"/>
      <c r="G271" s="401" t="s">
        <v>466</v>
      </c>
      <c r="H271" s="401"/>
      <c r="I271" s="55">
        <f>I266</f>
        <v>212224</v>
      </c>
      <c r="J271" s="22"/>
      <c r="K271" s="22"/>
      <c r="L271" s="22"/>
      <c r="M271" s="20"/>
    </row>
    <row r="272" spans="1:13" x14ac:dyDescent="0.25">
      <c r="A272" s="16"/>
      <c r="B272" s="31"/>
      <c r="C272" s="21"/>
      <c r="D272" s="22"/>
      <c r="E272" s="22"/>
      <c r="F272" s="22"/>
      <c r="G272" s="401" t="s">
        <v>467</v>
      </c>
      <c r="H272" s="401"/>
      <c r="I272" s="55">
        <f>I267+I268+I269+I270</f>
        <v>8100470</v>
      </c>
      <c r="J272" s="22"/>
      <c r="K272" s="22"/>
      <c r="L272" s="22"/>
      <c r="M272" s="153"/>
    </row>
    <row r="273" spans="1:13" x14ac:dyDescent="0.25">
      <c r="A273" s="16"/>
      <c r="B273" s="31" t="s">
        <v>433</v>
      </c>
      <c r="C273" s="21">
        <v>2016</v>
      </c>
      <c r="D273" s="22" t="s">
        <v>314</v>
      </c>
      <c r="E273" s="22" t="s">
        <v>17</v>
      </c>
      <c r="F273" s="22" t="s">
        <v>315</v>
      </c>
      <c r="G273" s="22" t="s">
        <v>165</v>
      </c>
      <c r="H273" s="23">
        <v>1375889</v>
      </c>
      <c r="I273" s="23">
        <v>1412841</v>
      </c>
      <c r="J273" s="22" t="s">
        <v>331</v>
      </c>
      <c r="K273" s="22" t="s">
        <v>317</v>
      </c>
      <c r="L273" s="22" t="s">
        <v>32</v>
      </c>
      <c r="M273" s="153"/>
    </row>
    <row r="274" spans="1:13" x14ac:dyDescent="0.25">
      <c r="A274" s="16"/>
      <c r="B274" s="31" t="s">
        <v>433</v>
      </c>
      <c r="C274" s="21">
        <v>2016</v>
      </c>
      <c r="D274" s="22" t="s">
        <v>314</v>
      </c>
      <c r="E274" s="22" t="s">
        <v>17</v>
      </c>
      <c r="F274" s="22" t="s">
        <v>315</v>
      </c>
      <c r="G274" s="22" t="s">
        <v>30</v>
      </c>
      <c r="H274" s="23">
        <v>3317377</v>
      </c>
      <c r="I274" s="23">
        <v>3323164</v>
      </c>
      <c r="J274" s="22" t="s">
        <v>332</v>
      </c>
      <c r="K274" s="22" t="s">
        <v>317</v>
      </c>
      <c r="L274" s="22" t="s">
        <v>32</v>
      </c>
      <c r="M274" s="153"/>
    </row>
    <row r="275" spans="1:13" x14ac:dyDescent="0.25">
      <c r="A275" s="16"/>
      <c r="B275" s="31"/>
      <c r="C275" s="21"/>
      <c r="D275" s="22"/>
      <c r="E275" s="22"/>
      <c r="F275" s="22"/>
      <c r="G275" s="401" t="s">
        <v>468</v>
      </c>
      <c r="H275" s="401"/>
      <c r="I275" s="55">
        <f>0</f>
        <v>0</v>
      </c>
      <c r="J275" s="22"/>
      <c r="K275" s="22"/>
      <c r="L275" s="22"/>
      <c r="M275" s="152"/>
    </row>
    <row r="276" spans="1:13" x14ac:dyDescent="0.25">
      <c r="A276" s="16"/>
      <c r="B276" s="31"/>
      <c r="C276" s="21"/>
      <c r="D276" s="22"/>
      <c r="E276" s="22"/>
      <c r="F276" s="22"/>
      <c r="G276" s="401" t="s">
        <v>469</v>
      </c>
      <c r="H276" s="401"/>
      <c r="I276" s="55">
        <f>I273+I274</f>
        <v>4736005</v>
      </c>
      <c r="J276" s="22"/>
      <c r="K276" s="22"/>
      <c r="L276" s="22"/>
      <c r="M276" s="20"/>
    </row>
    <row r="277" spans="1:13" ht="15.95" customHeight="1" x14ac:dyDescent="0.25">
      <c r="A277" s="16"/>
      <c r="B277" s="31" t="s">
        <v>455</v>
      </c>
      <c r="C277" s="21" t="s">
        <v>422</v>
      </c>
      <c r="D277" s="22" t="s">
        <v>319</v>
      </c>
      <c r="E277" s="22" t="s">
        <v>29</v>
      </c>
      <c r="F277" s="22" t="s">
        <v>320</v>
      </c>
      <c r="G277" s="22" t="s">
        <v>21</v>
      </c>
      <c r="H277" s="23">
        <v>237153</v>
      </c>
      <c r="I277" s="32"/>
      <c r="J277" s="22" t="s">
        <v>321</v>
      </c>
      <c r="K277" s="22" t="s">
        <v>317</v>
      </c>
      <c r="L277" s="22" t="s">
        <v>23</v>
      </c>
      <c r="M277" s="400"/>
    </row>
    <row r="278" spans="1:13" ht="15.95" customHeight="1" x14ac:dyDescent="0.25">
      <c r="A278" s="16"/>
      <c r="B278" s="31" t="s">
        <v>455</v>
      </c>
      <c r="C278" s="21" t="s">
        <v>422</v>
      </c>
      <c r="D278" s="22" t="s">
        <v>319</v>
      </c>
      <c r="E278" s="22" t="s">
        <v>29</v>
      </c>
      <c r="F278" s="22" t="s">
        <v>320</v>
      </c>
      <c r="G278" s="22" t="s">
        <v>21</v>
      </c>
      <c r="H278" s="23">
        <v>915389</v>
      </c>
      <c r="I278" s="32"/>
      <c r="J278" s="22" t="s">
        <v>322</v>
      </c>
      <c r="K278" s="22" t="s">
        <v>317</v>
      </c>
      <c r="L278" s="22" t="s">
        <v>23</v>
      </c>
      <c r="M278" s="400"/>
    </row>
    <row r="279" spans="1:13" ht="15.95" customHeight="1" x14ac:dyDescent="0.25">
      <c r="A279" s="16"/>
      <c r="B279" s="31" t="s">
        <v>455</v>
      </c>
      <c r="C279" s="21" t="s">
        <v>422</v>
      </c>
      <c r="D279" s="22" t="s">
        <v>319</v>
      </c>
      <c r="E279" s="22" t="s">
        <v>29</v>
      </c>
      <c r="F279" s="22" t="s">
        <v>320</v>
      </c>
      <c r="G279" s="22" t="s">
        <v>165</v>
      </c>
      <c r="H279" s="23">
        <v>1235365</v>
      </c>
      <c r="I279" s="32"/>
      <c r="J279" s="22" t="s">
        <v>333</v>
      </c>
      <c r="K279" s="22" t="s">
        <v>317</v>
      </c>
      <c r="L279" s="22" t="s">
        <v>32</v>
      </c>
      <c r="M279" s="400"/>
    </row>
    <row r="280" spans="1:13" ht="15.95" customHeight="1" x14ac:dyDescent="0.25">
      <c r="A280" s="16"/>
      <c r="B280" s="31" t="s">
        <v>455</v>
      </c>
      <c r="C280" s="21" t="s">
        <v>422</v>
      </c>
      <c r="D280" s="22" t="s">
        <v>319</v>
      </c>
      <c r="E280" s="22" t="s">
        <v>29</v>
      </c>
      <c r="F280" s="22" t="s">
        <v>320</v>
      </c>
      <c r="G280" s="22" t="s">
        <v>165</v>
      </c>
      <c r="H280" s="23">
        <v>1267483</v>
      </c>
      <c r="I280" s="32"/>
      <c r="J280" s="22" t="s">
        <v>334</v>
      </c>
      <c r="K280" s="22" t="s">
        <v>317</v>
      </c>
      <c r="L280" s="22" t="s">
        <v>32</v>
      </c>
      <c r="M280" s="400"/>
    </row>
    <row r="281" spans="1:13" ht="15.95" customHeight="1" x14ac:dyDescent="0.25">
      <c r="A281" s="16"/>
      <c r="B281" s="31" t="s">
        <v>455</v>
      </c>
      <c r="C281" s="21" t="s">
        <v>422</v>
      </c>
      <c r="D281" s="22" t="s">
        <v>319</v>
      </c>
      <c r="E281" s="22" t="s">
        <v>29</v>
      </c>
      <c r="F281" s="22" t="s">
        <v>320</v>
      </c>
      <c r="G281" s="22" t="s">
        <v>165</v>
      </c>
      <c r="H281" s="23">
        <v>1337899</v>
      </c>
      <c r="I281" s="32"/>
      <c r="J281" s="22" t="s">
        <v>335</v>
      </c>
      <c r="K281" s="22" t="s">
        <v>317</v>
      </c>
      <c r="L281" s="22" t="s">
        <v>32</v>
      </c>
      <c r="M281" s="400"/>
    </row>
    <row r="282" spans="1:13" ht="15.95" customHeight="1" x14ac:dyDescent="0.25">
      <c r="A282" s="16"/>
      <c r="B282" s="31" t="s">
        <v>455</v>
      </c>
      <c r="C282" s="21" t="s">
        <v>422</v>
      </c>
      <c r="D282" s="22" t="s">
        <v>319</v>
      </c>
      <c r="E282" s="22" t="s">
        <v>29</v>
      </c>
      <c r="F282" s="22" t="s">
        <v>320</v>
      </c>
      <c r="G282" s="22" t="s">
        <v>30</v>
      </c>
      <c r="H282" s="23">
        <v>2912527</v>
      </c>
      <c r="I282" s="32"/>
      <c r="J282" s="22" t="s">
        <v>336</v>
      </c>
      <c r="K282" s="22" t="s">
        <v>317</v>
      </c>
      <c r="L282" s="22" t="s">
        <v>32</v>
      </c>
      <c r="M282" s="400"/>
    </row>
    <row r="283" spans="1:13" s="31" customFormat="1" ht="15.95" customHeight="1" x14ac:dyDescent="0.25">
      <c r="A283" s="16"/>
      <c r="B283" s="31" t="s">
        <v>455</v>
      </c>
      <c r="C283" s="21" t="s">
        <v>422</v>
      </c>
      <c r="D283" s="22" t="s">
        <v>319</v>
      </c>
      <c r="E283" s="22" t="s">
        <v>29</v>
      </c>
      <c r="F283" s="22" t="s">
        <v>320</v>
      </c>
      <c r="G283" s="22" t="s">
        <v>30</v>
      </c>
      <c r="H283" s="23">
        <v>2988252</v>
      </c>
      <c r="I283" s="32"/>
      <c r="J283" s="22" t="s">
        <v>337</v>
      </c>
      <c r="K283" s="22" t="s">
        <v>317</v>
      </c>
      <c r="L283" s="22" t="s">
        <v>32</v>
      </c>
      <c r="M283" s="400"/>
    </row>
    <row r="284" spans="1:13" s="31" customFormat="1" ht="15.95" customHeight="1" x14ac:dyDescent="0.25">
      <c r="A284" s="16"/>
      <c r="B284" s="31" t="s">
        <v>455</v>
      </c>
      <c r="C284" s="21" t="s">
        <v>422</v>
      </c>
      <c r="D284" s="22" t="s">
        <v>319</v>
      </c>
      <c r="E284" s="22" t="s">
        <v>29</v>
      </c>
      <c r="F284" s="22" t="s">
        <v>320</v>
      </c>
      <c r="G284" s="22" t="s">
        <v>30</v>
      </c>
      <c r="H284" s="23">
        <v>3056167</v>
      </c>
      <c r="I284" s="32"/>
      <c r="J284" s="22" t="s">
        <v>338</v>
      </c>
      <c r="K284" s="22" t="s">
        <v>317</v>
      </c>
      <c r="L284" s="22" t="s">
        <v>32</v>
      </c>
      <c r="M284" s="400"/>
    </row>
    <row r="285" spans="1:13" s="31" customFormat="1" ht="15.95" customHeight="1" x14ac:dyDescent="0.25">
      <c r="A285" s="16"/>
      <c r="C285" s="21"/>
      <c r="D285" s="22"/>
      <c r="E285" s="22"/>
      <c r="F285" s="22"/>
      <c r="G285" s="401" t="s">
        <v>470</v>
      </c>
      <c r="H285" s="401"/>
      <c r="I285" s="55">
        <f>H277+H278</f>
        <v>1152542</v>
      </c>
      <c r="J285" s="22"/>
      <c r="K285" s="22"/>
      <c r="L285" s="22"/>
      <c r="M285" s="191"/>
    </row>
    <row r="286" spans="1:13" ht="15.95" customHeight="1" x14ac:dyDescent="0.25">
      <c r="A286" s="7"/>
      <c r="B286" s="8"/>
      <c r="C286" s="9"/>
      <c r="D286" s="10"/>
      <c r="E286" s="10"/>
      <c r="F286" s="10"/>
      <c r="G286" s="402" t="s">
        <v>471</v>
      </c>
      <c r="H286" s="402"/>
      <c r="I286" s="70">
        <f>H279+H280+H281+H282+H283+H284</f>
        <v>12797693</v>
      </c>
      <c r="J286" s="10"/>
      <c r="K286" s="10"/>
      <c r="L286" s="10"/>
      <c r="M286" s="192"/>
    </row>
    <row r="287" spans="1:13" x14ac:dyDescent="0.25">
      <c r="A287" s="16" t="s">
        <v>416</v>
      </c>
      <c r="B287" s="31" t="s">
        <v>424</v>
      </c>
      <c r="C287" s="21" t="s">
        <v>422</v>
      </c>
      <c r="D287" s="22" t="s">
        <v>339</v>
      </c>
      <c r="E287" s="22" t="s">
        <v>29</v>
      </c>
      <c r="F287" s="22" t="s">
        <v>340</v>
      </c>
      <c r="G287" s="22" t="s">
        <v>21</v>
      </c>
      <c r="H287" s="23">
        <v>880982</v>
      </c>
      <c r="I287" s="32"/>
      <c r="J287" s="22" t="s">
        <v>341</v>
      </c>
      <c r="K287" s="22" t="s">
        <v>342</v>
      </c>
      <c r="L287" s="22" t="s">
        <v>23</v>
      </c>
      <c r="M287" s="20"/>
    </row>
    <row r="288" spans="1:13" x14ac:dyDescent="0.25">
      <c r="A288" s="16"/>
      <c r="B288" s="31" t="s">
        <v>424</v>
      </c>
      <c r="C288" s="21" t="s">
        <v>422</v>
      </c>
      <c r="D288" s="22" t="s">
        <v>339</v>
      </c>
      <c r="E288" s="22" t="s">
        <v>29</v>
      </c>
      <c r="F288" s="22" t="s">
        <v>340</v>
      </c>
      <c r="G288" s="22" t="s">
        <v>165</v>
      </c>
      <c r="H288" s="23">
        <v>880982</v>
      </c>
      <c r="I288" s="32"/>
      <c r="J288" s="22" t="s">
        <v>343</v>
      </c>
      <c r="K288" s="22" t="s">
        <v>342</v>
      </c>
      <c r="L288" s="22" t="s">
        <v>32</v>
      </c>
      <c r="M288" s="398"/>
    </row>
    <row r="289" spans="1:13" x14ac:dyDescent="0.25">
      <c r="A289" s="16"/>
      <c r="B289" s="31" t="s">
        <v>424</v>
      </c>
      <c r="C289" s="21" t="s">
        <v>422</v>
      </c>
      <c r="D289" s="22" t="s">
        <v>339</v>
      </c>
      <c r="E289" s="22" t="s">
        <v>29</v>
      </c>
      <c r="F289" s="22" t="s">
        <v>340</v>
      </c>
      <c r="G289" s="22" t="s">
        <v>165</v>
      </c>
      <c r="H289" s="23">
        <v>328284</v>
      </c>
      <c r="I289" s="32"/>
      <c r="J289" s="22" t="s">
        <v>344</v>
      </c>
      <c r="K289" s="22" t="s">
        <v>342</v>
      </c>
      <c r="L289" s="22" t="s">
        <v>32</v>
      </c>
      <c r="M289" s="398"/>
    </row>
    <row r="290" spans="1:13" x14ac:dyDescent="0.25">
      <c r="A290" s="16"/>
      <c r="B290" s="31"/>
      <c r="C290" s="21"/>
      <c r="D290" s="22"/>
      <c r="E290" s="22"/>
      <c r="F290" s="22"/>
      <c r="G290" s="401" t="s">
        <v>470</v>
      </c>
      <c r="H290" s="401"/>
      <c r="I290" s="55">
        <f>H287</f>
        <v>880982</v>
      </c>
      <c r="J290" s="22"/>
      <c r="K290" s="22"/>
      <c r="L290" s="22"/>
      <c r="M290" s="53"/>
    </row>
    <row r="291" spans="1:13" x14ac:dyDescent="0.25">
      <c r="A291" s="7"/>
      <c r="B291" s="8"/>
      <c r="C291" s="9"/>
      <c r="D291" s="10"/>
      <c r="E291" s="10"/>
      <c r="F291" s="10"/>
      <c r="G291" s="402" t="s">
        <v>471</v>
      </c>
      <c r="H291" s="402"/>
      <c r="I291" s="70">
        <f>H288+H289</f>
        <v>1209266</v>
      </c>
      <c r="J291" s="10"/>
      <c r="K291" s="10"/>
      <c r="L291" s="10"/>
      <c r="M291" s="71"/>
    </row>
    <row r="292" spans="1:13" x14ac:dyDescent="0.25">
      <c r="A292" s="80" t="s">
        <v>417</v>
      </c>
      <c r="B292" s="81" t="s">
        <v>427</v>
      </c>
      <c r="C292" s="82">
        <v>2016</v>
      </c>
      <c r="D292" s="83" t="s">
        <v>345</v>
      </c>
      <c r="E292" s="83" t="s">
        <v>17</v>
      </c>
      <c r="F292" s="83" t="s">
        <v>346</v>
      </c>
      <c r="G292" s="83" t="s">
        <v>18</v>
      </c>
      <c r="H292" s="84">
        <v>144656</v>
      </c>
      <c r="I292" s="85"/>
      <c r="J292" s="83" t="s">
        <v>347</v>
      </c>
      <c r="K292" s="83" t="s">
        <v>348</v>
      </c>
      <c r="L292" s="83" t="s">
        <v>20</v>
      </c>
      <c r="M292" s="86"/>
    </row>
    <row r="293" spans="1:13" x14ac:dyDescent="0.25">
      <c r="A293" s="73"/>
      <c r="B293" s="74" t="s">
        <v>427</v>
      </c>
      <c r="C293" s="75">
        <v>2016</v>
      </c>
      <c r="D293" s="76" t="s">
        <v>345</v>
      </c>
      <c r="E293" s="76" t="s">
        <v>17</v>
      </c>
      <c r="F293" s="76" t="s">
        <v>346</v>
      </c>
      <c r="G293" s="76" t="s">
        <v>18</v>
      </c>
      <c r="H293" s="77">
        <v>164385</v>
      </c>
      <c r="I293" s="79"/>
      <c r="J293" s="76" t="s">
        <v>349</v>
      </c>
      <c r="K293" s="76" t="s">
        <v>348</v>
      </c>
      <c r="L293" s="76" t="s">
        <v>20</v>
      </c>
      <c r="M293" s="78"/>
    </row>
    <row r="294" spans="1:13" x14ac:dyDescent="0.25">
      <c r="A294" s="73"/>
      <c r="B294" s="74" t="s">
        <v>427</v>
      </c>
      <c r="C294" s="75">
        <v>2016</v>
      </c>
      <c r="D294" s="76" t="s">
        <v>345</v>
      </c>
      <c r="E294" s="76" t="s">
        <v>17</v>
      </c>
      <c r="F294" s="76" t="s">
        <v>346</v>
      </c>
      <c r="G294" s="76" t="s">
        <v>18</v>
      </c>
      <c r="H294" s="77">
        <v>202260</v>
      </c>
      <c r="I294" s="77">
        <v>195856</v>
      </c>
      <c r="J294" s="76" t="s">
        <v>350</v>
      </c>
      <c r="K294" s="76" t="s">
        <v>348</v>
      </c>
      <c r="L294" s="76" t="s">
        <v>20</v>
      </c>
      <c r="M294" s="78"/>
    </row>
    <row r="295" spans="1:13" x14ac:dyDescent="0.25">
      <c r="A295" s="73"/>
      <c r="B295" s="74" t="s">
        <v>427</v>
      </c>
      <c r="C295" s="75">
        <v>2016</v>
      </c>
      <c r="D295" s="76" t="s">
        <v>345</v>
      </c>
      <c r="E295" s="76" t="s">
        <v>17</v>
      </c>
      <c r="F295" s="76" t="s">
        <v>346</v>
      </c>
      <c r="G295" s="76" t="s">
        <v>18</v>
      </c>
      <c r="H295" s="77">
        <v>77384</v>
      </c>
      <c r="I295" s="79"/>
      <c r="J295" s="76" t="s">
        <v>351</v>
      </c>
      <c r="K295" s="76" t="s">
        <v>348</v>
      </c>
      <c r="L295" s="76" t="s">
        <v>20</v>
      </c>
      <c r="M295" s="78"/>
    </row>
    <row r="296" spans="1:13" x14ac:dyDescent="0.25">
      <c r="A296" s="73"/>
      <c r="B296" s="74" t="s">
        <v>427</v>
      </c>
      <c r="C296" s="75">
        <v>2016</v>
      </c>
      <c r="D296" s="76" t="s">
        <v>352</v>
      </c>
      <c r="E296" s="76" t="s">
        <v>17</v>
      </c>
      <c r="F296" s="76" t="s">
        <v>353</v>
      </c>
      <c r="G296" s="76" t="s">
        <v>40</v>
      </c>
      <c r="H296" s="77">
        <v>1050000</v>
      </c>
      <c r="I296" s="77">
        <v>878819</v>
      </c>
      <c r="J296" s="76" t="s">
        <v>354</v>
      </c>
      <c r="K296" s="76" t="s">
        <v>355</v>
      </c>
      <c r="L296" s="76" t="s">
        <v>43</v>
      </c>
      <c r="M296" s="78"/>
    </row>
    <row r="297" spans="1:13" x14ac:dyDescent="0.25">
      <c r="A297" s="14" t="s">
        <v>418</v>
      </c>
      <c r="B297" s="27" t="s">
        <v>433</v>
      </c>
      <c r="C297" s="28">
        <v>2013</v>
      </c>
      <c r="D297" s="29" t="s">
        <v>362</v>
      </c>
      <c r="E297" s="29" t="s">
        <v>33</v>
      </c>
      <c r="F297" s="29" t="s">
        <v>363</v>
      </c>
      <c r="G297" s="29" t="s">
        <v>21</v>
      </c>
      <c r="H297" s="42"/>
      <c r="I297" s="30">
        <v>12450000</v>
      </c>
      <c r="J297" s="29" t="s">
        <v>364</v>
      </c>
      <c r="K297" s="29" t="s">
        <v>356</v>
      </c>
      <c r="L297" s="29" t="s">
        <v>23</v>
      </c>
      <c r="M297" s="15"/>
    </row>
    <row r="298" spans="1:13" x14ac:dyDescent="0.25">
      <c r="A298" s="16"/>
      <c r="B298" s="31"/>
      <c r="C298" s="21"/>
      <c r="D298" s="22"/>
      <c r="E298" s="22"/>
      <c r="F298" s="22"/>
      <c r="G298" s="401" t="s">
        <v>476</v>
      </c>
      <c r="H298" s="401"/>
      <c r="I298" s="55">
        <f>I297</f>
        <v>12450000</v>
      </c>
      <c r="J298" s="22"/>
      <c r="K298" s="22"/>
      <c r="L298" s="22"/>
      <c r="M298" s="20"/>
    </row>
    <row r="299" spans="1:13" x14ac:dyDescent="0.25">
      <c r="A299" s="16"/>
      <c r="B299" s="31" t="s">
        <v>433</v>
      </c>
      <c r="C299" s="21">
        <v>2014</v>
      </c>
      <c r="D299" s="22" t="s">
        <v>357</v>
      </c>
      <c r="E299" s="22" t="s">
        <v>24</v>
      </c>
      <c r="F299" s="22" t="s">
        <v>358</v>
      </c>
      <c r="G299" s="22" t="s">
        <v>18</v>
      </c>
      <c r="H299" s="23">
        <v>120000</v>
      </c>
      <c r="I299" s="23">
        <v>0</v>
      </c>
      <c r="J299" s="22" t="s">
        <v>359</v>
      </c>
      <c r="K299" s="22" t="s">
        <v>356</v>
      </c>
      <c r="L299" s="22" t="s">
        <v>20</v>
      </c>
      <c r="M299" s="20"/>
    </row>
    <row r="300" spans="1:13" x14ac:dyDescent="0.25">
      <c r="A300" s="16"/>
      <c r="B300" s="31" t="s">
        <v>433</v>
      </c>
      <c r="C300" s="21">
        <v>2014</v>
      </c>
      <c r="D300" s="22" t="s">
        <v>357</v>
      </c>
      <c r="E300" s="22" t="s">
        <v>24</v>
      </c>
      <c r="F300" s="22" t="s">
        <v>358</v>
      </c>
      <c r="G300" s="22" t="s">
        <v>21</v>
      </c>
      <c r="H300" s="23">
        <v>4315298</v>
      </c>
      <c r="I300" s="23">
        <v>7224480</v>
      </c>
      <c r="J300" s="22" t="s">
        <v>365</v>
      </c>
      <c r="K300" s="22" t="s">
        <v>356</v>
      </c>
      <c r="L300" s="22" t="s">
        <v>23</v>
      </c>
      <c r="M300" s="20"/>
    </row>
    <row r="301" spans="1:13" x14ac:dyDescent="0.25">
      <c r="A301" s="16"/>
      <c r="B301" s="31" t="s">
        <v>433</v>
      </c>
      <c r="C301" s="21">
        <v>2014</v>
      </c>
      <c r="D301" s="22" t="s">
        <v>357</v>
      </c>
      <c r="E301" s="22" t="s">
        <v>24</v>
      </c>
      <c r="F301" s="22" t="s">
        <v>358</v>
      </c>
      <c r="G301" s="22" t="s">
        <v>30</v>
      </c>
      <c r="H301" s="23">
        <v>4315298</v>
      </c>
      <c r="I301" s="23">
        <v>7224480</v>
      </c>
      <c r="J301" s="22" t="s">
        <v>370</v>
      </c>
      <c r="K301" s="22" t="s">
        <v>356</v>
      </c>
      <c r="L301" s="22" t="s">
        <v>32</v>
      </c>
      <c r="M301" s="20"/>
    </row>
    <row r="302" spans="1:13" x14ac:dyDescent="0.25">
      <c r="A302" s="16"/>
      <c r="B302" s="31"/>
      <c r="C302" s="21"/>
      <c r="D302" s="22"/>
      <c r="E302" s="22"/>
      <c r="F302" s="22"/>
      <c r="G302" s="401" t="s">
        <v>472</v>
      </c>
      <c r="H302" s="401"/>
      <c r="I302" s="55">
        <f>I300</f>
        <v>7224480</v>
      </c>
      <c r="J302" s="22"/>
      <c r="K302" s="22"/>
      <c r="L302" s="22"/>
      <c r="M302" s="20"/>
    </row>
    <row r="303" spans="1:13" x14ac:dyDescent="0.25">
      <c r="A303" s="16"/>
      <c r="B303" s="31"/>
      <c r="C303" s="21"/>
      <c r="D303" s="22"/>
      <c r="E303" s="22"/>
      <c r="F303" s="22"/>
      <c r="G303" s="401" t="s">
        <v>473</v>
      </c>
      <c r="H303" s="401"/>
      <c r="I303" s="55">
        <f>I301</f>
        <v>7224480</v>
      </c>
      <c r="J303" s="22"/>
      <c r="K303" s="22"/>
      <c r="L303" s="22"/>
      <c r="M303" s="20"/>
    </row>
    <row r="304" spans="1:13" x14ac:dyDescent="0.25">
      <c r="A304" s="16"/>
      <c r="B304" s="31" t="s">
        <v>433</v>
      </c>
      <c r="C304" s="21">
        <v>2015</v>
      </c>
      <c r="D304" s="22" t="s">
        <v>357</v>
      </c>
      <c r="E304" s="22" t="s">
        <v>26</v>
      </c>
      <c r="F304" s="22" t="s">
        <v>358</v>
      </c>
      <c r="G304" s="22" t="s">
        <v>18</v>
      </c>
      <c r="H304" s="23">
        <v>0</v>
      </c>
      <c r="I304" s="23">
        <v>0</v>
      </c>
      <c r="J304" s="22" t="s">
        <v>360</v>
      </c>
      <c r="K304" s="22" t="s">
        <v>356</v>
      </c>
      <c r="L304" s="22" t="s">
        <v>20</v>
      </c>
      <c r="M304" s="20"/>
    </row>
    <row r="305" spans="1:13" x14ac:dyDescent="0.25">
      <c r="A305" s="16"/>
      <c r="B305" s="31" t="s">
        <v>433</v>
      </c>
      <c r="C305" s="21">
        <v>2015</v>
      </c>
      <c r="D305" s="22" t="s">
        <v>366</v>
      </c>
      <c r="E305" s="22" t="s">
        <v>26</v>
      </c>
      <c r="F305" s="22" t="s">
        <v>367</v>
      </c>
      <c r="G305" s="22" t="s">
        <v>21</v>
      </c>
      <c r="H305" s="23">
        <v>0</v>
      </c>
      <c r="I305" s="23">
        <v>0</v>
      </c>
      <c r="J305" s="22" t="s">
        <v>368</v>
      </c>
      <c r="K305" s="22" t="s">
        <v>356</v>
      </c>
      <c r="L305" s="22" t="s">
        <v>23</v>
      </c>
      <c r="M305" s="20"/>
    </row>
    <row r="306" spans="1:13" x14ac:dyDescent="0.25">
      <c r="A306" s="16"/>
      <c r="B306" s="31" t="s">
        <v>433</v>
      </c>
      <c r="C306" s="21">
        <v>2015</v>
      </c>
      <c r="D306" s="22" t="s">
        <v>366</v>
      </c>
      <c r="E306" s="22" t="s">
        <v>26</v>
      </c>
      <c r="F306" s="22" t="s">
        <v>367</v>
      </c>
      <c r="G306" s="22" t="s">
        <v>30</v>
      </c>
      <c r="H306" s="23">
        <v>0</v>
      </c>
      <c r="I306" s="23">
        <v>0</v>
      </c>
      <c r="J306" s="22" t="s">
        <v>371</v>
      </c>
      <c r="K306" s="22" t="s">
        <v>356</v>
      </c>
      <c r="L306" s="22" t="s">
        <v>32</v>
      </c>
      <c r="M306" s="20"/>
    </row>
    <row r="307" spans="1:13" x14ac:dyDescent="0.25">
      <c r="A307" s="16"/>
      <c r="B307" s="31"/>
      <c r="C307" s="21"/>
      <c r="D307" s="22"/>
      <c r="E307" s="22"/>
      <c r="F307" s="22"/>
      <c r="G307" s="409" t="s">
        <v>466</v>
      </c>
      <c r="H307" s="409"/>
      <c r="I307" s="68">
        <f>I305</f>
        <v>0</v>
      </c>
      <c r="J307" s="22"/>
      <c r="K307" s="22"/>
      <c r="L307" s="22"/>
      <c r="M307" s="20"/>
    </row>
    <row r="308" spans="1:13" x14ac:dyDescent="0.25">
      <c r="A308" s="16"/>
      <c r="B308" s="31"/>
      <c r="C308" s="21"/>
      <c r="D308" s="22"/>
      <c r="E308" s="22"/>
      <c r="F308" s="22"/>
      <c r="G308" s="409" t="s">
        <v>467</v>
      </c>
      <c r="H308" s="409"/>
      <c r="I308" s="68">
        <f>I306</f>
        <v>0</v>
      </c>
      <c r="J308" s="22"/>
      <c r="K308" s="22"/>
      <c r="L308" s="22"/>
      <c r="M308" s="20"/>
    </row>
    <row r="309" spans="1:13" x14ac:dyDescent="0.25">
      <c r="A309" s="16"/>
      <c r="B309" s="31" t="s">
        <v>433</v>
      </c>
      <c r="C309" s="21">
        <v>2016</v>
      </c>
      <c r="D309" s="22" t="s">
        <v>357</v>
      </c>
      <c r="E309" s="22" t="s">
        <v>17</v>
      </c>
      <c r="F309" s="22" t="s">
        <v>358</v>
      </c>
      <c r="G309" s="22" t="s">
        <v>18</v>
      </c>
      <c r="H309" s="23">
        <v>150000</v>
      </c>
      <c r="I309" s="23">
        <v>162698</v>
      </c>
      <c r="J309" s="22" t="s">
        <v>361</v>
      </c>
      <c r="K309" s="22" t="s">
        <v>356</v>
      </c>
      <c r="L309" s="22" t="s">
        <v>20</v>
      </c>
      <c r="M309" s="20"/>
    </row>
    <row r="310" spans="1:13" x14ac:dyDescent="0.25">
      <c r="A310" s="16"/>
      <c r="B310" s="31" t="s">
        <v>433</v>
      </c>
      <c r="C310" s="21">
        <v>2016</v>
      </c>
      <c r="D310" s="22" t="s">
        <v>366</v>
      </c>
      <c r="E310" s="22" t="s">
        <v>17</v>
      </c>
      <c r="F310" s="22" t="s">
        <v>367</v>
      </c>
      <c r="G310" s="22" t="s">
        <v>21</v>
      </c>
      <c r="H310" s="23">
        <v>403339</v>
      </c>
      <c r="I310" s="23">
        <v>356803</v>
      </c>
      <c r="J310" s="22" t="s">
        <v>369</v>
      </c>
      <c r="K310" s="22" t="s">
        <v>356</v>
      </c>
      <c r="L310" s="22" t="s">
        <v>23</v>
      </c>
      <c r="M310" s="72" t="s">
        <v>480</v>
      </c>
    </row>
    <row r="311" spans="1:13" x14ac:dyDescent="0.25">
      <c r="A311" s="16"/>
      <c r="B311" s="31" t="s">
        <v>433</v>
      </c>
      <c r="C311" s="21">
        <v>2016</v>
      </c>
      <c r="D311" s="22" t="s">
        <v>366</v>
      </c>
      <c r="E311" s="22" t="s">
        <v>17</v>
      </c>
      <c r="F311" s="22" t="s">
        <v>367</v>
      </c>
      <c r="G311" s="22" t="s">
        <v>30</v>
      </c>
      <c r="H311" s="23">
        <v>403339</v>
      </c>
      <c r="I311" s="23">
        <v>356803</v>
      </c>
      <c r="J311" s="22" t="s">
        <v>372</v>
      </c>
      <c r="K311" s="22" t="s">
        <v>356</v>
      </c>
      <c r="L311" s="22" t="s">
        <v>32</v>
      </c>
      <c r="M311" s="72" t="s">
        <v>480</v>
      </c>
    </row>
    <row r="312" spans="1:13" x14ac:dyDescent="0.25">
      <c r="A312" s="16"/>
      <c r="B312" s="31"/>
      <c r="C312" s="21"/>
      <c r="D312" s="22"/>
      <c r="E312" s="22"/>
      <c r="F312" s="22"/>
      <c r="G312" s="409" t="s">
        <v>468</v>
      </c>
      <c r="H312" s="409"/>
      <c r="I312" s="68">
        <f>I310</f>
        <v>356803</v>
      </c>
      <c r="J312" s="22"/>
      <c r="K312" s="22"/>
      <c r="L312" s="22"/>
      <c r="M312" s="20"/>
    </row>
    <row r="313" spans="1:13" x14ac:dyDescent="0.25">
      <c r="A313" s="7"/>
      <c r="B313" s="8"/>
      <c r="C313" s="9"/>
      <c r="D313" s="10"/>
      <c r="E313" s="10"/>
      <c r="F313" s="10"/>
      <c r="G313" s="408" t="s">
        <v>469</v>
      </c>
      <c r="H313" s="408"/>
      <c r="I313" s="69">
        <f>I311</f>
        <v>356803</v>
      </c>
      <c r="J313" s="10"/>
      <c r="K313" s="10"/>
      <c r="L313" s="10"/>
      <c r="M313" s="13"/>
    </row>
    <row r="314" spans="1:13" ht="26.25" x14ac:dyDescent="0.25">
      <c r="A314" s="73" t="s">
        <v>419</v>
      </c>
      <c r="B314" s="74" t="s">
        <v>456</v>
      </c>
      <c r="C314" s="75">
        <v>2016</v>
      </c>
      <c r="D314" s="76" t="s">
        <v>373</v>
      </c>
      <c r="E314" s="76" t="s">
        <v>17</v>
      </c>
      <c r="F314" s="76" t="s">
        <v>374</v>
      </c>
      <c r="G314" s="76" t="s">
        <v>13</v>
      </c>
      <c r="H314" s="77">
        <v>9038468</v>
      </c>
      <c r="I314" s="77">
        <v>10396393</v>
      </c>
      <c r="J314" s="76" t="s">
        <v>375</v>
      </c>
      <c r="K314" s="76" t="s">
        <v>376</v>
      </c>
      <c r="L314" s="76" t="s">
        <v>16</v>
      </c>
      <c r="M314" s="78"/>
    </row>
    <row r="315" spans="1:13" x14ac:dyDescent="0.25">
      <c r="A315" s="73"/>
      <c r="B315" s="74" t="s">
        <v>463</v>
      </c>
      <c r="C315" s="75">
        <v>2012</v>
      </c>
      <c r="D315" s="76" t="s">
        <v>380</v>
      </c>
      <c r="E315" s="76" t="s">
        <v>44</v>
      </c>
      <c r="F315" s="76" t="s">
        <v>381</v>
      </c>
      <c r="G315" s="76" t="s">
        <v>40</v>
      </c>
      <c r="H315" s="79"/>
      <c r="I315" s="77">
        <v>254717</v>
      </c>
      <c r="J315" s="76" t="s">
        <v>382</v>
      </c>
      <c r="K315" s="76" t="s">
        <v>376</v>
      </c>
      <c r="L315" s="76" t="s">
        <v>43</v>
      </c>
      <c r="M315" s="78"/>
    </row>
    <row r="316" spans="1:13" x14ac:dyDescent="0.25">
      <c r="A316" s="73"/>
      <c r="B316" s="74" t="s">
        <v>463</v>
      </c>
      <c r="C316" s="75">
        <v>2013</v>
      </c>
      <c r="D316" s="76" t="s">
        <v>380</v>
      </c>
      <c r="E316" s="76" t="s">
        <v>33</v>
      </c>
      <c r="F316" s="76" t="s">
        <v>381</v>
      </c>
      <c r="G316" s="76" t="s">
        <v>40</v>
      </c>
      <c r="H316" s="79"/>
      <c r="I316" s="77">
        <v>315204</v>
      </c>
      <c r="J316" s="76" t="s">
        <v>383</v>
      </c>
      <c r="K316" s="76" t="s">
        <v>376</v>
      </c>
      <c r="L316" s="76" t="s">
        <v>43</v>
      </c>
      <c r="M316" s="78"/>
    </row>
    <row r="317" spans="1:13" ht="26.25" x14ac:dyDescent="0.25">
      <c r="A317" s="73"/>
      <c r="B317" s="74" t="s">
        <v>457</v>
      </c>
      <c r="C317" s="75">
        <v>2017</v>
      </c>
      <c r="D317" s="76" t="s">
        <v>377</v>
      </c>
      <c r="E317" s="76" t="s">
        <v>29</v>
      </c>
      <c r="F317" s="76" t="s">
        <v>378</v>
      </c>
      <c r="G317" s="76" t="s">
        <v>13</v>
      </c>
      <c r="H317" s="77">
        <v>10938806</v>
      </c>
      <c r="I317" s="79"/>
      <c r="J317" s="76" t="s">
        <v>379</v>
      </c>
      <c r="K317" s="76" t="s">
        <v>376</v>
      </c>
      <c r="L317" s="76" t="s">
        <v>16</v>
      </c>
      <c r="M317" s="78"/>
    </row>
    <row r="318" spans="1:13" x14ac:dyDescent="0.25">
      <c r="A318" s="14" t="s">
        <v>420</v>
      </c>
      <c r="B318" s="27" t="s">
        <v>433</v>
      </c>
      <c r="C318" s="28">
        <v>2012</v>
      </c>
      <c r="D318" s="29" t="s">
        <v>388</v>
      </c>
      <c r="E318" s="29" t="s">
        <v>44</v>
      </c>
      <c r="F318" s="29" t="s">
        <v>389</v>
      </c>
      <c r="G318" s="29" t="s">
        <v>21</v>
      </c>
      <c r="H318" s="42"/>
      <c r="I318" s="30">
        <v>744023</v>
      </c>
      <c r="J318" s="29" t="s">
        <v>390</v>
      </c>
      <c r="K318" s="29" t="s">
        <v>387</v>
      </c>
      <c r="L318" s="29" t="s">
        <v>23</v>
      </c>
      <c r="M318" s="358"/>
    </row>
    <row r="319" spans="1:13" x14ac:dyDescent="0.25">
      <c r="A319" s="16"/>
      <c r="B319" s="31" t="s">
        <v>464</v>
      </c>
      <c r="C319" s="21">
        <v>2012</v>
      </c>
      <c r="D319" s="22" t="s">
        <v>388</v>
      </c>
      <c r="E319" s="22" t="s">
        <v>44</v>
      </c>
      <c r="F319" s="22" t="s">
        <v>389</v>
      </c>
      <c r="G319" s="22" t="s">
        <v>30</v>
      </c>
      <c r="H319" s="32"/>
      <c r="I319" s="23">
        <v>1090993</v>
      </c>
      <c r="J319" s="22" t="s">
        <v>396</v>
      </c>
      <c r="K319" s="22" t="s">
        <v>387</v>
      </c>
      <c r="L319" s="22" t="s">
        <v>32</v>
      </c>
      <c r="M319" s="152"/>
    </row>
    <row r="320" spans="1:13" x14ac:dyDescent="0.25">
      <c r="A320" s="16"/>
      <c r="B320" s="31"/>
      <c r="C320" s="21"/>
      <c r="D320" s="22"/>
      <c r="E320" s="22"/>
      <c r="F320" s="22"/>
      <c r="G320" s="401" t="s">
        <v>478</v>
      </c>
      <c r="H320" s="401"/>
      <c r="I320" s="55">
        <f>I318</f>
        <v>744023</v>
      </c>
      <c r="J320" s="22"/>
      <c r="K320" s="22"/>
      <c r="L320" s="22"/>
      <c r="M320" s="153"/>
    </row>
    <row r="321" spans="1:13" x14ac:dyDescent="0.25">
      <c r="A321" s="16"/>
      <c r="B321" s="31"/>
      <c r="C321" s="21"/>
      <c r="D321" s="22"/>
      <c r="E321" s="22"/>
      <c r="F321" s="22"/>
      <c r="G321" s="401" t="s">
        <v>479</v>
      </c>
      <c r="H321" s="401"/>
      <c r="I321" s="55">
        <f>I319</f>
        <v>1090993</v>
      </c>
      <c r="J321" s="22"/>
      <c r="K321" s="22"/>
      <c r="L321" s="22"/>
      <c r="M321" s="153"/>
    </row>
    <row r="322" spans="1:13" x14ac:dyDescent="0.25">
      <c r="A322" s="16"/>
      <c r="B322" s="31" t="s">
        <v>494</v>
      </c>
      <c r="C322" s="21">
        <v>2014</v>
      </c>
      <c r="D322" s="22" t="s">
        <v>391</v>
      </c>
      <c r="E322" s="22" t="s">
        <v>24</v>
      </c>
      <c r="F322" s="22" t="s">
        <v>392</v>
      </c>
      <c r="G322" s="22" t="s">
        <v>21</v>
      </c>
      <c r="H322" s="23">
        <v>2300000</v>
      </c>
      <c r="I322" s="23">
        <v>2682925</v>
      </c>
      <c r="J322" s="22" t="s">
        <v>393</v>
      </c>
      <c r="K322" s="22" t="s">
        <v>387</v>
      </c>
      <c r="L322" s="22" t="s">
        <v>23</v>
      </c>
      <c r="M322" s="20"/>
    </row>
    <row r="323" spans="1:13" x14ac:dyDescent="0.25">
      <c r="A323" s="16"/>
      <c r="B323" s="31" t="s">
        <v>494</v>
      </c>
      <c r="C323" s="21">
        <v>2014</v>
      </c>
      <c r="D323" s="22" t="s">
        <v>391</v>
      </c>
      <c r="E323" s="22" t="s">
        <v>24</v>
      </c>
      <c r="F323" s="22" t="s">
        <v>392</v>
      </c>
      <c r="G323" s="22" t="s">
        <v>30</v>
      </c>
      <c r="H323" s="23">
        <v>2300000</v>
      </c>
      <c r="I323" s="23">
        <v>2682925</v>
      </c>
      <c r="J323" s="22" t="s">
        <v>397</v>
      </c>
      <c r="K323" s="22" t="s">
        <v>387</v>
      </c>
      <c r="L323" s="22" t="s">
        <v>32</v>
      </c>
      <c r="M323" s="20"/>
    </row>
    <row r="324" spans="1:13" x14ac:dyDescent="0.25">
      <c r="A324" s="16"/>
      <c r="B324" s="31"/>
      <c r="C324" s="21"/>
      <c r="D324" s="22"/>
      <c r="E324" s="22"/>
      <c r="F324" s="22"/>
      <c r="G324" s="409" t="s">
        <v>472</v>
      </c>
      <c r="H324" s="409"/>
      <c r="I324" s="68">
        <f>I322</f>
        <v>2682925</v>
      </c>
      <c r="J324" s="22"/>
      <c r="K324" s="22"/>
      <c r="L324" s="22"/>
      <c r="M324" s="20"/>
    </row>
    <row r="325" spans="1:13" x14ac:dyDescent="0.25">
      <c r="A325" s="16"/>
      <c r="B325" s="31"/>
      <c r="C325" s="21"/>
      <c r="D325" s="22"/>
      <c r="E325" s="22"/>
      <c r="F325" s="22"/>
      <c r="G325" s="409" t="s">
        <v>473</v>
      </c>
      <c r="H325" s="409"/>
      <c r="I325" s="68">
        <f>I323</f>
        <v>2682925</v>
      </c>
      <c r="J325" s="22"/>
      <c r="K325" s="22"/>
      <c r="L325" s="22"/>
      <c r="M325" s="20"/>
    </row>
    <row r="326" spans="1:13" x14ac:dyDescent="0.25">
      <c r="A326" s="16"/>
      <c r="B326" s="31" t="s">
        <v>494</v>
      </c>
      <c r="C326" s="21">
        <v>2015</v>
      </c>
      <c r="D326" s="22" t="s">
        <v>384</v>
      </c>
      <c r="E326" s="22" t="s">
        <v>26</v>
      </c>
      <c r="F326" s="22" t="s">
        <v>385</v>
      </c>
      <c r="G326" s="22" t="s">
        <v>21</v>
      </c>
      <c r="H326" s="23">
        <v>3300000</v>
      </c>
      <c r="I326" s="23">
        <v>2328189</v>
      </c>
      <c r="J326" s="22" t="s">
        <v>394</v>
      </c>
      <c r="K326" s="22" t="s">
        <v>387</v>
      </c>
      <c r="L326" s="22" t="s">
        <v>23</v>
      </c>
      <c r="M326" s="20"/>
    </row>
    <row r="327" spans="1:13" x14ac:dyDescent="0.25">
      <c r="A327" s="16"/>
      <c r="B327" s="31" t="s">
        <v>494</v>
      </c>
      <c r="C327" s="21">
        <v>2015</v>
      </c>
      <c r="D327" s="22" t="s">
        <v>384</v>
      </c>
      <c r="E327" s="22" t="s">
        <v>26</v>
      </c>
      <c r="F327" s="22" t="s">
        <v>385</v>
      </c>
      <c r="G327" s="22" t="s">
        <v>30</v>
      </c>
      <c r="H327" s="23">
        <v>3525000</v>
      </c>
      <c r="I327" s="23">
        <v>2421873</v>
      </c>
      <c r="J327" s="22" t="s">
        <v>398</v>
      </c>
      <c r="K327" s="22" t="s">
        <v>387</v>
      </c>
      <c r="L327" s="22" t="s">
        <v>32</v>
      </c>
      <c r="M327" s="20"/>
    </row>
    <row r="328" spans="1:13" x14ac:dyDescent="0.25">
      <c r="A328" s="16"/>
      <c r="B328" s="31"/>
      <c r="C328" s="21"/>
      <c r="D328" s="22"/>
      <c r="E328" s="22"/>
      <c r="F328" s="22"/>
      <c r="G328" s="409" t="s">
        <v>466</v>
      </c>
      <c r="H328" s="409"/>
      <c r="I328" s="68">
        <f>I326</f>
        <v>2328189</v>
      </c>
      <c r="J328" s="22"/>
      <c r="K328" s="22"/>
      <c r="L328" s="22"/>
      <c r="M328" s="20"/>
    </row>
    <row r="329" spans="1:13" x14ac:dyDescent="0.25">
      <c r="A329" s="16"/>
      <c r="B329" s="31"/>
      <c r="C329" s="21"/>
      <c r="D329" s="22"/>
      <c r="E329" s="22"/>
      <c r="F329" s="22"/>
      <c r="G329" s="409" t="s">
        <v>467</v>
      </c>
      <c r="H329" s="409"/>
      <c r="I329" s="68">
        <f>I327</f>
        <v>2421873</v>
      </c>
      <c r="J329" s="22"/>
      <c r="K329" s="22"/>
      <c r="L329" s="22"/>
      <c r="M329" s="20"/>
    </row>
    <row r="330" spans="1:13" ht="26.25" x14ac:dyDescent="0.25">
      <c r="A330" s="16"/>
      <c r="B330" s="31" t="s">
        <v>494</v>
      </c>
      <c r="C330" s="21">
        <v>2016</v>
      </c>
      <c r="D330" s="22" t="s">
        <v>384</v>
      </c>
      <c r="E330" s="22" t="s">
        <v>17</v>
      </c>
      <c r="F330" s="22" t="s">
        <v>385</v>
      </c>
      <c r="G330" s="22" t="s">
        <v>13</v>
      </c>
      <c r="H330" s="23">
        <v>4990422</v>
      </c>
      <c r="I330" s="23">
        <v>6032824</v>
      </c>
      <c r="J330" s="22" t="s">
        <v>386</v>
      </c>
      <c r="K330" s="22" t="s">
        <v>387</v>
      </c>
      <c r="L330" s="22" t="s">
        <v>16</v>
      </c>
      <c r="M330" s="20"/>
    </row>
    <row r="331" spans="1:13" x14ac:dyDescent="0.25">
      <c r="A331" s="16"/>
      <c r="B331" s="31" t="s">
        <v>494</v>
      </c>
      <c r="C331" s="21">
        <v>2016</v>
      </c>
      <c r="D331" s="22" t="s">
        <v>384</v>
      </c>
      <c r="E331" s="22" t="s">
        <v>17</v>
      </c>
      <c r="F331" s="22" t="s">
        <v>385</v>
      </c>
      <c r="G331" s="22" t="s">
        <v>21</v>
      </c>
      <c r="H331" s="23">
        <v>2263144</v>
      </c>
      <c r="I331" s="23">
        <v>3069913</v>
      </c>
      <c r="J331" s="22" t="s">
        <v>395</v>
      </c>
      <c r="K331" s="22" t="s">
        <v>387</v>
      </c>
      <c r="L331" s="22" t="s">
        <v>23</v>
      </c>
      <c r="M331" s="20"/>
    </row>
    <row r="332" spans="1:13" x14ac:dyDescent="0.25">
      <c r="A332" s="16"/>
      <c r="B332" s="31" t="s">
        <v>494</v>
      </c>
      <c r="C332" s="21">
        <v>2016</v>
      </c>
      <c r="D332" s="22" t="s">
        <v>384</v>
      </c>
      <c r="E332" s="22" t="s">
        <v>17</v>
      </c>
      <c r="F332" s="22" t="s">
        <v>385</v>
      </c>
      <c r="G332" s="22" t="s">
        <v>30</v>
      </c>
      <c r="H332" s="23">
        <v>3117037</v>
      </c>
      <c r="I332" s="23">
        <v>3365556</v>
      </c>
      <c r="J332" s="22" t="s">
        <v>399</v>
      </c>
      <c r="K332" s="22" t="s">
        <v>387</v>
      </c>
      <c r="L332" s="22" t="s">
        <v>32</v>
      </c>
      <c r="M332" s="20"/>
    </row>
    <row r="333" spans="1:13" x14ac:dyDescent="0.25">
      <c r="A333" s="16"/>
      <c r="B333" s="31" t="s">
        <v>494</v>
      </c>
      <c r="C333" s="21">
        <v>2016</v>
      </c>
      <c r="D333" s="22" t="s">
        <v>384</v>
      </c>
      <c r="E333" s="22" t="s">
        <v>17</v>
      </c>
      <c r="F333" s="22" t="s">
        <v>385</v>
      </c>
      <c r="G333" s="22" t="s">
        <v>40</v>
      </c>
      <c r="H333" s="23">
        <v>114646</v>
      </c>
      <c r="I333" s="23">
        <v>115503</v>
      </c>
      <c r="J333" s="22" t="s">
        <v>400</v>
      </c>
      <c r="K333" s="22" t="s">
        <v>387</v>
      </c>
      <c r="L333" s="22" t="s">
        <v>43</v>
      </c>
      <c r="M333" s="20"/>
    </row>
    <row r="334" spans="1:13" x14ac:dyDescent="0.25">
      <c r="A334" s="16"/>
      <c r="B334" s="31"/>
      <c r="C334" s="21"/>
      <c r="D334" s="31"/>
      <c r="E334" s="31"/>
      <c r="F334" s="31"/>
      <c r="G334" s="409" t="s">
        <v>468</v>
      </c>
      <c r="H334" s="409"/>
      <c r="I334" s="68">
        <f>I331</f>
        <v>3069913</v>
      </c>
      <c r="J334" s="31"/>
      <c r="K334" s="31"/>
      <c r="L334" s="31"/>
      <c r="M334" s="20"/>
    </row>
    <row r="335" spans="1:13" x14ac:dyDescent="0.25">
      <c r="A335" s="7"/>
      <c r="B335" s="8"/>
      <c r="C335" s="9"/>
      <c r="D335" s="8"/>
      <c r="E335" s="8"/>
      <c r="F335" s="8"/>
      <c r="G335" s="408" t="s">
        <v>469</v>
      </c>
      <c r="H335" s="408"/>
      <c r="I335" s="69">
        <f>I332</f>
        <v>3365556</v>
      </c>
      <c r="J335" s="8"/>
      <c r="K335" s="8"/>
      <c r="L335" s="8"/>
      <c r="M335" s="13"/>
    </row>
    <row r="336" spans="1:13" x14ac:dyDescent="0.25">
      <c r="H336" s="3"/>
      <c r="I336" s="3"/>
    </row>
    <row r="337" spans="8:9" x14ac:dyDescent="0.25">
      <c r="H337" s="3"/>
      <c r="I337" s="3"/>
    </row>
    <row r="338" spans="8:9" x14ac:dyDescent="0.25">
      <c r="H338" s="3"/>
      <c r="I338" s="3"/>
    </row>
    <row r="339" spans="8:9" x14ac:dyDescent="0.25">
      <c r="H339" s="3"/>
      <c r="I339" s="3"/>
    </row>
    <row r="340" spans="8:9" x14ac:dyDescent="0.25">
      <c r="H340" s="3"/>
      <c r="I340" s="3"/>
    </row>
    <row r="341" spans="8:9" x14ac:dyDescent="0.25">
      <c r="H341" s="3"/>
      <c r="I341" s="3"/>
    </row>
    <row r="342" spans="8:9" x14ac:dyDescent="0.25">
      <c r="H342" s="3"/>
      <c r="I342" s="3"/>
    </row>
    <row r="343" spans="8:9" x14ac:dyDescent="0.25">
      <c r="H343" s="3"/>
      <c r="I343" s="3"/>
    </row>
    <row r="344" spans="8:9" x14ac:dyDescent="0.25">
      <c r="H344" s="3"/>
      <c r="I344" s="3"/>
    </row>
    <row r="345" spans="8:9" x14ac:dyDescent="0.25">
      <c r="H345" s="3"/>
      <c r="I345" s="3"/>
    </row>
    <row r="346" spans="8:9" x14ac:dyDescent="0.25">
      <c r="H346" s="3"/>
      <c r="I346" s="3"/>
    </row>
    <row r="347" spans="8:9" x14ac:dyDescent="0.25">
      <c r="H347" s="3"/>
      <c r="I347" s="3"/>
    </row>
    <row r="348" spans="8:9" x14ac:dyDescent="0.25">
      <c r="H348" s="3"/>
      <c r="I348" s="3"/>
    </row>
    <row r="349" spans="8:9" x14ac:dyDescent="0.25">
      <c r="H349" s="3"/>
      <c r="I349" s="3"/>
    </row>
    <row r="350" spans="8:9" x14ac:dyDescent="0.25">
      <c r="H350" s="3"/>
      <c r="I350" s="3"/>
    </row>
    <row r="351" spans="8:9" x14ac:dyDescent="0.25">
      <c r="H351" s="3"/>
      <c r="I351" s="3"/>
    </row>
    <row r="352" spans="8:9" x14ac:dyDescent="0.25">
      <c r="H352" s="3"/>
      <c r="I352" s="3"/>
    </row>
    <row r="353" spans="8:9" x14ac:dyDescent="0.25">
      <c r="H353" s="3"/>
      <c r="I353" s="3"/>
    </row>
    <row r="354" spans="8:9" x14ac:dyDescent="0.25">
      <c r="H354" s="3"/>
      <c r="I354" s="3"/>
    </row>
    <row r="355" spans="8:9" x14ac:dyDescent="0.25">
      <c r="H355" s="3"/>
      <c r="I355" s="3"/>
    </row>
    <row r="356" spans="8:9" x14ac:dyDescent="0.25">
      <c r="H356" s="3"/>
      <c r="I356" s="3"/>
    </row>
    <row r="357" spans="8:9" x14ac:dyDescent="0.25">
      <c r="H357" s="3"/>
      <c r="I357" s="3"/>
    </row>
    <row r="358" spans="8:9" x14ac:dyDescent="0.25">
      <c r="H358" s="3"/>
      <c r="I358" s="3"/>
    </row>
    <row r="359" spans="8:9" x14ac:dyDescent="0.25">
      <c r="H359" s="3"/>
      <c r="I359" s="3"/>
    </row>
    <row r="360" spans="8:9" x14ac:dyDescent="0.25">
      <c r="H360" s="3"/>
      <c r="I360" s="3"/>
    </row>
    <row r="361" spans="8:9" x14ac:dyDescent="0.25">
      <c r="H361" s="3"/>
      <c r="I361" s="3"/>
    </row>
    <row r="362" spans="8:9" x14ac:dyDescent="0.25">
      <c r="H362" s="3"/>
      <c r="I362" s="3"/>
    </row>
    <row r="363" spans="8:9" x14ac:dyDescent="0.25">
      <c r="H363" s="3"/>
      <c r="I363" s="3"/>
    </row>
    <row r="364" spans="8:9" x14ac:dyDescent="0.25">
      <c r="H364" s="3"/>
      <c r="I364" s="3"/>
    </row>
    <row r="365" spans="8:9" x14ac:dyDescent="0.25">
      <c r="H365" s="3"/>
      <c r="I365" s="3"/>
    </row>
    <row r="366" spans="8:9" x14ac:dyDescent="0.25">
      <c r="H366" s="3"/>
      <c r="I366" s="3"/>
    </row>
    <row r="367" spans="8:9" x14ac:dyDescent="0.25">
      <c r="H367" s="3"/>
      <c r="I367" s="3"/>
    </row>
    <row r="368" spans="8:9" x14ac:dyDescent="0.25">
      <c r="H368" s="3"/>
      <c r="I368" s="3"/>
    </row>
    <row r="369" spans="8:9" x14ac:dyDescent="0.25">
      <c r="H369" s="3"/>
      <c r="I369" s="3"/>
    </row>
    <row r="370" spans="8:9" x14ac:dyDescent="0.25">
      <c r="H370" s="3"/>
      <c r="I370" s="3"/>
    </row>
    <row r="371" spans="8:9" x14ac:dyDescent="0.25">
      <c r="H371" s="3"/>
      <c r="I371" s="3"/>
    </row>
    <row r="372" spans="8:9" x14ac:dyDescent="0.25">
      <c r="H372" s="3"/>
      <c r="I372" s="3"/>
    </row>
    <row r="373" spans="8:9" x14ac:dyDescent="0.25">
      <c r="H373" s="3"/>
      <c r="I373" s="3"/>
    </row>
    <row r="374" spans="8:9" x14ac:dyDescent="0.25">
      <c r="H374" s="3"/>
      <c r="I374" s="3"/>
    </row>
    <row r="375" spans="8:9" x14ac:dyDescent="0.25">
      <c r="H375" s="3"/>
      <c r="I375" s="3"/>
    </row>
    <row r="376" spans="8:9" x14ac:dyDescent="0.25">
      <c r="H376" s="3"/>
      <c r="I376" s="3"/>
    </row>
    <row r="377" spans="8:9" x14ac:dyDescent="0.25">
      <c r="H377" s="3"/>
      <c r="I377" s="3"/>
    </row>
    <row r="378" spans="8:9" x14ac:dyDescent="0.25">
      <c r="H378" s="3"/>
      <c r="I378" s="3"/>
    </row>
    <row r="379" spans="8:9" x14ac:dyDescent="0.25">
      <c r="H379" s="3"/>
      <c r="I379" s="3"/>
    </row>
    <row r="380" spans="8:9" x14ac:dyDescent="0.25">
      <c r="H380" s="3"/>
      <c r="I380" s="3"/>
    </row>
    <row r="381" spans="8:9" x14ac:dyDescent="0.25">
      <c r="H381" s="3"/>
      <c r="I381" s="3"/>
    </row>
    <row r="382" spans="8:9" x14ac:dyDescent="0.25">
      <c r="H382" s="3"/>
      <c r="I382" s="3"/>
    </row>
    <row r="383" spans="8:9" x14ac:dyDescent="0.25">
      <c r="H383" s="3"/>
      <c r="I383" s="3"/>
    </row>
    <row r="384" spans="8:9" x14ac:dyDescent="0.25">
      <c r="H384" s="3"/>
      <c r="I384" s="3"/>
    </row>
    <row r="385" spans="8:9" x14ac:dyDescent="0.25">
      <c r="H385" s="3"/>
      <c r="I385" s="3"/>
    </row>
    <row r="386" spans="8:9" x14ac:dyDescent="0.25">
      <c r="H386" s="3"/>
      <c r="I386" s="3"/>
    </row>
    <row r="387" spans="8:9" x14ac:dyDescent="0.25">
      <c r="H387" s="3"/>
      <c r="I387" s="3"/>
    </row>
    <row r="388" spans="8:9" x14ac:dyDescent="0.25">
      <c r="H388" s="3"/>
      <c r="I388" s="3"/>
    </row>
    <row r="389" spans="8:9" x14ac:dyDescent="0.25">
      <c r="H389" s="3"/>
      <c r="I389" s="3"/>
    </row>
    <row r="390" spans="8:9" x14ac:dyDescent="0.25">
      <c r="H390" s="3"/>
      <c r="I390" s="3"/>
    </row>
    <row r="391" spans="8:9" x14ac:dyDescent="0.25">
      <c r="H391" s="3"/>
      <c r="I391" s="3"/>
    </row>
    <row r="392" spans="8:9" x14ac:dyDescent="0.25">
      <c r="H392" s="3"/>
      <c r="I392" s="3"/>
    </row>
    <row r="393" spans="8:9" x14ac:dyDescent="0.25">
      <c r="H393" s="3"/>
      <c r="I393" s="3"/>
    </row>
    <row r="394" spans="8:9" x14ac:dyDescent="0.25">
      <c r="H394" s="3"/>
      <c r="I394" s="3"/>
    </row>
    <row r="395" spans="8:9" x14ac:dyDescent="0.25">
      <c r="H395" s="3"/>
      <c r="I395" s="3"/>
    </row>
    <row r="396" spans="8:9" x14ac:dyDescent="0.25">
      <c r="H396" s="3"/>
      <c r="I396" s="3"/>
    </row>
    <row r="397" spans="8:9" x14ac:dyDescent="0.25">
      <c r="H397" s="3"/>
      <c r="I397" s="3"/>
    </row>
    <row r="398" spans="8:9" x14ac:dyDescent="0.25">
      <c r="H398" s="3"/>
      <c r="I398" s="3"/>
    </row>
    <row r="399" spans="8:9" x14ac:dyDescent="0.25">
      <c r="H399" s="3"/>
      <c r="I399" s="3"/>
    </row>
    <row r="400" spans="8:9" x14ac:dyDescent="0.25">
      <c r="H400" s="3"/>
      <c r="I400" s="3"/>
    </row>
    <row r="401" spans="8:9" x14ac:dyDescent="0.25">
      <c r="H401" s="3"/>
      <c r="I401" s="3"/>
    </row>
    <row r="402" spans="8:9" x14ac:dyDescent="0.25">
      <c r="H402" s="3"/>
      <c r="I402" s="3"/>
    </row>
    <row r="403" spans="8:9" x14ac:dyDescent="0.25">
      <c r="H403" s="3"/>
      <c r="I403" s="3"/>
    </row>
  </sheetData>
  <autoFilter ref="D4:L334"/>
  <sortState ref="A1:S266">
    <sortCondition ref="D1:D266"/>
  </sortState>
  <mergeCells count="101">
    <mergeCell ref="G119:H119"/>
    <mergeCell ref="M71:M74"/>
    <mergeCell ref="M82:M83"/>
    <mergeCell ref="G69:H69"/>
    <mergeCell ref="G70:H70"/>
    <mergeCell ref="G88:H88"/>
    <mergeCell ref="M84:M85"/>
    <mergeCell ref="M8:M9"/>
    <mergeCell ref="M13:M14"/>
    <mergeCell ref="G55:H55"/>
    <mergeCell ref="G56:H56"/>
    <mergeCell ref="G18:H18"/>
    <mergeCell ref="G36:H36"/>
    <mergeCell ref="G37:H37"/>
    <mergeCell ref="G19:H19"/>
    <mergeCell ref="G22:H22"/>
    <mergeCell ref="G23:H23"/>
    <mergeCell ref="G5:H5"/>
    <mergeCell ref="G8:H8"/>
    <mergeCell ref="G9:H9"/>
    <mergeCell ref="G12:H12"/>
    <mergeCell ref="G13:H13"/>
    <mergeCell ref="G335:H335"/>
    <mergeCell ref="G307:H307"/>
    <mergeCell ref="G308:H308"/>
    <mergeCell ref="G312:H312"/>
    <mergeCell ref="G313:H313"/>
    <mergeCell ref="G320:H320"/>
    <mergeCell ref="G321:H321"/>
    <mergeCell ref="G324:H324"/>
    <mergeCell ref="G325:H325"/>
    <mergeCell ref="G328:H328"/>
    <mergeCell ref="G329:H329"/>
    <mergeCell ref="G334:H334"/>
    <mergeCell ref="G303:H303"/>
    <mergeCell ref="G265:H265"/>
    <mergeCell ref="G271:H271"/>
    <mergeCell ref="G272:H272"/>
    <mergeCell ref="G275:H275"/>
    <mergeCell ref="G276:H276"/>
    <mergeCell ref="G285:H285"/>
    <mergeCell ref="G290:H290"/>
    <mergeCell ref="G291:H291"/>
    <mergeCell ref="G298:H298"/>
    <mergeCell ref="G302:H302"/>
    <mergeCell ref="G200:H200"/>
    <mergeCell ref="G188:H188"/>
    <mergeCell ref="G180:H180"/>
    <mergeCell ref="G264:H264"/>
    <mergeCell ref="G207:H207"/>
    <mergeCell ref="G217:H217"/>
    <mergeCell ref="G218:H218"/>
    <mergeCell ref="G236:H236"/>
    <mergeCell ref="G237:H237"/>
    <mergeCell ref="G249:H249"/>
    <mergeCell ref="G250:H250"/>
    <mergeCell ref="G255:H255"/>
    <mergeCell ref="G256:H256"/>
    <mergeCell ref="G259:H259"/>
    <mergeCell ref="G260:H260"/>
    <mergeCell ref="G120:H120"/>
    <mergeCell ref="G89:H89"/>
    <mergeCell ref="G105:H105"/>
    <mergeCell ref="G127:H127"/>
    <mergeCell ref="M282:M284"/>
    <mergeCell ref="M277:M278"/>
    <mergeCell ref="G128:H128"/>
    <mergeCell ref="G132:H132"/>
    <mergeCell ref="G136:H136"/>
    <mergeCell ref="G140:H140"/>
    <mergeCell ref="G143:H143"/>
    <mergeCell ref="G144:H144"/>
    <mergeCell ref="G147:H147"/>
    <mergeCell ref="G148:H148"/>
    <mergeCell ref="G152:H152"/>
    <mergeCell ref="G153:H153"/>
    <mergeCell ref="G156:H156"/>
    <mergeCell ref="M257:M258"/>
    <mergeCell ref="M133:M135"/>
    <mergeCell ref="M137:M139"/>
    <mergeCell ref="G104:H104"/>
    <mergeCell ref="M122:M128"/>
    <mergeCell ref="G111:H111"/>
    <mergeCell ref="G112:H112"/>
    <mergeCell ref="M288:M289"/>
    <mergeCell ref="M234:M235"/>
    <mergeCell ref="M247:M248"/>
    <mergeCell ref="M279:M281"/>
    <mergeCell ref="G159:H159"/>
    <mergeCell ref="G206:H206"/>
    <mergeCell ref="G160:H160"/>
    <mergeCell ref="G168:H168"/>
    <mergeCell ref="G169:H169"/>
    <mergeCell ref="G174:H174"/>
    <mergeCell ref="G175:H175"/>
    <mergeCell ref="G191:H191"/>
    <mergeCell ref="G192:H192"/>
    <mergeCell ref="G195:H195"/>
    <mergeCell ref="G196:H196"/>
    <mergeCell ref="G199:H199"/>
    <mergeCell ref="G286:H286"/>
  </mergeCells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ColWidth="11" defaultRowHeight="15.75" x14ac:dyDescent="0.25"/>
  <cols>
    <col min="3" max="3" width="11.375" bestFit="1" customWidth="1"/>
    <col min="8" max="8" width="17.375" customWidth="1"/>
    <col min="12" max="12" width="10.875" customWidth="1"/>
  </cols>
  <sheetData>
    <row r="1" spans="1:1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30" x14ac:dyDescent="0.25">
      <c r="A5" s="301" t="s">
        <v>442</v>
      </c>
      <c r="B5" s="302" t="s">
        <v>441</v>
      </c>
      <c r="C5" s="438" t="s">
        <v>481</v>
      </c>
      <c r="D5" s="439"/>
      <c r="E5" s="439"/>
      <c r="F5" s="439"/>
      <c r="G5" s="440"/>
      <c r="H5" s="244" t="s">
        <v>799</v>
      </c>
      <c r="I5" s="302" t="s">
        <v>482</v>
      </c>
      <c r="J5" s="439" t="s">
        <v>498</v>
      </c>
      <c r="K5" s="440"/>
    </row>
    <row r="6" spans="1:11" ht="30" x14ac:dyDescent="0.25">
      <c r="A6" s="364"/>
      <c r="B6" s="365"/>
      <c r="C6" s="365" t="s">
        <v>5</v>
      </c>
      <c r="D6" s="365" t="s">
        <v>4</v>
      </c>
      <c r="E6" s="365" t="s">
        <v>3</v>
      </c>
      <c r="F6" s="365" t="s">
        <v>1</v>
      </c>
      <c r="G6" s="365" t="s">
        <v>2</v>
      </c>
      <c r="H6" s="365"/>
      <c r="I6" s="365"/>
      <c r="J6" s="365" t="s">
        <v>433</v>
      </c>
      <c r="K6" s="366" t="s">
        <v>490</v>
      </c>
    </row>
    <row r="7" spans="1:11" x14ac:dyDescent="0.25">
      <c r="A7" s="303">
        <v>2012</v>
      </c>
      <c r="B7" s="304" t="s">
        <v>317</v>
      </c>
      <c r="C7" s="363" t="s">
        <v>791</v>
      </c>
      <c r="D7" s="363" t="s">
        <v>791</v>
      </c>
      <c r="E7" s="363" t="s">
        <v>791</v>
      </c>
      <c r="F7" s="363" t="s">
        <v>791</v>
      </c>
      <c r="G7" s="363" t="s">
        <v>791</v>
      </c>
      <c r="H7" s="305">
        <v>424293</v>
      </c>
      <c r="I7" s="305">
        <v>424293</v>
      </c>
      <c r="J7" s="304" t="s">
        <v>492</v>
      </c>
      <c r="K7" s="306" t="s">
        <v>492</v>
      </c>
    </row>
    <row r="8" spans="1:11" x14ac:dyDescent="0.25">
      <c r="A8" s="303">
        <v>2013</v>
      </c>
      <c r="B8" s="304" t="s">
        <v>317</v>
      </c>
      <c r="C8" s="305">
        <v>4124088</v>
      </c>
      <c r="D8" s="363" t="s">
        <v>791</v>
      </c>
      <c r="E8" s="363" t="s">
        <v>791</v>
      </c>
      <c r="F8" s="363" t="s">
        <v>791</v>
      </c>
      <c r="G8" s="363" t="s">
        <v>791</v>
      </c>
      <c r="H8" s="304"/>
      <c r="I8" s="304"/>
      <c r="J8" s="448">
        <v>76804</v>
      </c>
      <c r="K8" s="306" t="s">
        <v>492</v>
      </c>
    </row>
    <row r="9" spans="1:11" x14ac:dyDescent="0.25">
      <c r="A9" s="303">
        <v>2014</v>
      </c>
      <c r="B9" s="304" t="s">
        <v>317</v>
      </c>
      <c r="C9" s="305">
        <v>5448685</v>
      </c>
      <c r="D9" s="305">
        <v>174762</v>
      </c>
      <c r="E9" s="363" t="s">
        <v>791</v>
      </c>
      <c r="F9" s="363" t="s">
        <v>791</v>
      </c>
      <c r="G9" s="363" t="s">
        <v>791</v>
      </c>
      <c r="H9" s="305">
        <v>342163</v>
      </c>
      <c r="I9" s="305">
        <v>342163</v>
      </c>
      <c r="J9" s="448">
        <v>339786</v>
      </c>
      <c r="K9" s="306" t="s">
        <v>492</v>
      </c>
    </row>
    <row r="10" spans="1:11" x14ac:dyDescent="0.25">
      <c r="A10" s="303">
        <v>2015</v>
      </c>
      <c r="B10" s="304" t="s">
        <v>317</v>
      </c>
      <c r="C10" s="305">
        <v>8100470</v>
      </c>
      <c r="D10" s="305">
        <v>212224</v>
      </c>
      <c r="E10" s="363" t="s">
        <v>791</v>
      </c>
      <c r="F10" s="363" t="s">
        <v>791</v>
      </c>
      <c r="G10" s="363" t="s">
        <v>791</v>
      </c>
      <c r="H10" s="305">
        <v>545273</v>
      </c>
      <c r="I10" s="305">
        <v>545273</v>
      </c>
      <c r="J10" s="448">
        <v>394890</v>
      </c>
      <c r="K10" s="306" t="s">
        <v>492</v>
      </c>
    </row>
    <row r="11" spans="1:11" x14ac:dyDescent="0.25">
      <c r="A11" s="307">
        <v>2016</v>
      </c>
      <c r="B11" s="308" t="s">
        <v>317</v>
      </c>
      <c r="C11" s="309">
        <v>4736005</v>
      </c>
      <c r="D11" s="367" t="s">
        <v>791</v>
      </c>
      <c r="E11" s="367" t="s">
        <v>791</v>
      </c>
      <c r="F11" s="367" t="s">
        <v>791</v>
      </c>
      <c r="G11" s="367" t="s">
        <v>791</v>
      </c>
      <c r="H11" s="309">
        <v>151653</v>
      </c>
      <c r="I11" s="309">
        <v>151653</v>
      </c>
      <c r="J11" s="449">
        <v>0</v>
      </c>
      <c r="K11" s="310" t="s">
        <v>492</v>
      </c>
    </row>
    <row r="13" spans="1:11" x14ac:dyDescent="0.25">
      <c r="A13" t="s">
        <v>807</v>
      </c>
      <c r="C13" s="393">
        <f>SUM(C7:C11)</f>
        <v>22409248</v>
      </c>
      <c r="D13" s="393">
        <f>SUM(D7:D11)</f>
        <v>386986</v>
      </c>
      <c r="H13" s="393">
        <f>SUM(H7:H11)</f>
        <v>1463382</v>
      </c>
      <c r="I13" s="393"/>
      <c r="J13">
        <f>SUM(J8:J11)</f>
        <v>811480</v>
      </c>
    </row>
  </sheetData>
  <mergeCells count="2">
    <mergeCell ref="C5:G5"/>
    <mergeCell ref="J5:K5"/>
  </mergeCells>
  <pageMargins left="0.75" right="0.75" top="1" bottom="1" header="0.5" footer="0.5"/>
  <pageSetup orientation="portrait" horizontalDpi="4294967292" verticalDpi="429496729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1"/>
  <sheetViews>
    <sheetView zoomScaleNormal="100" zoomScalePageLayoutView="90" workbookViewId="0"/>
  </sheetViews>
  <sheetFormatPr defaultColWidth="8.625" defaultRowHeight="15.75" x14ac:dyDescent="0.25"/>
  <cols>
    <col min="1" max="1" width="8.625" style="89"/>
    <col min="2" max="2" width="20" style="89" customWidth="1"/>
    <col min="3" max="3" width="13.375" style="89" customWidth="1"/>
    <col min="4" max="6" width="8.625" style="89"/>
    <col min="7" max="7" width="10.5" style="89" customWidth="1"/>
    <col min="8" max="8" width="13.875" style="89" customWidth="1"/>
    <col min="9" max="9" width="18.5" style="89" customWidth="1"/>
    <col min="10" max="10" width="10" style="89" customWidth="1"/>
    <col min="11" max="16384" width="8.625" style="89"/>
  </cols>
  <sheetData>
    <row r="2" spans="1:10" s="91" customFormat="1" ht="30" x14ac:dyDescent="0.25">
      <c r="A2" s="264" t="s">
        <v>442</v>
      </c>
      <c r="B2" s="265" t="s">
        <v>441</v>
      </c>
      <c r="C2" s="441" t="s">
        <v>481</v>
      </c>
      <c r="D2" s="432"/>
      <c r="E2" s="432"/>
      <c r="F2" s="432"/>
      <c r="G2" s="434"/>
      <c r="H2" s="352" t="s">
        <v>799</v>
      </c>
      <c r="I2" s="265" t="s">
        <v>482</v>
      </c>
      <c r="J2" s="266" t="s">
        <v>498</v>
      </c>
    </row>
    <row r="3" spans="1:10" s="92" customFormat="1" ht="15" x14ac:dyDescent="0.25">
      <c r="A3" s="245"/>
      <c r="B3" s="242"/>
      <c r="C3" s="245" t="s">
        <v>5</v>
      </c>
      <c r="D3" s="242" t="s">
        <v>4</v>
      </c>
      <c r="E3" s="242" t="s">
        <v>3</v>
      </c>
      <c r="F3" s="242" t="s">
        <v>1</v>
      </c>
      <c r="G3" s="246" t="s">
        <v>2</v>
      </c>
      <c r="H3" s="242"/>
      <c r="I3" s="242"/>
      <c r="J3" s="246" t="s">
        <v>412</v>
      </c>
    </row>
    <row r="4" spans="1:10" x14ac:dyDescent="0.25">
      <c r="A4" s="247">
        <v>2015</v>
      </c>
      <c r="B4" s="117" t="s">
        <v>55</v>
      </c>
      <c r="C4" s="247" t="s">
        <v>810</v>
      </c>
      <c r="D4" s="117" t="s">
        <v>810</v>
      </c>
      <c r="E4" s="117" t="s">
        <v>810</v>
      </c>
      <c r="F4" s="117" t="s">
        <v>810</v>
      </c>
      <c r="G4" s="263" t="s">
        <v>810</v>
      </c>
      <c r="H4" s="255">
        <f>6310+18690+5000</f>
        <v>30000</v>
      </c>
      <c r="I4" s="255">
        <f>H4</f>
        <v>30000</v>
      </c>
      <c r="J4" s="263" t="s">
        <v>492</v>
      </c>
    </row>
    <row r="5" spans="1:10" x14ac:dyDescent="0.25">
      <c r="A5" s="247">
        <v>2015</v>
      </c>
      <c r="B5" s="117" t="s">
        <v>806</v>
      </c>
      <c r="C5" s="247" t="s">
        <v>810</v>
      </c>
      <c r="D5" s="117" t="s">
        <v>810</v>
      </c>
      <c r="E5" s="117" t="s">
        <v>810</v>
      </c>
      <c r="F5" s="117" t="s">
        <v>810</v>
      </c>
      <c r="G5" s="263" t="s">
        <v>810</v>
      </c>
      <c r="H5" s="255">
        <f>6100+34000+5000</f>
        <v>45100</v>
      </c>
      <c r="I5" s="255">
        <f t="shared" ref="I5:I9" si="0">H5</f>
        <v>45100</v>
      </c>
      <c r="J5" s="263" t="s">
        <v>492</v>
      </c>
    </row>
    <row r="6" spans="1:10" x14ac:dyDescent="0.25">
      <c r="A6" s="247">
        <v>2015</v>
      </c>
      <c r="B6" s="117" t="s">
        <v>91</v>
      </c>
      <c r="C6" s="247" t="s">
        <v>810</v>
      </c>
      <c r="D6" s="117" t="s">
        <v>810</v>
      </c>
      <c r="E6" s="117" t="s">
        <v>810</v>
      </c>
      <c r="F6" s="117" t="s">
        <v>810</v>
      </c>
      <c r="G6" s="263" t="s">
        <v>810</v>
      </c>
      <c r="H6" s="255">
        <f>99464+22800+5000</f>
        <v>127264</v>
      </c>
      <c r="I6" s="255">
        <f t="shared" si="0"/>
        <v>127264</v>
      </c>
      <c r="J6" s="263" t="s">
        <v>492</v>
      </c>
    </row>
    <row r="7" spans="1:10" x14ac:dyDescent="0.25">
      <c r="A7" s="247">
        <v>2015</v>
      </c>
      <c r="B7" s="117" t="s">
        <v>348</v>
      </c>
      <c r="C7" s="348">
        <v>366088</v>
      </c>
      <c r="D7" s="117" t="s">
        <v>810</v>
      </c>
      <c r="E7" s="117" t="s">
        <v>810</v>
      </c>
      <c r="F7" s="117" t="s">
        <v>810</v>
      </c>
      <c r="G7" s="263" t="s">
        <v>810</v>
      </c>
      <c r="H7" s="255">
        <f>49368+5000</f>
        <v>54368</v>
      </c>
      <c r="I7" s="255">
        <f t="shared" si="0"/>
        <v>54368</v>
      </c>
      <c r="J7" s="263" t="s">
        <v>492</v>
      </c>
    </row>
    <row r="8" spans="1:10" x14ac:dyDescent="0.25">
      <c r="A8" s="247">
        <v>2015</v>
      </c>
      <c r="B8" s="117" t="s">
        <v>355</v>
      </c>
      <c r="C8" s="348" t="s">
        <v>810</v>
      </c>
      <c r="D8" s="117" t="s">
        <v>810</v>
      </c>
      <c r="E8" s="117" t="s">
        <v>810</v>
      </c>
      <c r="F8" s="117" t="s">
        <v>810</v>
      </c>
      <c r="G8" s="263" t="s">
        <v>810</v>
      </c>
      <c r="H8" s="255">
        <f>23031+30300+5000</f>
        <v>58331</v>
      </c>
      <c r="I8" s="255">
        <f t="shared" si="0"/>
        <v>58331</v>
      </c>
      <c r="J8" s="263" t="s">
        <v>492</v>
      </c>
    </row>
    <row r="9" spans="1:10" x14ac:dyDescent="0.25">
      <c r="A9" s="247">
        <v>2015</v>
      </c>
      <c r="B9" s="117" t="s">
        <v>376</v>
      </c>
      <c r="C9" s="247" t="s">
        <v>810</v>
      </c>
      <c r="D9" s="117" t="s">
        <v>810</v>
      </c>
      <c r="E9" s="117" t="s">
        <v>810</v>
      </c>
      <c r="F9" s="117" t="s">
        <v>810</v>
      </c>
      <c r="G9" s="263" t="s">
        <v>810</v>
      </c>
      <c r="H9" s="255">
        <f>2964+6973+5000</f>
        <v>14937</v>
      </c>
      <c r="I9" s="255">
        <f t="shared" si="0"/>
        <v>14937</v>
      </c>
      <c r="J9" s="263" t="s">
        <v>492</v>
      </c>
    </row>
    <row r="10" spans="1:10" x14ac:dyDescent="0.25">
      <c r="A10" s="247"/>
      <c r="B10" s="194" t="s">
        <v>807</v>
      </c>
      <c r="C10" s="349">
        <f>SUM(C4:C9)</f>
        <v>366088</v>
      </c>
      <c r="D10" s="194"/>
      <c r="E10" s="194"/>
      <c r="F10" s="194"/>
      <c r="G10" s="350"/>
      <c r="H10" s="255">
        <f>SUM(H4:H9)</f>
        <v>330000</v>
      </c>
      <c r="I10" s="255">
        <f>SUM(I4:I9)</f>
        <v>330000</v>
      </c>
      <c r="J10" s="263" t="s">
        <v>492</v>
      </c>
    </row>
    <row r="11" spans="1:10" x14ac:dyDescent="0.25">
      <c r="A11" s="247"/>
      <c r="B11" s="117"/>
      <c r="C11" s="247"/>
      <c r="D11" s="117"/>
      <c r="E11" s="117"/>
      <c r="F11" s="117"/>
      <c r="G11" s="263"/>
      <c r="H11" s="255"/>
      <c r="I11" s="255"/>
      <c r="J11" s="263"/>
    </row>
    <row r="12" spans="1:10" x14ac:dyDescent="0.25">
      <c r="A12" s="247">
        <v>2016</v>
      </c>
      <c r="B12" s="117" t="s">
        <v>55</v>
      </c>
      <c r="C12" s="340">
        <v>120227</v>
      </c>
      <c r="D12" s="117" t="s">
        <v>810</v>
      </c>
      <c r="E12" s="117" t="s">
        <v>810</v>
      </c>
      <c r="F12" s="117" t="s">
        <v>810</v>
      </c>
      <c r="G12" s="263" t="s">
        <v>810</v>
      </c>
      <c r="H12" s="255">
        <v>0</v>
      </c>
      <c r="I12" s="255">
        <f>H12</f>
        <v>0</v>
      </c>
      <c r="J12" s="263" t="s">
        <v>492</v>
      </c>
    </row>
    <row r="13" spans="1:10" x14ac:dyDescent="0.25">
      <c r="A13" s="247">
        <v>2016</v>
      </c>
      <c r="B13" s="117" t="s">
        <v>806</v>
      </c>
      <c r="C13" s="340">
        <v>1742253</v>
      </c>
      <c r="D13" s="117" t="s">
        <v>810</v>
      </c>
      <c r="E13" s="117" t="s">
        <v>810</v>
      </c>
      <c r="F13" s="117" t="s">
        <v>810</v>
      </c>
      <c r="G13" s="263" t="s">
        <v>810</v>
      </c>
      <c r="H13" s="255">
        <v>0</v>
      </c>
      <c r="I13" s="255">
        <f t="shared" ref="I13:I18" si="1">H13</f>
        <v>0</v>
      </c>
      <c r="J13" s="263" t="s">
        <v>492</v>
      </c>
    </row>
    <row r="14" spans="1:10" x14ac:dyDescent="0.25">
      <c r="A14" s="247">
        <v>2016</v>
      </c>
      <c r="B14" s="117" t="s">
        <v>91</v>
      </c>
      <c r="C14" s="340">
        <v>0</v>
      </c>
      <c r="D14" s="117" t="s">
        <v>810</v>
      </c>
      <c r="E14" s="117" t="s">
        <v>810</v>
      </c>
      <c r="F14" s="117" t="s">
        <v>810</v>
      </c>
      <c r="G14" s="263" t="s">
        <v>810</v>
      </c>
      <c r="H14" s="255">
        <v>0</v>
      </c>
      <c r="I14" s="255">
        <f t="shared" si="1"/>
        <v>0</v>
      </c>
      <c r="J14" s="263" t="s">
        <v>492</v>
      </c>
    </row>
    <row r="15" spans="1:10" x14ac:dyDescent="0.25">
      <c r="A15" s="247">
        <v>2016</v>
      </c>
      <c r="B15" s="117" t="s">
        <v>348</v>
      </c>
      <c r="C15" s="340">
        <v>315571</v>
      </c>
      <c r="D15" s="117" t="s">
        <v>810</v>
      </c>
      <c r="E15" s="117" t="s">
        <v>810</v>
      </c>
      <c r="F15" s="117" t="s">
        <v>810</v>
      </c>
      <c r="G15" s="263" t="s">
        <v>810</v>
      </c>
      <c r="H15" s="255">
        <v>0</v>
      </c>
      <c r="I15" s="255">
        <f t="shared" si="1"/>
        <v>0</v>
      </c>
      <c r="J15" s="263" t="s">
        <v>492</v>
      </c>
    </row>
    <row r="16" spans="1:10" x14ac:dyDescent="0.25">
      <c r="A16" s="247">
        <v>2016</v>
      </c>
      <c r="B16" s="117" t="s">
        <v>355</v>
      </c>
      <c r="C16" s="340">
        <v>580626</v>
      </c>
      <c r="D16" s="117" t="s">
        <v>810</v>
      </c>
      <c r="E16" s="117" t="s">
        <v>810</v>
      </c>
      <c r="F16" s="117" t="s">
        <v>810</v>
      </c>
      <c r="G16" s="263" t="s">
        <v>810</v>
      </c>
      <c r="H16" s="255">
        <v>0</v>
      </c>
      <c r="I16" s="255">
        <f t="shared" si="1"/>
        <v>0</v>
      </c>
      <c r="J16" s="263" t="s">
        <v>492</v>
      </c>
    </row>
    <row r="17" spans="1:10" x14ac:dyDescent="0.25">
      <c r="A17" s="247">
        <v>2016</v>
      </c>
      <c r="B17" s="117" t="s">
        <v>376</v>
      </c>
      <c r="C17" s="340">
        <v>159147</v>
      </c>
      <c r="D17" s="117" t="s">
        <v>810</v>
      </c>
      <c r="E17" s="117" t="s">
        <v>810</v>
      </c>
      <c r="F17" s="117" t="s">
        <v>810</v>
      </c>
      <c r="G17" s="263" t="s">
        <v>810</v>
      </c>
      <c r="H17" s="255">
        <v>0</v>
      </c>
      <c r="I17" s="255">
        <f t="shared" si="1"/>
        <v>0</v>
      </c>
      <c r="J17" s="263" t="s">
        <v>492</v>
      </c>
    </row>
    <row r="18" spans="1:10" x14ac:dyDescent="0.25">
      <c r="A18" s="247">
        <v>2016</v>
      </c>
      <c r="B18" s="117" t="s">
        <v>808</v>
      </c>
      <c r="C18" s="340">
        <v>7200000</v>
      </c>
      <c r="D18" s="117" t="s">
        <v>810</v>
      </c>
      <c r="E18" s="117" t="s">
        <v>810</v>
      </c>
      <c r="F18" s="117" t="s">
        <v>810</v>
      </c>
      <c r="G18" s="263" t="s">
        <v>810</v>
      </c>
      <c r="H18" s="255">
        <v>166980</v>
      </c>
      <c r="I18" s="255">
        <f t="shared" si="1"/>
        <v>166980</v>
      </c>
      <c r="J18" s="263" t="s">
        <v>492</v>
      </c>
    </row>
    <row r="19" spans="1:10" x14ac:dyDescent="0.25">
      <c r="A19" s="249"/>
      <c r="B19" s="351" t="s">
        <v>807</v>
      </c>
      <c r="C19" s="353">
        <f>SUM(C12:C18)</f>
        <v>10117824</v>
      </c>
      <c r="D19" s="351"/>
      <c r="E19" s="351"/>
      <c r="F19" s="351"/>
      <c r="G19" s="354"/>
      <c r="H19" s="258">
        <f>SUM(H18)</f>
        <v>166980</v>
      </c>
      <c r="I19" s="258">
        <f>SUM(I18)</f>
        <v>166980</v>
      </c>
      <c r="J19" s="253" t="s">
        <v>492</v>
      </c>
    </row>
    <row r="21" spans="1:10" x14ac:dyDescent="0.25">
      <c r="B21" s="89" t="s">
        <v>807</v>
      </c>
      <c r="C21" s="196">
        <f>C10+C19</f>
        <v>10483912</v>
      </c>
      <c r="H21" s="196"/>
    </row>
  </sheetData>
  <mergeCells count="1">
    <mergeCell ref="C2:G2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ColWidth="11" defaultRowHeight="15.75" x14ac:dyDescent="0.25"/>
  <cols>
    <col min="4" max="4" width="11.125" bestFit="1" customWidth="1"/>
    <col min="8" max="8" width="13.875" customWidth="1"/>
    <col min="9" max="9" width="33.375" customWidth="1"/>
    <col min="11" max="11" width="16.5" customWidth="1"/>
  </cols>
  <sheetData>
    <row r="1" spans="1:12" ht="30" x14ac:dyDescent="0.25">
      <c r="A1" s="301" t="s">
        <v>442</v>
      </c>
      <c r="B1" s="302" t="s">
        <v>441</v>
      </c>
      <c r="C1" s="439" t="s">
        <v>481</v>
      </c>
      <c r="D1" s="439"/>
      <c r="E1" s="439"/>
      <c r="F1" s="439"/>
      <c r="G1" s="439"/>
      <c r="H1" s="244" t="s">
        <v>799</v>
      </c>
      <c r="I1" s="302" t="s">
        <v>482</v>
      </c>
      <c r="J1" s="444" t="s">
        <v>498</v>
      </c>
      <c r="K1" s="444"/>
      <c r="L1" s="445"/>
    </row>
    <row r="2" spans="1:12" x14ac:dyDescent="0.25">
      <c r="A2" s="379"/>
      <c r="B2" s="380"/>
      <c r="C2" s="380" t="s">
        <v>5</v>
      </c>
      <c r="D2" s="380" t="s">
        <v>4</v>
      </c>
      <c r="E2" s="380" t="s">
        <v>3</v>
      </c>
      <c r="F2" s="380" t="s">
        <v>1</v>
      </c>
      <c r="G2" s="380" t="s">
        <v>2</v>
      </c>
      <c r="H2" s="381"/>
      <c r="I2" s="381"/>
      <c r="J2" s="380" t="s">
        <v>433</v>
      </c>
      <c r="K2" s="380" t="s">
        <v>489</v>
      </c>
      <c r="L2" s="382" t="s">
        <v>784</v>
      </c>
    </row>
    <row r="3" spans="1:12" x14ac:dyDescent="0.25">
      <c r="A3" s="368">
        <v>2013</v>
      </c>
      <c r="B3" s="369" t="s">
        <v>356</v>
      </c>
      <c r="C3" s="363"/>
      <c r="D3" s="363">
        <v>12450000</v>
      </c>
      <c r="E3" s="363" t="s">
        <v>793</v>
      </c>
      <c r="F3" s="363" t="s">
        <v>793</v>
      </c>
      <c r="G3" s="363" t="s">
        <v>793</v>
      </c>
      <c r="H3" s="370">
        <v>140000</v>
      </c>
      <c r="I3" s="442" t="s">
        <v>794</v>
      </c>
      <c r="J3" s="370" t="s">
        <v>492</v>
      </c>
      <c r="K3" s="371">
        <v>3894686.85</v>
      </c>
      <c r="L3" s="372" t="s">
        <v>792</v>
      </c>
    </row>
    <row r="4" spans="1:12" x14ac:dyDescent="0.25">
      <c r="A4" s="368">
        <v>2014</v>
      </c>
      <c r="B4" s="369" t="s">
        <v>356</v>
      </c>
      <c r="C4" s="363">
        <v>7224480</v>
      </c>
      <c r="D4" s="363">
        <v>7224480</v>
      </c>
      <c r="E4" s="363" t="s">
        <v>793</v>
      </c>
      <c r="F4" s="363" t="s">
        <v>793</v>
      </c>
      <c r="G4" s="363" t="s">
        <v>793</v>
      </c>
      <c r="H4" s="370">
        <v>251054</v>
      </c>
      <c r="I4" s="442"/>
      <c r="J4" s="370" t="s">
        <v>492</v>
      </c>
      <c r="K4" s="371">
        <v>2717183.11</v>
      </c>
      <c r="L4" s="372" t="s">
        <v>792</v>
      </c>
    </row>
    <row r="5" spans="1:12" x14ac:dyDescent="0.25">
      <c r="A5" s="368">
        <v>2015</v>
      </c>
      <c r="B5" s="369" t="s">
        <v>356</v>
      </c>
      <c r="C5" s="363" t="s">
        <v>793</v>
      </c>
      <c r="D5" s="363" t="s">
        <v>793</v>
      </c>
      <c r="E5" s="363" t="s">
        <v>793</v>
      </c>
      <c r="F5" s="363" t="s">
        <v>793</v>
      </c>
      <c r="G5" s="363" t="s">
        <v>793</v>
      </c>
      <c r="H5" s="370">
        <v>359478</v>
      </c>
      <c r="I5" s="442"/>
      <c r="J5" s="370" t="s">
        <v>492</v>
      </c>
      <c r="K5" s="371">
        <v>223697.24</v>
      </c>
      <c r="L5" s="373" t="s">
        <v>492</v>
      </c>
    </row>
    <row r="6" spans="1:12" x14ac:dyDescent="0.25">
      <c r="A6" s="374">
        <v>2016</v>
      </c>
      <c r="B6" s="375" t="s">
        <v>356</v>
      </c>
      <c r="C6" s="367">
        <v>356803</v>
      </c>
      <c r="D6" s="367">
        <v>356803</v>
      </c>
      <c r="E6" s="367" t="s">
        <v>793</v>
      </c>
      <c r="F6" s="367">
        <v>162698</v>
      </c>
      <c r="G6" s="367" t="s">
        <v>793</v>
      </c>
      <c r="H6" s="376">
        <v>119826</v>
      </c>
      <c r="I6" s="443"/>
      <c r="J6" s="376" t="s">
        <v>492</v>
      </c>
      <c r="K6" s="377">
        <v>3503346.99</v>
      </c>
      <c r="L6" s="378" t="s">
        <v>492</v>
      </c>
    </row>
    <row r="7" spans="1:12" x14ac:dyDescent="0.25">
      <c r="A7" s="195"/>
      <c r="B7" s="195"/>
      <c r="C7" s="195"/>
      <c r="D7" s="195"/>
      <c r="E7" s="195"/>
      <c r="F7" s="195"/>
      <c r="G7" s="195"/>
      <c r="I7" s="195"/>
      <c r="J7" s="195"/>
      <c r="K7" s="195"/>
      <c r="L7" s="195"/>
    </row>
    <row r="8" spans="1:12" x14ac:dyDescent="0.25">
      <c r="A8" s="195" t="s">
        <v>807</v>
      </c>
      <c r="B8" s="195"/>
      <c r="C8" s="397">
        <f t="shared" ref="C8:H8" si="0">SUM(C3:C6)</f>
        <v>7581283</v>
      </c>
      <c r="D8" s="397">
        <f t="shared" si="0"/>
        <v>20031283</v>
      </c>
      <c r="E8" s="397">
        <f t="shared" si="0"/>
        <v>0</v>
      </c>
      <c r="F8" s="397">
        <f t="shared" si="0"/>
        <v>162698</v>
      </c>
      <c r="G8" s="397">
        <f t="shared" si="0"/>
        <v>0</v>
      </c>
      <c r="H8" s="397">
        <f t="shared" si="0"/>
        <v>870358</v>
      </c>
      <c r="I8" s="195"/>
      <c r="J8" s="195"/>
      <c r="K8" s="397">
        <f>SUM(K3:K6)</f>
        <v>10338914.190000001</v>
      </c>
      <c r="L8" s="195"/>
    </row>
    <row r="9" spans="1:12" x14ac:dyDescent="0.25">
      <c r="A9" s="195"/>
      <c r="B9" s="195"/>
      <c r="C9" s="195"/>
      <c r="D9" s="195"/>
      <c r="E9" s="195"/>
      <c r="F9" s="195"/>
      <c r="G9" s="195"/>
      <c r="H9" s="197"/>
      <c r="I9" s="197"/>
      <c r="J9" s="195"/>
      <c r="K9" s="195"/>
      <c r="L9" s="195"/>
    </row>
  </sheetData>
  <mergeCells count="3">
    <mergeCell ref="C1:G1"/>
    <mergeCell ref="I3:I6"/>
    <mergeCell ref="J1:L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L13"/>
  <sheetViews>
    <sheetView zoomScaleNormal="100" workbookViewId="0"/>
  </sheetViews>
  <sheetFormatPr defaultColWidth="8.625" defaultRowHeight="15.75" x14ac:dyDescent="0.25"/>
  <cols>
    <col min="1" max="1" width="8.625" style="89"/>
    <col min="2" max="2" width="11.375" style="89" customWidth="1"/>
    <col min="3" max="3" width="12.5" style="89" bestFit="1" customWidth="1"/>
    <col min="4" max="4" width="11" style="89" bestFit="1" customWidth="1"/>
    <col min="5" max="5" width="10" style="89" bestFit="1" customWidth="1"/>
    <col min="6" max="6" width="14.125" style="89" customWidth="1"/>
    <col min="7" max="7" width="14.5" style="89" customWidth="1"/>
    <col min="8" max="9" width="13.625" style="89" bestFit="1" customWidth="1"/>
    <col min="10" max="10" width="12.125" style="89" bestFit="1" customWidth="1"/>
    <col min="11" max="11" width="13" style="89" customWidth="1"/>
    <col min="12" max="12" width="12" style="89" bestFit="1" customWidth="1"/>
    <col min="13" max="16384" width="8.625" style="89"/>
  </cols>
  <sheetData>
    <row r="5" spans="1:12" s="91" customFormat="1" ht="30" x14ac:dyDescent="0.25">
      <c r="A5" s="243" t="s">
        <v>442</v>
      </c>
      <c r="B5" s="244" t="s">
        <v>441</v>
      </c>
      <c r="C5" s="446" t="s">
        <v>481</v>
      </c>
      <c r="D5" s="435"/>
      <c r="E5" s="435"/>
      <c r="F5" s="435"/>
      <c r="G5" s="447"/>
      <c r="H5" s="244" t="s">
        <v>799</v>
      </c>
      <c r="I5" s="244" t="s">
        <v>482</v>
      </c>
      <c r="J5" s="436" t="s">
        <v>498</v>
      </c>
      <c r="K5" s="436"/>
      <c r="L5" s="437"/>
    </row>
    <row r="6" spans="1:12" s="92" customFormat="1" ht="30" x14ac:dyDescent="0.25">
      <c r="A6" s="245"/>
      <c r="B6" s="242"/>
      <c r="C6" s="245" t="s">
        <v>5</v>
      </c>
      <c r="D6" s="242" t="s">
        <v>4</v>
      </c>
      <c r="E6" s="242" t="s">
        <v>3</v>
      </c>
      <c r="F6" s="242" t="s">
        <v>1</v>
      </c>
      <c r="G6" s="246" t="s">
        <v>2</v>
      </c>
      <c r="H6" s="242"/>
      <c r="I6" s="242"/>
      <c r="J6" s="242" t="s">
        <v>488</v>
      </c>
      <c r="K6" s="242" t="s">
        <v>490</v>
      </c>
      <c r="L6" s="246" t="s">
        <v>504</v>
      </c>
    </row>
    <row r="7" spans="1:12" x14ac:dyDescent="0.25">
      <c r="A7" s="247">
        <v>2012</v>
      </c>
      <c r="B7" s="117" t="s">
        <v>387</v>
      </c>
      <c r="C7" s="338">
        <v>1090993</v>
      </c>
      <c r="D7" s="23">
        <v>744023</v>
      </c>
      <c r="E7" s="122"/>
      <c r="F7" s="122"/>
      <c r="G7" s="339"/>
      <c r="H7" s="248"/>
      <c r="I7" s="248"/>
      <c r="J7" s="248"/>
      <c r="K7" s="248"/>
      <c r="L7" s="262"/>
    </row>
    <row r="8" spans="1:12" x14ac:dyDescent="0.25">
      <c r="A8" s="247">
        <v>2013</v>
      </c>
      <c r="B8" s="117" t="s">
        <v>387</v>
      </c>
      <c r="C8" s="340">
        <v>0</v>
      </c>
      <c r="D8" s="122">
        <v>0</v>
      </c>
      <c r="E8" s="122">
        <v>0</v>
      </c>
      <c r="F8" s="122">
        <v>0</v>
      </c>
      <c r="G8" s="339">
        <v>0</v>
      </c>
      <c r="H8" s="248">
        <v>32000</v>
      </c>
      <c r="I8" s="248">
        <v>550000</v>
      </c>
      <c r="J8" s="248">
        <v>400000</v>
      </c>
      <c r="K8" s="248" t="s">
        <v>492</v>
      </c>
      <c r="L8" s="262">
        <v>100000</v>
      </c>
    </row>
    <row r="9" spans="1:12" x14ac:dyDescent="0.25">
      <c r="A9" s="247">
        <v>2014</v>
      </c>
      <c r="B9" s="117" t="s">
        <v>387</v>
      </c>
      <c r="C9" s="340">
        <v>2682925</v>
      </c>
      <c r="D9" s="122">
        <v>2682925</v>
      </c>
      <c r="E9" s="122">
        <v>0</v>
      </c>
      <c r="F9" s="122">
        <v>0</v>
      </c>
      <c r="G9" s="339">
        <v>0</v>
      </c>
      <c r="H9" s="248">
        <v>144244</v>
      </c>
      <c r="I9" s="248">
        <v>594000</v>
      </c>
      <c r="J9" s="248">
        <v>400000</v>
      </c>
      <c r="K9" s="248" t="s">
        <v>492</v>
      </c>
      <c r="L9" s="262"/>
    </row>
    <row r="10" spans="1:12" x14ac:dyDescent="0.25">
      <c r="A10" s="247">
        <v>2015</v>
      </c>
      <c r="B10" s="117" t="s">
        <v>387</v>
      </c>
      <c r="C10" s="340">
        <v>2421873</v>
      </c>
      <c r="D10" s="122">
        <v>2328189</v>
      </c>
      <c r="E10" s="122">
        <v>0</v>
      </c>
      <c r="F10" s="122">
        <v>0</v>
      </c>
      <c r="G10" s="339">
        <v>0</v>
      </c>
      <c r="H10" s="248">
        <v>326102</v>
      </c>
      <c r="I10" s="248">
        <v>780531</v>
      </c>
      <c r="J10" s="248">
        <v>325625</v>
      </c>
      <c r="K10" s="117" t="s">
        <v>492</v>
      </c>
      <c r="L10" s="263"/>
    </row>
    <row r="11" spans="1:12" s="95" customFormat="1" x14ac:dyDescent="0.25">
      <c r="A11" s="336">
        <v>2016</v>
      </c>
      <c r="B11" s="271" t="s">
        <v>387</v>
      </c>
      <c r="C11" s="341">
        <v>3365556</v>
      </c>
      <c r="D11" s="337">
        <v>3069913</v>
      </c>
      <c r="E11" s="337">
        <v>6032824</v>
      </c>
      <c r="F11" s="337">
        <v>0</v>
      </c>
      <c r="G11" s="342">
        <v>115503</v>
      </c>
      <c r="H11" s="258">
        <f>791312+132976+34232</f>
        <v>958520</v>
      </c>
      <c r="I11" s="258">
        <v>1071729</v>
      </c>
      <c r="J11" s="258">
        <v>100550</v>
      </c>
      <c r="K11" s="271" t="s">
        <v>492</v>
      </c>
      <c r="L11" s="259"/>
    </row>
    <row r="12" spans="1:12" s="95" customFormat="1" x14ac:dyDescent="0.25"/>
    <row r="13" spans="1:12" s="95" customFormat="1" x14ac:dyDescent="0.25">
      <c r="A13" s="95" t="s">
        <v>807</v>
      </c>
      <c r="C13" s="394">
        <f>SUM(C7:C11)</f>
        <v>9561347</v>
      </c>
      <c r="D13" s="394">
        <f>SUM(D7:D11)</f>
        <v>8825050</v>
      </c>
      <c r="H13" s="394">
        <f>SUM(H7:H11)</f>
        <v>1460866</v>
      </c>
      <c r="I13" s="394">
        <f>SUM(I7:I11)</f>
        <v>2996260</v>
      </c>
      <c r="J13" s="394">
        <f>SUM(J7:J11)</f>
        <v>1226175</v>
      </c>
      <c r="K13" s="394"/>
      <c r="L13" s="394">
        <f>SUM(L7:L11)</f>
        <v>100000</v>
      </c>
    </row>
  </sheetData>
  <mergeCells count="2">
    <mergeCell ref="C5:G5"/>
    <mergeCell ref="J5:L5"/>
  </mergeCells>
  <pageMargins left="0.75" right="0.75" top="1" bottom="1" header="0.5" footer="0.5"/>
  <pageSetup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G213"/>
  <sheetViews>
    <sheetView zoomScale="110" zoomScaleNormal="110" zoomScalePageLayoutView="110" workbookViewId="0"/>
  </sheetViews>
  <sheetFormatPr defaultColWidth="11" defaultRowHeight="15.75" x14ac:dyDescent="0.25"/>
  <cols>
    <col min="1" max="1" width="22.875" customWidth="1"/>
    <col min="2" max="2" width="27.625" customWidth="1"/>
    <col min="3" max="3" width="17" customWidth="1"/>
    <col min="4" max="4" width="30" bestFit="1" customWidth="1"/>
    <col min="5" max="5" width="59.5" customWidth="1"/>
    <col min="6" max="6" width="21.875" bestFit="1" customWidth="1"/>
    <col min="7" max="7" width="28.875" style="316" customWidth="1"/>
  </cols>
  <sheetData>
    <row r="1" spans="1:7" x14ac:dyDescent="0.25">
      <c r="A1" s="47" t="s">
        <v>445</v>
      </c>
      <c r="B1" s="47"/>
      <c r="C1" s="47"/>
    </row>
    <row r="2" spans="1:7" x14ac:dyDescent="0.25">
      <c r="A2" s="47" t="s">
        <v>785</v>
      </c>
      <c r="B2" s="47"/>
      <c r="C2" s="47"/>
    </row>
    <row r="3" spans="1:7" s="5" customFormat="1" ht="31.5" x14ac:dyDescent="0.25">
      <c r="A3" s="200" t="s">
        <v>441</v>
      </c>
      <c r="B3" s="201" t="s">
        <v>443</v>
      </c>
      <c r="C3" s="201" t="s">
        <v>516</v>
      </c>
      <c r="D3" s="201" t="s">
        <v>518</v>
      </c>
      <c r="E3" s="201" t="s">
        <v>0</v>
      </c>
      <c r="F3" s="201" t="s">
        <v>517</v>
      </c>
      <c r="G3" s="201" t="s">
        <v>447</v>
      </c>
    </row>
    <row r="4" spans="1:7" x14ac:dyDescent="0.25">
      <c r="A4" s="202"/>
      <c r="B4" s="203"/>
      <c r="C4" s="203"/>
      <c r="D4" s="31"/>
      <c r="E4" s="31"/>
      <c r="F4" s="31"/>
      <c r="G4" s="317"/>
    </row>
    <row r="5" spans="1:7" x14ac:dyDescent="0.25">
      <c r="A5" s="204" t="s">
        <v>15</v>
      </c>
      <c r="B5" s="22" t="s">
        <v>421</v>
      </c>
      <c r="C5" s="205">
        <v>41639</v>
      </c>
      <c r="D5" s="22" t="s">
        <v>519</v>
      </c>
      <c r="E5" s="22" t="s">
        <v>12</v>
      </c>
      <c r="F5" s="206">
        <v>574836</v>
      </c>
      <c r="G5" s="414"/>
    </row>
    <row r="6" spans="1:7" x14ac:dyDescent="0.25">
      <c r="A6" s="204" t="s">
        <v>15</v>
      </c>
      <c r="B6" s="22" t="s">
        <v>421</v>
      </c>
      <c r="C6" s="205">
        <v>42004</v>
      </c>
      <c r="D6" s="22" t="s">
        <v>521</v>
      </c>
      <c r="E6" s="22" t="s">
        <v>12</v>
      </c>
      <c r="F6" s="206">
        <v>2024948</v>
      </c>
      <c r="G6" s="414"/>
    </row>
    <row r="7" spans="1:7" x14ac:dyDescent="0.25">
      <c r="A7" s="204" t="s">
        <v>15</v>
      </c>
      <c r="B7" s="22" t="s">
        <v>421</v>
      </c>
      <c r="C7" s="205">
        <v>42185</v>
      </c>
      <c r="D7" s="22" t="s">
        <v>522</v>
      </c>
      <c r="E7" s="22" t="s">
        <v>12</v>
      </c>
      <c r="F7" s="206">
        <v>783242.64</v>
      </c>
      <c r="G7" s="414"/>
    </row>
    <row r="8" spans="1:7" x14ac:dyDescent="0.25">
      <c r="A8" s="204" t="s">
        <v>15</v>
      </c>
      <c r="B8" s="22" t="s">
        <v>421</v>
      </c>
      <c r="C8" s="205">
        <v>42355</v>
      </c>
      <c r="D8" s="22" t="s">
        <v>523</v>
      </c>
      <c r="E8" s="22" t="s">
        <v>12</v>
      </c>
      <c r="F8" s="206">
        <v>849737.36</v>
      </c>
      <c r="G8" s="414"/>
    </row>
    <row r="9" spans="1:7" x14ac:dyDescent="0.25">
      <c r="A9" s="204" t="s">
        <v>15</v>
      </c>
      <c r="B9" s="22" t="s">
        <v>421</v>
      </c>
      <c r="C9" s="205">
        <v>42380</v>
      </c>
      <c r="D9" s="22" t="s">
        <v>524</v>
      </c>
      <c r="E9" s="22" t="s">
        <v>12</v>
      </c>
      <c r="F9" s="206">
        <v>178000</v>
      </c>
      <c r="G9" s="414"/>
    </row>
    <row r="10" spans="1:7" x14ac:dyDescent="0.25">
      <c r="A10" s="204" t="s">
        <v>15</v>
      </c>
      <c r="B10" s="22" t="s">
        <v>421</v>
      </c>
      <c r="C10" s="205">
        <v>42380</v>
      </c>
      <c r="D10" s="22" t="s">
        <v>524</v>
      </c>
      <c r="E10" s="22" t="s">
        <v>12</v>
      </c>
      <c r="F10" s="206">
        <v>501247</v>
      </c>
      <c r="G10" s="414"/>
    </row>
    <row r="11" spans="1:7" x14ac:dyDescent="0.25">
      <c r="A11" s="204" t="s">
        <v>15</v>
      </c>
      <c r="B11" s="22" t="s">
        <v>421</v>
      </c>
      <c r="C11" s="205">
        <v>42566</v>
      </c>
      <c r="D11" s="22" t="s">
        <v>525</v>
      </c>
      <c r="E11" s="22" t="s">
        <v>12</v>
      </c>
      <c r="F11" s="206">
        <v>548081</v>
      </c>
      <c r="G11" s="414"/>
    </row>
    <row r="12" spans="1:7" x14ac:dyDescent="0.25">
      <c r="A12" s="204" t="s">
        <v>15</v>
      </c>
      <c r="B12" s="22" t="s">
        <v>421</v>
      </c>
      <c r="C12" s="205">
        <v>42615</v>
      </c>
      <c r="D12" s="22" t="s">
        <v>526</v>
      </c>
      <c r="E12" s="22" t="s">
        <v>12</v>
      </c>
      <c r="F12" s="206">
        <v>461148</v>
      </c>
      <c r="G12" s="414"/>
    </row>
    <row r="13" spans="1:7" x14ac:dyDescent="0.25">
      <c r="A13" s="207"/>
      <c r="B13" s="10"/>
      <c r="C13" s="208"/>
      <c r="D13" s="10"/>
      <c r="E13" s="209" t="s">
        <v>527</v>
      </c>
      <c r="F13" s="210">
        <f>SUM(F5:F12)</f>
        <v>5921240</v>
      </c>
      <c r="G13" s="318"/>
    </row>
    <row r="14" spans="1:7" x14ac:dyDescent="0.25">
      <c r="A14" s="123"/>
      <c r="B14" s="123"/>
      <c r="C14" s="124"/>
      <c r="D14" s="123"/>
      <c r="E14" s="123"/>
      <c r="F14" s="125"/>
    </row>
    <row r="16" spans="1:7" x14ac:dyDescent="0.25">
      <c r="A16" s="123"/>
      <c r="B16" s="126"/>
      <c r="C16" s="124"/>
      <c r="D16" s="123"/>
      <c r="E16" s="123"/>
      <c r="F16" s="125"/>
    </row>
    <row r="17" spans="1:7" ht="26.25" x14ac:dyDescent="0.25">
      <c r="A17" s="211" t="s">
        <v>48</v>
      </c>
      <c r="B17" s="29" t="s">
        <v>424</v>
      </c>
      <c r="C17" s="212">
        <v>42349</v>
      </c>
      <c r="D17" s="29" t="s">
        <v>528</v>
      </c>
      <c r="E17" s="29" t="s">
        <v>46</v>
      </c>
      <c r="F17" s="213">
        <v>180000</v>
      </c>
      <c r="G17" s="319"/>
    </row>
    <row r="18" spans="1:7" x14ac:dyDescent="0.25">
      <c r="A18" s="207" t="s">
        <v>48</v>
      </c>
      <c r="B18" s="10" t="s">
        <v>425</v>
      </c>
      <c r="C18" s="208">
        <v>42352</v>
      </c>
      <c r="D18" s="10" t="s">
        <v>529</v>
      </c>
      <c r="E18" s="10" t="s">
        <v>50</v>
      </c>
      <c r="F18" s="214">
        <v>62347</v>
      </c>
      <c r="G18" s="318"/>
    </row>
    <row r="19" spans="1:7" x14ac:dyDescent="0.25">
      <c r="A19" s="123"/>
      <c r="B19" s="123"/>
      <c r="C19" s="124"/>
      <c r="D19" s="123"/>
      <c r="E19" s="123"/>
      <c r="F19" s="125"/>
    </row>
    <row r="20" spans="1:7" x14ac:dyDescent="0.25">
      <c r="A20" s="211" t="s">
        <v>55</v>
      </c>
      <c r="B20" s="29" t="s">
        <v>425</v>
      </c>
      <c r="C20" s="212">
        <v>42650</v>
      </c>
      <c r="D20" s="29" t="s">
        <v>530</v>
      </c>
      <c r="E20" s="29" t="s">
        <v>53</v>
      </c>
      <c r="F20" s="213">
        <v>96928</v>
      </c>
      <c r="G20" s="319"/>
    </row>
    <row r="21" spans="1:7" x14ac:dyDescent="0.25">
      <c r="A21" s="207" t="s">
        <v>55</v>
      </c>
      <c r="B21" s="10" t="s">
        <v>425</v>
      </c>
      <c r="C21" s="208">
        <v>42872</v>
      </c>
      <c r="D21" s="10" t="s">
        <v>531</v>
      </c>
      <c r="E21" s="10" t="s">
        <v>53</v>
      </c>
      <c r="F21" s="214">
        <v>230064</v>
      </c>
      <c r="G21" s="318"/>
    </row>
    <row r="22" spans="1:7" x14ac:dyDescent="0.25">
      <c r="A22" s="123"/>
      <c r="B22" s="123"/>
      <c r="C22" s="124"/>
      <c r="D22" s="123"/>
      <c r="E22" s="123"/>
      <c r="F22" s="125"/>
    </row>
    <row r="23" spans="1:7" x14ac:dyDescent="0.25">
      <c r="A23" s="123"/>
      <c r="B23" s="126"/>
      <c r="C23" s="124"/>
      <c r="D23" s="123"/>
      <c r="E23" s="123"/>
      <c r="F23" s="125"/>
    </row>
    <row r="24" spans="1:7" x14ac:dyDescent="0.25">
      <c r="A24" s="123"/>
      <c r="B24" s="123"/>
      <c r="C24" s="124"/>
      <c r="D24" s="123"/>
      <c r="E24" s="123"/>
      <c r="F24" s="125"/>
    </row>
    <row r="26" spans="1:7" x14ac:dyDescent="0.25">
      <c r="A26" s="211" t="s">
        <v>91</v>
      </c>
      <c r="B26" s="29" t="s">
        <v>426</v>
      </c>
      <c r="C26" s="212">
        <v>42004</v>
      </c>
      <c r="D26" s="29" t="s">
        <v>547</v>
      </c>
      <c r="E26" s="29" t="s">
        <v>102</v>
      </c>
      <c r="F26" s="213">
        <v>624930</v>
      </c>
      <c r="G26" s="319"/>
    </row>
    <row r="27" spans="1:7" x14ac:dyDescent="0.25">
      <c r="A27" s="204" t="s">
        <v>91</v>
      </c>
      <c r="B27" s="22" t="s">
        <v>426</v>
      </c>
      <c r="C27" s="205">
        <v>42221</v>
      </c>
      <c r="D27" s="22" t="s">
        <v>553</v>
      </c>
      <c r="E27" s="22" t="s">
        <v>106</v>
      </c>
      <c r="F27" s="206">
        <v>662035</v>
      </c>
      <c r="G27" s="317"/>
    </row>
    <row r="28" spans="1:7" x14ac:dyDescent="0.25">
      <c r="A28" s="204"/>
      <c r="B28" s="22"/>
      <c r="C28" s="205"/>
      <c r="D28" s="22"/>
      <c r="E28" s="215" t="s">
        <v>751</v>
      </c>
      <c r="F28" s="216">
        <f>SUM(F26:F27)</f>
        <v>1286965</v>
      </c>
      <c r="G28" s="317"/>
    </row>
    <row r="29" spans="1:7" x14ac:dyDescent="0.25">
      <c r="A29" s="204" t="s">
        <v>91</v>
      </c>
      <c r="B29" s="22" t="s">
        <v>428</v>
      </c>
      <c r="C29" s="205">
        <v>42185</v>
      </c>
      <c r="D29" s="22" t="s">
        <v>549</v>
      </c>
      <c r="E29" s="22" t="s">
        <v>90</v>
      </c>
      <c r="F29" s="206">
        <v>10000</v>
      </c>
      <c r="G29" s="317"/>
    </row>
    <row r="30" spans="1:7" x14ac:dyDescent="0.25">
      <c r="A30" s="204" t="s">
        <v>91</v>
      </c>
      <c r="B30" s="22" t="s">
        <v>428</v>
      </c>
      <c r="C30" s="205">
        <v>42304</v>
      </c>
      <c r="D30" s="22" t="s">
        <v>551</v>
      </c>
      <c r="E30" s="22" t="s">
        <v>90</v>
      </c>
      <c r="F30" s="206">
        <v>115979</v>
      </c>
      <c r="G30" s="321">
        <f>SUM(F29:F31)</f>
        <v>275979</v>
      </c>
    </row>
    <row r="31" spans="1:7" x14ac:dyDescent="0.25">
      <c r="A31" s="204" t="s">
        <v>91</v>
      </c>
      <c r="B31" s="22" t="s">
        <v>428</v>
      </c>
      <c r="C31" s="205">
        <v>42369</v>
      </c>
      <c r="D31" s="22" t="s">
        <v>552</v>
      </c>
      <c r="E31" s="22" t="s">
        <v>90</v>
      </c>
      <c r="F31" s="206">
        <v>150000</v>
      </c>
      <c r="G31" s="317"/>
    </row>
    <row r="32" spans="1:7" x14ac:dyDescent="0.25">
      <c r="A32" s="204" t="s">
        <v>91</v>
      </c>
      <c r="B32" s="22" t="s">
        <v>428</v>
      </c>
      <c r="C32" s="205">
        <v>42551</v>
      </c>
      <c r="D32" s="22" t="s">
        <v>561</v>
      </c>
      <c r="E32" s="22" t="s">
        <v>90</v>
      </c>
      <c r="F32" s="206">
        <v>274083.81</v>
      </c>
      <c r="G32" s="317"/>
    </row>
    <row r="33" spans="1:7" x14ac:dyDescent="0.25">
      <c r="A33" s="204"/>
      <c r="B33" s="22"/>
      <c r="C33" s="205"/>
      <c r="D33" s="22"/>
      <c r="E33" s="215" t="s">
        <v>752</v>
      </c>
      <c r="F33" s="216">
        <f>SUM(F29:F32)</f>
        <v>550062.81000000006</v>
      </c>
      <c r="G33" s="317"/>
    </row>
    <row r="34" spans="1:7" x14ac:dyDescent="0.25">
      <c r="A34" s="204" t="s">
        <v>91</v>
      </c>
      <c r="B34" s="22" t="s">
        <v>430</v>
      </c>
      <c r="C34" s="205">
        <v>42339</v>
      </c>
      <c r="D34" s="22" t="s">
        <v>550</v>
      </c>
      <c r="E34" s="22" t="s">
        <v>93</v>
      </c>
      <c r="F34" s="206">
        <v>127017.44</v>
      </c>
      <c r="G34" s="320"/>
    </row>
    <row r="35" spans="1:7" ht="26.25" x14ac:dyDescent="0.25">
      <c r="A35" s="204" t="s">
        <v>91</v>
      </c>
      <c r="B35" s="22" t="s">
        <v>430</v>
      </c>
      <c r="C35" s="205">
        <v>42697</v>
      </c>
      <c r="D35" s="22" t="s">
        <v>554</v>
      </c>
      <c r="E35" s="22" t="s">
        <v>95</v>
      </c>
      <c r="F35" s="206">
        <v>67989.27</v>
      </c>
      <c r="G35" s="317"/>
    </row>
    <row r="36" spans="1:7" x14ac:dyDescent="0.25">
      <c r="A36" s="204" t="s">
        <v>91</v>
      </c>
      <c r="B36" s="22" t="s">
        <v>430</v>
      </c>
      <c r="C36" s="205">
        <v>42423</v>
      </c>
      <c r="D36" s="22" t="s">
        <v>559</v>
      </c>
      <c r="E36" s="22" t="s">
        <v>93</v>
      </c>
      <c r="F36" s="206">
        <v>31754.36</v>
      </c>
      <c r="G36" s="321"/>
    </row>
    <row r="37" spans="1:7" ht="26.25" x14ac:dyDescent="0.25">
      <c r="A37" s="204" t="s">
        <v>91</v>
      </c>
      <c r="B37" s="22" t="s">
        <v>430</v>
      </c>
      <c r="C37" s="205">
        <v>42565</v>
      </c>
      <c r="D37" s="22" t="s">
        <v>560</v>
      </c>
      <c r="E37" s="22" t="s">
        <v>95</v>
      </c>
      <c r="F37" s="206">
        <v>331924</v>
      </c>
      <c r="G37" s="317"/>
    </row>
    <row r="38" spans="1:7" x14ac:dyDescent="0.25">
      <c r="A38" s="217"/>
      <c r="B38" s="31"/>
      <c r="C38" s="31"/>
      <c r="D38" s="31"/>
      <c r="E38" s="215" t="s">
        <v>753</v>
      </c>
      <c r="F38" s="216">
        <f>SUM(F34:F37)</f>
        <v>558685.07000000007</v>
      </c>
      <c r="G38" s="322"/>
    </row>
    <row r="39" spans="1:7" x14ac:dyDescent="0.25">
      <c r="A39" s="217"/>
      <c r="B39" s="31"/>
      <c r="C39" s="31"/>
      <c r="D39" s="31"/>
      <c r="E39" s="31"/>
      <c r="F39" s="31"/>
      <c r="G39" s="317"/>
    </row>
    <row r="40" spans="1:7" x14ac:dyDescent="0.25">
      <c r="A40" s="204" t="s">
        <v>91</v>
      </c>
      <c r="B40" s="22" t="s">
        <v>423</v>
      </c>
      <c r="C40" s="205">
        <v>42607</v>
      </c>
      <c r="D40" s="22" t="s">
        <v>555</v>
      </c>
      <c r="E40" s="22" t="s">
        <v>124</v>
      </c>
      <c r="F40" s="206">
        <v>299864</v>
      </c>
      <c r="G40" s="317"/>
    </row>
    <row r="41" spans="1:7" x14ac:dyDescent="0.25">
      <c r="A41" s="204" t="s">
        <v>91</v>
      </c>
      <c r="B41" s="22" t="s">
        <v>423</v>
      </c>
      <c r="C41" s="205">
        <v>42605</v>
      </c>
      <c r="D41" s="22" t="s">
        <v>556</v>
      </c>
      <c r="E41" s="22" t="s">
        <v>124</v>
      </c>
      <c r="F41" s="206">
        <v>115803</v>
      </c>
      <c r="G41" s="317"/>
    </row>
    <row r="42" spans="1:7" x14ac:dyDescent="0.25">
      <c r="A42" s="204" t="s">
        <v>91</v>
      </c>
      <c r="B42" s="22" t="s">
        <v>423</v>
      </c>
      <c r="C42" s="205">
        <v>42661</v>
      </c>
      <c r="D42" s="22" t="s">
        <v>557</v>
      </c>
      <c r="E42" s="22" t="s">
        <v>121</v>
      </c>
      <c r="F42" s="206">
        <v>356870</v>
      </c>
      <c r="G42" s="317"/>
    </row>
    <row r="43" spans="1:7" x14ac:dyDescent="0.25">
      <c r="A43" s="204" t="s">
        <v>91</v>
      </c>
      <c r="B43" s="22" t="s">
        <v>423</v>
      </c>
      <c r="C43" s="205">
        <v>42732</v>
      </c>
      <c r="D43" s="22" t="s">
        <v>558</v>
      </c>
      <c r="E43" s="22" t="s">
        <v>121</v>
      </c>
      <c r="F43" s="206">
        <v>73334</v>
      </c>
      <c r="G43" s="317"/>
    </row>
    <row r="44" spans="1:7" x14ac:dyDescent="0.25">
      <c r="A44" s="204" t="s">
        <v>91</v>
      </c>
      <c r="B44" s="22" t="s">
        <v>423</v>
      </c>
      <c r="C44" s="205">
        <v>42732</v>
      </c>
      <c r="D44" s="22" t="s">
        <v>562</v>
      </c>
      <c r="E44" s="22" t="s">
        <v>124</v>
      </c>
      <c r="F44" s="206">
        <v>115803</v>
      </c>
      <c r="G44" s="317"/>
    </row>
    <row r="45" spans="1:7" x14ac:dyDescent="0.25">
      <c r="A45" s="207"/>
      <c r="B45" s="10"/>
      <c r="C45" s="208"/>
      <c r="D45" s="10"/>
      <c r="E45" s="209" t="s">
        <v>754</v>
      </c>
      <c r="F45" s="210">
        <f>SUM(F40:F44)</f>
        <v>961674</v>
      </c>
      <c r="G45" s="323"/>
    </row>
    <row r="46" spans="1:7" x14ac:dyDescent="0.25">
      <c r="A46" s="123"/>
      <c r="B46" s="123"/>
      <c r="C46" s="124"/>
      <c r="D46" s="123"/>
      <c r="E46" s="123"/>
      <c r="F46" s="125"/>
    </row>
    <row r="47" spans="1:7" x14ac:dyDescent="0.25">
      <c r="A47" s="211" t="s">
        <v>154</v>
      </c>
      <c r="B47" s="29" t="s">
        <v>433</v>
      </c>
      <c r="C47" s="212">
        <v>41892</v>
      </c>
      <c r="D47" s="29" t="s">
        <v>566</v>
      </c>
      <c r="E47" s="29" t="s">
        <v>156</v>
      </c>
      <c r="F47" s="213">
        <v>214230</v>
      </c>
      <c r="G47" s="319"/>
    </row>
    <row r="48" spans="1:7" x14ac:dyDescent="0.25">
      <c r="A48" s="204" t="s">
        <v>154</v>
      </c>
      <c r="B48" s="22" t="s">
        <v>433</v>
      </c>
      <c r="C48" s="205">
        <v>41967</v>
      </c>
      <c r="D48" s="22" t="s">
        <v>568</v>
      </c>
      <c r="E48" s="22" t="s">
        <v>156</v>
      </c>
      <c r="F48" s="206">
        <v>357050</v>
      </c>
      <c r="G48" s="321"/>
    </row>
    <row r="49" spans="1:7" x14ac:dyDescent="0.25">
      <c r="A49" s="204" t="s">
        <v>154</v>
      </c>
      <c r="B49" s="22" t="s">
        <v>433</v>
      </c>
      <c r="C49" s="205">
        <v>42369</v>
      </c>
      <c r="D49" s="22" t="s">
        <v>570</v>
      </c>
      <c r="E49" s="22" t="s">
        <v>156</v>
      </c>
      <c r="F49" s="206">
        <v>156025</v>
      </c>
      <c r="G49" s="317"/>
    </row>
    <row r="50" spans="1:7" x14ac:dyDescent="0.25">
      <c r="A50" s="204" t="s">
        <v>154</v>
      </c>
      <c r="B50" s="22" t="s">
        <v>433</v>
      </c>
      <c r="C50" s="205">
        <v>42277</v>
      </c>
      <c r="D50" s="22" t="s">
        <v>571</v>
      </c>
      <c r="E50" s="22" t="s">
        <v>156</v>
      </c>
      <c r="F50" s="206">
        <v>468075</v>
      </c>
      <c r="G50" s="317"/>
    </row>
    <row r="51" spans="1:7" x14ac:dyDescent="0.25">
      <c r="A51" s="204" t="s">
        <v>154</v>
      </c>
      <c r="B51" s="22" t="s">
        <v>433</v>
      </c>
      <c r="C51" s="205">
        <v>42724</v>
      </c>
      <c r="D51" s="22" t="s">
        <v>573</v>
      </c>
      <c r="E51" s="22" t="s">
        <v>156</v>
      </c>
      <c r="F51" s="206">
        <v>169905</v>
      </c>
      <c r="G51" s="317"/>
    </row>
    <row r="52" spans="1:7" x14ac:dyDescent="0.25">
      <c r="A52" s="204" t="s">
        <v>154</v>
      </c>
      <c r="B52" s="22" t="s">
        <v>433</v>
      </c>
      <c r="C52" s="205">
        <v>42641</v>
      </c>
      <c r="D52" s="22" t="s">
        <v>574</v>
      </c>
      <c r="E52" s="22" t="s">
        <v>156</v>
      </c>
      <c r="F52" s="206">
        <v>509715</v>
      </c>
      <c r="G52" s="317"/>
    </row>
    <row r="53" spans="1:7" ht="16.5" thickBot="1" x14ac:dyDescent="0.3">
      <c r="A53" s="217"/>
      <c r="B53" s="31"/>
      <c r="C53" s="31"/>
      <c r="D53" s="31"/>
      <c r="E53" s="215" t="s">
        <v>755</v>
      </c>
      <c r="F53" s="216">
        <f>SUM(F47:F52)</f>
        <v>1875000</v>
      </c>
      <c r="G53" s="322"/>
    </row>
    <row r="54" spans="1:7" ht="16.5" thickBot="1" x14ac:dyDescent="0.3">
      <c r="A54" s="204" t="s">
        <v>154</v>
      </c>
      <c r="B54" s="22" t="s">
        <v>493</v>
      </c>
      <c r="C54" s="205">
        <v>42004</v>
      </c>
      <c r="D54" s="49" t="s">
        <v>567</v>
      </c>
      <c r="E54" s="49" t="s">
        <v>168</v>
      </c>
      <c r="F54" s="228">
        <v>949674</v>
      </c>
      <c r="G54" s="324" t="s">
        <v>796</v>
      </c>
    </row>
    <row r="55" spans="1:7" x14ac:dyDescent="0.25">
      <c r="A55" s="204" t="s">
        <v>154</v>
      </c>
      <c r="B55" s="22" t="s">
        <v>493</v>
      </c>
      <c r="C55" s="205">
        <v>42230</v>
      </c>
      <c r="D55" s="22" t="s">
        <v>572</v>
      </c>
      <c r="E55" s="22" t="s">
        <v>161</v>
      </c>
      <c r="F55" s="206">
        <v>842038</v>
      </c>
      <c r="G55" s="317"/>
    </row>
    <row r="56" spans="1:7" x14ac:dyDescent="0.25">
      <c r="A56" s="204" t="s">
        <v>154</v>
      </c>
      <c r="B56" s="22" t="s">
        <v>493</v>
      </c>
      <c r="C56" s="205">
        <v>42650</v>
      </c>
      <c r="D56" s="22" t="s">
        <v>575</v>
      </c>
      <c r="E56" s="22" t="s">
        <v>161</v>
      </c>
      <c r="F56" s="206">
        <v>1897545</v>
      </c>
      <c r="G56" s="321"/>
    </row>
    <row r="57" spans="1:7" x14ac:dyDescent="0.25">
      <c r="A57" s="204" t="s">
        <v>154</v>
      </c>
      <c r="B57" s="22" t="s">
        <v>493</v>
      </c>
      <c r="C57" s="205">
        <v>42380</v>
      </c>
      <c r="D57" s="22" t="s">
        <v>576</v>
      </c>
      <c r="E57" s="22" t="s">
        <v>152</v>
      </c>
      <c r="F57" s="206">
        <v>30000</v>
      </c>
      <c r="G57" s="321"/>
    </row>
    <row r="58" spans="1:7" x14ac:dyDescent="0.25">
      <c r="A58" s="207"/>
      <c r="B58" s="10"/>
      <c r="C58" s="208"/>
      <c r="D58" s="10"/>
      <c r="E58" s="209" t="s">
        <v>758</v>
      </c>
      <c r="F58" s="210">
        <f>SUM(F54:F57)</f>
        <v>3719257</v>
      </c>
      <c r="G58" s="323"/>
    </row>
    <row r="60" spans="1:7" s="47" customFormat="1" x14ac:dyDescent="0.25">
      <c r="A60" s="127"/>
      <c r="B60" s="127"/>
      <c r="C60" s="128"/>
      <c r="D60" s="127"/>
      <c r="E60" s="127"/>
      <c r="F60" s="129"/>
      <c r="G60" s="325"/>
    </row>
    <row r="61" spans="1:7" x14ac:dyDescent="0.25">
      <c r="A61" s="211" t="s">
        <v>182</v>
      </c>
      <c r="B61" s="29" t="s">
        <v>577</v>
      </c>
      <c r="C61" s="212">
        <v>41547</v>
      </c>
      <c r="D61" s="29" t="s">
        <v>578</v>
      </c>
      <c r="E61" s="29" t="s">
        <v>180</v>
      </c>
      <c r="F61" s="218">
        <v>160000</v>
      </c>
    </row>
    <row r="62" spans="1:7" x14ac:dyDescent="0.25">
      <c r="A62" s="204" t="s">
        <v>182</v>
      </c>
      <c r="B62" s="22" t="s">
        <v>577</v>
      </c>
      <c r="C62" s="205">
        <v>41893</v>
      </c>
      <c r="D62" s="22" t="s">
        <v>579</v>
      </c>
      <c r="E62" s="22" t="s">
        <v>180</v>
      </c>
      <c r="F62" s="219">
        <v>20000</v>
      </c>
    </row>
    <row r="63" spans="1:7" ht="15" customHeight="1" x14ac:dyDescent="0.25">
      <c r="A63" s="204"/>
      <c r="B63" s="22"/>
      <c r="C63" s="205"/>
      <c r="D63" s="22"/>
      <c r="E63" s="215" t="s">
        <v>759</v>
      </c>
      <c r="F63" s="220">
        <f>SUM(F61:F62)</f>
        <v>180000</v>
      </c>
      <c r="G63" s="326" t="s">
        <v>757</v>
      </c>
    </row>
    <row r="64" spans="1:7" s="151" customFormat="1" ht="15" customHeight="1" x14ac:dyDescent="0.25">
      <c r="A64" s="221"/>
      <c r="B64" s="49"/>
      <c r="C64" s="222"/>
      <c r="D64" s="49"/>
      <c r="E64" s="49"/>
      <c r="F64" s="223"/>
      <c r="G64" s="327"/>
    </row>
    <row r="65" spans="1:7" ht="15" customHeight="1" x14ac:dyDescent="0.25">
      <c r="A65" s="204" t="s">
        <v>182</v>
      </c>
      <c r="B65" s="22" t="s">
        <v>577</v>
      </c>
      <c r="C65" s="205">
        <v>42360</v>
      </c>
      <c r="D65" s="22" t="s">
        <v>580</v>
      </c>
      <c r="E65" s="22" t="s">
        <v>184</v>
      </c>
      <c r="F65" s="219">
        <v>173740</v>
      </c>
    </row>
    <row r="66" spans="1:7" ht="15" customHeight="1" x14ac:dyDescent="0.25">
      <c r="A66" s="204" t="s">
        <v>182</v>
      </c>
      <c r="B66" s="22" t="s">
        <v>577</v>
      </c>
      <c r="C66" s="205">
        <v>42355</v>
      </c>
      <c r="D66" s="22" t="s">
        <v>581</v>
      </c>
      <c r="E66" s="22" t="s">
        <v>184</v>
      </c>
      <c r="F66" s="219">
        <v>294102</v>
      </c>
    </row>
    <row r="67" spans="1:7" x14ac:dyDescent="0.25">
      <c r="A67" s="207"/>
      <c r="B67" s="10"/>
      <c r="C67" s="208"/>
      <c r="D67" s="10"/>
      <c r="E67" s="209" t="s">
        <v>760</v>
      </c>
      <c r="F67" s="224">
        <f>SUM(F65:F66)</f>
        <v>467842</v>
      </c>
      <c r="G67" s="326" t="s">
        <v>804</v>
      </c>
    </row>
    <row r="68" spans="1:7" s="151" customFormat="1" x14ac:dyDescent="0.25">
      <c r="A68" s="148"/>
      <c r="B68" s="148"/>
      <c r="C68" s="149"/>
      <c r="D68" s="148"/>
      <c r="E68" s="148"/>
      <c r="F68" s="150"/>
      <c r="G68" s="327"/>
    </row>
    <row r="69" spans="1:7" x14ac:dyDescent="0.25">
      <c r="A69" s="211" t="s">
        <v>194</v>
      </c>
      <c r="B69" s="29" t="s">
        <v>577</v>
      </c>
      <c r="C69" s="212">
        <v>41274</v>
      </c>
      <c r="D69" s="29" t="s">
        <v>582</v>
      </c>
      <c r="E69" s="29" t="s">
        <v>197</v>
      </c>
      <c r="F69" s="213">
        <v>297329</v>
      </c>
      <c r="G69" s="319"/>
    </row>
    <row r="70" spans="1:7" x14ac:dyDescent="0.25">
      <c r="A70" s="204" t="s">
        <v>194</v>
      </c>
      <c r="B70" s="22" t="s">
        <v>577</v>
      </c>
      <c r="C70" s="205">
        <v>41639</v>
      </c>
      <c r="D70" s="22" t="s">
        <v>583</v>
      </c>
      <c r="E70" s="22" t="s">
        <v>197</v>
      </c>
      <c r="F70" s="206">
        <v>225893</v>
      </c>
      <c r="G70" s="317"/>
    </row>
    <row r="71" spans="1:7" x14ac:dyDescent="0.25">
      <c r="A71" s="204" t="s">
        <v>194</v>
      </c>
      <c r="B71" s="22" t="s">
        <v>577</v>
      </c>
      <c r="C71" s="205">
        <v>42004</v>
      </c>
      <c r="D71" s="22" t="s">
        <v>584</v>
      </c>
      <c r="E71" s="22" t="s">
        <v>197</v>
      </c>
      <c r="F71" s="206">
        <v>52349</v>
      </c>
      <c r="G71" s="317"/>
    </row>
    <row r="72" spans="1:7" x14ac:dyDescent="0.25">
      <c r="A72" s="204" t="s">
        <v>194</v>
      </c>
      <c r="B72" s="22" t="s">
        <v>577</v>
      </c>
      <c r="C72" s="205">
        <v>42094</v>
      </c>
      <c r="D72" s="22" t="s">
        <v>585</v>
      </c>
      <c r="E72" s="22" t="s">
        <v>197</v>
      </c>
      <c r="F72" s="206">
        <v>153045</v>
      </c>
      <c r="G72" s="317"/>
    </row>
    <row r="73" spans="1:7" x14ac:dyDescent="0.25">
      <c r="A73" s="204" t="s">
        <v>194</v>
      </c>
      <c r="B73" s="22" t="s">
        <v>577</v>
      </c>
      <c r="C73" s="205">
        <v>42712</v>
      </c>
      <c r="D73" s="22" t="s">
        <v>587</v>
      </c>
      <c r="E73" s="22" t="s">
        <v>197</v>
      </c>
      <c r="F73" s="206">
        <v>91665</v>
      </c>
      <c r="G73" s="317"/>
    </row>
    <row r="74" spans="1:7" x14ac:dyDescent="0.25">
      <c r="A74" s="204" t="s">
        <v>194</v>
      </c>
      <c r="B74" s="22" t="s">
        <v>577</v>
      </c>
      <c r="C74" s="205">
        <v>42629</v>
      </c>
      <c r="D74" s="22" t="s">
        <v>588</v>
      </c>
      <c r="E74" s="22" t="s">
        <v>197</v>
      </c>
      <c r="F74" s="206">
        <v>36122.68</v>
      </c>
      <c r="G74" s="317"/>
    </row>
    <row r="75" spans="1:7" ht="24.75" x14ac:dyDescent="0.25">
      <c r="A75" s="207"/>
      <c r="B75" s="10"/>
      <c r="C75" s="208"/>
      <c r="D75" s="10"/>
      <c r="E75" s="209" t="s">
        <v>761</v>
      </c>
      <c r="F75" s="210">
        <f>SUM(F69:F74)</f>
        <v>856403.68</v>
      </c>
      <c r="G75" s="323" t="s">
        <v>803</v>
      </c>
    </row>
    <row r="76" spans="1:7" x14ac:dyDescent="0.25">
      <c r="A76" s="123"/>
      <c r="B76" s="123"/>
      <c r="C76" s="124"/>
      <c r="D76" s="123"/>
      <c r="E76" s="123"/>
      <c r="F76" s="125"/>
    </row>
    <row r="77" spans="1:7" x14ac:dyDescent="0.25">
      <c r="A77" s="211" t="s">
        <v>207</v>
      </c>
      <c r="B77" s="29" t="s">
        <v>433</v>
      </c>
      <c r="C77" s="212">
        <v>41639</v>
      </c>
      <c r="D77" s="29" t="s">
        <v>589</v>
      </c>
      <c r="E77" s="29" t="s">
        <v>205</v>
      </c>
      <c r="F77" s="213">
        <v>78000</v>
      </c>
      <c r="G77" s="328"/>
    </row>
    <row r="78" spans="1:7" x14ac:dyDescent="0.25">
      <c r="A78" s="207"/>
      <c r="B78" s="10"/>
      <c r="C78" s="208"/>
      <c r="D78" s="10"/>
      <c r="E78" s="209" t="s">
        <v>762</v>
      </c>
      <c r="F78" s="210">
        <f>F77</f>
        <v>78000</v>
      </c>
      <c r="G78" s="323"/>
    </row>
    <row r="79" spans="1:7" s="151" customFormat="1" x14ac:dyDescent="0.25">
      <c r="A79" s="148"/>
      <c r="B79" s="148"/>
      <c r="C79" s="149"/>
      <c r="D79" s="148"/>
      <c r="E79" s="148"/>
      <c r="F79" s="150"/>
      <c r="G79" s="327"/>
    </row>
    <row r="80" spans="1:7" x14ac:dyDescent="0.25">
      <c r="A80" s="211" t="s">
        <v>213</v>
      </c>
      <c r="B80" s="29" t="s">
        <v>436</v>
      </c>
      <c r="C80" s="212">
        <v>41274</v>
      </c>
      <c r="D80" s="29" t="s">
        <v>590</v>
      </c>
      <c r="E80" s="29" t="s">
        <v>211</v>
      </c>
      <c r="F80" s="213">
        <v>688000</v>
      </c>
      <c r="G80" s="319"/>
    </row>
    <row r="81" spans="1:7" x14ac:dyDescent="0.25">
      <c r="A81" s="204" t="s">
        <v>213</v>
      </c>
      <c r="B81" s="22" t="s">
        <v>436</v>
      </c>
      <c r="C81" s="205">
        <v>41639</v>
      </c>
      <c r="D81" s="22" t="s">
        <v>591</v>
      </c>
      <c r="E81" s="22" t="s">
        <v>211</v>
      </c>
      <c r="F81" s="206">
        <v>95604</v>
      </c>
      <c r="G81" s="321"/>
    </row>
    <row r="82" spans="1:7" x14ac:dyDescent="0.25">
      <c r="A82" s="204" t="s">
        <v>213</v>
      </c>
      <c r="B82" s="22" t="s">
        <v>436</v>
      </c>
      <c r="C82" s="205">
        <v>41639</v>
      </c>
      <c r="D82" s="22" t="s">
        <v>592</v>
      </c>
      <c r="E82" s="22" t="s">
        <v>215</v>
      </c>
      <c r="F82" s="206">
        <v>909253</v>
      </c>
      <c r="G82" s="317"/>
    </row>
    <row r="83" spans="1:7" x14ac:dyDescent="0.25">
      <c r="A83" s="204" t="s">
        <v>213</v>
      </c>
      <c r="B83" s="22" t="s">
        <v>436</v>
      </c>
      <c r="C83" s="205">
        <v>42004</v>
      </c>
      <c r="D83" s="22" t="s">
        <v>593</v>
      </c>
      <c r="E83" s="22" t="s">
        <v>215</v>
      </c>
      <c r="F83" s="206">
        <v>206611</v>
      </c>
      <c r="G83" s="317"/>
    </row>
    <row r="84" spans="1:7" ht="15" customHeight="1" x14ac:dyDescent="0.25">
      <c r="A84" s="207"/>
      <c r="B84" s="10"/>
      <c r="C84" s="208"/>
      <c r="D84" s="10"/>
      <c r="E84" s="209" t="s">
        <v>763</v>
      </c>
      <c r="F84" s="210">
        <f>SUM(F80:F83)</f>
        <v>1899468</v>
      </c>
      <c r="G84" s="323" t="s">
        <v>757</v>
      </c>
    </row>
    <row r="86" spans="1:7" ht="26.25" x14ac:dyDescent="0.25">
      <c r="A86" s="211" t="s">
        <v>231</v>
      </c>
      <c r="B86" s="29" t="s">
        <v>229</v>
      </c>
      <c r="C86" s="212">
        <v>42240</v>
      </c>
      <c r="D86" s="29" t="s">
        <v>600</v>
      </c>
      <c r="E86" s="29" t="s">
        <v>229</v>
      </c>
      <c r="F86" s="213">
        <v>330000</v>
      </c>
      <c r="G86" s="319"/>
    </row>
    <row r="87" spans="1:7" ht="26.25" x14ac:dyDescent="0.25">
      <c r="A87" s="204" t="s">
        <v>231</v>
      </c>
      <c r="B87" s="22" t="s">
        <v>229</v>
      </c>
      <c r="C87" s="205">
        <v>42681</v>
      </c>
      <c r="D87" s="22" t="s">
        <v>601</v>
      </c>
      <c r="E87" s="22" t="s">
        <v>229</v>
      </c>
      <c r="F87" s="206">
        <v>166980</v>
      </c>
      <c r="G87" s="317"/>
    </row>
    <row r="88" spans="1:7" x14ac:dyDescent="0.25">
      <c r="A88" s="207"/>
      <c r="B88" s="10"/>
      <c r="C88" s="208"/>
      <c r="D88" s="10"/>
      <c r="E88" s="209" t="s">
        <v>776</v>
      </c>
      <c r="F88" s="210">
        <f>SUM(F86:F87)</f>
        <v>496980</v>
      </c>
      <c r="G88" s="318"/>
    </row>
    <row r="89" spans="1:7" x14ac:dyDescent="0.25">
      <c r="A89" s="123"/>
      <c r="B89" s="123"/>
      <c r="C89" s="124"/>
      <c r="D89" s="123"/>
      <c r="E89" s="123"/>
      <c r="F89" s="125"/>
    </row>
    <row r="90" spans="1:7" x14ac:dyDescent="0.25">
      <c r="A90" s="225" t="s">
        <v>245</v>
      </c>
      <c r="B90" s="226" t="s">
        <v>438</v>
      </c>
      <c r="C90" s="227">
        <v>41274</v>
      </c>
      <c r="D90" s="226" t="s">
        <v>602</v>
      </c>
      <c r="E90" s="226" t="s">
        <v>243</v>
      </c>
      <c r="F90" s="229">
        <v>31016</v>
      </c>
      <c r="G90" s="319"/>
    </row>
    <row r="91" spans="1:7" x14ac:dyDescent="0.25">
      <c r="A91" s="221" t="s">
        <v>245</v>
      </c>
      <c r="B91" s="49" t="s">
        <v>438</v>
      </c>
      <c r="C91" s="222">
        <v>41639</v>
      </c>
      <c r="D91" s="49" t="s">
        <v>603</v>
      </c>
      <c r="E91" s="49" t="s">
        <v>243</v>
      </c>
      <c r="F91" s="228">
        <v>225717</v>
      </c>
      <c r="G91" s="317"/>
    </row>
    <row r="92" spans="1:7" x14ac:dyDescent="0.25">
      <c r="A92" s="221" t="s">
        <v>245</v>
      </c>
      <c r="B92" s="49" t="s">
        <v>439</v>
      </c>
      <c r="C92" s="222">
        <v>42004</v>
      </c>
      <c r="D92" s="49" t="s">
        <v>604</v>
      </c>
      <c r="E92" s="49" t="s">
        <v>248</v>
      </c>
      <c r="F92" s="228">
        <v>337140</v>
      </c>
      <c r="G92" s="322" t="s">
        <v>805</v>
      </c>
    </row>
    <row r="93" spans="1:7" x14ac:dyDescent="0.25">
      <c r="A93" s="207"/>
      <c r="B93" s="10"/>
      <c r="C93" s="208"/>
      <c r="D93" s="10"/>
      <c r="E93" s="209" t="s">
        <v>787</v>
      </c>
      <c r="F93" s="210">
        <f>F90+F91+F92</f>
        <v>593873</v>
      </c>
      <c r="G93" s="318"/>
    </row>
    <row r="94" spans="1:7" s="151" customFormat="1" x14ac:dyDescent="0.25">
      <c r="A94" s="148"/>
      <c r="B94" s="148"/>
      <c r="C94" s="149"/>
      <c r="D94" s="148"/>
      <c r="E94" s="148"/>
      <c r="F94" s="150"/>
      <c r="G94" s="329"/>
    </row>
    <row r="95" spans="1:7" x14ac:dyDescent="0.25">
      <c r="A95" s="211" t="s">
        <v>263</v>
      </c>
      <c r="B95" s="29" t="s">
        <v>448</v>
      </c>
      <c r="C95" s="212">
        <v>41639</v>
      </c>
      <c r="D95" s="29" t="s">
        <v>605</v>
      </c>
      <c r="E95" s="29" t="s">
        <v>261</v>
      </c>
      <c r="F95" s="213">
        <v>500000</v>
      </c>
      <c r="G95" s="328"/>
    </row>
    <row r="96" spans="1:7" x14ac:dyDescent="0.25">
      <c r="A96" s="204"/>
      <c r="B96" s="22"/>
      <c r="C96" s="205"/>
      <c r="D96" s="22"/>
      <c r="E96" s="215" t="s">
        <v>764</v>
      </c>
      <c r="F96" s="216">
        <f>F95</f>
        <v>500000</v>
      </c>
      <c r="G96" s="317"/>
    </row>
    <row r="97" spans="1:7" x14ac:dyDescent="0.25">
      <c r="A97" s="204"/>
      <c r="B97" s="22"/>
      <c r="C97" s="205"/>
      <c r="D97" s="22"/>
      <c r="E97" s="22"/>
      <c r="F97" s="206"/>
      <c r="G97" s="317"/>
    </row>
    <row r="98" spans="1:7" x14ac:dyDescent="0.25">
      <c r="A98" s="204" t="s">
        <v>263</v>
      </c>
      <c r="B98" s="22" t="s">
        <v>606</v>
      </c>
      <c r="C98" s="205">
        <v>42233</v>
      </c>
      <c r="D98" s="22" t="s">
        <v>607</v>
      </c>
      <c r="E98" s="22" t="s">
        <v>265</v>
      </c>
      <c r="F98" s="206">
        <v>87278</v>
      </c>
      <c r="G98" s="317"/>
    </row>
    <row r="99" spans="1:7" x14ac:dyDescent="0.25">
      <c r="A99" s="204" t="s">
        <v>263</v>
      </c>
      <c r="B99" s="22" t="s">
        <v>606</v>
      </c>
      <c r="C99" s="205">
        <v>42121</v>
      </c>
      <c r="D99" s="22" t="s">
        <v>610</v>
      </c>
      <c r="E99" s="22" t="s">
        <v>265</v>
      </c>
      <c r="F99" s="206">
        <v>254779.65</v>
      </c>
      <c r="G99" s="321"/>
    </row>
    <row r="100" spans="1:7" x14ac:dyDescent="0.25">
      <c r="A100" s="204" t="s">
        <v>263</v>
      </c>
      <c r="B100" s="22" t="s">
        <v>606</v>
      </c>
      <c r="C100" s="205">
        <v>42369</v>
      </c>
      <c r="D100" s="22" t="s">
        <v>611</v>
      </c>
      <c r="E100" s="22" t="s">
        <v>265</v>
      </c>
      <c r="F100" s="206">
        <v>153392.79999999999</v>
      </c>
      <c r="G100" s="321"/>
    </row>
    <row r="101" spans="1:7" x14ac:dyDescent="0.25">
      <c r="A101" s="204" t="s">
        <v>263</v>
      </c>
      <c r="B101" s="22" t="s">
        <v>606</v>
      </c>
      <c r="C101" s="205">
        <v>42552</v>
      </c>
      <c r="D101" s="22" t="s">
        <v>616</v>
      </c>
      <c r="E101" s="22" t="s">
        <v>265</v>
      </c>
      <c r="F101" s="206">
        <v>157461</v>
      </c>
      <c r="G101" s="317"/>
    </row>
    <row r="102" spans="1:7" x14ac:dyDescent="0.25">
      <c r="A102" s="204" t="s">
        <v>263</v>
      </c>
      <c r="B102" s="22" t="s">
        <v>606</v>
      </c>
      <c r="C102" s="205">
        <v>42837</v>
      </c>
      <c r="D102" s="22" t="s">
        <v>623</v>
      </c>
      <c r="E102" s="22" t="s">
        <v>265</v>
      </c>
      <c r="F102" s="206">
        <v>32359.93</v>
      </c>
      <c r="G102" s="317"/>
    </row>
    <row r="103" spans="1:7" ht="24.75" x14ac:dyDescent="0.25">
      <c r="A103" s="204"/>
      <c r="B103" s="22"/>
      <c r="C103" s="205"/>
      <c r="D103" s="22"/>
      <c r="E103" s="215" t="s">
        <v>766</v>
      </c>
      <c r="F103" s="216">
        <f>SUM(F98:F102)</f>
        <v>685271.38</v>
      </c>
      <c r="G103" s="322" t="s">
        <v>803</v>
      </c>
    </row>
    <row r="104" spans="1:7" x14ac:dyDescent="0.25">
      <c r="A104" s="204"/>
      <c r="B104" s="22"/>
      <c r="C104" s="205"/>
      <c r="D104" s="22"/>
      <c r="E104" s="22"/>
      <c r="F104" s="206"/>
      <c r="G104" s="317"/>
    </row>
    <row r="105" spans="1:7" x14ac:dyDescent="0.25">
      <c r="A105" s="204" t="s">
        <v>263</v>
      </c>
      <c r="B105" s="22" t="s">
        <v>612</v>
      </c>
      <c r="C105" s="205">
        <v>42369</v>
      </c>
      <c r="D105" s="22" t="s">
        <v>613</v>
      </c>
      <c r="E105" s="22" t="s">
        <v>271</v>
      </c>
      <c r="F105" s="206">
        <v>269539.94</v>
      </c>
      <c r="G105" s="321"/>
    </row>
    <row r="106" spans="1:7" x14ac:dyDescent="0.25">
      <c r="A106" s="204" t="s">
        <v>263</v>
      </c>
      <c r="B106" s="22" t="s">
        <v>612</v>
      </c>
      <c r="C106" s="205">
        <v>42277</v>
      </c>
      <c r="D106" s="22" t="s">
        <v>615</v>
      </c>
      <c r="E106" s="22" t="s">
        <v>271</v>
      </c>
      <c r="F106" s="206">
        <v>318782.81</v>
      </c>
      <c r="G106" s="321"/>
    </row>
    <row r="107" spans="1:7" x14ac:dyDescent="0.25">
      <c r="A107" s="204" t="s">
        <v>263</v>
      </c>
      <c r="B107" s="22" t="s">
        <v>612</v>
      </c>
      <c r="C107" s="205">
        <v>42822</v>
      </c>
      <c r="D107" s="22" t="s">
        <v>622</v>
      </c>
      <c r="E107" s="22" t="s">
        <v>271</v>
      </c>
      <c r="F107" s="206">
        <v>46289.84</v>
      </c>
      <c r="G107" s="317"/>
    </row>
    <row r="108" spans="1:7" ht="36.75" x14ac:dyDescent="0.25">
      <c r="A108" s="204"/>
      <c r="B108" s="22"/>
      <c r="C108" s="205"/>
      <c r="D108" s="22"/>
      <c r="E108" s="215" t="s">
        <v>766</v>
      </c>
      <c r="F108" s="216">
        <f>SUM(F105:F107)</f>
        <v>634612.59</v>
      </c>
      <c r="G108" s="322" t="s">
        <v>756</v>
      </c>
    </row>
    <row r="109" spans="1:7" x14ac:dyDescent="0.25">
      <c r="A109" s="217"/>
      <c r="B109" s="31"/>
      <c r="C109" s="31"/>
      <c r="D109" s="31"/>
      <c r="E109" s="31"/>
      <c r="F109" s="31"/>
      <c r="G109" s="317"/>
    </row>
    <row r="110" spans="1:7" x14ac:dyDescent="0.25">
      <c r="A110" s="204" t="s">
        <v>263</v>
      </c>
      <c r="B110" s="22" t="s">
        <v>453</v>
      </c>
      <c r="C110" s="205">
        <v>42369</v>
      </c>
      <c r="D110" s="22" t="s">
        <v>608</v>
      </c>
      <c r="E110" s="22" t="s">
        <v>278</v>
      </c>
      <c r="F110" s="206">
        <v>518923</v>
      </c>
      <c r="G110" s="321"/>
    </row>
    <row r="111" spans="1:7" x14ac:dyDescent="0.25">
      <c r="A111" s="204" t="s">
        <v>263</v>
      </c>
      <c r="B111" s="22" t="s">
        <v>453</v>
      </c>
      <c r="C111" s="205">
        <v>42277</v>
      </c>
      <c r="D111" s="22" t="s">
        <v>609</v>
      </c>
      <c r="E111" s="22" t="s">
        <v>278</v>
      </c>
      <c r="F111" s="206">
        <v>79166</v>
      </c>
      <c r="G111" s="321"/>
    </row>
    <row r="112" spans="1:7" x14ac:dyDescent="0.25">
      <c r="A112" s="204" t="s">
        <v>263</v>
      </c>
      <c r="B112" s="22" t="s">
        <v>453</v>
      </c>
      <c r="C112" s="205">
        <v>42626</v>
      </c>
      <c r="D112" s="22" t="s">
        <v>617</v>
      </c>
      <c r="E112" s="22" t="s">
        <v>278</v>
      </c>
      <c r="F112" s="206">
        <v>268939</v>
      </c>
      <c r="G112" s="321"/>
    </row>
    <row r="113" spans="1:7" x14ac:dyDescent="0.25">
      <c r="A113" s="204" t="s">
        <v>263</v>
      </c>
      <c r="B113" s="22" t="s">
        <v>453</v>
      </c>
      <c r="C113" s="205">
        <v>42719</v>
      </c>
      <c r="D113" s="22" t="s">
        <v>618</v>
      </c>
      <c r="E113" s="22" t="s">
        <v>278</v>
      </c>
      <c r="F113" s="206">
        <v>518923</v>
      </c>
      <c r="G113" s="317"/>
    </row>
    <row r="114" spans="1:7" ht="24.75" x14ac:dyDescent="0.25">
      <c r="A114" s="204"/>
      <c r="B114" s="22"/>
      <c r="C114" s="205"/>
      <c r="D114" s="22"/>
      <c r="E114" s="215" t="s">
        <v>768</v>
      </c>
      <c r="F114" s="216">
        <f>SUM(F110:F113)</f>
        <v>1385951</v>
      </c>
      <c r="G114" s="322" t="s">
        <v>803</v>
      </c>
    </row>
    <row r="115" spans="1:7" x14ac:dyDescent="0.25">
      <c r="A115" s="217"/>
      <c r="B115" s="31"/>
      <c r="C115" s="31"/>
      <c r="D115" s="31"/>
      <c r="E115" s="31"/>
      <c r="F115" s="31"/>
      <c r="G115" s="317"/>
    </row>
    <row r="116" spans="1:7" x14ac:dyDescent="0.25">
      <c r="A116" s="204" t="s">
        <v>263</v>
      </c>
      <c r="B116" s="22" t="s">
        <v>452</v>
      </c>
      <c r="C116" s="205">
        <v>42369</v>
      </c>
      <c r="D116" s="22" t="s">
        <v>614</v>
      </c>
      <c r="E116" s="22" t="s">
        <v>275</v>
      </c>
      <c r="F116" s="206">
        <v>337185.13</v>
      </c>
      <c r="G116" s="317"/>
    </row>
    <row r="117" spans="1:7" x14ac:dyDescent="0.25">
      <c r="A117" s="204" t="s">
        <v>263</v>
      </c>
      <c r="B117" s="22" t="s">
        <v>452</v>
      </c>
      <c r="C117" s="205">
        <v>42579</v>
      </c>
      <c r="D117" s="22" t="s">
        <v>619</v>
      </c>
      <c r="E117" s="22" t="s">
        <v>275</v>
      </c>
      <c r="F117" s="206">
        <v>22114.74</v>
      </c>
      <c r="G117" s="317"/>
    </row>
    <row r="118" spans="1:7" x14ac:dyDescent="0.25">
      <c r="A118" s="204" t="s">
        <v>263</v>
      </c>
      <c r="B118" s="22" t="s">
        <v>452</v>
      </c>
      <c r="C118" s="205">
        <v>42600</v>
      </c>
      <c r="D118" s="22" t="s">
        <v>620</v>
      </c>
      <c r="E118" s="22" t="s">
        <v>275</v>
      </c>
      <c r="F118" s="206">
        <v>60801.83</v>
      </c>
      <c r="G118" s="321"/>
    </row>
    <row r="119" spans="1:7" x14ac:dyDescent="0.25">
      <c r="A119" s="204" t="s">
        <v>263</v>
      </c>
      <c r="B119" s="22" t="s">
        <v>452</v>
      </c>
      <c r="C119" s="205">
        <v>42524</v>
      </c>
      <c r="D119" s="22" t="s">
        <v>621</v>
      </c>
      <c r="E119" s="22" t="s">
        <v>275</v>
      </c>
      <c r="F119" s="206">
        <v>73695</v>
      </c>
      <c r="G119" s="317"/>
    </row>
    <row r="120" spans="1:7" x14ac:dyDescent="0.25">
      <c r="A120" s="204" t="s">
        <v>263</v>
      </c>
      <c r="B120" s="22" t="s">
        <v>452</v>
      </c>
      <c r="C120" s="205">
        <v>42814</v>
      </c>
      <c r="D120" s="22" t="s">
        <v>624</v>
      </c>
      <c r="E120" s="22" t="s">
        <v>275</v>
      </c>
      <c r="F120" s="206">
        <v>101239.97</v>
      </c>
      <c r="G120" s="317"/>
    </row>
    <row r="121" spans="1:7" x14ac:dyDescent="0.25">
      <c r="A121" s="207"/>
      <c r="B121" s="10"/>
      <c r="C121" s="208"/>
      <c r="D121" s="10"/>
      <c r="E121" s="209" t="s">
        <v>769</v>
      </c>
      <c r="F121" s="210">
        <f>SUM(F116:F120)</f>
        <v>595036.67000000004</v>
      </c>
      <c r="G121" s="323" t="s">
        <v>804</v>
      </c>
    </row>
    <row r="122" spans="1:7" x14ac:dyDescent="0.25">
      <c r="A122" s="123"/>
      <c r="B122" s="123"/>
      <c r="C122" s="124"/>
      <c r="D122" s="123"/>
      <c r="E122" s="123"/>
      <c r="F122" s="125"/>
    </row>
    <row r="123" spans="1:7" x14ac:dyDescent="0.25">
      <c r="A123" s="211" t="s">
        <v>256</v>
      </c>
      <c r="B123" s="29" t="s">
        <v>436</v>
      </c>
      <c r="C123" s="212">
        <v>41639</v>
      </c>
      <c r="D123" s="29" t="s">
        <v>625</v>
      </c>
      <c r="E123" s="29" t="s">
        <v>254</v>
      </c>
      <c r="F123" s="213">
        <v>62400</v>
      </c>
      <c r="G123" s="319"/>
    </row>
    <row r="124" spans="1:7" x14ac:dyDescent="0.25">
      <c r="A124" s="207"/>
      <c r="B124" s="10"/>
      <c r="C124" s="208"/>
      <c r="D124" s="10"/>
      <c r="E124" s="209" t="s">
        <v>774</v>
      </c>
      <c r="F124" s="210">
        <f>F123</f>
        <v>62400</v>
      </c>
      <c r="G124" s="318"/>
    </row>
    <row r="125" spans="1:7" s="151" customFormat="1" x14ac:dyDescent="0.25">
      <c r="A125" s="148"/>
      <c r="B125" s="148"/>
      <c r="C125" s="149"/>
      <c r="D125" s="148"/>
      <c r="E125" s="148"/>
      <c r="F125" s="150"/>
      <c r="G125" s="329"/>
    </row>
    <row r="126" spans="1:7" x14ac:dyDescent="0.25">
      <c r="A126" s="211" t="s">
        <v>317</v>
      </c>
      <c r="B126" s="29" t="s">
        <v>433</v>
      </c>
      <c r="C126" s="212">
        <v>41274</v>
      </c>
      <c r="D126" s="29" t="s">
        <v>626</v>
      </c>
      <c r="E126" s="29" t="s">
        <v>315</v>
      </c>
      <c r="F126" s="213">
        <v>424293</v>
      </c>
      <c r="G126" s="319"/>
    </row>
    <row r="127" spans="1:7" x14ac:dyDescent="0.25">
      <c r="A127" s="204" t="s">
        <v>317</v>
      </c>
      <c r="B127" s="22" t="s">
        <v>433</v>
      </c>
      <c r="C127" s="205">
        <v>42004</v>
      </c>
      <c r="D127" s="22" t="s">
        <v>627</v>
      </c>
      <c r="E127" s="22" t="s">
        <v>315</v>
      </c>
      <c r="F127" s="206">
        <v>342168</v>
      </c>
      <c r="G127" s="317"/>
    </row>
    <row r="128" spans="1:7" x14ac:dyDescent="0.25">
      <c r="A128" s="204" t="s">
        <v>317</v>
      </c>
      <c r="B128" s="22" t="s">
        <v>433</v>
      </c>
      <c r="C128" s="205">
        <v>42354</v>
      </c>
      <c r="D128" s="22" t="s">
        <v>628</v>
      </c>
      <c r="E128" s="22" t="s">
        <v>315</v>
      </c>
      <c r="F128" s="228">
        <v>199686</v>
      </c>
      <c r="G128" s="321"/>
    </row>
    <row r="129" spans="1:7" x14ac:dyDescent="0.25">
      <c r="A129" s="204" t="s">
        <v>317</v>
      </c>
      <c r="B129" s="22" t="s">
        <v>433</v>
      </c>
      <c r="C129" s="205">
        <v>42185</v>
      </c>
      <c r="D129" s="22" t="s">
        <v>629</v>
      </c>
      <c r="E129" s="22" t="s">
        <v>315</v>
      </c>
      <c r="F129" s="228">
        <v>154477</v>
      </c>
      <c r="G129" s="321"/>
    </row>
    <row r="130" spans="1:7" x14ac:dyDescent="0.25">
      <c r="A130" s="204" t="s">
        <v>317</v>
      </c>
      <c r="B130" s="22" t="s">
        <v>433</v>
      </c>
      <c r="C130" s="205">
        <v>42185</v>
      </c>
      <c r="D130" s="22" t="s">
        <v>629</v>
      </c>
      <c r="E130" s="22" t="s">
        <v>315</v>
      </c>
      <c r="F130" s="228">
        <v>191110.02</v>
      </c>
      <c r="G130" s="317"/>
    </row>
    <row r="131" spans="1:7" x14ac:dyDescent="0.25">
      <c r="A131" s="207"/>
      <c r="B131" s="10"/>
      <c r="C131" s="208"/>
      <c r="D131" s="10"/>
      <c r="E131" s="230" t="s">
        <v>775</v>
      </c>
      <c r="F131" s="231">
        <f>SUM(F126:F130)</f>
        <v>1311734.02</v>
      </c>
      <c r="G131" s="318" t="s">
        <v>520</v>
      </c>
    </row>
    <row r="132" spans="1:7" x14ac:dyDescent="0.25">
      <c r="A132" s="123"/>
      <c r="B132" s="123"/>
      <c r="C132" s="124"/>
      <c r="D132" s="123"/>
      <c r="E132" s="123"/>
      <c r="F132" s="125"/>
    </row>
    <row r="133" spans="1:7" x14ac:dyDescent="0.25">
      <c r="A133" s="211" t="s">
        <v>317</v>
      </c>
      <c r="B133" s="29" t="s">
        <v>455</v>
      </c>
      <c r="C133" s="212">
        <v>42837</v>
      </c>
      <c r="D133" s="29" t="s">
        <v>630</v>
      </c>
      <c r="E133" s="29" t="s">
        <v>320</v>
      </c>
      <c r="F133" s="213">
        <v>11554.28</v>
      </c>
      <c r="G133" s="319"/>
    </row>
    <row r="134" spans="1:7" x14ac:dyDescent="0.25">
      <c r="A134" s="204" t="s">
        <v>317</v>
      </c>
      <c r="B134" s="22" t="s">
        <v>455</v>
      </c>
      <c r="C134" s="205">
        <v>42748</v>
      </c>
      <c r="D134" s="22" t="s">
        <v>631</v>
      </c>
      <c r="E134" s="22" t="s">
        <v>320</v>
      </c>
      <c r="F134" s="206">
        <v>4908</v>
      </c>
      <c r="G134" s="321"/>
    </row>
    <row r="135" spans="1:7" x14ac:dyDescent="0.25">
      <c r="A135" s="204" t="s">
        <v>317</v>
      </c>
      <c r="B135" s="22" t="s">
        <v>455</v>
      </c>
      <c r="C135" s="205">
        <v>42748</v>
      </c>
      <c r="D135" s="22" t="s">
        <v>631</v>
      </c>
      <c r="E135" s="22" t="s">
        <v>320</v>
      </c>
      <c r="F135" s="206">
        <v>242396.27</v>
      </c>
      <c r="G135" s="317"/>
    </row>
    <row r="136" spans="1:7" x14ac:dyDescent="0.25">
      <c r="A136" s="204" t="s">
        <v>317</v>
      </c>
      <c r="B136" s="22" t="s">
        <v>455</v>
      </c>
      <c r="C136" s="205">
        <v>42741</v>
      </c>
      <c r="D136" s="22" t="s">
        <v>632</v>
      </c>
      <c r="E136" s="22" t="s">
        <v>320</v>
      </c>
      <c r="F136" s="206">
        <v>11439.99</v>
      </c>
      <c r="G136" s="317"/>
    </row>
    <row r="137" spans="1:7" x14ac:dyDescent="0.25">
      <c r="A137" s="204" t="s">
        <v>317</v>
      </c>
      <c r="B137" s="22" t="s">
        <v>455</v>
      </c>
      <c r="C137" s="205">
        <v>42741</v>
      </c>
      <c r="D137" s="22" t="s">
        <v>633</v>
      </c>
      <c r="E137" s="22" t="s">
        <v>320</v>
      </c>
      <c r="F137" s="206">
        <v>15253.32</v>
      </c>
      <c r="G137" s="317"/>
    </row>
    <row r="138" spans="1:7" x14ac:dyDescent="0.25">
      <c r="A138" s="204" t="s">
        <v>317</v>
      </c>
      <c r="B138" s="22" t="s">
        <v>455</v>
      </c>
      <c r="C138" s="205">
        <v>42741</v>
      </c>
      <c r="D138" s="22" t="s">
        <v>634</v>
      </c>
      <c r="E138" s="22" t="s">
        <v>320</v>
      </c>
      <c r="F138" s="206">
        <v>125000</v>
      </c>
      <c r="G138" s="317"/>
    </row>
    <row r="139" spans="1:7" ht="24.75" x14ac:dyDescent="0.25">
      <c r="A139" s="207"/>
      <c r="B139" s="10"/>
      <c r="C139" s="208"/>
      <c r="D139" s="10"/>
      <c r="E139" s="230" t="s">
        <v>777</v>
      </c>
      <c r="F139" s="231">
        <f>SUM(F133:F138)</f>
        <v>410551.86</v>
      </c>
      <c r="G139" s="323" t="s">
        <v>778</v>
      </c>
    </row>
    <row r="140" spans="1:7" x14ac:dyDescent="0.25">
      <c r="A140" s="123"/>
      <c r="B140" s="123"/>
      <c r="C140" s="124"/>
      <c r="D140" s="123"/>
      <c r="E140" s="123"/>
      <c r="F140" s="125"/>
    </row>
    <row r="141" spans="1:7" x14ac:dyDescent="0.25">
      <c r="A141" s="211" t="s">
        <v>342</v>
      </c>
      <c r="B141" s="29" t="s">
        <v>424</v>
      </c>
      <c r="C141" s="212">
        <v>42682</v>
      </c>
      <c r="D141" s="29" t="s">
        <v>635</v>
      </c>
      <c r="E141" s="29" t="s">
        <v>340</v>
      </c>
      <c r="F141" s="213">
        <v>66218</v>
      </c>
      <c r="G141" s="319"/>
    </row>
    <row r="142" spans="1:7" ht="24.75" x14ac:dyDescent="0.25">
      <c r="A142" s="207"/>
      <c r="B142" s="10"/>
      <c r="C142" s="208"/>
      <c r="D142" s="10"/>
      <c r="E142" s="230" t="s">
        <v>779</v>
      </c>
      <c r="F142" s="231">
        <f>F141</f>
        <v>66218</v>
      </c>
      <c r="G142" s="323" t="s">
        <v>778</v>
      </c>
    </row>
    <row r="143" spans="1:7" s="151" customFormat="1" x14ac:dyDescent="0.25">
      <c r="A143" s="148"/>
      <c r="B143" s="148"/>
      <c r="C143" s="149"/>
      <c r="D143" s="148"/>
      <c r="E143" s="158"/>
      <c r="F143" s="159"/>
      <c r="G143" s="329"/>
    </row>
    <row r="144" spans="1:7" x14ac:dyDescent="0.25">
      <c r="A144" s="211" t="s">
        <v>348</v>
      </c>
      <c r="B144" s="29" t="s">
        <v>427</v>
      </c>
      <c r="C144" s="212">
        <v>42369</v>
      </c>
      <c r="D144" s="29" t="s">
        <v>636</v>
      </c>
      <c r="E144" s="29" t="s">
        <v>346</v>
      </c>
      <c r="F144" s="213">
        <v>416490</v>
      </c>
      <c r="G144" s="319"/>
    </row>
    <row r="145" spans="1:7" x14ac:dyDescent="0.25">
      <c r="A145" s="207"/>
      <c r="B145" s="10"/>
      <c r="C145" s="208"/>
      <c r="D145" s="10"/>
      <c r="E145" s="230" t="s">
        <v>795</v>
      </c>
      <c r="F145" s="231">
        <f>F144</f>
        <v>416490</v>
      </c>
      <c r="G145" s="318"/>
    </row>
    <row r="146" spans="1:7" x14ac:dyDescent="0.25">
      <c r="A146" s="123"/>
      <c r="B146" s="126"/>
      <c r="C146" s="124"/>
      <c r="D146" s="123"/>
      <c r="E146" s="123"/>
      <c r="F146" s="125"/>
    </row>
    <row r="147" spans="1:7" x14ac:dyDescent="0.25">
      <c r="A147" s="211" t="s">
        <v>356</v>
      </c>
      <c r="B147" s="29" t="s">
        <v>433</v>
      </c>
      <c r="C147" s="212">
        <v>41639</v>
      </c>
      <c r="D147" s="29" t="s">
        <v>637</v>
      </c>
      <c r="E147" s="29" t="s">
        <v>363</v>
      </c>
      <c r="F147" s="213">
        <v>140000</v>
      </c>
      <c r="G147" s="319"/>
    </row>
    <row r="148" spans="1:7" x14ac:dyDescent="0.25">
      <c r="A148" s="204" t="s">
        <v>356</v>
      </c>
      <c r="B148" s="22" t="s">
        <v>433</v>
      </c>
      <c r="C148" s="205">
        <v>42004</v>
      </c>
      <c r="D148" s="22" t="s">
        <v>638</v>
      </c>
      <c r="E148" s="22" t="s">
        <v>358</v>
      </c>
      <c r="F148" s="206">
        <v>243343</v>
      </c>
      <c r="G148" s="317"/>
    </row>
    <row r="149" spans="1:7" x14ac:dyDescent="0.25">
      <c r="A149" s="204" t="s">
        <v>356</v>
      </c>
      <c r="B149" s="22" t="s">
        <v>433</v>
      </c>
      <c r="C149" s="205">
        <v>42004</v>
      </c>
      <c r="D149" s="22" t="s">
        <v>639</v>
      </c>
      <c r="E149" s="22" t="s">
        <v>363</v>
      </c>
      <c r="F149" s="206">
        <v>7711</v>
      </c>
      <c r="G149" s="317"/>
    </row>
    <row r="150" spans="1:7" x14ac:dyDescent="0.25">
      <c r="A150" s="204" t="s">
        <v>356</v>
      </c>
      <c r="B150" s="22" t="s">
        <v>433</v>
      </c>
      <c r="C150" s="205">
        <v>42349</v>
      </c>
      <c r="D150" s="22" t="s">
        <v>640</v>
      </c>
      <c r="E150" s="22" t="s">
        <v>367</v>
      </c>
      <c r="F150" s="206">
        <v>359478</v>
      </c>
      <c r="G150" s="317"/>
    </row>
    <row r="151" spans="1:7" x14ac:dyDescent="0.25">
      <c r="A151" s="204" t="s">
        <v>356</v>
      </c>
      <c r="B151" s="22" t="s">
        <v>433</v>
      </c>
      <c r="C151" s="205">
        <v>42583</v>
      </c>
      <c r="D151" s="22" t="s">
        <v>809</v>
      </c>
      <c r="E151" s="22" t="s">
        <v>367</v>
      </c>
      <c r="F151" s="206">
        <v>119826</v>
      </c>
      <c r="G151" s="317"/>
    </row>
    <row r="152" spans="1:7" ht="24.75" x14ac:dyDescent="0.25">
      <c r="A152" s="207"/>
      <c r="B152" s="10"/>
      <c r="C152" s="208"/>
      <c r="D152" s="10"/>
      <c r="E152" s="230" t="s">
        <v>780</v>
      </c>
      <c r="F152" s="231">
        <f>SUM(F147:F151)</f>
        <v>870358</v>
      </c>
      <c r="G152" s="323" t="s">
        <v>803</v>
      </c>
    </row>
    <row r="153" spans="1:7" x14ac:dyDescent="0.25">
      <c r="A153" s="123"/>
      <c r="B153" s="123"/>
      <c r="C153" s="124"/>
      <c r="D153" s="123"/>
      <c r="E153" s="123"/>
      <c r="F153" s="125"/>
    </row>
    <row r="154" spans="1:7" x14ac:dyDescent="0.25">
      <c r="A154" s="211" t="s">
        <v>387</v>
      </c>
      <c r="B154" s="29" t="s">
        <v>433</v>
      </c>
      <c r="C154" s="212">
        <v>41639</v>
      </c>
      <c r="D154" s="29" t="s">
        <v>641</v>
      </c>
      <c r="E154" s="29" t="s">
        <v>389</v>
      </c>
      <c r="F154" s="213">
        <v>32500</v>
      </c>
      <c r="G154" s="330" t="s">
        <v>801</v>
      </c>
    </row>
    <row r="155" spans="1:7" x14ac:dyDescent="0.25">
      <c r="A155" s="207"/>
      <c r="B155" s="10"/>
      <c r="C155" s="208"/>
      <c r="D155" s="10"/>
      <c r="E155" s="230" t="s">
        <v>781</v>
      </c>
      <c r="F155" s="231">
        <f>F154</f>
        <v>32500</v>
      </c>
      <c r="G155" s="331"/>
    </row>
    <row r="156" spans="1:7" x14ac:dyDescent="0.25">
      <c r="A156" s="123"/>
      <c r="B156" s="123"/>
      <c r="C156" s="124"/>
      <c r="D156" s="123"/>
      <c r="E156" s="123"/>
      <c r="F156" s="125"/>
    </row>
    <row r="157" spans="1:7" x14ac:dyDescent="0.25">
      <c r="A157" s="211" t="s">
        <v>387</v>
      </c>
      <c r="B157" s="29" t="s">
        <v>494</v>
      </c>
      <c r="C157" s="212">
        <v>42004</v>
      </c>
      <c r="D157" s="29" t="s">
        <v>642</v>
      </c>
      <c r="E157" s="29" t="s">
        <v>392</v>
      </c>
      <c r="F157" s="213">
        <v>144244</v>
      </c>
      <c r="G157" s="319"/>
    </row>
    <row r="158" spans="1:7" x14ac:dyDescent="0.25">
      <c r="A158" s="204" t="s">
        <v>387</v>
      </c>
      <c r="B158" s="22" t="s">
        <v>494</v>
      </c>
      <c r="C158" s="205">
        <v>42355</v>
      </c>
      <c r="D158" s="22" t="s">
        <v>643</v>
      </c>
      <c r="E158" s="22" t="s">
        <v>385</v>
      </c>
      <c r="F158" s="206">
        <v>326102</v>
      </c>
      <c r="G158" s="317"/>
    </row>
    <row r="159" spans="1:7" x14ac:dyDescent="0.25">
      <c r="A159" s="204" t="s">
        <v>387</v>
      </c>
      <c r="B159" s="22" t="s">
        <v>494</v>
      </c>
      <c r="C159" s="205">
        <v>42567</v>
      </c>
      <c r="D159" s="22" t="s">
        <v>644</v>
      </c>
      <c r="E159" s="22" t="s">
        <v>385</v>
      </c>
      <c r="F159" s="206">
        <v>791312</v>
      </c>
      <c r="G159" s="321"/>
    </row>
    <row r="160" spans="1:7" x14ac:dyDescent="0.25">
      <c r="A160" s="204" t="s">
        <v>387</v>
      </c>
      <c r="B160" s="22" t="s">
        <v>494</v>
      </c>
      <c r="C160" s="205">
        <v>42675</v>
      </c>
      <c r="D160" s="22" t="s">
        <v>645</v>
      </c>
      <c r="E160" s="22" t="s">
        <v>385</v>
      </c>
      <c r="F160" s="206">
        <v>132976</v>
      </c>
      <c r="G160" s="317"/>
    </row>
    <row r="161" spans="1:7" x14ac:dyDescent="0.25">
      <c r="A161" s="204" t="s">
        <v>387</v>
      </c>
      <c r="B161" s="22" t="s">
        <v>494</v>
      </c>
      <c r="C161" s="205">
        <v>42726</v>
      </c>
      <c r="D161" s="22" t="s">
        <v>646</v>
      </c>
      <c r="E161" s="22" t="s">
        <v>385</v>
      </c>
      <c r="F161" s="206">
        <v>206557</v>
      </c>
      <c r="G161" s="317" t="s">
        <v>802</v>
      </c>
    </row>
    <row r="162" spans="1:7" x14ac:dyDescent="0.25">
      <c r="A162" s="204" t="s">
        <v>387</v>
      </c>
      <c r="B162" s="22" t="s">
        <v>494</v>
      </c>
      <c r="C162" s="205">
        <v>42509</v>
      </c>
      <c r="D162" s="22" t="s">
        <v>647</v>
      </c>
      <c r="E162" s="22" t="s">
        <v>385</v>
      </c>
      <c r="F162" s="206">
        <v>35303</v>
      </c>
      <c r="G162" s="317"/>
    </row>
    <row r="163" spans="1:7" x14ac:dyDescent="0.25">
      <c r="A163" s="204" t="s">
        <v>387</v>
      </c>
      <c r="B163" s="22" t="s">
        <v>494</v>
      </c>
      <c r="C163" s="205">
        <v>42837</v>
      </c>
      <c r="D163" s="22" t="s">
        <v>648</v>
      </c>
      <c r="E163" s="22" t="s">
        <v>385</v>
      </c>
      <c r="F163" s="206">
        <v>370</v>
      </c>
      <c r="G163" s="317"/>
    </row>
    <row r="164" spans="1:7" x14ac:dyDescent="0.25">
      <c r="A164" s="204" t="s">
        <v>387</v>
      </c>
      <c r="B164" s="22" t="s">
        <v>494</v>
      </c>
      <c r="C164" s="205">
        <v>42803</v>
      </c>
      <c r="D164" s="22" t="s">
        <v>649</v>
      </c>
      <c r="E164" s="22" t="s">
        <v>385</v>
      </c>
      <c r="F164" s="206">
        <v>1110</v>
      </c>
      <c r="G164" s="321"/>
    </row>
    <row r="165" spans="1:7" x14ac:dyDescent="0.25">
      <c r="A165" s="207"/>
      <c r="B165" s="10"/>
      <c r="C165" s="208"/>
      <c r="D165" s="232"/>
      <c r="E165" s="230" t="s">
        <v>782</v>
      </c>
      <c r="F165" s="231">
        <f>SUM(F157:F164)</f>
        <v>1637974</v>
      </c>
      <c r="G165" s="332"/>
    </row>
    <row r="166" spans="1:7" s="151" customFormat="1" x14ac:dyDescent="0.25">
      <c r="A166" s="148"/>
      <c r="B166" s="148"/>
      <c r="C166" s="149"/>
      <c r="D166" s="148"/>
      <c r="E166" s="158"/>
      <c r="F166" s="159"/>
      <c r="G166" s="327"/>
    </row>
    <row r="167" spans="1:7" s="151" customFormat="1" x14ac:dyDescent="0.25">
      <c r="A167" s="148"/>
      <c r="B167" s="148"/>
      <c r="C167" s="149"/>
      <c r="D167" s="148"/>
      <c r="E167" s="158"/>
      <c r="F167" s="159"/>
      <c r="G167" s="335"/>
    </row>
    <row r="168" spans="1:7" s="151" customFormat="1" x14ac:dyDescent="0.25">
      <c r="A168" s="148"/>
      <c r="B168" s="148"/>
      <c r="C168" s="149"/>
      <c r="D168" s="148"/>
      <c r="E168" s="158"/>
      <c r="F168" s="159"/>
      <c r="G168" s="335"/>
    </row>
    <row r="169" spans="1:7" s="151" customFormat="1" x14ac:dyDescent="0.25">
      <c r="A169" s="47" t="s">
        <v>786</v>
      </c>
      <c r="F169" s="161"/>
      <c r="G169" s="335"/>
    </row>
    <row r="170" spans="1:7" s="162" customFormat="1" x14ac:dyDescent="0.25">
      <c r="A170" s="383" t="s">
        <v>42</v>
      </c>
      <c r="B170" s="383" t="s">
        <v>423</v>
      </c>
      <c r="C170" s="384">
        <v>41274</v>
      </c>
      <c r="D170" s="383" t="s">
        <v>650</v>
      </c>
      <c r="E170" s="383" t="s">
        <v>39</v>
      </c>
      <c r="F170" s="385">
        <v>110151</v>
      </c>
      <c r="G170" s="335"/>
    </row>
    <row r="171" spans="1:7" s="151" customFormat="1" ht="26.25" x14ac:dyDescent="0.25">
      <c r="A171" s="386" t="s">
        <v>532</v>
      </c>
      <c r="B171" s="387"/>
      <c r="C171" s="388">
        <v>42689</v>
      </c>
      <c r="D171" s="386" t="s">
        <v>534</v>
      </c>
      <c r="E171" s="386" t="s">
        <v>533</v>
      </c>
      <c r="F171" s="389">
        <v>602083</v>
      </c>
      <c r="G171" s="335"/>
    </row>
    <row r="172" spans="1:7" s="151" customFormat="1" ht="26.25" x14ac:dyDescent="0.25">
      <c r="A172" s="386" t="s">
        <v>532</v>
      </c>
      <c r="B172" s="387"/>
      <c r="C172" s="388">
        <v>42370</v>
      </c>
      <c r="D172" s="386" t="s">
        <v>535</v>
      </c>
      <c r="E172" s="386" t="s">
        <v>533</v>
      </c>
      <c r="F172" s="389">
        <v>90813</v>
      </c>
      <c r="G172" s="335"/>
    </row>
    <row r="173" spans="1:7" s="151" customFormat="1" ht="26.25" x14ac:dyDescent="0.25">
      <c r="A173" s="386" t="s">
        <v>532</v>
      </c>
      <c r="B173" s="387"/>
      <c r="C173" s="388">
        <v>42597</v>
      </c>
      <c r="D173" s="386" t="s">
        <v>536</v>
      </c>
      <c r="E173" s="386" t="s">
        <v>533</v>
      </c>
      <c r="F173" s="389">
        <v>155695</v>
      </c>
      <c r="G173" s="335"/>
    </row>
    <row r="174" spans="1:7" s="151" customFormat="1" ht="26.25" x14ac:dyDescent="0.25">
      <c r="A174" s="386" t="s">
        <v>532</v>
      </c>
      <c r="B174" s="387"/>
      <c r="C174" s="388">
        <v>42826</v>
      </c>
      <c r="D174" s="386" t="s">
        <v>537</v>
      </c>
      <c r="E174" s="386" t="s">
        <v>533</v>
      </c>
      <c r="F174" s="389">
        <v>127453</v>
      </c>
      <c r="G174" s="335"/>
    </row>
    <row r="175" spans="1:7" s="151" customFormat="1" ht="26.25" x14ac:dyDescent="0.25">
      <c r="A175" s="386" t="s">
        <v>532</v>
      </c>
      <c r="B175" s="387"/>
      <c r="C175" s="388">
        <v>42836</v>
      </c>
      <c r="D175" s="386" t="s">
        <v>538</v>
      </c>
      <c r="E175" s="386" t="s">
        <v>533</v>
      </c>
      <c r="F175" s="389">
        <v>3161.17</v>
      </c>
      <c r="G175" s="335"/>
    </row>
    <row r="176" spans="1:7" s="151" customFormat="1" x14ac:dyDescent="0.25">
      <c r="A176" s="386" t="s">
        <v>71</v>
      </c>
      <c r="B176" s="386" t="s">
        <v>426</v>
      </c>
      <c r="C176" s="388">
        <v>42004</v>
      </c>
      <c r="D176" s="386" t="s">
        <v>539</v>
      </c>
      <c r="E176" s="386" t="s">
        <v>69</v>
      </c>
      <c r="F176" s="389">
        <v>118378</v>
      </c>
      <c r="G176" s="335"/>
    </row>
    <row r="177" spans="1:7" s="151" customFormat="1" x14ac:dyDescent="0.25">
      <c r="A177" s="386" t="s">
        <v>71</v>
      </c>
      <c r="B177" s="386" t="s">
        <v>427</v>
      </c>
      <c r="C177" s="388">
        <v>42313</v>
      </c>
      <c r="D177" s="386" t="s">
        <v>540</v>
      </c>
      <c r="E177" s="386" t="s">
        <v>73</v>
      </c>
      <c r="F177" s="389">
        <v>229656</v>
      </c>
      <c r="G177" s="335"/>
    </row>
    <row r="178" spans="1:7" s="151" customFormat="1" x14ac:dyDescent="0.25">
      <c r="A178" s="386" t="s">
        <v>71</v>
      </c>
      <c r="B178" s="386" t="s">
        <v>427</v>
      </c>
      <c r="C178" s="388">
        <v>42682</v>
      </c>
      <c r="D178" s="386" t="s">
        <v>541</v>
      </c>
      <c r="E178" s="386" t="s">
        <v>76</v>
      </c>
      <c r="F178" s="389">
        <v>49631</v>
      </c>
      <c r="G178" s="333"/>
    </row>
    <row r="179" spans="1:7" s="151" customFormat="1" x14ac:dyDescent="0.25">
      <c r="A179" s="386" t="s">
        <v>71</v>
      </c>
      <c r="B179" s="386" t="s">
        <v>427</v>
      </c>
      <c r="C179" s="388">
        <v>42542</v>
      </c>
      <c r="D179" s="386" t="s">
        <v>542</v>
      </c>
      <c r="E179" s="386" t="s">
        <v>76</v>
      </c>
      <c r="F179" s="389">
        <v>390369</v>
      </c>
      <c r="G179" s="329"/>
    </row>
    <row r="180" spans="1:7" s="151" customFormat="1" x14ac:dyDescent="0.25">
      <c r="A180" s="386" t="s">
        <v>71</v>
      </c>
      <c r="B180" s="387" t="s">
        <v>427</v>
      </c>
      <c r="C180" s="388">
        <v>42467</v>
      </c>
      <c r="D180" s="386" t="s">
        <v>543</v>
      </c>
      <c r="E180" s="386" t="s">
        <v>73</v>
      </c>
      <c r="F180" s="389">
        <v>44625.81</v>
      </c>
      <c r="G180" s="329"/>
    </row>
    <row r="181" spans="1:7" s="151" customFormat="1" ht="26.25" x14ac:dyDescent="0.25">
      <c r="A181" s="386" t="s">
        <v>71</v>
      </c>
      <c r="B181" s="386" t="s">
        <v>427</v>
      </c>
      <c r="C181" s="388">
        <v>42682</v>
      </c>
      <c r="D181" s="386" t="s">
        <v>544</v>
      </c>
      <c r="E181" s="386" t="s">
        <v>79</v>
      </c>
      <c r="F181" s="389">
        <v>446500</v>
      </c>
      <c r="G181" s="329"/>
    </row>
    <row r="182" spans="1:7" s="151" customFormat="1" ht="20.100000000000001" customHeight="1" x14ac:dyDescent="0.25">
      <c r="A182" s="386" t="s">
        <v>91</v>
      </c>
      <c r="B182" s="386" t="s">
        <v>456</v>
      </c>
      <c r="C182" s="388">
        <v>41639</v>
      </c>
      <c r="D182" s="386" t="s">
        <v>546</v>
      </c>
      <c r="E182" s="386" t="s">
        <v>545</v>
      </c>
      <c r="F182" s="389">
        <v>278265</v>
      </c>
      <c r="G182" s="329"/>
    </row>
    <row r="183" spans="1:7" s="151" customFormat="1" x14ac:dyDescent="0.25">
      <c r="A183" s="386" t="s">
        <v>91</v>
      </c>
      <c r="B183" s="386" t="s">
        <v>456</v>
      </c>
      <c r="C183" s="388">
        <v>42004</v>
      </c>
      <c r="D183" s="386" t="s">
        <v>548</v>
      </c>
      <c r="E183" s="386" t="s">
        <v>545</v>
      </c>
      <c r="F183" s="389">
        <v>92755</v>
      </c>
      <c r="G183" s="329"/>
    </row>
    <row r="184" spans="1:7" s="151" customFormat="1" x14ac:dyDescent="0.25">
      <c r="A184" s="386" t="s">
        <v>651</v>
      </c>
      <c r="B184" s="386" t="s">
        <v>652</v>
      </c>
      <c r="C184" s="388">
        <v>42359</v>
      </c>
      <c r="D184" s="386" t="s">
        <v>654</v>
      </c>
      <c r="E184" s="386" t="s">
        <v>653</v>
      </c>
      <c r="F184" s="389">
        <v>10586</v>
      </c>
      <c r="G184" s="329"/>
    </row>
    <row r="185" spans="1:7" s="151" customFormat="1" ht="26.25" x14ac:dyDescent="0.25">
      <c r="A185" s="386" t="s">
        <v>655</v>
      </c>
      <c r="B185" s="386" t="s">
        <v>656</v>
      </c>
      <c r="C185" s="388">
        <v>42711</v>
      </c>
      <c r="D185" s="386" t="s">
        <v>658</v>
      </c>
      <c r="E185" s="386" t="s">
        <v>657</v>
      </c>
      <c r="F185" s="389">
        <v>50051</v>
      </c>
      <c r="G185" s="329"/>
    </row>
    <row r="186" spans="1:7" s="151" customFormat="1" x14ac:dyDescent="0.25">
      <c r="A186" s="386" t="s">
        <v>154</v>
      </c>
      <c r="B186" s="386" t="s">
        <v>456</v>
      </c>
      <c r="C186" s="388">
        <v>41517</v>
      </c>
      <c r="D186" s="386" t="s">
        <v>564</v>
      </c>
      <c r="E186" s="386" t="s">
        <v>563</v>
      </c>
      <c r="F186" s="389">
        <v>271838</v>
      </c>
      <c r="G186" s="329"/>
    </row>
    <row r="187" spans="1:7" s="151" customFormat="1" x14ac:dyDescent="0.25">
      <c r="A187" s="386" t="s">
        <v>154</v>
      </c>
      <c r="B187" s="386" t="s">
        <v>456</v>
      </c>
      <c r="C187" s="388">
        <v>41639</v>
      </c>
      <c r="D187" s="386" t="s">
        <v>565</v>
      </c>
      <c r="E187" s="386" t="s">
        <v>563</v>
      </c>
      <c r="F187" s="389">
        <v>70000</v>
      </c>
      <c r="G187" s="329"/>
    </row>
    <row r="188" spans="1:7" s="151" customFormat="1" x14ac:dyDescent="0.25">
      <c r="A188" s="386" t="s">
        <v>154</v>
      </c>
      <c r="B188" s="386" t="s">
        <v>456</v>
      </c>
      <c r="C188" s="388">
        <v>42004</v>
      </c>
      <c r="D188" s="386" t="s">
        <v>569</v>
      </c>
      <c r="E188" s="386" t="s">
        <v>563</v>
      </c>
      <c r="F188" s="389">
        <v>20613</v>
      </c>
      <c r="G188" s="329"/>
    </row>
    <row r="189" spans="1:7" s="151" customFormat="1" x14ac:dyDescent="0.25">
      <c r="A189" s="386" t="s">
        <v>154</v>
      </c>
      <c r="B189" s="386" t="s">
        <v>659</v>
      </c>
      <c r="C189" s="388">
        <v>42333</v>
      </c>
      <c r="D189" s="386" t="s">
        <v>661</v>
      </c>
      <c r="E189" s="386" t="s">
        <v>660</v>
      </c>
      <c r="F189" s="389">
        <v>375000</v>
      </c>
      <c r="G189" s="329"/>
    </row>
    <row r="190" spans="1:7" s="151" customFormat="1" x14ac:dyDescent="0.25">
      <c r="A190" s="386" t="s">
        <v>154</v>
      </c>
      <c r="B190" s="386" t="s">
        <v>659</v>
      </c>
      <c r="C190" s="388">
        <v>42515</v>
      </c>
      <c r="D190" s="386" t="s">
        <v>664</v>
      </c>
      <c r="E190" s="386" t="s">
        <v>660</v>
      </c>
      <c r="F190" s="389">
        <v>125000</v>
      </c>
      <c r="G190" s="329"/>
    </row>
    <row r="191" spans="1:7" s="151" customFormat="1" x14ac:dyDescent="0.25">
      <c r="A191" s="386" t="s">
        <v>154</v>
      </c>
      <c r="B191" s="386" t="s">
        <v>662</v>
      </c>
      <c r="C191" s="388">
        <v>42711</v>
      </c>
      <c r="D191" s="386" t="s">
        <v>663</v>
      </c>
      <c r="E191" s="386" t="s">
        <v>177</v>
      </c>
      <c r="F191" s="389">
        <v>31268.5</v>
      </c>
      <c r="G191" s="329"/>
    </row>
    <row r="192" spans="1:7" s="151" customFormat="1" x14ac:dyDescent="0.25">
      <c r="A192" s="386" t="s">
        <v>154</v>
      </c>
      <c r="B192" s="386" t="s">
        <v>662</v>
      </c>
      <c r="C192" s="388">
        <v>42380</v>
      </c>
      <c r="D192" s="386" t="s">
        <v>665</v>
      </c>
      <c r="E192" s="386" t="s">
        <v>177</v>
      </c>
      <c r="F192" s="389">
        <v>93802.5</v>
      </c>
      <c r="G192" s="329"/>
    </row>
    <row r="193" spans="1:7" s="151" customFormat="1" ht="32.1" customHeight="1" x14ac:dyDescent="0.25">
      <c r="A193" s="386" t="s">
        <v>154</v>
      </c>
      <c r="B193" s="386" t="s">
        <v>666</v>
      </c>
      <c r="C193" s="388">
        <v>42681</v>
      </c>
      <c r="D193" s="386" t="s">
        <v>668</v>
      </c>
      <c r="E193" s="386" t="s">
        <v>667</v>
      </c>
      <c r="F193" s="389">
        <v>9000</v>
      </c>
      <c r="G193" s="329"/>
    </row>
    <row r="194" spans="1:7" s="163" customFormat="1" x14ac:dyDescent="0.25">
      <c r="A194" s="390" t="s">
        <v>150</v>
      </c>
      <c r="B194" s="390" t="s">
        <v>431</v>
      </c>
      <c r="C194" s="391"/>
      <c r="D194" s="390"/>
      <c r="E194" s="390"/>
      <c r="F194" s="392">
        <v>398275</v>
      </c>
      <c r="G194" s="334"/>
    </row>
    <row r="195" spans="1:7" s="151" customFormat="1" x14ac:dyDescent="0.25">
      <c r="A195" s="386" t="s">
        <v>194</v>
      </c>
      <c r="B195" s="386" t="s">
        <v>577</v>
      </c>
      <c r="C195" s="388">
        <v>42706</v>
      </c>
      <c r="D195" s="386" t="s">
        <v>586</v>
      </c>
      <c r="E195" s="386" t="s">
        <v>192</v>
      </c>
      <c r="F195" s="389">
        <v>734724</v>
      </c>
      <c r="G195" s="329"/>
    </row>
    <row r="196" spans="1:7" s="151" customFormat="1" x14ac:dyDescent="0.25">
      <c r="A196" s="386" t="s">
        <v>256</v>
      </c>
      <c r="B196" s="386" t="s">
        <v>669</v>
      </c>
      <c r="C196" s="388">
        <v>42004</v>
      </c>
      <c r="D196" s="386" t="s">
        <v>671</v>
      </c>
      <c r="E196" s="386" t="s">
        <v>670</v>
      </c>
      <c r="F196" s="389">
        <v>44812</v>
      </c>
      <c r="G196" s="329"/>
    </row>
    <row r="197" spans="1:7" s="151" customFormat="1" x14ac:dyDescent="0.25">
      <c r="A197" s="386" t="s">
        <v>213</v>
      </c>
      <c r="B197" s="386" t="s">
        <v>436</v>
      </c>
      <c r="C197" s="388">
        <v>42004</v>
      </c>
      <c r="D197" s="386" t="s">
        <v>595</v>
      </c>
      <c r="E197" s="386" t="s">
        <v>594</v>
      </c>
      <c r="F197" s="389">
        <v>22209</v>
      </c>
      <c r="G197" s="329"/>
    </row>
    <row r="198" spans="1:7" s="151" customFormat="1" x14ac:dyDescent="0.25">
      <c r="A198" s="386" t="s">
        <v>213</v>
      </c>
      <c r="B198" s="386" t="s">
        <v>436</v>
      </c>
      <c r="C198" s="388">
        <v>42689</v>
      </c>
      <c r="D198" s="386" t="s">
        <v>597</v>
      </c>
      <c r="E198" s="386" t="s">
        <v>596</v>
      </c>
      <c r="F198" s="389">
        <v>26590.5</v>
      </c>
      <c r="G198" s="329"/>
    </row>
    <row r="199" spans="1:7" s="151" customFormat="1" x14ac:dyDescent="0.25">
      <c r="A199" s="386" t="s">
        <v>213</v>
      </c>
      <c r="B199" s="386" t="s">
        <v>436</v>
      </c>
      <c r="C199" s="388">
        <v>42419</v>
      </c>
      <c r="D199" s="386" t="s">
        <v>598</v>
      </c>
      <c r="E199" s="386" t="s">
        <v>596</v>
      </c>
      <c r="F199" s="389">
        <v>93289.5</v>
      </c>
      <c r="G199" s="329"/>
    </row>
    <row r="200" spans="1:7" s="151" customFormat="1" x14ac:dyDescent="0.25">
      <c r="A200" s="386" t="s">
        <v>213</v>
      </c>
      <c r="B200" s="386" t="s">
        <v>436</v>
      </c>
      <c r="C200" s="388">
        <v>42822</v>
      </c>
      <c r="D200" s="386" t="s">
        <v>599</v>
      </c>
      <c r="E200" s="386" t="s">
        <v>596</v>
      </c>
      <c r="F200" s="389">
        <v>93289.5</v>
      </c>
      <c r="G200" s="329"/>
    </row>
    <row r="201" spans="1:7" s="151" customFormat="1" x14ac:dyDescent="0.25">
      <c r="A201" s="386" t="s">
        <v>355</v>
      </c>
      <c r="B201" s="386" t="s">
        <v>427</v>
      </c>
      <c r="C201" s="388">
        <v>42347</v>
      </c>
      <c r="D201" s="386" t="s">
        <v>672</v>
      </c>
      <c r="E201" s="386" t="s">
        <v>353</v>
      </c>
      <c r="F201" s="389">
        <v>1000000</v>
      </c>
      <c r="G201" s="329"/>
    </row>
    <row r="202" spans="1:7" s="151" customFormat="1" ht="26.25" x14ac:dyDescent="0.25">
      <c r="A202" s="386" t="s">
        <v>673</v>
      </c>
      <c r="B202" s="386" t="s">
        <v>674</v>
      </c>
      <c r="C202" s="388">
        <v>42004</v>
      </c>
      <c r="D202" s="386" t="s">
        <v>676</v>
      </c>
      <c r="E202" s="386" t="s">
        <v>675</v>
      </c>
      <c r="F202" s="389">
        <v>40066</v>
      </c>
      <c r="G202" s="329"/>
    </row>
    <row r="203" spans="1:7" s="151" customFormat="1" ht="39" x14ac:dyDescent="0.25">
      <c r="A203" s="386" t="s">
        <v>673</v>
      </c>
      <c r="B203" s="386" t="s">
        <v>677</v>
      </c>
      <c r="C203" s="388">
        <v>42369</v>
      </c>
      <c r="D203" s="386" t="s">
        <v>679</v>
      </c>
      <c r="E203" s="386" t="s">
        <v>678</v>
      </c>
      <c r="F203" s="389">
        <v>30598</v>
      </c>
      <c r="G203" s="329"/>
    </row>
    <row r="204" spans="1:7" s="151" customFormat="1" x14ac:dyDescent="0.25">
      <c r="A204" s="386" t="s">
        <v>673</v>
      </c>
      <c r="B204" s="386" t="s">
        <v>652</v>
      </c>
      <c r="C204" s="388">
        <v>42094</v>
      </c>
      <c r="D204" s="386" t="s">
        <v>681</v>
      </c>
      <c r="E204" s="386" t="s">
        <v>680</v>
      </c>
      <c r="F204" s="389">
        <v>49290</v>
      </c>
      <c r="G204" s="329"/>
    </row>
    <row r="205" spans="1:7" s="151" customFormat="1" ht="39" x14ac:dyDescent="0.25">
      <c r="A205" s="386" t="s">
        <v>673</v>
      </c>
      <c r="B205" s="386" t="s">
        <v>677</v>
      </c>
      <c r="C205" s="388">
        <v>42094</v>
      </c>
      <c r="D205" s="386" t="s">
        <v>682</v>
      </c>
      <c r="E205" s="386" t="s">
        <v>678</v>
      </c>
      <c r="F205" s="389">
        <v>23983</v>
      </c>
      <c r="G205" s="329"/>
    </row>
    <row r="206" spans="1:7" s="151" customFormat="1" x14ac:dyDescent="0.25">
      <c r="A206" s="386" t="s">
        <v>673</v>
      </c>
      <c r="B206" s="386" t="s">
        <v>652</v>
      </c>
      <c r="C206" s="388">
        <v>42359</v>
      </c>
      <c r="D206" s="386" t="s">
        <v>683</v>
      </c>
      <c r="E206" s="386" t="s">
        <v>680</v>
      </c>
      <c r="F206" s="389">
        <v>100710</v>
      </c>
      <c r="G206" s="329"/>
    </row>
    <row r="207" spans="1:7" s="151" customFormat="1" ht="39" x14ac:dyDescent="0.25">
      <c r="A207" s="386" t="s">
        <v>673</v>
      </c>
      <c r="B207" s="386" t="s">
        <v>677</v>
      </c>
      <c r="C207" s="388">
        <v>42724</v>
      </c>
      <c r="D207" s="386" t="s">
        <v>684</v>
      </c>
      <c r="E207" s="386" t="s">
        <v>678</v>
      </c>
      <c r="F207" s="389">
        <v>50043</v>
      </c>
      <c r="G207" s="329"/>
    </row>
    <row r="208" spans="1:7" s="151" customFormat="1" x14ac:dyDescent="0.25">
      <c r="A208" s="386" t="s">
        <v>673</v>
      </c>
      <c r="B208" s="387"/>
      <c r="C208" s="388">
        <v>42425</v>
      </c>
      <c r="D208" s="386" t="s">
        <v>685</v>
      </c>
      <c r="E208" s="386" t="s">
        <v>675</v>
      </c>
      <c r="F208" s="389">
        <v>41082</v>
      </c>
      <c r="G208" s="329"/>
    </row>
    <row r="209" spans="1:7" s="151" customFormat="1" x14ac:dyDescent="0.25">
      <c r="A209" s="386" t="s">
        <v>376</v>
      </c>
      <c r="B209" s="386" t="s">
        <v>686</v>
      </c>
      <c r="C209" s="388">
        <v>42349</v>
      </c>
      <c r="D209" s="386" t="s">
        <v>687</v>
      </c>
      <c r="E209" s="386" t="s">
        <v>374</v>
      </c>
      <c r="F209" s="389">
        <v>493096</v>
      </c>
      <c r="G209" s="329"/>
    </row>
    <row r="210" spans="1:7" s="151" customFormat="1" x14ac:dyDescent="0.25">
      <c r="A210" s="386" t="s">
        <v>376</v>
      </c>
      <c r="B210" s="386" t="s">
        <v>686</v>
      </c>
      <c r="C210" s="388">
        <v>42614</v>
      </c>
      <c r="D210" s="386" t="s">
        <v>688</v>
      </c>
      <c r="E210" s="386" t="s">
        <v>374</v>
      </c>
      <c r="F210" s="389">
        <v>164365</v>
      </c>
      <c r="G210" s="329"/>
    </row>
    <row r="211" spans="1:7" s="151" customFormat="1" x14ac:dyDescent="0.25">
      <c r="A211" s="386" t="s">
        <v>376</v>
      </c>
      <c r="B211" s="386" t="s">
        <v>686</v>
      </c>
      <c r="C211" s="388">
        <v>42744</v>
      </c>
      <c r="D211" s="386" t="s">
        <v>689</v>
      </c>
      <c r="E211" s="386" t="s">
        <v>378</v>
      </c>
      <c r="F211" s="389">
        <v>664365</v>
      </c>
      <c r="G211" s="329"/>
    </row>
    <row r="213" spans="1:7" x14ac:dyDescent="0.25">
      <c r="A213" s="47"/>
    </row>
  </sheetData>
  <mergeCells count="1">
    <mergeCell ref="G5:G12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/>
  </sheetViews>
  <sheetFormatPr defaultColWidth="11" defaultRowHeight="15.75" x14ac:dyDescent="0.25"/>
  <cols>
    <col min="1" max="1" width="35.125" customWidth="1"/>
    <col min="2" max="4" width="16.375" customWidth="1"/>
    <col min="5" max="5" width="27.625" customWidth="1"/>
    <col min="6" max="8" width="16.375" customWidth="1"/>
    <col min="9" max="9" width="14.125" style="239" bestFit="1" customWidth="1"/>
    <col min="10" max="10" width="13.5" bestFit="1" customWidth="1"/>
  </cols>
  <sheetData>
    <row r="1" spans="1:9" ht="19.5" thickBot="1" x14ac:dyDescent="0.35">
      <c r="A1" s="130" t="s">
        <v>690</v>
      </c>
      <c r="B1" s="131"/>
      <c r="C1" s="131"/>
      <c r="D1" s="131"/>
      <c r="E1" s="131"/>
      <c r="F1" s="131"/>
      <c r="G1" s="131"/>
      <c r="H1" s="131"/>
      <c r="I1" s="233"/>
    </row>
    <row r="2" spans="1:9" ht="18.75" thickBot="1" x14ac:dyDescent="0.3">
      <c r="A2" s="131"/>
      <c r="B2" s="131"/>
      <c r="C2" s="131"/>
      <c r="D2" s="131"/>
      <c r="E2" s="131"/>
      <c r="F2" s="131"/>
      <c r="G2" s="131"/>
      <c r="H2" s="131"/>
      <c r="I2" s="233"/>
    </row>
    <row r="3" spans="1:9" ht="19.5" thickBot="1" x14ac:dyDescent="0.35">
      <c r="A3" s="415" t="s">
        <v>790</v>
      </c>
      <c r="B3" s="416"/>
      <c r="C3" s="131"/>
      <c r="D3" s="131"/>
      <c r="E3" s="131"/>
      <c r="F3" s="131"/>
      <c r="G3" s="131"/>
      <c r="H3" s="131"/>
      <c r="I3" s="233"/>
    </row>
    <row r="4" spans="1:9" ht="19.5" thickBot="1" x14ac:dyDescent="0.35">
      <c r="A4" s="417" t="s">
        <v>691</v>
      </c>
      <c r="B4" s="418"/>
      <c r="C4" s="131"/>
      <c r="D4" s="131"/>
      <c r="E4" s="131"/>
      <c r="F4" s="131"/>
      <c r="G4" s="131"/>
      <c r="H4" s="131"/>
      <c r="I4" s="233"/>
    </row>
    <row r="5" spans="1:9" ht="57" thickBot="1" x14ac:dyDescent="0.35">
      <c r="A5" s="132" t="s">
        <v>692</v>
      </c>
      <c r="B5" s="132" t="s">
        <v>693</v>
      </c>
      <c r="C5" s="132" t="s">
        <v>694</v>
      </c>
      <c r="D5" s="132" t="s">
        <v>695</v>
      </c>
      <c r="E5" s="132" t="s">
        <v>696</v>
      </c>
      <c r="F5" s="132" t="s">
        <v>697</v>
      </c>
      <c r="G5" s="132" t="s">
        <v>698</v>
      </c>
      <c r="H5" s="132" t="s">
        <v>699</v>
      </c>
      <c r="I5" s="233"/>
    </row>
    <row r="6" spans="1:9" ht="19.5" thickBot="1" x14ac:dyDescent="0.35">
      <c r="A6" s="133" t="s">
        <v>700</v>
      </c>
      <c r="B6" s="135">
        <v>0</v>
      </c>
      <c r="C6" s="135">
        <v>574836</v>
      </c>
      <c r="D6" s="135">
        <v>2024948</v>
      </c>
      <c r="E6" s="135">
        <v>1632980</v>
      </c>
      <c r="F6" s="135">
        <v>1688980</v>
      </c>
      <c r="G6" s="137">
        <v>665000</v>
      </c>
      <c r="H6" s="137">
        <f>SUM(B6:G6)</f>
        <v>6586744</v>
      </c>
      <c r="I6" s="343"/>
    </row>
    <row r="7" spans="1:9" ht="19.5" thickBot="1" x14ac:dyDescent="0.35">
      <c r="A7" s="133" t="s">
        <v>701</v>
      </c>
      <c r="B7" s="138"/>
      <c r="C7" s="138"/>
      <c r="D7" s="138"/>
      <c r="E7" s="135">
        <v>180000</v>
      </c>
      <c r="F7" s="135">
        <v>0</v>
      </c>
      <c r="G7" s="137">
        <v>180000</v>
      </c>
      <c r="H7" s="137">
        <f t="shared" ref="H7:H40" si="0">SUM(B7:G7)</f>
        <v>360000</v>
      </c>
      <c r="I7" s="344"/>
    </row>
    <row r="8" spans="1:9" ht="19.5" thickBot="1" x14ac:dyDescent="0.35">
      <c r="A8" s="133" t="s">
        <v>702</v>
      </c>
      <c r="B8" s="138"/>
      <c r="C8" s="138"/>
      <c r="D8" s="138"/>
      <c r="E8" s="135">
        <v>62347</v>
      </c>
      <c r="F8" s="135">
        <v>0</v>
      </c>
      <c r="G8" s="137">
        <v>100000</v>
      </c>
      <c r="H8" s="137">
        <f t="shared" si="0"/>
        <v>162347</v>
      </c>
      <c r="I8" s="344"/>
    </row>
    <row r="9" spans="1:9" ht="19.5" thickBot="1" x14ac:dyDescent="0.35">
      <c r="A9" s="133" t="s">
        <v>703</v>
      </c>
      <c r="B9" s="138"/>
      <c r="C9" s="138"/>
      <c r="D9" s="138"/>
      <c r="E9" s="138"/>
      <c r="F9" s="135">
        <v>96928</v>
      </c>
      <c r="G9" s="137">
        <v>230064</v>
      </c>
      <c r="H9" s="137">
        <f t="shared" si="0"/>
        <v>326992</v>
      </c>
      <c r="I9" s="344"/>
    </row>
    <row r="10" spans="1:9" ht="19.5" thickBot="1" x14ac:dyDescent="0.35">
      <c r="A10" s="133" t="s">
        <v>704</v>
      </c>
      <c r="B10" s="138"/>
      <c r="C10" s="138"/>
      <c r="D10" s="138"/>
      <c r="E10" s="138"/>
      <c r="F10" s="138"/>
      <c r="G10" s="137">
        <v>149140</v>
      </c>
      <c r="H10" s="137">
        <f t="shared" si="0"/>
        <v>149140</v>
      </c>
      <c r="I10" s="344"/>
    </row>
    <row r="11" spans="1:9" ht="19.5" thickBot="1" x14ac:dyDescent="0.35">
      <c r="A11" s="133" t="s">
        <v>705</v>
      </c>
      <c r="B11" s="135">
        <v>0</v>
      </c>
      <c r="C11" s="135">
        <v>0</v>
      </c>
      <c r="D11" s="135">
        <v>0</v>
      </c>
      <c r="E11" s="135">
        <v>229656</v>
      </c>
      <c r="F11" s="135">
        <v>440000</v>
      </c>
      <c r="G11" s="137">
        <v>330000</v>
      </c>
      <c r="H11" s="137">
        <f t="shared" si="0"/>
        <v>999656</v>
      </c>
      <c r="I11" s="344"/>
    </row>
    <row r="12" spans="1:9" ht="19.5" thickBot="1" x14ac:dyDescent="0.35">
      <c r="A12" s="133" t="s">
        <v>706</v>
      </c>
      <c r="B12" s="135">
        <v>0</v>
      </c>
      <c r="C12" s="135">
        <v>0</v>
      </c>
      <c r="D12" s="135">
        <v>0</v>
      </c>
      <c r="E12" s="135">
        <v>275979</v>
      </c>
      <c r="F12" s="135">
        <v>274084</v>
      </c>
      <c r="G12" s="139"/>
      <c r="H12" s="137">
        <f>SUM(B12:G12)</f>
        <v>550063</v>
      </c>
      <c r="I12" s="345"/>
    </row>
    <row r="13" spans="1:9" ht="19.5" thickBot="1" x14ac:dyDescent="0.35">
      <c r="A13" s="133" t="s">
        <v>707</v>
      </c>
      <c r="B13" s="135">
        <v>0</v>
      </c>
      <c r="C13" s="135">
        <v>0</v>
      </c>
      <c r="D13" s="135">
        <v>0</v>
      </c>
      <c r="E13" s="135">
        <v>158772</v>
      </c>
      <c r="F13" s="155">
        <v>431667</v>
      </c>
      <c r="G13" s="137">
        <v>537500</v>
      </c>
      <c r="H13" s="137">
        <f>SUM(B13:G13)</f>
        <v>1127939</v>
      </c>
      <c r="I13" s="240"/>
    </row>
    <row r="14" spans="1:9" ht="19.5" thickBot="1" x14ac:dyDescent="0.35">
      <c r="A14" s="133" t="s">
        <v>708</v>
      </c>
      <c r="B14" s="135">
        <v>0</v>
      </c>
      <c r="C14" s="135">
        <v>0</v>
      </c>
      <c r="D14" s="135">
        <v>0</v>
      </c>
      <c r="E14" s="135">
        <v>0</v>
      </c>
      <c r="F14" s="135">
        <v>531470</v>
      </c>
      <c r="G14" s="137">
        <v>450000</v>
      </c>
      <c r="H14" s="137">
        <f t="shared" si="0"/>
        <v>981470</v>
      </c>
      <c r="I14" s="346"/>
    </row>
    <row r="15" spans="1:9" ht="19.5" thickBot="1" x14ac:dyDescent="0.35">
      <c r="A15" s="133" t="s">
        <v>709</v>
      </c>
      <c r="B15" s="135">
        <v>0</v>
      </c>
      <c r="C15" s="135">
        <v>0</v>
      </c>
      <c r="D15" s="135">
        <v>0</v>
      </c>
      <c r="E15" s="135">
        <v>0</v>
      </c>
      <c r="F15" s="135">
        <v>430204</v>
      </c>
      <c r="G15" s="137">
        <v>825000</v>
      </c>
      <c r="H15" s="137">
        <f t="shared" si="0"/>
        <v>1255204</v>
      </c>
      <c r="I15" s="346"/>
    </row>
    <row r="16" spans="1:9" ht="19.5" thickBot="1" x14ac:dyDescent="0.35">
      <c r="A16" s="133" t="s">
        <v>710</v>
      </c>
      <c r="B16" s="135">
        <v>0</v>
      </c>
      <c r="C16" s="135">
        <v>0</v>
      </c>
      <c r="D16" s="135">
        <v>0</v>
      </c>
      <c r="E16" s="135">
        <v>0</v>
      </c>
      <c r="F16" s="135">
        <v>125069.5</v>
      </c>
      <c r="G16" s="137">
        <v>125000</v>
      </c>
      <c r="H16" s="137">
        <f t="shared" si="0"/>
        <v>250069.5</v>
      </c>
      <c r="I16" s="343"/>
    </row>
    <row r="17" spans="1:10" ht="19.5" thickBot="1" x14ac:dyDescent="0.35">
      <c r="A17" s="133" t="s">
        <v>711</v>
      </c>
      <c r="B17" s="135">
        <v>0</v>
      </c>
      <c r="C17" s="135">
        <v>0</v>
      </c>
      <c r="D17" s="135">
        <v>0</v>
      </c>
      <c r="E17" s="135">
        <v>842038</v>
      </c>
      <c r="F17" s="135">
        <v>1927545</v>
      </c>
      <c r="G17" s="137">
        <v>2769583</v>
      </c>
      <c r="H17" s="137">
        <f t="shared" si="0"/>
        <v>5539166</v>
      </c>
      <c r="I17" s="234"/>
      <c r="J17" s="136"/>
    </row>
    <row r="18" spans="1:10" ht="19.5" thickBot="1" x14ac:dyDescent="0.35">
      <c r="A18" s="133" t="s">
        <v>712</v>
      </c>
      <c r="B18" s="135">
        <v>0</v>
      </c>
      <c r="C18" s="135">
        <v>0</v>
      </c>
      <c r="D18" s="155">
        <v>571280</v>
      </c>
      <c r="E18" s="135">
        <v>624100</v>
      </c>
      <c r="F18" s="135">
        <v>679620</v>
      </c>
      <c r="G18" s="137">
        <v>0</v>
      </c>
      <c r="H18" s="137">
        <f t="shared" si="0"/>
        <v>1875000</v>
      </c>
      <c r="I18" s="235"/>
    </row>
    <row r="19" spans="1:10" ht="19.5" thickBot="1" x14ac:dyDescent="0.35">
      <c r="A19" s="133" t="s">
        <v>789</v>
      </c>
      <c r="B19" s="135"/>
      <c r="C19" s="135"/>
      <c r="D19" s="155"/>
      <c r="E19" s="135"/>
      <c r="F19" s="135">
        <v>9000</v>
      </c>
      <c r="G19" s="137"/>
      <c r="H19" s="137">
        <f>SUM(B19:G19)</f>
        <v>9000</v>
      </c>
      <c r="I19" s="235"/>
    </row>
    <row r="20" spans="1:10" ht="19.5" thickBot="1" x14ac:dyDescent="0.35">
      <c r="A20" s="133" t="s">
        <v>150</v>
      </c>
      <c r="B20" s="135">
        <v>0</v>
      </c>
      <c r="C20" s="135">
        <v>0</v>
      </c>
      <c r="D20" s="135">
        <v>0</v>
      </c>
      <c r="E20" s="135">
        <v>0</v>
      </c>
      <c r="F20" s="138"/>
      <c r="G20" s="137">
        <v>531035</v>
      </c>
      <c r="H20" s="137">
        <f>SUM(B20:G20)</f>
        <v>531035</v>
      </c>
      <c r="I20" s="233"/>
    </row>
    <row r="21" spans="1:10" ht="19.5" thickBot="1" x14ac:dyDescent="0.35">
      <c r="A21" s="133" t="s">
        <v>713</v>
      </c>
      <c r="B21" s="135">
        <v>0</v>
      </c>
      <c r="C21" s="135">
        <v>0</v>
      </c>
      <c r="D21" s="135">
        <v>0</v>
      </c>
      <c r="E21" s="135">
        <v>294102</v>
      </c>
      <c r="F21" s="135">
        <v>173740</v>
      </c>
      <c r="G21" s="137">
        <v>104338</v>
      </c>
      <c r="H21" s="137">
        <f t="shared" si="0"/>
        <v>572180</v>
      </c>
      <c r="I21" s="234"/>
    </row>
    <row r="22" spans="1:10" ht="19.5" thickBot="1" x14ac:dyDescent="0.35">
      <c r="A22" s="133" t="s">
        <v>714</v>
      </c>
      <c r="B22" s="135">
        <v>297329</v>
      </c>
      <c r="C22" s="135">
        <v>225893</v>
      </c>
      <c r="D22" s="135">
        <v>52349</v>
      </c>
      <c r="E22" s="135">
        <v>153045</v>
      </c>
      <c r="F22" s="135">
        <v>127777.68</v>
      </c>
      <c r="G22" s="137">
        <v>87800</v>
      </c>
      <c r="H22" s="137">
        <f t="shared" si="0"/>
        <v>944193.67999999993</v>
      </c>
      <c r="I22" s="234"/>
    </row>
    <row r="23" spans="1:10" ht="19.5" thickBot="1" x14ac:dyDescent="0.35">
      <c r="A23" s="133" t="s">
        <v>715</v>
      </c>
      <c r="B23" s="135">
        <v>0</v>
      </c>
      <c r="C23" s="135">
        <v>0</v>
      </c>
      <c r="D23" s="135">
        <v>0</v>
      </c>
      <c r="E23" s="135">
        <v>0</v>
      </c>
      <c r="F23" s="140">
        <v>734724</v>
      </c>
      <c r="G23" s="137">
        <v>735000</v>
      </c>
      <c r="H23" s="137">
        <f t="shared" si="0"/>
        <v>1469724</v>
      </c>
      <c r="I23" s="233"/>
    </row>
    <row r="24" spans="1:10" ht="19.5" thickBot="1" x14ac:dyDescent="0.35">
      <c r="A24" s="133" t="s">
        <v>716</v>
      </c>
      <c r="B24" s="135">
        <v>0</v>
      </c>
      <c r="C24" s="135">
        <v>78000</v>
      </c>
      <c r="D24" s="135">
        <v>0</v>
      </c>
      <c r="E24" s="135">
        <v>0</v>
      </c>
      <c r="F24" s="135">
        <v>0</v>
      </c>
      <c r="G24" s="137">
        <v>0</v>
      </c>
      <c r="H24" s="137">
        <f t="shared" si="0"/>
        <v>78000</v>
      </c>
      <c r="I24" s="233"/>
    </row>
    <row r="25" spans="1:10" ht="19.5" thickBot="1" x14ac:dyDescent="0.35">
      <c r="A25" s="133" t="s">
        <v>717</v>
      </c>
      <c r="B25" s="135">
        <v>0</v>
      </c>
      <c r="C25" s="135">
        <v>0</v>
      </c>
      <c r="D25" s="135">
        <v>0</v>
      </c>
      <c r="E25" s="135">
        <v>0</v>
      </c>
      <c r="F25" s="135">
        <v>119879</v>
      </c>
      <c r="G25" s="137">
        <v>140000</v>
      </c>
      <c r="H25" s="137">
        <f t="shared" si="0"/>
        <v>259879</v>
      </c>
      <c r="I25" s="233"/>
    </row>
    <row r="26" spans="1:10" ht="19.5" thickBot="1" x14ac:dyDescent="0.35">
      <c r="A26" s="133" t="s">
        <v>655</v>
      </c>
      <c r="B26" s="135">
        <v>0</v>
      </c>
      <c r="C26" s="135">
        <v>0</v>
      </c>
      <c r="D26" s="135">
        <v>0</v>
      </c>
      <c r="E26" s="135">
        <v>0</v>
      </c>
      <c r="F26" s="135">
        <v>50051</v>
      </c>
      <c r="G26" s="137">
        <v>0</v>
      </c>
      <c r="H26" s="137">
        <f t="shared" si="0"/>
        <v>50051</v>
      </c>
      <c r="I26" s="233"/>
    </row>
    <row r="27" spans="1:10" ht="19.5" thickBot="1" x14ac:dyDescent="0.35">
      <c r="A27" s="133" t="s">
        <v>772</v>
      </c>
      <c r="B27" s="155">
        <v>0</v>
      </c>
      <c r="C27" s="155">
        <v>0</v>
      </c>
      <c r="D27" s="155">
        <v>0</v>
      </c>
      <c r="E27" s="156">
        <v>495450.45</v>
      </c>
      <c r="F27" s="155">
        <v>157461</v>
      </c>
      <c r="G27" s="137">
        <v>209311</v>
      </c>
      <c r="H27" s="137">
        <f>SUM(B27:G27)</f>
        <v>862222.45</v>
      </c>
      <c r="I27" s="233"/>
    </row>
    <row r="28" spans="1:10" ht="19.5" thickBot="1" x14ac:dyDescent="0.35">
      <c r="A28" s="133" t="s">
        <v>771</v>
      </c>
      <c r="B28" s="135">
        <v>0</v>
      </c>
      <c r="C28" s="135">
        <v>0</v>
      </c>
      <c r="D28" s="135">
        <v>0</v>
      </c>
      <c r="E28" s="135">
        <v>588322.75</v>
      </c>
      <c r="F28" s="135">
        <v>0</v>
      </c>
      <c r="G28" s="137">
        <v>246290</v>
      </c>
      <c r="H28" s="137">
        <f t="shared" si="0"/>
        <v>834612.75</v>
      </c>
      <c r="I28" s="233"/>
    </row>
    <row r="29" spans="1:10" ht="19.5" thickBot="1" x14ac:dyDescent="0.35">
      <c r="A29" s="133" t="s">
        <v>770</v>
      </c>
      <c r="B29" s="135">
        <v>0</v>
      </c>
      <c r="C29" s="135">
        <v>0</v>
      </c>
      <c r="D29" s="135">
        <v>0</v>
      </c>
      <c r="E29" s="135">
        <v>598089</v>
      </c>
      <c r="F29" s="135">
        <v>787862</v>
      </c>
      <c r="G29" s="137">
        <v>280000</v>
      </c>
      <c r="H29" s="137">
        <f t="shared" si="0"/>
        <v>1665951</v>
      </c>
      <c r="I29" s="233"/>
    </row>
    <row r="30" spans="1:10" ht="19.5" thickBot="1" x14ac:dyDescent="0.35">
      <c r="A30" s="154" t="s">
        <v>773</v>
      </c>
      <c r="B30" s="135">
        <v>0</v>
      </c>
      <c r="C30" s="135">
        <v>0</v>
      </c>
      <c r="D30" s="135">
        <v>0</v>
      </c>
      <c r="E30" s="135">
        <v>337185.13</v>
      </c>
      <c r="F30" s="135">
        <v>156611.57</v>
      </c>
      <c r="G30" s="137">
        <v>181000</v>
      </c>
      <c r="H30" s="137">
        <f t="shared" si="0"/>
        <v>674796.7</v>
      </c>
      <c r="I30" s="233"/>
    </row>
    <row r="31" spans="1:10" ht="19.5" thickBot="1" x14ac:dyDescent="0.35">
      <c r="A31" s="133" t="s">
        <v>718</v>
      </c>
      <c r="B31" s="138"/>
      <c r="C31" s="138"/>
      <c r="D31" s="138"/>
      <c r="E31" s="138"/>
      <c r="F31" s="135">
        <v>976044</v>
      </c>
      <c r="G31" s="137">
        <v>200000</v>
      </c>
      <c r="H31" s="137">
        <f t="shared" si="0"/>
        <v>1176044</v>
      </c>
      <c r="I31" s="233"/>
    </row>
    <row r="32" spans="1:10" ht="19.5" thickBot="1" x14ac:dyDescent="0.35">
      <c r="A32" s="133" t="s">
        <v>719</v>
      </c>
      <c r="B32" s="135">
        <v>0</v>
      </c>
      <c r="C32" s="135">
        <v>0</v>
      </c>
      <c r="D32" s="135">
        <v>0</v>
      </c>
      <c r="E32" s="135">
        <v>0</v>
      </c>
      <c r="F32" s="135">
        <v>0</v>
      </c>
      <c r="G32" s="137">
        <v>581357</v>
      </c>
      <c r="H32" s="137">
        <f t="shared" si="0"/>
        <v>581357</v>
      </c>
      <c r="I32" s="233"/>
    </row>
    <row r="33" spans="1:9" ht="19.5" thickBot="1" x14ac:dyDescent="0.35">
      <c r="A33" s="133" t="s">
        <v>342</v>
      </c>
      <c r="B33" s="138"/>
      <c r="C33" s="138"/>
      <c r="D33" s="138"/>
      <c r="E33" s="138"/>
      <c r="F33" s="135">
        <v>66218</v>
      </c>
      <c r="G33" s="137">
        <v>0</v>
      </c>
      <c r="H33" s="137">
        <f t="shared" si="0"/>
        <v>66218</v>
      </c>
      <c r="I33" s="233"/>
    </row>
    <row r="34" spans="1:9" ht="19.5" thickBot="1" x14ac:dyDescent="0.35">
      <c r="A34" s="133" t="s">
        <v>720</v>
      </c>
      <c r="B34" s="135">
        <v>0</v>
      </c>
      <c r="C34" s="135">
        <v>0</v>
      </c>
      <c r="D34" s="135">
        <v>0</v>
      </c>
      <c r="E34" s="135">
        <v>416490</v>
      </c>
      <c r="F34" s="135">
        <v>0</v>
      </c>
      <c r="G34" s="137">
        <v>500000</v>
      </c>
      <c r="H34" s="137">
        <f t="shared" si="0"/>
        <v>916490</v>
      </c>
      <c r="I34" s="233"/>
    </row>
    <row r="35" spans="1:9" ht="19.5" thickBot="1" x14ac:dyDescent="0.35">
      <c r="A35" s="133" t="s">
        <v>721</v>
      </c>
      <c r="B35" s="157"/>
      <c r="C35" s="157"/>
      <c r="D35" s="157"/>
      <c r="E35" s="155">
        <v>1000000</v>
      </c>
      <c r="F35" s="155">
        <v>0</v>
      </c>
      <c r="G35" s="137">
        <v>0</v>
      </c>
      <c r="H35" s="137">
        <f t="shared" si="0"/>
        <v>1000000</v>
      </c>
      <c r="I35" s="236"/>
    </row>
    <row r="36" spans="1:9" ht="19.5" thickBot="1" x14ac:dyDescent="0.35">
      <c r="A36" s="133" t="s">
        <v>722</v>
      </c>
      <c r="B36" s="135">
        <v>0</v>
      </c>
      <c r="C36" s="135">
        <v>0</v>
      </c>
      <c r="D36" s="135">
        <v>0</v>
      </c>
      <c r="E36" s="135">
        <v>150000</v>
      </c>
      <c r="F36" s="135">
        <v>0</v>
      </c>
      <c r="G36" s="137">
        <v>150000</v>
      </c>
      <c r="H36" s="137">
        <f t="shared" si="0"/>
        <v>300000</v>
      </c>
      <c r="I36" s="233"/>
    </row>
    <row r="37" spans="1:9" ht="19.5" thickBot="1" x14ac:dyDescent="0.35">
      <c r="A37" s="133" t="s">
        <v>723</v>
      </c>
      <c r="B37" s="135">
        <v>0</v>
      </c>
      <c r="C37" s="135">
        <v>0</v>
      </c>
      <c r="D37" s="135">
        <v>40066</v>
      </c>
      <c r="E37" s="135">
        <v>0</v>
      </c>
      <c r="F37" s="135">
        <v>41082</v>
      </c>
      <c r="G37" s="137">
        <v>25000</v>
      </c>
      <c r="H37" s="137">
        <f t="shared" si="0"/>
        <v>106148</v>
      </c>
      <c r="I37" s="233"/>
    </row>
    <row r="38" spans="1:9" ht="19.5" thickBot="1" x14ac:dyDescent="0.35">
      <c r="A38" s="133" t="s">
        <v>724</v>
      </c>
      <c r="B38" s="135">
        <v>0</v>
      </c>
      <c r="C38" s="135">
        <v>0</v>
      </c>
      <c r="D38" s="135">
        <v>0</v>
      </c>
      <c r="E38" s="135">
        <v>54581</v>
      </c>
      <c r="F38" s="135">
        <v>50043</v>
      </c>
      <c r="G38" s="137">
        <v>60000</v>
      </c>
      <c r="H38" s="137">
        <f t="shared" si="0"/>
        <v>164624</v>
      </c>
      <c r="I38" s="233"/>
    </row>
    <row r="39" spans="1:9" ht="19.5" thickBot="1" x14ac:dyDescent="0.35">
      <c r="A39" s="133" t="s">
        <v>725</v>
      </c>
      <c r="B39" s="135">
        <v>0</v>
      </c>
      <c r="C39" s="135">
        <v>0</v>
      </c>
      <c r="D39" s="135">
        <v>0</v>
      </c>
      <c r="E39" s="135">
        <v>359478</v>
      </c>
      <c r="F39" s="135">
        <v>119826</v>
      </c>
      <c r="G39" s="137">
        <v>186286</v>
      </c>
      <c r="H39" s="137">
        <f t="shared" si="0"/>
        <v>665590</v>
      </c>
      <c r="I39" s="237"/>
    </row>
    <row r="40" spans="1:9" ht="19.5" thickBot="1" x14ac:dyDescent="0.35">
      <c r="A40" s="133" t="s">
        <v>229</v>
      </c>
      <c r="B40" s="155">
        <v>0</v>
      </c>
      <c r="C40" s="155">
        <v>0</v>
      </c>
      <c r="D40" s="155">
        <v>0</v>
      </c>
      <c r="E40" s="155">
        <v>330000</v>
      </c>
      <c r="F40" s="155">
        <v>166980</v>
      </c>
      <c r="G40" s="137">
        <v>0</v>
      </c>
      <c r="H40" s="137">
        <f t="shared" si="0"/>
        <v>496980</v>
      </c>
      <c r="I40" s="233"/>
    </row>
    <row r="41" spans="1:9" ht="19.5" thickBot="1" x14ac:dyDescent="0.35">
      <c r="A41" s="133" t="s">
        <v>726</v>
      </c>
      <c r="B41" s="157"/>
      <c r="C41" s="157"/>
      <c r="D41" s="157"/>
      <c r="E41" s="155">
        <v>493096</v>
      </c>
      <c r="F41" s="155">
        <v>664365</v>
      </c>
      <c r="G41" s="137">
        <v>0</v>
      </c>
      <c r="H41" s="137">
        <f>SUM(B41:G41)</f>
        <v>1157461</v>
      </c>
      <c r="I41" s="236"/>
    </row>
    <row r="42" spans="1:9" ht="19.5" thickBot="1" x14ac:dyDescent="0.35">
      <c r="A42" s="133" t="s">
        <v>727</v>
      </c>
      <c r="B42" s="155">
        <v>0</v>
      </c>
      <c r="C42" s="155">
        <v>0</v>
      </c>
      <c r="D42" s="155">
        <v>0</v>
      </c>
      <c r="E42" s="155">
        <v>326102</v>
      </c>
      <c r="F42" s="155">
        <v>1166148</v>
      </c>
      <c r="G42" s="137">
        <v>1160280</v>
      </c>
      <c r="H42" s="137">
        <f>SUM(B42:G42)</f>
        <v>2652530</v>
      </c>
      <c r="I42" s="236"/>
    </row>
    <row r="43" spans="1:9" ht="19.5" thickBot="1" x14ac:dyDescent="0.35">
      <c r="A43" s="133" t="s">
        <v>728</v>
      </c>
      <c r="B43" s="141">
        <v>297329</v>
      </c>
      <c r="C43" s="141">
        <v>878729</v>
      </c>
      <c r="D43" s="141">
        <v>2688643</v>
      </c>
      <c r="E43" s="141">
        <v>9106363</v>
      </c>
      <c r="F43" s="141">
        <v>12406235</v>
      </c>
      <c r="G43" s="141">
        <v>11738984</v>
      </c>
      <c r="H43" s="141">
        <v>37116283</v>
      </c>
      <c r="I43" s="315"/>
    </row>
    <row r="44" spans="1:9" ht="18.75" thickBot="1" x14ac:dyDescent="0.3">
      <c r="A44" s="131"/>
      <c r="B44" s="131"/>
      <c r="C44" s="131"/>
      <c r="D44" s="131"/>
      <c r="E44" s="131"/>
      <c r="F44" s="131"/>
      <c r="G44" s="131"/>
      <c r="H44" s="131"/>
      <c r="I44" s="233"/>
    </row>
    <row r="45" spans="1:9" ht="19.5" thickBot="1" x14ac:dyDescent="0.35">
      <c r="A45" s="142" t="s">
        <v>729</v>
      </c>
      <c r="B45" s="143">
        <v>2012</v>
      </c>
      <c r="C45" s="143">
        <v>2013</v>
      </c>
      <c r="D45" s="143">
        <v>2014</v>
      </c>
      <c r="E45" s="143">
        <v>2015</v>
      </c>
      <c r="F45" s="143">
        <v>2016</v>
      </c>
      <c r="G45" s="139"/>
      <c r="H45" s="139"/>
      <c r="I45" s="233"/>
    </row>
    <row r="46" spans="1:9" ht="19.5" thickBot="1" x14ac:dyDescent="0.35">
      <c r="A46" s="133" t="s">
        <v>42</v>
      </c>
      <c r="B46" s="144">
        <v>110151</v>
      </c>
      <c r="C46" s="144">
        <v>0</v>
      </c>
      <c r="D46" s="144">
        <v>0</v>
      </c>
      <c r="E46" s="144">
        <v>0</v>
      </c>
      <c r="F46" s="144">
        <v>0</v>
      </c>
      <c r="G46" s="139"/>
      <c r="H46" s="137">
        <v>110151</v>
      </c>
      <c r="I46" s="233"/>
    </row>
    <row r="47" spans="1:9" ht="19.5" thickBot="1" x14ac:dyDescent="0.35">
      <c r="A47" s="154" t="s">
        <v>48</v>
      </c>
      <c r="B47" s="312">
        <v>0</v>
      </c>
      <c r="C47" s="312">
        <v>0</v>
      </c>
      <c r="D47" s="312">
        <v>0</v>
      </c>
      <c r="E47" s="312">
        <v>0</v>
      </c>
      <c r="F47" s="312">
        <v>0</v>
      </c>
      <c r="G47" s="313"/>
      <c r="H47" s="314">
        <v>0</v>
      </c>
      <c r="I47" s="236"/>
    </row>
    <row r="48" spans="1:9" ht="19.5" thickBot="1" x14ac:dyDescent="0.35">
      <c r="A48" s="133" t="s">
        <v>730</v>
      </c>
      <c r="B48" s="144">
        <v>0</v>
      </c>
      <c r="C48" s="144">
        <v>0</v>
      </c>
      <c r="D48" s="144">
        <v>118378</v>
      </c>
      <c r="E48" s="144">
        <v>0</v>
      </c>
      <c r="F48" s="144">
        <v>0</v>
      </c>
      <c r="G48" s="139"/>
      <c r="H48" s="137">
        <v>118378</v>
      </c>
      <c r="I48" s="233"/>
    </row>
    <row r="49" spans="1:10" ht="19.5" thickBot="1" x14ac:dyDescent="0.35">
      <c r="A49" s="133" t="s">
        <v>731</v>
      </c>
      <c r="B49" s="135">
        <v>0</v>
      </c>
      <c r="C49" s="135">
        <v>0</v>
      </c>
      <c r="D49" s="135">
        <v>624930</v>
      </c>
      <c r="E49" s="135">
        <v>662035</v>
      </c>
      <c r="F49" s="135">
        <v>0</v>
      </c>
      <c r="G49" s="139"/>
      <c r="H49" s="137">
        <v>1286965</v>
      </c>
      <c r="I49" s="233"/>
    </row>
    <row r="50" spans="1:10" ht="19.5" thickBot="1" x14ac:dyDescent="0.35">
      <c r="A50" s="145" t="s">
        <v>732</v>
      </c>
      <c r="B50" s="144">
        <v>0</v>
      </c>
      <c r="C50" s="144">
        <v>278265</v>
      </c>
      <c r="D50" s="144">
        <v>92755</v>
      </c>
      <c r="E50" s="144">
        <v>0</v>
      </c>
      <c r="F50" s="144">
        <v>0</v>
      </c>
      <c r="G50" s="139"/>
      <c r="H50" s="137">
        <v>371020</v>
      </c>
      <c r="I50" s="233"/>
    </row>
    <row r="51" spans="1:10" ht="19.5" thickBot="1" x14ac:dyDescent="0.35">
      <c r="A51" s="133" t="s">
        <v>733</v>
      </c>
      <c r="B51" s="144">
        <v>0</v>
      </c>
      <c r="C51" s="144">
        <v>341838</v>
      </c>
      <c r="D51" s="144">
        <v>20613</v>
      </c>
      <c r="E51" s="144">
        <v>0</v>
      </c>
      <c r="F51" s="144">
        <v>0</v>
      </c>
      <c r="G51" s="139"/>
      <c r="H51" s="137">
        <v>362451</v>
      </c>
      <c r="I51" s="233"/>
    </row>
    <row r="52" spans="1:10" ht="19.5" thickBot="1" x14ac:dyDescent="0.35">
      <c r="A52" s="133" t="s">
        <v>734</v>
      </c>
      <c r="B52" s="144">
        <v>0</v>
      </c>
      <c r="C52" s="144">
        <v>0</v>
      </c>
      <c r="D52" s="144">
        <v>861280</v>
      </c>
      <c r="E52" s="144">
        <v>0</v>
      </c>
      <c r="F52" s="144">
        <v>0</v>
      </c>
      <c r="G52" s="139"/>
      <c r="H52" s="137">
        <f>SUM(B52:G52)</f>
        <v>861280</v>
      </c>
      <c r="I52" s="238" t="s">
        <v>796</v>
      </c>
    </row>
    <row r="53" spans="1:10" ht="19.5" thickBot="1" x14ac:dyDescent="0.35">
      <c r="A53" s="133" t="s">
        <v>735</v>
      </c>
      <c r="B53" s="135">
        <v>0</v>
      </c>
      <c r="C53" s="135">
        <v>0</v>
      </c>
      <c r="D53" s="135">
        <v>0</v>
      </c>
      <c r="E53" s="135">
        <v>375000</v>
      </c>
      <c r="F53" s="135">
        <v>125000</v>
      </c>
      <c r="G53" s="139"/>
      <c r="H53" s="137">
        <v>500000</v>
      </c>
      <c r="I53" s="233"/>
      <c r="J53" s="134"/>
    </row>
    <row r="54" spans="1:10" ht="19.5" thickBot="1" x14ac:dyDescent="0.35">
      <c r="A54" s="133" t="s">
        <v>736</v>
      </c>
      <c r="B54" s="135">
        <v>0</v>
      </c>
      <c r="C54" s="135">
        <v>0</v>
      </c>
      <c r="D54" s="135">
        <v>0</v>
      </c>
      <c r="E54" s="135">
        <v>0</v>
      </c>
      <c r="F54" s="135">
        <v>30000</v>
      </c>
      <c r="G54" s="137">
        <v>0</v>
      </c>
      <c r="H54" s="137">
        <v>30000</v>
      </c>
      <c r="I54" s="233"/>
    </row>
    <row r="55" spans="1:10" ht="19.5" thickBot="1" x14ac:dyDescent="0.35">
      <c r="A55" s="133" t="s">
        <v>737</v>
      </c>
      <c r="B55" s="144">
        <v>0</v>
      </c>
      <c r="C55" s="144">
        <v>0</v>
      </c>
      <c r="D55" s="144">
        <v>0</v>
      </c>
      <c r="E55" s="135">
        <v>10586</v>
      </c>
      <c r="F55" s="144">
        <v>0</v>
      </c>
      <c r="G55" s="139"/>
      <c r="H55" s="137">
        <v>10586</v>
      </c>
      <c r="I55" s="233"/>
    </row>
    <row r="56" spans="1:10" ht="19.5" thickBot="1" x14ac:dyDescent="0.35">
      <c r="A56" s="133" t="s">
        <v>738</v>
      </c>
      <c r="B56" s="144">
        <v>0</v>
      </c>
      <c r="C56" s="144">
        <v>160000</v>
      </c>
      <c r="D56" s="144">
        <v>20000</v>
      </c>
      <c r="E56" s="144">
        <v>0</v>
      </c>
      <c r="F56" s="144">
        <v>0</v>
      </c>
      <c r="G56" s="139"/>
      <c r="H56" s="137">
        <v>180000</v>
      </c>
      <c r="I56" s="233"/>
    </row>
    <row r="57" spans="1:10" ht="19.5" thickBot="1" x14ac:dyDescent="0.35">
      <c r="A57" s="133" t="s">
        <v>739</v>
      </c>
      <c r="B57" s="144">
        <v>688000</v>
      </c>
      <c r="C57" s="144">
        <v>95604</v>
      </c>
      <c r="D57" s="144">
        <v>0</v>
      </c>
      <c r="E57" s="144">
        <v>0</v>
      </c>
      <c r="F57" s="144">
        <v>0</v>
      </c>
      <c r="G57" s="139"/>
      <c r="H57" s="137">
        <v>783604</v>
      </c>
      <c r="I57" s="234"/>
    </row>
    <row r="58" spans="1:10" ht="19.5" thickBot="1" x14ac:dyDescent="0.35">
      <c r="A58" s="133" t="s">
        <v>740</v>
      </c>
      <c r="B58" s="144">
        <v>0</v>
      </c>
      <c r="C58" s="144">
        <v>909253</v>
      </c>
      <c r="D58" s="144">
        <v>206611</v>
      </c>
      <c r="E58" s="144">
        <v>0</v>
      </c>
      <c r="F58" s="144">
        <v>0</v>
      </c>
      <c r="G58" s="139"/>
      <c r="H58" s="137">
        <v>1115864</v>
      </c>
      <c r="I58" s="234"/>
      <c r="J58" s="136"/>
    </row>
    <row r="59" spans="1:10" ht="19.5" thickBot="1" x14ac:dyDescent="0.35">
      <c r="A59" s="133" t="s">
        <v>741</v>
      </c>
      <c r="B59" s="135">
        <v>0</v>
      </c>
      <c r="C59" s="135">
        <v>0</v>
      </c>
      <c r="D59" s="135">
        <v>22209</v>
      </c>
      <c r="E59" s="135">
        <v>0</v>
      </c>
      <c r="F59" s="135">
        <v>0</v>
      </c>
      <c r="G59" s="139"/>
      <c r="H59" s="137">
        <v>22209</v>
      </c>
      <c r="I59" s="233"/>
    </row>
    <row r="60" spans="1:10" ht="19.5" thickBot="1" x14ac:dyDescent="0.35">
      <c r="A60" s="133" t="s">
        <v>742</v>
      </c>
      <c r="B60" s="135">
        <v>0</v>
      </c>
      <c r="C60" s="135">
        <v>0</v>
      </c>
      <c r="D60" s="135">
        <v>44812</v>
      </c>
      <c r="E60" s="135">
        <v>0</v>
      </c>
      <c r="F60" s="135">
        <v>0</v>
      </c>
      <c r="G60" s="139"/>
      <c r="H60" s="137">
        <v>44812</v>
      </c>
      <c r="I60" s="233"/>
    </row>
    <row r="61" spans="1:10" ht="19.5" thickBot="1" x14ac:dyDescent="0.35">
      <c r="A61" s="133" t="s">
        <v>743</v>
      </c>
      <c r="B61" s="144">
        <v>31016</v>
      </c>
      <c r="C61" s="144">
        <v>225717</v>
      </c>
      <c r="D61" s="144">
        <v>0</v>
      </c>
      <c r="E61" s="144">
        <v>0</v>
      </c>
      <c r="F61" s="144">
        <v>0</v>
      </c>
      <c r="G61" s="139"/>
      <c r="H61" s="137">
        <v>256733</v>
      </c>
      <c r="I61" s="233"/>
    </row>
    <row r="62" spans="1:10" ht="19.5" thickBot="1" x14ac:dyDescent="0.35">
      <c r="A62" s="133" t="s">
        <v>744</v>
      </c>
      <c r="B62" s="144">
        <v>0</v>
      </c>
      <c r="C62" s="144">
        <v>0</v>
      </c>
      <c r="D62" s="135">
        <v>337140</v>
      </c>
      <c r="E62" s="144">
        <v>0</v>
      </c>
      <c r="F62" s="144">
        <v>0</v>
      </c>
      <c r="G62" s="139"/>
      <c r="H62" s="137">
        <v>337140</v>
      </c>
      <c r="I62" s="233"/>
    </row>
    <row r="63" spans="1:10" ht="19.5" thickBot="1" x14ac:dyDescent="0.35">
      <c r="A63" s="133" t="s">
        <v>256</v>
      </c>
      <c r="B63" s="144">
        <v>0</v>
      </c>
      <c r="C63" s="144">
        <v>62400</v>
      </c>
      <c r="D63" s="144">
        <v>0</v>
      </c>
      <c r="E63" s="144">
        <v>0</v>
      </c>
      <c r="F63" s="144">
        <v>0</v>
      </c>
      <c r="G63" s="139"/>
      <c r="H63" s="137">
        <v>62400</v>
      </c>
      <c r="I63" s="233"/>
    </row>
    <row r="64" spans="1:10" ht="19.5" thickBot="1" x14ac:dyDescent="0.35">
      <c r="A64" s="133" t="s">
        <v>765</v>
      </c>
      <c r="B64" s="144">
        <v>0</v>
      </c>
      <c r="C64" s="144">
        <v>500000</v>
      </c>
      <c r="D64" s="144">
        <v>0</v>
      </c>
      <c r="E64" s="144">
        <v>0</v>
      </c>
      <c r="F64" s="144">
        <v>0</v>
      </c>
      <c r="G64" s="139"/>
      <c r="H64" s="137">
        <v>500000</v>
      </c>
      <c r="I64" s="233"/>
    </row>
    <row r="65" spans="1:10" ht="19.5" thickBot="1" x14ac:dyDescent="0.35">
      <c r="A65" s="133" t="s">
        <v>745</v>
      </c>
      <c r="B65" s="135">
        <v>424293</v>
      </c>
      <c r="C65" s="135">
        <v>0</v>
      </c>
      <c r="D65" s="135">
        <v>342168.37</v>
      </c>
      <c r="E65" s="155">
        <v>545273.02</v>
      </c>
      <c r="F65" s="135">
        <v>0</v>
      </c>
      <c r="G65" s="139"/>
      <c r="H65" s="137">
        <v>1311734</v>
      </c>
      <c r="I65" s="311"/>
    </row>
    <row r="66" spans="1:10" ht="19.5" thickBot="1" x14ac:dyDescent="0.35">
      <c r="A66" s="133" t="s">
        <v>746</v>
      </c>
      <c r="B66" s="144">
        <v>0</v>
      </c>
      <c r="C66" s="144">
        <v>140000</v>
      </c>
      <c r="D66" s="144">
        <v>7711</v>
      </c>
      <c r="E66" s="144">
        <v>0</v>
      </c>
      <c r="F66" s="144">
        <v>0</v>
      </c>
      <c r="G66" s="139"/>
      <c r="H66" s="137">
        <v>147711</v>
      </c>
      <c r="I66" s="233"/>
    </row>
    <row r="67" spans="1:10" ht="19.5" thickBot="1" x14ac:dyDescent="0.35">
      <c r="A67" s="133" t="s">
        <v>747</v>
      </c>
      <c r="B67" s="144">
        <v>0</v>
      </c>
      <c r="C67" s="144">
        <v>0</v>
      </c>
      <c r="D67" s="144">
        <v>243343</v>
      </c>
      <c r="E67" s="144">
        <v>0</v>
      </c>
      <c r="F67" s="144">
        <v>0</v>
      </c>
      <c r="G67" s="139"/>
      <c r="H67" s="137">
        <v>243343</v>
      </c>
      <c r="I67" s="233"/>
    </row>
    <row r="68" spans="1:10" ht="19.5" thickBot="1" x14ac:dyDescent="0.35">
      <c r="A68" s="133" t="s">
        <v>748</v>
      </c>
      <c r="B68" s="312">
        <v>0</v>
      </c>
      <c r="C68" s="312">
        <v>0</v>
      </c>
      <c r="D68" s="312">
        <v>144244</v>
      </c>
      <c r="E68" s="312">
        <v>0</v>
      </c>
      <c r="F68" s="312">
        <v>0</v>
      </c>
      <c r="G68" s="139"/>
      <c r="H68" s="137">
        <v>144244</v>
      </c>
      <c r="I68" s="233"/>
      <c r="J68" s="134"/>
    </row>
    <row r="69" spans="1:10" ht="19.5" thickBot="1" x14ac:dyDescent="0.35">
      <c r="A69" s="133" t="s">
        <v>387</v>
      </c>
      <c r="B69" s="146">
        <v>0</v>
      </c>
      <c r="C69" s="146">
        <v>32500</v>
      </c>
      <c r="D69" s="146">
        <v>0</v>
      </c>
      <c r="E69" s="146">
        <v>0</v>
      </c>
      <c r="F69" s="146">
        <v>0</v>
      </c>
      <c r="G69" s="139"/>
      <c r="H69" s="137">
        <v>32500</v>
      </c>
      <c r="I69" s="238" t="s">
        <v>801</v>
      </c>
    </row>
    <row r="70" spans="1:10" ht="19.5" thickBot="1" x14ac:dyDescent="0.35">
      <c r="A70" s="133" t="s">
        <v>749</v>
      </c>
      <c r="B70" s="146">
        <f>SUM(B46:B69)</f>
        <v>1253460</v>
      </c>
      <c r="C70" s="146">
        <f>SUM(C46:C69)</f>
        <v>2745577</v>
      </c>
      <c r="D70" s="146">
        <f>SUM(D46:D69)</f>
        <v>3086194.37</v>
      </c>
      <c r="E70" s="146">
        <f>SUM(E46:E69)</f>
        <v>1592894.02</v>
      </c>
      <c r="F70" s="146">
        <f>SUM(F46:F69)</f>
        <v>155000</v>
      </c>
      <c r="G70" s="147"/>
      <c r="H70" s="141">
        <f>SUM(H46:H69)</f>
        <v>8833125</v>
      </c>
      <c r="I70" s="233"/>
    </row>
    <row r="71" spans="1:10" ht="18.75" thickBot="1" x14ac:dyDescent="0.3">
      <c r="A71" s="131"/>
      <c r="B71" s="131"/>
      <c r="C71" s="131"/>
      <c r="D71" s="131"/>
      <c r="E71" s="131"/>
      <c r="F71" s="131"/>
      <c r="G71" s="131"/>
      <c r="H71" s="131"/>
      <c r="I71" s="233"/>
    </row>
    <row r="72" spans="1:10" ht="19.5" thickBot="1" x14ac:dyDescent="0.35">
      <c r="A72" s="142" t="s">
        <v>750</v>
      </c>
      <c r="B72" s="137">
        <f>B43+B70</f>
        <v>1550789</v>
      </c>
      <c r="C72" s="137">
        <f>C43+C70</f>
        <v>3624306</v>
      </c>
      <c r="D72" s="137">
        <f>D43+D70</f>
        <v>5774837.3700000001</v>
      </c>
      <c r="E72" s="137">
        <f>E43+E70</f>
        <v>10699257.02</v>
      </c>
      <c r="F72" s="137">
        <f>F43+F70</f>
        <v>12561235</v>
      </c>
      <c r="G72" s="139"/>
      <c r="H72" s="137">
        <f>H43+H70</f>
        <v>45949408</v>
      </c>
      <c r="I72" s="233"/>
    </row>
    <row r="73" spans="1:10" ht="19.5" thickBot="1" x14ac:dyDescent="0.35">
      <c r="A73" s="139"/>
      <c r="B73" s="143">
        <v>2012</v>
      </c>
      <c r="C73" s="143">
        <v>2013</v>
      </c>
      <c r="D73" s="143">
        <v>2014</v>
      </c>
      <c r="E73" s="143">
        <v>2015</v>
      </c>
      <c r="F73" s="143">
        <v>2016</v>
      </c>
      <c r="G73" s="139"/>
      <c r="H73" s="142" t="s">
        <v>783</v>
      </c>
      <c r="I73" s="233"/>
    </row>
    <row r="78" spans="1:10" x14ac:dyDescent="0.25">
      <c r="D78" s="136"/>
    </row>
  </sheetData>
  <mergeCells count="2">
    <mergeCell ref="A3:B3"/>
    <mergeCell ref="A4:B4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0"/>
  <sheetViews>
    <sheetView zoomScaleNormal="100" zoomScalePageLayoutView="125" workbookViewId="0"/>
  </sheetViews>
  <sheetFormatPr defaultColWidth="8.625" defaultRowHeight="15.75" x14ac:dyDescent="0.25"/>
  <cols>
    <col min="1" max="1" width="8.625" style="292"/>
    <col min="2" max="2" width="14.5" style="292" customWidth="1"/>
    <col min="3" max="3" width="13.875" style="292" bestFit="1" customWidth="1"/>
    <col min="4" max="4" width="13.625" style="292" bestFit="1" customWidth="1"/>
    <col min="5" max="5" width="11.625" style="292" customWidth="1"/>
    <col min="6" max="6" width="13.375" style="292" customWidth="1"/>
    <col min="7" max="7" width="11.5" style="292" customWidth="1"/>
    <col min="8" max="8" width="14.125" style="292" customWidth="1"/>
    <col min="9" max="9" width="15.625" style="292" customWidth="1"/>
    <col min="10" max="10" width="13.875" style="292" customWidth="1"/>
    <col min="11" max="11" width="13.625" style="292" bestFit="1" customWidth="1"/>
    <col min="12" max="12" width="14.875" style="292" customWidth="1"/>
    <col min="13" max="16384" width="8.625" style="292"/>
  </cols>
  <sheetData>
    <row r="2" spans="1:13" s="5" customFormat="1" ht="47.25" x14ac:dyDescent="0.25">
      <c r="A2" s="200" t="s">
        <v>442</v>
      </c>
      <c r="B2" s="201" t="s">
        <v>441</v>
      </c>
      <c r="C2" s="420" t="s">
        <v>481</v>
      </c>
      <c r="D2" s="420"/>
      <c r="E2" s="420"/>
      <c r="F2" s="420"/>
      <c r="G2" s="421"/>
      <c r="H2" s="201" t="s">
        <v>799</v>
      </c>
      <c r="I2" s="275" t="s">
        <v>513</v>
      </c>
      <c r="J2" s="276" t="s">
        <v>514</v>
      </c>
      <c r="K2" s="277" t="s">
        <v>482</v>
      </c>
      <c r="L2" s="422" t="s">
        <v>483</v>
      </c>
      <c r="M2" s="423"/>
    </row>
    <row r="3" spans="1:13" s="286" customFormat="1" ht="31.5" x14ac:dyDescent="0.25">
      <c r="A3" s="278"/>
      <c r="B3" s="279"/>
      <c r="C3" s="279" t="s">
        <v>5</v>
      </c>
      <c r="D3" s="279" t="s">
        <v>4</v>
      </c>
      <c r="E3" s="279" t="s">
        <v>3</v>
      </c>
      <c r="F3" s="279" t="s">
        <v>1</v>
      </c>
      <c r="G3" s="280" t="s">
        <v>2</v>
      </c>
      <c r="H3" s="281"/>
      <c r="I3" s="282"/>
      <c r="J3" s="283"/>
      <c r="K3" s="284"/>
      <c r="L3" s="284" t="s">
        <v>490</v>
      </c>
      <c r="M3" s="285" t="s">
        <v>506</v>
      </c>
    </row>
    <row r="4" spans="1:13" x14ac:dyDescent="0.25">
      <c r="A4" s="287">
        <v>2013</v>
      </c>
      <c r="B4" s="288" t="s">
        <v>515</v>
      </c>
      <c r="C4" s="122">
        <f>342669+159773+64849</f>
        <v>567291</v>
      </c>
      <c r="D4" s="61"/>
      <c r="E4" s="288"/>
      <c r="F4" s="288"/>
      <c r="G4" s="289"/>
      <c r="H4" s="255">
        <v>574836</v>
      </c>
      <c r="I4" s="255">
        <v>0</v>
      </c>
      <c r="J4" s="255">
        <f>H4*100%</f>
        <v>574836</v>
      </c>
      <c r="K4" s="255">
        <v>574836</v>
      </c>
      <c r="L4" s="290" t="s">
        <v>492</v>
      </c>
      <c r="M4" s="291" t="s">
        <v>492</v>
      </c>
    </row>
    <row r="5" spans="1:13" x14ac:dyDescent="0.25">
      <c r="A5" s="287">
        <v>2014</v>
      </c>
      <c r="B5" s="288" t="s">
        <v>515</v>
      </c>
      <c r="C5" s="122">
        <v>17093</v>
      </c>
      <c r="D5" s="122">
        <v>690316</v>
      </c>
      <c r="E5" s="288"/>
      <c r="F5" s="288"/>
      <c r="G5" s="289"/>
      <c r="H5" s="255">
        <v>2024948</v>
      </c>
      <c r="I5" s="255">
        <f>H5*100%</f>
        <v>2024948</v>
      </c>
      <c r="J5" s="255"/>
      <c r="K5" s="255">
        <v>2024948</v>
      </c>
      <c r="L5" s="290" t="s">
        <v>492</v>
      </c>
      <c r="M5" s="291" t="s">
        <v>492</v>
      </c>
    </row>
    <row r="6" spans="1:13" x14ac:dyDescent="0.25">
      <c r="A6" s="287">
        <v>2015</v>
      </c>
      <c r="B6" s="288" t="s">
        <v>515</v>
      </c>
      <c r="C6" s="122">
        <v>605325</v>
      </c>
      <c r="D6" s="122">
        <f>63832+44449+218233</f>
        <v>326514</v>
      </c>
      <c r="E6" s="288"/>
      <c r="F6" s="288"/>
      <c r="G6" s="289"/>
      <c r="H6" s="255">
        <v>1633000</v>
      </c>
      <c r="I6" s="255">
        <f>H6*50%</f>
        <v>816500</v>
      </c>
      <c r="J6" s="255">
        <f>H6*50%</f>
        <v>816500</v>
      </c>
      <c r="K6" s="255">
        <v>1633000</v>
      </c>
      <c r="L6" s="290" t="s">
        <v>492</v>
      </c>
      <c r="M6" s="291" t="s">
        <v>492</v>
      </c>
    </row>
    <row r="7" spans="1:13" x14ac:dyDescent="0.25">
      <c r="A7" s="287">
        <v>2016</v>
      </c>
      <c r="B7" s="288" t="s">
        <v>515</v>
      </c>
      <c r="C7" s="122">
        <v>1938176</v>
      </c>
      <c r="D7" s="122">
        <f>105567+589888+320842+99294+318074</f>
        <v>1433665</v>
      </c>
      <c r="E7" s="122">
        <v>44159</v>
      </c>
      <c r="F7" s="122">
        <v>142800</v>
      </c>
      <c r="G7" s="289"/>
      <c r="H7" s="255">
        <v>1688476</v>
      </c>
      <c r="I7" s="255"/>
      <c r="J7" s="255"/>
      <c r="K7" s="255">
        <v>1688474</v>
      </c>
      <c r="L7" s="290" t="s">
        <v>492</v>
      </c>
      <c r="M7" s="291" t="s">
        <v>492</v>
      </c>
    </row>
    <row r="8" spans="1:13" x14ac:dyDescent="0.25">
      <c r="A8" s="293"/>
      <c r="B8" s="294"/>
      <c r="C8" s="251"/>
      <c r="D8" s="251"/>
      <c r="E8" s="294"/>
      <c r="F8" s="294"/>
      <c r="G8" s="295"/>
      <c r="H8" s="258">
        <f>SUM(H4:H7)</f>
        <v>5921260</v>
      </c>
      <c r="I8" s="258"/>
      <c r="J8" s="258"/>
      <c r="K8" s="258"/>
      <c r="L8" s="296"/>
      <c r="M8" s="297"/>
    </row>
    <row r="10" spans="1:13" x14ac:dyDescent="0.25">
      <c r="A10" s="292" t="s">
        <v>807</v>
      </c>
      <c r="B10" s="94"/>
      <c r="C10" s="395">
        <f>SUM(C4:C7)</f>
        <v>3127885</v>
      </c>
      <c r="D10" s="395">
        <f t="shared" ref="D10:K10" si="0">SUM(D4:D7)</f>
        <v>2450495</v>
      </c>
      <c r="E10" s="395">
        <f t="shared" si="0"/>
        <v>44159</v>
      </c>
      <c r="F10" s="395">
        <f t="shared" si="0"/>
        <v>142800</v>
      </c>
      <c r="G10" s="94"/>
      <c r="H10" s="396">
        <f t="shared" si="0"/>
        <v>5921260</v>
      </c>
      <c r="I10" s="396">
        <f t="shared" si="0"/>
        <v>2841448</v>
      </c>
      <c r="J10" s="396">
        <f t="shared" si="0"/>
        <v>1391336</v>
      </c>
      <c r="K10" s="396">
        <f t="shared" si="0"/>
        <v>5921258</v>
      </c>
      <c r="L10" s="419"/>
      <c r="M10" s="419"/>
    </row>
  </sheetData>
  <mergeCells count="3">
    <mergeCell ref="L10:M10"/>
    <mergeCell ref="C2:G2"/>
    <mergeCell ref="L2:M2"/>
  </mergeCells>
  <pageMargins left="0.75" right="0.75" top="1" bottom="1" header="0.5" footer="0.5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V29"/>
  <sheetViews>
    <sheetView workbookViewId="0"/>
  </sheetViews>
  <sheetFormatPr defaultColWidth="8.625" defaultRowHeight="15.75" x14ac:dyDescent="0.25"/>
  <cols>
    <col min="1" max="1" width="8.625" style="89"/>
    <col min="2" max="3" width="8.625" style="89" customWidth="1"/>
    <col min="4" max="4" width="12" style="89" customWidth="1"/>
    <col min="5" max="5" width="12.125" style="89" customWidth="1"/>
    <col min="6" max="6" width="10.5" style="89" bestFit="1" customWidth="1"/>
    <col min="7" max="7" width="11.625" style="89" bestFit="1" customWidth="1"/>
    <col min="8" max="10" width="11.375" style="89" customWidth="1"/>
    <col min="11" max="11" width="12.125" style="89" customWidth="1"/>
    <col min="12" max="22" width="15.875" style="89" customWidth="1"/>
    <col min="23" max="16384" width="8.625" style="89"/>
  </cols>
  <sheetData>
    <row r="4" spans="1:22" ht="16.5" thickBot="1" x14ac:dyDescent="0.3"/>
    <row r="5" spans="1:22" s="91" customFormat="1" ht="30" x14ac:dyDescent="0.25">
      <c r="A5" s="91" t="s">
        <v>442</v>
      </c>
      <c r="B5" s="91" t="s">
        <v>441</v>
      </c>
      <c r="C5" s="91" t="s">
        <v>495</v>
      </c>
      <c r="D5" s="424" t="s">
        <v>496</v>
      </c>
      <c r="E5" s="425"/>
      <c r="F5" s="425"/>
      <c r="G5" s="426"/>
      <c r="H5" s="424" t="s">
        <v>497</v>
      </c>
      <c r="I5" s="425"/>
      <c r="J5" s="425"/>
      <c r="K5" s="426"/>
      <c r="L5" s="91" t="s">
        <v>799</v>
      </c>
      <c r="M5" s="91" t="s">
        <v>482</v>
      </c>
      <c r="N5" s="91" t="s">
        <v>498</v>
      </c>
    </row>
    <row r="6" spans="1:22" s="92" customFormat="1" ht="15" x14ac:dyDescent="0.25">
      <c r="D6" s="99" t="s">
        <v>5</v>
      </c>
      <c r="E6" s="100" t="s">
        <v>4</v>
      </c>
      <c r="F6" s="100" t="s">
        <v>3</v>
      </c>
      <c r="G6" s="101" t="s">
        <v>499</v>
      </c>
      <c r="H6" s="99" t="s">
        <v>5</v>
      </c>
      <c r="I6" s="100" t="s">
        <v>4</v>
      </c>
      <c r="J6" s="100" t="s">
        <v>3</v>
      </c>
      <c r="K6" s="101" t="s">
        <v>499</v>
      </c>
      <c r="N6" s="92" t="s">
        <v>500</v>
      </c>
      <c r="O6" s="92" t="s">
        <v>501</v>
      </c>
      <c r="P6" s="92" t="s">
        <v>433</v>
      </c>
      <c r="Q6" s="92" t="s">
        <v>486</v>
      </c>
      <c r="R6" s="92" t="s">
        <v>423</v>
      </c>
      <c r="S6" s="92" t="s">
        <v>502</v>
      </c>
      <c r="T6" s="92" t="s">
        <v>490</v>
      </c>
      <c r="U6" s="92" t="s">
        <v>503</v>
      </c>
      <c r="V6" s="92" t="s">
        <v>504</v>
      </c>
    </row>
    <row r="7" spans="1:22" x14ac:dyDescent="0.25">
      <c r="A7" s="89">
        <v>2013</v>
      </c>
      <c r="B7" s="89" t="s">
        <v>91</v>
      </c>
      <c r="C7" s="89" t="s">
        <v>486</v>
      </c>
      <c r="D7" s="102">
        <v>32500000</v>
      </c>
      <c r="E7" s="103">
        <v>32500000</v>
      </c>
      <c r="F7" s="103">
        <v>32500000</v>
      </c>
      <c r="G7" s="104"/>
      <c r="H7" s="102">
        <v>32500000</v>
      </c>
      <c r="I7" s="103">
        <v>32500000</v>
      </c>
      <c r="J7" s="103">
        <v>32500000</v>
      </c>
      <c r="K7" s="104"/>
      <c r="L7" s="255">
        <v>371020</v>
      </c>
      <c r="M7" s="255">
        <f>371020*4</f>
        <v>1484080</v>
      </c>
      <c r="N7" s="255" t="s">
        <v>505</v>
      </c>
      <c r="O7" s="255"/>
      <c r="P7" s="255">
        <v>0</v>
      </c>
      <c r="Q7" s="255">
        <f>371020*4-371020</f>
        <v>1113060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</row>
    <row r="8" spans="1:22" x14ac:dyDescent="0.25">
      <c r="A8" s="89">
        <v>2014</v>
      </c>
      <c r="B8" s="89" t="s">
        <v>91</v>
      </c>
      <c r="C8" s="89" t="s">
        <v>426</v>
      </c>
      <c r="D8" s="106">
        <v>4280866</v>
      </c>
      <c r="E8" s="107">
        <v>2269788</v>
      </c>
      <c r="F8" s="107">
        <v>7673271</v>
      </c>
      <c r="G8" s="108">
        <v>13309247</v>
      </c>
      <c r="H8" s="102"/>
      <c r="I8" s="103"/>
      <c r="J8" s="109">
        <v>2532179</v>
      </c>
      <c r="K8" s="104"/>
      <c r="L8" s="255">
        <v>624930</v>
      </c>
      <c r="M8" s="255">
        <v>1866202</v>
      </c>
      <c r="N8" s="255" t="s">
        <v>505</v>
      </c>
      <c r="O8" s="255">
        <v>788378</v>
      </c>
      <c r="P8" s="255">
        <v>43806</v>
      </c>
      <c r="Q8" s="255">
        <v>67264</v>
      </c>
      <c r="R8" s="255">
        <v>41298</v>
      </c>
      <c r="S8" s="255">
        <v>31788</v>
      </c>
      <c r="T8" s="255">
        <v>190385</v>
      </c>
      <c r="U8" s="255">
        <v>0</v>
      </c>
      <c r="V8" s="255">
        <f>49999+28354</f>
        <v>78353</v>
      </c>
    </row>
    <row r="9" spans="1:22" x14ac:dyDescent="0.25">
      <c r="A9" s="89">
        <v>2015</v>
      </c>
      <c r="B9" s="89" t="s">
        <v>91</v>
      </c>
      <c r="C9" s="89" t="s">
        <v>426</v>
      </c>
      <c r="D9" s="427">
        <v>3933667</v>
      </c>
      <c r="E9" s="428">
        <v>1487821</v>
      </c>
      <c r="F9" s="428">
        <v>9641978</v>
      </c>
      <c r="G9" s="429">
        <v>14573065</v>
      </c>
      <c r="H9" s="102">
        <v>1219437</v>
      </c>
      <c r="I9" s="103">
        <v>451225</v>
      </c>
      <c r="J9" s="103">
        <v>1650246</v>
      </c>
      <c r="K9" s="104">
        <f>1705576+3002932</f>
        <v>4708508</v>
      </c>
      <c r="L9" s="255">
        <v>662035</v>
      </c>
      <c r="M9" s="255">
        <v>2214422</v>
      </c>
      <c r="N9" s="255" t="s">
        <v>505</v>
      </c>
      <c r="O9" s="255">
        <v>0</v>
      </c>
      <c r="P9" s="255">
        <v>345192.85</v>
      </c>
      <c r="Q9" s="255">
        <v>999129.63</v>
      </c>
      <c r="R9" s="255">
        <v>17152</v>
      </c>
      <c r="S9" s="255">
        <v>32161</v>
      </c>
      <c r="T9" s="255">
        <v>0</v>
      </c>
      <c r="U9" s="255">
        <v>0</v>
      </c>
      <c r="V9" s="255">
        <v>0</v>
      </c>
    </row>
    <row r="10" spans="1:22" x14ac:dyDescent="0.25">
      <c r="A10" s="89">
        <v>2015</v>
      </c>
      <c r="B10" s="89" t="s">
        <v>91</v>
      </c>
      <c r="C10" s="89" t="s">
        <v>430</v>
      </c>
      <c r="D10" s="427"/>
      <c r="E10" s="428"/>
      <c r="F10" s="428"/>
      <c r="G10" s="429"/>
      <c r="H10" s="102">
        <v>84672</v>
      </c>
      <c r="I10" s="103">
        <v>13454</v>
      </c>
      <c r="J10" s="103">
        <v>156678</v>
      </c>
      <c r="K10" s="104">
        <v>603075</v>
      </c>
      <c r="L10" s="255">
        <v>158771.79999999999</v>
      </c>
      <c r="M10" s="255"/>
      <c r="N10" s="255" t="s">
        <v>505</v>
      </c>
      <c r="O10" s="255">
        <v>0</v>
      </c>
      <c r="P10" s="255"/>
      <c r="Q10" s="255"/>
      <c r="R10" s="255"/>
      <c r="S10" s="255"/>
      <c r="T10" s="255"/>
      <c r="U10" s="255"/>
      <c r="V10" s="255"/>
    </row>
    <row r="11" spans="1:22" x14ac:dyDescent="0.25">
      <c r="A11" s="89">
        <v>2015</v>
      </c>
      <c r="B11" s="89" t="s">
        <v>91</v>
      </c>
      <c r="C11" s="89" t="s">
        <v>428</v>
      </c>
      <c r="D11" s="102">
        <v>231330</v>
      </c>
      <c r="E11" s="103"/>
      <c r="F11" s="103">
        <v>131698</v>
      </c>
      <c r="G11" s="104"/>
      <c r="H11" s="102">
        <v>231330</v>
      </c>
      <c r="I11" s="103"/>
      <c r="J11" s="103">
        <v>131698</v>
      </c>
      <c r="K11" s="104"/>
      <c r="L11" s="255">
        <v>275979</v>
      </c>
      <c r="M11" s="255">
        <v>275979</v>
      </c>
      <c r="N11" s="255" t="s">
        <v>505</v>
      </c>
      <c r="O11" s="255">
        <v>0</v>
      </c>
      <c r="P11" s="255">
        <v>0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</row>
    <row r="12" spans="1:22" x14ac:dyDescent="0.25">
      <c r="A12" s="89">
        <v>2016</v>
      </c>
      <c r="B12" s="89" t="s">
        <v>91</v>
      </c>
      <c r="C12" s="89" t="s">
        <v>423</v>
      </c>
      <c r="D12" s="102">
        <f>887500+1284276</f>
        <v>2171776</v>
      </c>
      <c r="E12" s="103">
        <f>178050+493276</f>
        <v>671326</v>
      </c>
      <c r="F12" s="103">
        <f>1387500+1507901</f>
        <v>2895401</v>
      </c>
      <c r="G12" s="104">
        <f>4967900+3073579</f>
        <v>8041479</v>
      </c>
      <c r="H12" s="102">
        <v>656617</v>
      </c>
      <c r="I12" s="103">
        <v>185587</v>
      </c>
      <c r="J12" s="103">
        <v>912277</v>
      </c>
      <c r="K12" s="104">
        <v>2734855</v>
      </c>
      <c r="L12" s="255">
        <v>531470</v>
      </c>
      <c r="M12" s="255">
        <f>616371.77+369906.74+300630.8+44265+103016.76+983</f>
        <v>1435174.07</v>
      </c>
      <c r="N12" s="255">
        <v>0</v>
      </c>
      <c r="O12" s="255"/>
      <c r="P12" s="255">
        <f>58329.6+136046.4+137327.8</f>
        <v>331703.8</v>
      </c>
      <c r="Q12" s="255">
        <f>297059+118907.84+118372</f>
        <v>534338.84</v>
      </c>
      <c r="R12" s="255">
        <v>8223</v>
      </c>
      <c r="S12" s="255">
        <v>0</v>
      </c>
      <c r="T12" s="255">
        <f>8880+13558.5+7000</f>
        <v>29438.5</v>
      </c>
      <c r="U12" s="255">
        <v>0</v>
      </c>
      <c r="V12" s="255">
        <v>0</v>
      </c>
    </row>
    <row r="13" spans="1:22" x14ac:dyDescent="0.25">
      <c r="A13" s="89">
        <v>2016</v>
      </c>
      <c r="B13" s="89" t="s">
        <v>91</v>
      </c>
      <c r="C13" s="89" t="s">
        <v>430</v>
      </c>
      <c r="D13" s="102">
        <f>660316+47009+733813+298406</f>
        <v>1739544</v>
      </c>
      <c r="E13" s="103">
        <f>880389+530460</f>
        <v>1410849</v>
      </c>
      <c r="F13" s="103">
        <f>589061+317222+993339+1347717</f>
        <v>3247339</v>
      </c>
      <c r="G13" s="104">
        <f>918943+100895+993028+1380384</f>
        <v>3393250</v>
      </c>
      <c r="H13" s="102">
        <v>785760</v>
      </c>
      <c r="I13" s="103">
        <v>473571</v>
      </c>
      <c r="J13" s="103">
        <v>429369</v>
      </c>
      <c r="K13" s="104">
        <v>1985080</v>
      </c>
      <c r="L13" s="255">
        <v>431667</v>
      </c>
      <c r="M13" s="255">
        <f>428198+102094.5+170533.15+154545.3+101859.22+51765</f>
        <v>1008995.1699999999</v>
      </c>
      <c r="N13" s="255">
        <v>0</v>
      </c>
      <c r="O13" s="255"/>
      <c r="P13" s="255">
        <f>154691+24937.5</f>
        <v>179628.5</v>
      </c>
      <c r="Q13" s="255">
        <f>200652+65547.5+38804.5</f>
        <v>305004</v>
      </c>
      <c r="R13" s="255">
        <v>1200</v>
      </c>
      <c r="S13" s="255">
        <v>30775.3</v>
      </c>
      <c r="T13" s="255">
        <f>13800+1180+6430+7487</f>
        <v>28897</v>
      </c>
      <c r="U13" s="255">
        <v>47593</v>
      </c>
      <c r="V13" s="255">
        <v>0</v>
      </c>
    </row>
    <row r="14" spans="1:22" x14ac:dyDescent="0.25">
      <c r="A14" s="89">
        <v>2016</v>
      </c>
      <c r="B14" s="89" t="s">
        <v>91</v>
      </c>
      <c r="C14" s="89" t="s">
        <v>423</v>
      </c>
      <c r="D14" s="102"/>
      <c r="E14" s="103"/>
      <c r="F14" s="103"/>
      <c r="G14" s="104">
        <v>179372</v>
      </c>
      <c r="H14" s="102"/>
      <c r="I14" s="103"/>
      <c r="J14" s="103"/>
      <c r="K14" s="104">
        <v>179372</v>
      </c>
      <c r="L14" s="255">
        <v>430204</v>
      </c>
      <c r="M14" s="255">
        <v>430204</v>
      </c>
      <c r="N14" s="255">
        <v>0</v>
      </c>
      <c r="O14" s="255"/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</row>
    <row r="15" spans="1:22" ht="16.5" thickBot="1" x14ac:dyDescent="0.3">
      <c r="A15" s="89">
        <v>2016</v>
      </c>
      <c r="B15" s="89" t="s">
        <v>91</v>
      </c>
      <c r="C15" s="89" t="s">
        <v>428</v>
      </c>
      <c r="D15" s="110">
        <v>121535</v>
      </c>
      <c r="E15" s="111">
        <v>106811</v>
      </c>
      <c r="F15" s="111">
        <v>232366</v>
      </c>
      <c r="G15" s="112"/>
      <c r="H15" s="110">
        <v>121535</v>
      </c>
      <c r="I15" s="111">
        <v>106811</v>
      </c>
      <c r="J15" s="111">
        <v>232366</v>
      </c>
      <c r="K15" s="112"/>
      <c r="L15" s="255">
        <v>274083.81</v>
      </c>
      <c r="M15" s="255">
        <v>274083.81</v>
      </c>
      <c r="N15" s="255">
        <v>0</v>
      </c>
      <c r="O15" s="255"/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</row>
    <row r="17" spans="4:22" x14ac:dyDescent="0.25">
      <c r="D17" s="105">
        <f>SUM(D7:D15)</f>
        <v>44978718</v>
      </c>
      <c r="E17" s="105">
        <f t="shared" ref="E17:V17" si="0">SUM(E7:E15)</f>
        <v>38446595</v>
      </c>
      <c r="F17" s="105">
        <f t="shared" si="0"/>
        <v>56322053</v>
      </c>
      <c r="G17" s="105">
        <f t="shared" si="0"/>
        <v>39496413</v>
      </c>
      <c r="H17" s="105">
        <f t="shared" si="0"/>
        <v>35599351</v>
      </c>
      <c r="I17" s="105">
        <f t="shared" si="0"/>
        <v>33730648</v>
      </c>
      <c r="J17" s="105">
        <f t="shared" si="0"/>
        <v>38544813</v>
      </c>
      <c r="K17" s="105">
        <f t="shared" si="0"/>
        <v>10210890</v>
      </c>
      <c r="L17" s="105">
        <f t="shared" si="0"/>
        <v>3760160.61</v>
      </c>
      <c r="M17" s="105">
        <f t="shared" si="0"/>
        <v>8989140.0500000007</v>
      </c>
      <c r="N17" s="105">
        <f t="shared" si="0"/>
        <v>0</v>
      </c>
      <c r="O17" s="105">
        <f t="shared" si="0"/>
        <v>788378</v>
      </c>
      <c r="P17" s="105">
        <f t="shared" si="0"/>
        <v>900331.14999999991</v>
      </c>
      <c r="Q17" s="105">
        <f t="shared" si="0"/>
        <v>3018796.4699999997</v>
      </c>
      <c r="R17" s="105">
        <f t="shared" si="0"/>
        <v>67873</v>
      </c>
      <c r="S17" s="105">
        <f t="shared" si="0"/>
        <v>94724.3</v>
      </c>
      <c r="T17" s="105">
        <f t="shared" si="0"/>
        <v>248720.5</v>
      </c>
      <c r="U17" s="105">
        <f t="shared" si="0"/>
        <v>47593</v>
      </c>
      <c r="V17" s="105">
        <f t="shared" si="0"/>
        <v>78353</v>
      </c>
    </row>
    <row r="18" spans="4:22" x14ac:dyDescent="0.25">
      <c r="M18" s="105"/>
    </row>
    <row r="20" spans="4:22" x14ac:dyDescent="0.25">
      <c r="K20" s="105"/>
      <c r="L20" s="105"/>
      <c r="M20" s="105"/>
      <c r="Q20" s="105"/>
    </row>
    <row r="24" spans="4:22" x14ac:dyDescent="0.25">
      <c r="F24" s="90"/>
      <c r="K24" s="105"/>
      <c r="P24" s="105"/>
    </row>
    <row r="25" spans="4:22" x14ac:dyDescent="0.25">
      <c r="F25" s="90"/>
    </row>
    <row r="26" spans="4:22" x14ac:dyDescent="0.25">
      <c r="F26" s="90"/>
      <c r="M26" s="105"/>
    </row>
    <row r="27" spans="4:22" x14ac:dyDescent="0.25">
      <c r="F27" s="90"/>
    </row>
    <row r="28" spans="4:22" x14ac:dyDescent="0.25">
      <c r="F28" s="90"/>
    </row>
    <row r="29" spans="4:22" x14ac:dyDescent="0.25">
      <c r="F29" s="90"/>
      <c r="G29" s="90"/>
    </row>
  </sheetData>
  <mergeCells count="6">
    <mergeCell ref="D5:G5"/>
    <mergeCell ref="H5:K5"/>
    <mergeCell ref="D9:D10"/>
    <mergeCell ref="E9:E10"/>
    <mergeCell ref="F9:F10"/>
    <mergeCell ref="G9:G10"/>
  </mergeCells>
  <pageMargins left="0.75" right="0.75" top="1" bottom="1" header="0.5" footer="0.5"/>
  <pageSetup orientation="portrait" horizontalDpi="4294967292" verticalDpi="429496729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1"/>
  <sheetViews>
    <sheetView workbookViewId="0"/>
  </sheetViews>
  <sheetFormatPr defaultColWidth="11" defaultRowHeight="15.75" x14ac:dyDescent="0.25"/>
  <cols>
    <col min="3" max="3" width="11.125" bestFit="1" customWidth="1"/>
    <col min="8" max="8" width="25.875" customWidth="1"/>
    <col min="9" max="11" width="19" customWidth="1"/>
  </cols>
  <sheetData>
    <row r="2" spans="1:13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x14ac:dyDescent="0.25">
      <c r="A5" s="91" t="s">
        <v>442</v>
      </c>
      <c r="B5" s="91" t="s">
        <v>441</v>
      </c>
      <c r="C5" s="430" t="s">
        <v>481</v>
      </c>
      <c r="D5" s="430"/>
      <c r="E5" s="430"/>
      <c r="F5" s="430"/>
      <c r="G5" s="430"/>
      <c r="H5" s="91" t="s">
        <v>799</v>
      </c>
      <c r="I5" s="91" t="s">
        <v>482</v>
      </c>
      <c r="J5" s="431" t="s">
        <v>483</v>
      </c>
      <c r="K5" s="431"/>
      <c r="L5" s="431"/>
      <c r="M5" s="431"/>
    </row>
    <row r="6" spans="1:13" ht="30" x14ac:dyDescent="0.25">
      <c r="A6" s="92"/>
      <c r="B6" s="92"/>
      <c r="C6" s="92" t="s">
        <v>5</v>
      </c>
      <c r="D6" s="92" t="s">
        <v>4</v>
      </c>
      <c r="E6" s="92" t="s">
        <v>3</v>
      </c>
      <c r="F6" s="92" t="s">
        <v>1</v>
      </c>
      <c r="G6" s="92" t="s">
        <v>2</v>
      </c>
      <c r="H6" s="92"/>
      <c r="I6" s="92"/>
      <c r="J6" s="92" t="s">
        <v>484</v>
      </c>
      <c r="K6" s="92" t="s">
        <v>485</v>
      </c>
      <c r="L6" s="92" t="s">
        <v>487</v>
      </c>
      <c r="M6" s="92" t="s">
        <v>490</v>
      </c>
    </row>
    <row r="7" spans="1:13" x14ac:dyDescent="0.25">
      <c r="A7" s="89">
        <v>2014</v>
      </c>
      <c r="B7" s="89" t="s">
        <v>154</v>
      </c>
      <c r="C7" s="93">
        <f>7858197</f>
        <v>7858197</v>
      </c>
      <c r="D7" s="93"/>
      <c r="E7" s="89"/>
      <c r="F7" s="89"/>
      <c r="G7" s="89"/>
      <c r="H7" s="115">
        <f>861030+571280</f>
        <v>1432310</v>
      </c>
      <c r="I7" s="94">
        <v>2012280</v>
      </c>
      <c r="J7" s="89">
        <v>0</v>
      </c>
      <c r="K7" s="94">
        <f>611000+80000</f>
        <v>691000</v>
      </c>
      <c r="L7" s="89" t="s">
        <v>492</v>
      </c>
      <c r="M7" s="95" t="s">
        <v>492</v>
      </c>
    </row>
    <row r="8" spans="1:13" x14ac:dyDescent="0.25">
      <c r="A8" s="89">
        <v>2015</v>
      </c>
      <c r="B8" s="89" t="s">
        <v>154</v>
      </c>
      <c r="C8" s="93">
        <f>5335611+8430129</f>
        <v>13765740</v>
      </c>
      <c r="D8" s="93">
        <f>2410597+5180115</f>
        <v>7590712</v>
      </c>
      <c r="E8" s="89"/>
      <c r="F8" s="89"/>
      <c r="G8" s="89"/>
      <c r="H8" s="94">
        <f>842038+624100</f>
        <v>1466138</v>
      </c>
      <c r="I8" s="94">
        <v>6837100</v>
      </c>
      <c r="J8" s="94">
        <v>2205100</v>
      </c>
      <c r="K8" s="94">
        <f>1209000+704000+1094900</f>
        <v>3007900</v>
      </c>
      <c r="L8" s="89" t="s">
        <v>492</v>
      </c>
      <c r="M8" s="89" t="s">
        <v>492</v>
      </c>
    </row>
    <row r="9" spans="1:13" x14ac:dyDescent="0.25">
      <c r="A9" s="95">
        <v>2016</v>
      </c>
      <c r="B9" s="89" t="s">
        <v>154</v>
      </c>
      <c r="C9" s="93">
        <f>8898172+17500000</f>
        <v>26398172</v>
      </c>
      <c r="D9" s="93">
        <f>1786046+8330000</f>
        <v>10116046</v>
      </c>
      <c r="E9" s="89"/>
      <c r="F9" s="89"/>
      <c r="G9" s="89"/>
      <c r="H9" s="94">
        <f>1927545+679620-30000</f>
        <v>2577165</v>
      </c>
      <c r="I9" s="94">
        <v>5609722</v>
      </c>
      <c r="J9" s="94">
        <v>1472557</v>
      </c>
      <c r="K9" s="94">
        <f>160000+1400000</f>
        <v>1560000</v>
      </c>
      <c r="L9" s="89" t="s">
        <v>492</v>
      </c>
      <c r="M9" s="89" t="s">
        <v>492</v>
      </c>
    </row>
    <row r="10" spans="1:13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3" x14ac:dyDescent="0.25">
      <c r="A11" s="89" t="s">
        <v>807</v>
      </c>
      <c r="C11" s="196">
        <f>SUM(C7:C9)</f>
        <v>48022109</v>
      </c>
      <c r="D11" s="196">
        <f>SUM(D7:D9)</f>
        <v>17706758</v>
      </c>
      <c r="E11" s="89"/>
      <c r="F11" s="89"/>
      <c r="G11" s="89"/>
      <c r="H11" s="196">
        <f>SUM(H7:H9)</f>
        <v>5475613</v>
      </c>
      <c r="I11" s="196">
        <f>SUM(I7:I9)</f>
        <v>14459102</v>
      </c>
      <c r="J11" s="196">
        <f>SUM(J7:J9)</f>
        <v>3677657</v>
      </c>
      <c r="K11" s="196">
        <f>SUM(K7:K9)</f>
        <v>5258900</v>
      </c>
      <c r="L11" s="89"/>
      <c r="M11" s="89"/>
    </row>
    <row r="12" spans="1:13" x14ac:dyDescent="0.25">
      <c r="A12" s="89"/>
      <c r="B12" s="89"/>
      <c r="C12" s="89"/>
      <c r="D12" s="89"/>
      <c r="E12" s="89"/>
      <c r="F12" s="89"/>
      <c r="G12" s="89"/>
      <c r="H12" s="89"/>
      <c r="I12" s="98"/>
      <c r="J12" s="89"/>
      <c r="K12" s="89"/>
      <c r="L12" s="89"/>
      <c r="M12" s="89"/>
    </row>
    <row r="13" spans="1:13" x14ac:dyDescent="0.25">
      <c r="A13" s="89"/>
      <c r="B13" s="89"/>
      <c r="C13" s="89"/>
      <c r="D13" s="89"/>
      <c r="E13" s="89"/>
      <c r="G13" s="89"/>
      <c r="H13" s="89"/>
      <c r="I13" s="89"/>
      <c r="J13" s="89"/>
      <c r="K13" s="89"/>
      <c r="L13" s="89"/>
      <c r="M13" s="89"/>
    </row>
    <row r="14" spans="1:13" x14ac:dyDescent="0.25">
      <c r="A14" s="89"/>
      <c r="B14" s="89"/>
      <c r="C14" s="89"/>
      <c r="D14" s="89"/>
      <c r="E14" s="98"/>
      <c r="F14" s="89"/>
      <c r="G14" s="89"/>
      <c r="H14" s="89"/>
      <c r="I14" s="89"/>
      <c r="J14" s="89"/>
      <c r="K14" s="89"/>
      <c r="L14" s="89"/>
      <c r="M14" s="89"/>
    </row>
    <row r="15" spans="1:13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x14ac:dyDescent="0.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x14ac:dyDescent="0.25">
      <c r="A22" s="89"/>
      <c r="B22" s="19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x14ac:dyDescent="0.25">
      <c r="A23" s="89"/>
      <c r="B23" s="198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x14ac:dyDescent="0.25">
      <c r="A24" s="89"/>
      <c r="B24" s="19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x14ac:dyDescent="0.25">
      <c r="A25" s="89"/>
      <c r="B25" s="19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3" x14ac:dyDescent="0.25">
      <c r="A26" s="89"/>
      <c r="B26" s="19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x14ac:dyDescent="0.25">
      <c r="A27" s="89"/>
      <c r="B27" s="19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30" spans="1:13" x14ac:dyDescent="0.25">
      <c r="H30" s="186"/>
    </row>
    <row r="31" spans="1:13" ht="16.5" x14ac:dyDescent="0.3">
      <c r="H31" s="187"/>
    </row>
  </sheetData>
  <mergeCells count="2">
    <mergeCell ref="C5:G5"/>
    <mergeCell ref="J5:M5"/>
  </mergeCells>
  <pageMargins left="0.75" right="0.75" top="1" bottom="1" header="0.5" footer="0.5"/>
  <pageSetup orientation="portrait" horizontalDpi="4294967292" verticalDpi="429496729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workbookViewId="0"/>
  </sheetViews>
  <sheetFormatPr defaultColWidth="8.625" defaultRowHeight="15.75" x14ac:dyDescent="0.25"/>
  <cols>
    <col min="1" max="1" width="8.625" style="89"/>
    <col min="2" max="2" width="14.5" style="89" customWidth="1"/>
    <col min="3" max="3" width="13.625" style="89" bestFit="1" customWidth="1"/>
    <col min="4" max="4" width="12.5" style="89" bestFit="1" customWidth="1"/>
    <col min="5" max="5" width="13.625" style="89" bestFit="1" customWidth="1"/>
    <col min="6" max="6" width="8.625" style="89"/>
    <col min="7" max="7" width="10.5" style="89" customWidth="1"/>
    <col min="8" max="8" width="14.625" style="89" bestFit="1" customWidth="1"/>
    <col min="9" max="11" width="13.625" style="89" bestFit="1" customWidth="1"/>
    <col min="12" max="12" width="8.625" style="89"/>
    <col min="13" max="13" width="13" style="89" customWidth="1"/>
    <col min="14" max="14" width="15.125" style="90" bestFit="1" customWidth="1"/>
    <col min="15" max="15" width="13.625" style="89" bestFit="1" customWidth="1"/>
    <col min="16" max="16384" width="8.625" style="89"/>
  </cols>
  <sheetData>
    <row r="1" spans="1:15" s="91" customFormat="1" ht="30" customHeight="1" x14ac:dyDescent="0.25">
      <c r="A1" s="264" t="s">
        <v>442</v>
      </c>
      <c r="B1" s="265" t="s">
        <v>441</v>
      </c>
      <c r="C1" s="432" t="s">
        <v>481</v>
      </c>
      <c r="D1" s="432"/>
      <c r="E1" s="432"/>
      <c r="F1" s="432"/>
      <c r="G1" s="432"/>
      <c r="H1" s="265" t="s">
        <v>799</v>
      </c>
      <c r="I1" s="265" t="s">
        <v>482</v>
      </c>
      <c r="J1" s="432" t="s">
        <v>483</v>
      </c>
      <c r="K1" s="432"/>
      <c r="L1" s="432"/>
      <c r="M1" s="432"/>
      <c r="N1" s="432"/>
      <c r="O1" s="434"/>
    </row>
    <row r="2" spans="1:15" s="92" customFormat="1" ht="30" x14ac:dyDescent="0.25">
      <c r="A2" s="245"/>
      <c r="B2" s="242"/>
      <c r="C2" s="242" t="s">
        <v>5</v>
      </c>
      <c r="D2" s="242" t="s">
        <v>4</v>
      </c>
      <c r="E2" s="242" t="s">
        <v>3</v>
      </c>
      <c r="F2" s="242" t="s">
        <v>1</v>
      </c>
      <c r="G2" s="242" t="s">
        <v>2</v>
      </c>
      <c r="H2" s="242"/>
      <c r="I2" s="242"/>
      <c r="J2" s="242" t="s">
        <v>484</v>
      </c>
      <c r="K2" s="242" t="s">
        <v>485</v>
      </c>
      <c r="L2" s="242" t="s">
        <v>486</v>
      </c>
      <c r="M2" s="242" t="s">
        <v>490</v>
      </c>
      <c r="N2" s="274" t="s">
        <v>491</v>
      </c>
      <c r="O2" s="246" t="s">
        <v>506</v>
      </c>
    </row>
    <row r="3" spans="1:15" x14ac:dyDescent="0.25">
      <c r="A3" s="247">
        <v>2014</v>
      </c>
      <c r="B3" s="117" t="s">
        <v>207</v>
      </c>
      <c r="C3" s="122"/>
      <c r="D3" s="267">
        <v>0</v>
      </c>
      <c r="E3" s="117"/>
      <c r="F3" s="117"/>
      <c r="G3" s="117"/>
      <c r="H3" s="268"/>
      <c r="I3" s="248"/>
      <c r="J3" s="117">
        <v>0</v>
      </c>
      <c r="K3" s="255">
        <v>0</v>
      </c>
      <c r="L3" s="117">
        <v>0</v>
      </c>
      <c r="M3" s="256" t="s">
        <v>492</v>
      </c>
      <c r="N3" s="269" t="s">
        <v>492</v>
      </c>
      <c r="O3" s="257" t="s">
        <v>492</v>
      </c>
    </row>
    <row r="4" spans="1:15" x14ac:dyDescent="0.25">
      <c r="A4" s="247">
        <v>2015</v>
      </c>
      <c r="B4" s="117" t="s">
        <v>207</v>
      </c>
      <c r="C4" s="122"/>
      <c r="D4" s="267">
        <v>0</v>
      </c>
      <c r="E4" s="117"/>
      <c r="F4" s="117"/>
      <c r="G4" s="117"/>
      <c r="H4" s="268">
        <v>0</v>
      </c>
      <c r="I4" s="248" t="s">
        <v>492</v>
      </c>
      <c r="J4" s="117"/>
      <c r="K4" s="255">
        <v>0</v>
      </c>
      <c r="L4" s="117"/>
      <c r="M4" s="256"/>
      <c r="N4" s="269" t="s">
        <v>492</v>
      </c>
      <c r="O4" s="257" t="s">
        <v>492</v>
      </c>
    </row>
    <row r="5" spans="1:15" x14ac:dyDescent="0.25">
      <c r="A5" s="249">
        <v>2016</v>
      </c>
      <c r="B5" s="250" t="s">
        <v>207</v>
      </c>
      <c r="C5" s="251"/>
      <c r="D5" s="251">
        <v>334677</v>
      </c>
      <c r="E5" s="250"/>
      <c r="F5" s="250"/>
      <c r="G5" s="250"/>
      <c r="H5" s="270">
        <v>78000</v>
      </c>
      <c r="I5" s="258">
        <f>H5+K5+N5</f>
        <v>282977.4325851</v>
      </c>
      <c r="J5" s="250">
        <v>0</v>
      </c>
      <c r="K5" s="258">
        <f>45616*1.6347061</f>
        <v>74568.753457600003</v>
      </c>
      <c r="L5" s="250">
        <v>0</v>
      </c>
      <c r="M5" s="271"/>
      <c r="N5" s="272">
        <f>79775*1.6347061</f>
        <v>130408.6791275</v>
      </c>
      <c r="O5" s="273" t="s">
        <v>492</v>
      </c>
    </row>
    <row r="6" spans="1:15" x14ac:dyDescent="0.25">
      <c r="C6" s="93"/>
      <c r="D6" s="93"/>
      <c r="H6" s="114"/>
      <c r="I6" s="115"/>
      <c r="K6" s="115"/>
      <c r="M6" s="95"/>
      <c r="N6" s="97"/>
      <c r="O6" s="116"/>
    </row>
    <row r="7" spans="1:15" x14ac:dyDescent="0.25">
      <c r="A7" s="89" t="s">
        <v>807</v>
      </c>
      <c r="C7" s="93"/>
      <c r="D7" s="93"/>
      <c r="H7" s="114">
        <f>SUM(H3:H5)</f>
        <v>78000</v>
      </c>
      <c r="I7" s="114">
        <f t="shared" ref="I7:O7" si="0">SUM(I3:I5)</f>
        <v>282977.4325851</v>
      </c>
      <c r="J7" s="114">
        <f t="shared" si="0"/>
        <v>0</v>
      </c>
      <c r="K7" s="114">
        <f t="shared" si="0"/>
        <v>74568.753457600003</v>
      </c>
      <c r="L7" s="114">
        <f t="shared" si="0"/>
        <v>0</v>
      </c>
      <c r="M7" s="114">
        <f t="shared" si="0"/>
        <v>0</v>
      </c>
      <c r="N7" s="114">
        <f t="shared" si="0"/>
        <v>130408.6791275</v>
      </c>
      <c r="O7" s="114">
        <f t="shared" si="0"/>
        <v>0</v>
      </c>
    </row>
    <row r="8" spans="1:15" x14ac:dyDescent="0.25">
      <c r="C8" s="93"/>
      <c r="D8" s="93"/>
      <c r="H8" s="114"/>
      <c r="I8" s="115"/>
      <c r="K8" s="115"/>
      <c r="M8" s="95"/>
      <c r="N8" s="97"/>
      <c r="O8" s="116"/>
    </row>
    <row r="9" spans="1:15" x14ac:dyDescent="0.25">
      <c r="B9" s="433" t="s">
        <v>507</v>
      </c>
      <c r="C9" s="433"/>
      <c r="D9" s="93"/>
      <c r="H9" s="114"/>
      <c r="I9" s="94"/>
      <c r="K9" s="94"/>
      <c r="M9" s="95"/>
      <c r="N9" s="96"/>
      <c r="O9" s="98"/>
    </row>
    <row r="10" spans="1:15" x14ac:dyDescent="0.25">
      <c r="B10" s="117" t="s">
        <v>508</v>
      </c>
      <c r="C10" s="118">
        <v>79775</v>
      </c>
      <c r="D10" s="93"/>
      <c r="H10" s="114"/>
      <c r="I10" s="94"/>
      <c r="M10" s="95"/>
      <c r="N10" s="96"/>
      <c r="O10" s="98"/>
    </row>
    <row r="11" spans="1:15" x14ac:dyDescent="0.25">
      <c r="B11" s="117" t="s">
        <v>509</v>
      </c>
      <c r="C11" s="118">
        <v>47715</v>
      </c>
      <c r="D11" s="93"/>
      <c r="H11" s="94"/>
      <c r="I11" s="94"/>
      <c r="M11" s="95"/>
      <c r="N11" s="96"/>
      <c r="O11" s="98"/>
    </row>
    <row r="12" spans="1:15" ht="16.5" thickBot="1" x14ac:dyDescent="0.3">
      <c r="B12" s="117" t="s">
        <v>510</v>
      </c>
      <c r="C12" s="119">
        <v>45616</v>
      </c>
      <c r="D12" s="93"/>
      <c r="H12" s="94"/>
      <c r="I12" s="94"/>
      <c r="M12" s="95"/>
      <c r="N12" s="96"/>
      <c r="O12" s="98"/>
    </row>
    <row r="13" spans="1:15" ht="16.5" thickTop="1" x14ac:dyDescent="0.25">
      <c r="B13" s="117"/>
      <c r="C13" s="120">
        <f>SUM(C10:C12)</f>
        <v>173106</v>
      </c>
    </row>
    <row r="15" spans="1:15" x14ac:dyDescent="0.25">
      <c r="B15" s="89" t="s">
        <v>511</v>
      </c>
      <c r="C15" s="89">
        <f>H5/C11</f>
        <v>1.634706067274442</v>
      </c>
      <c r="I15" s="98"/>
    </row>
    <row r="17" spans="2:5" x14ac:dyDescent="0.25">
      <c r="E17" s="98"/>
    </row>
    <row r="18" spans="2:5" x14ac:dyDescent="0.25">
      <c r="B18" s="91" t="s">
        <v>512</v>
      </c>
      <c r="C18" s="121">
        <v>381000</v>
      </c>
    </row>
  </sheetData>
  <mergeCells count="3">
    <mergeCell ref="C1:G1"/>
    <mergeCell ref="B9:C9"/>
    <mergeCell ref="J1:O1"/>
  </mergeCells>
  <pageMargins left="0.75" right="0.75" top="1" bottom="1" header="0.5" footer="0.5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/>
  </sheetViews>
  <sheetFormatPr defaultColWidth="11" defaultRowHeight="15.75" x14ac:dyDescent="0.25"/>
  <cols>
    <col min="3" max="3" width="11.375" bestFit="1" customWidth="1"/>
    <col min="5" max="5" width="11.125" bestFit="1" customWidth="1"/>
    <col min="8" max="8" width="14.625" customWidth="1"/>
    <col min="9" max="9" width="14.125" customWidth="1"/>
    <col min="16" max="16" width="11.125" bestFit="1" customWidth="1"/>
  </cols>
  <sheetData>
    <row r="1" spans="1:18" ht="30" x14ac:dyDescent="0.25">
      <c r="A1" s="243" t="s">
        <v>442</v>
      </c>
      <c r="B1" s="244" t="s">
        <v>441</v>
      </c>
      <c r="C1" s="435" t="s">
        <v>481</v>
      </c>
      <c r="D1" s="435"/>
      <c r="E1" s="435"/>
      <c r="F1" s="435"/>
      <c r="G1" s="435"/>
      <c r="H1" s="244" t="s">
        <v>799</v>
      </c>
      <c r="I1" s="244" t="s">
        <v>482</v>
      </c>
      <c r="J1" s="260" t="s">
        <v>498</v>
      </c>
      <c r="K1" s="91"/>
      <c r="L1" s="91"/>
      <c r="M1" s="91"/>
      <c r="N1" s="91"/>
      <c r="O1" s="91"/>
      <c r="P1" s="91"/>
      <c r="Q1" s="91"/>
      <c r="R1" s="91"/>
    </row>
    <row r="2" spans="1:18" x14ac:dyDescent="0.25">
      <c r="A2" s="245"/>
      <c r="B2" s="242"/>
      <c r="C2" s="242" t="s">
        <v>5</v>
      </c>
      <c r="D2" s="242" t="s">
        <v>4</v>
      </c>
      <c r="E2" s="242" t="s">
        <v>3</v>
      </c>
      <c r="F2" s="242" t="s">
        <v>1</v>
      </c>
      <c r="G2" s="242" t="s">
        <v>2</v>
      </c>
      <c r="H2" s="242"/>
      <c r="I2" s="242"/>
      <c r="J2" s="246" t="s">
        <v>797</v>
      </c>
      <c r="K2" s="92"/>
      <c r="L2" s="92"/>
      <c r="M2" s="92"/>
      <c r="N2" s="92"/>
      <c r="O2" s="92"/>
      <c r="P2" s="92"/>
      <c r="Q2" s="92"/>
      <c r="R2" s="92"/>
    </row>
    <row r="3" spans="1:18" x14ac:dyDescent="0.25">
      <c r="A3" s="359">
        <v>2012</v>
      </c>
      <c r="B3" s="347" t="s">
        <v>213</v>
      </c>
      <c r="C3" s="360">
        <v>8112111</v>
      </c>
      <c r="D3" s="360">
        <v>2738793</v>
      </c>
      <c r="E3" s="360">
        <v>8112111</v>
      </c>
      <c r="F3" s="360">
        <v>1973520</v>
      </c>
      <c r="G3" s="360">
        <v>0</v>
      </c>
      <c r="H3" s="361">
        <v>688000</v>
      </c>
      <c r="I3" s="361">
        <v>688000</v>
      </c>
      <c r="J3" s="362" t="s">
        <v>492</v>
      </c>
      <c r="K3" s="94"/>
      <c r="L3" s="94"/>
      <c r="M3" s="94"/>
      <c r="N3" s="94"/>
      <c r="O3" s="94"/>
      <c r="P3" s="115"/>
      <c r="Q3" s="94"/>
      <c r="R3" s="94"/>
    </row>
    <row r="4" spans="1:18" x14ac:dyDescent="0.25">
      <c r="A4" s="247">
        <v>2013</v>
      </c>
      <c r="B4" s="117" t="s">
        <v>213</v>
      </c>
      <c r="C4" s="122">
        <v>5162457</v>
      </c>
      <c r="D4" s="122">
        <v>4135988</v>
      </c>
      <c r="E4" s="122">
        <v>11959908</v>
      </c>
      <c r="F4" s="122">
        <v>4149705</v>
      </c>
      <c r="G4" s="122">
        <v>0</v>
      </c>
      <c r="H4" s="255">
        <v>1004857</v>
      </c>
      <c r="I4" s="255">
        <v>1004857</v>
      </c>
      <c r="J4" s="262" t="s">
        <v>492</v>
      </c>
      <c r="K4" s="89"/>
      <c r="L4" s="89"/>
      <c r="M4" s="89"/>
      <c r="N4" s="89"/>
      <c r="O4" s="89"/>
      <c r="P4" s="89"/>
      <c r="Q4" s="89"/>
      <c r="R4" s="89"/>
    </row>
    <row r="5" spans="1:18" x14ac:dyDescent="0.25">
      <c r="A5" s="298">
        <v>2014</v>
      </c>
      <c r="B5" s="8" t="s">
        <v>213</v>
      </c>
      <c r="C5" s="251">
        <v>0</v>
      </c>
      <c r="D5" s="251">
        <v>0</v>
      </c>
      <c r="E5" s="251">
        <v>0</v>
      </c>
      <c r="F5" s="251">
        <v>0</v>
      </c>
      <c r="G5" s="251">
        <v>0</v>
      </c>
      <c r="H5" s="299">
        <v>206611</v>
      </c>
      <c r="I5" s="258">
        <v>206611</v>
      </c>
      <c r="J5" s="300" t="s">
        <v>492</v>
      </c>
    </row>
    <row r="6" spans="1:18" x14ac:dyDescent="0.25">
      <c r="H6" s="160"/>
    </row>
    <row r="7" spans="1:18" x14ac:dyDescent="0.25">
      <c r="A7" t="s">
        <v>807</v>
      </c>
      <c r="C7" s="393">
        <f>SUM(C3:C5)</f>
        <v>13274568</v>
      </c>
      <c r="D7" s="393">
        <f t="shared" ref="D7:I7" si="0">SUM(D3:D5)</f>
        <v>6874781</v>
      </c>
      <c r="E7" s="393">
        <f t="shared" si="0"/>
        <v>20072019</v>
      </c>
      <c r="F7" s="393">
        <f t="shared" si="0"/>
        <v>6123225</v>
      </c>
      <c r="G7" s="393">
        <f t="shared" si="0"/>
        <v>0</v>
      </c>
      <c r="H7" s="393">
        <f t="shared" si="0"/>
        <v>1899468</v>
      </c>
      <c r="I7" s="393">
        <f t="shared" si="0"/>
        <v>1899468</v>
      </c>
    </row>
  </sheetData>
  <mergeCells count="1">
    <mergeCell ref="C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/>
  </sheetViews>
  <sheetFormatPr defaultColWidth="11" defaultRowHeight="15.75" x14ac:dyDescent="0.25"/>
  <cols>
    <col min="8" max="8" width="14.625" customWidth="1"/>
    <col min="9" max="9" width="14.125" customWidth="1"/>
    <col min="11" max="11" width="12.125" bestFit="1" customWidth="1"/>
  </cols>
  <sheetData>
    <row r="1" spans="1:13" ht="30" x14ac:dyDescent="0.25">
      <c r="A1" s="264" t="s">
        <v>442</v>
      </c>
      <c r="B1" s="265" t="s">
        <v>441</v>
      </c>
      <c r="C1" s="432" t="s">
        <v>481</v>
      </c>
      <c r="D1" s="432"/>
      <c r="E1" s="432"/>
      <c r="F1" s="432"/>
      <c r="G1" s="432"/>
      <c r="H1" s="265" t="s">
        <v>799</v>
      </c>
      <c r="I1" s="265" t="s">
        <v>482</v>
      </c>
      <c r="J1" s="436" t="s">
        <v>498</v>
      </c>
      <c r="K1" s="436"/>
      <c r="L1" s="436"/>
      <c r="M1" s="437"/>
    </row>
    <row r="2" spans="1:13" ht="30" x14ac:dyDescent="0.25">
      <c r="A2" s="245"/>
      <c r="B2" s="242"/>
      <c r="C2" s="242" t="s">
        <v>5</v>
      </c>
      <c r="D2" s="242" t="s">
        <v>4</v>
      </c>
      <c r="E2" s="242" t="s">
        <v>3</v>
      </c>
      <c r="F2" s="242" t="s">
        <v>1</v>
      </c>
      <c r="G2" s="242" t="s">
        <v>2</v>
      </c>
      <c r="H2" s="242"/>
      <c r="I2" s="242"/>
      <c r="J2" s="242" t="s">
        <v>484</v>
      </c>
      <c r="K2" s="242" t="s">
        <v>800</v>
      </c>
      <c r="L2" s="242" t="s">
        <v>784</v>
      </c>
      <c r="M2" s="246" t="s">
        <v>504</v>
      </c>
    </row>
    <row r="3" spans="1:13" x14ac:dyDescent="0.25">
      <c r="A3" s="247">
        <v>2013</v>
      </c>
      <c r="B3" s="117" t="s">
        <v>263</v>
      </c>
      <c r="C3" s="122">
        <v>909263</v>
      </c>
      <c r="D3" s="122">
        <v>909263</v>
      </c>
      <c r="E3" s="122">
        <v>0</v>
      </c>
      <c r="F3" s="122">
        <v>0</v>
      </c>
      <c r="G3" s="122">
        <v>0</v>
      </c>
      <c r="H3" s="255">
        <v>500000</v>
      </c>
      <c r="I3" s="261">
        <v>781825</v>
      </c>
      <c r="J3" s="248"/>
      <c r="K3" s="255">
        <v>281825</v>
      </c>
      <c r="L3" s="248" t="s">
        <v>492</v>
      </c>
      <c r="M3" s="262"/>
    </row>
    <row r="4" spans="1:13" x14ac:dyDescent="0.25">
      <c r="A4" s="247">
        <v>2014</v>
      </c>
      <c r="B4" s="117" t="s">
        <v>263</v>
      </c>
      <c r="C4" s="122">
        <v>0</v>
      </c>
      <c r="D4" s="122">
        <v>0</v>
      </c>
      <c r="E4" s="122">
        <v>0</v>
      </c>
      <c r="F4" s="122">
        <v>0</v>
      </c>
      <c r="G4" s="122">
        <v>0</v>
      </c>
      <c r="H4" s="248"/>
      <c r="I4" s="248"/>
      <c r="J4" s="248"/>
      <c r="K4" s="248"/>
      <c r="L4" s="248" t="s">
        <v>492</v>
      </c>
      <c r="M4" s="262"/>
    </row>
    <row r="5" spans="1:13" x14ac:dyDescent="0.25">
      <c r="A5" s="247">
        <v>2015</v>
      </c>
      <c r="B5" s="117" t="s">
        <v>263</v>
      </c>
      <c r="C5" s="122">
        <v>237042</v>
      </c>
      <c r="D5" s="122">
        <v>402526</v>
      </c>
      <c r="E5" s="122">
        <v>0</v>
      </c>
      <c r="F5" s="122">
        <v>0</v>
      </c>
      <c r="G5" s="122">
        <v>0</v>
      </c>
      <c r="H5" s="248">
        <v>2019047.33</v>
      </c>
      <c r="I5" s="248">
        <v>2019047.33</v>
      </c>
      <c r="J5" s="248"/>
      <c r="K5" s="117"/>
      <c r="L5" s="117" t="s">
        <v>492</v>
      </c>
      <c r="M5" s="263"/>
    </row>
    <row r="6" spans="1:13" x14ac:dyDescent="0.25">
      <c r="A6" s="249">
        <v>2016</v>
      </c>
      <c r="B6" s="250" t="s">
        <v>263</v>
      </c>
      <c r="C6" s="251">
        <v>2919272</v>
      </c>
      <c r="D6" s="251">
        <v>945588</v>
      </c>
      <c r="E6" s="251">
        <v>0</v>
      </c>
      <c r="F6" s="251">
        <v>0</v>
      </c>
      <c r="G6" s="251">
        <v>0</v>
      </c>
      <c r="H6" s="258">
        <v>1101934.57</v>
      </c>
      <c r="I6" s="258">
        <v>1101934.57</v>
      </c>
      <c r="J6" s="252"/>
      <c r="K6" s="250"/>
      <c r="L6" s="250" t="s">
        <v>492</v>
      </c>
      <c r="M6" s="253"/>
    </row>
    <row r="7" spans="1:13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x14ac:dyDescent="0.25">
      <c r="A8" t="s">
        <v>807</v>
      </c>
      <c r="C8" s="393">
        <f>SUM(C3:C6)</f>
        <v>4065577</v>
      </c>
      <c r="D8" s="393">
        <f>SUM(D3:D6)</f>
        <v>2257377</v>
      </c>
      <c r="H8" s="393">
        <f>SUM(H3:H6)</f>
        <v>3620981.9000000004</v>
      </c>
      <c r="I8" s="393">
        <f>SUM(I3:I6)</f>
        <v>3902806.9000000004</v>
      </c>
    </row>
  </sheetData>
  <mergeCells count="2">
    <mergeCell ref="C1:G1"/>
    <mergeCell ref="J1:M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1. All treatments all countries</vt:lpstr>
      <vt:lpstr>2. All grants to all countries</vt:lpstr>
      <vt:lpstr>3. EF dashboard - grants by yr</vt:lpstr>
      <vt:lpstr>Angola deep dive</vt:lpstr>
      <vt:lpstr>DRC deep dive</vt:lpstr>
      <vt:lpstr>Ethiopia deep dive</vt:lpstr>
      <vt:lpstr>Liberia deep dive</vt:lpstr>
      <vt:lpstr>Mali deep dive</vt:lpstr>
      <vt:lpstr>Nigeria deep dive</vt:lpstr>
      <vt:lpstr>Rwanda deep dive</vt:lpstr>
      <vt:lpstr>WFP deep dive</vt:lpstr>
      <vt:lpstr>Yemen deep dive</vt:lpstr>
      <vt:lpstr>Zimbabwe deep dive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2017-11-16T20:21:35Z</dcterms:created>
  <dcterms:modified xsi:type="dcterms:W3CDTF">2017-11-16T20:21:42Z</dcterms:modified>
</cp:coreProperties>
</file>