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24240" windowHeight="12360" tabRatio="681"/>
  </bookViews>
  <sheets>
    <sheet name="Treatments by Disease" sheetId="12" r:id="rId1"/>
    <sheet name="Historical Beneficiaries" sheetId="2" state="hidden" r:id="rId2"/>
    <sheet name="Updated Program Financing" sheetId="8" r:id="rId3"/>
    <sheet name="Historical Program Financing" sheetId="3" state="hidden" r:id="rId4"/>
    <sheet name="Historical Number of GsPsIPs" sheetId="5" state="hidden" r:id="rId5"/>
  </sheets>
  <calcPr calcId="145621" concurrentCalc="0"/>
</workbook>
</file>

<file path=xl/calcChain.xml><?xml version="1.0" encoding="utf-8"?>
<calcChain xmlns="http://schemas.openxmlformats.org/spreadsheetml/2006/main">
  <c r="G14" i="8" l="1"/>
  <c r="G15" i="8"/>
  <c r="D16" i="8"/>
  <c r="G16" i="8"/>
  <c r="G17" i="8"/>
  <c r="D4" i="8"/>
  <c r="G4" i="8"/>
  <c r="G5" i="8"/>
  <c r="G6" i="8"/>
  <c r="G7" i="8"/>
  <c r="G8" i="8"/>
  <c r="G9" i="8"/>
  <c r="G10" i="8"/>
  <c r="G11" i="8"/>
  <c r="G12" i="8"/>
  <c r="G13" i="8"/>
  <c r="G18" i="8"/>
  <c r="G19" i="8"/>
  <c r="G20" i="8"/>
  <c r="G21" i="8"/>
  <c r="G22" i="8"/>
  <c r="G23" i="8"/>
  <c r="G24" i="8"/>
  <c r="G25" i="8"/>
  <c r="G26" i="8"/>
  <c r="G27" i="8"/>
  <c r="D28" i="8"/>
  <c r="G28" i="8"/>
  <c r="G29" i="8"/>
  <c r="G30" i="8"/>
  <c r="G31" i="8"/>
  <c r="G32" i="8"/>
  <c r="G33" i="8"/>
  <c r="G34" i="8"/>
  <c r="G35" i="8"/>
  <c r="G36" i="8"/>
  <c r="G37" i="8"/>
  <c r="G38" i="8"/>
  <c r="G39" i="8"/>
  <c r="G40" i="8"/>
  <c r="G41" i="8"/>
  <c r="G42" i="8"/>
  <c r="G43" i="8"/>
  <c r="G44" i="8"/>
  <c r="G45" i="8"/>
  <c r="G46" i="8"/>
  <c r="G49" i="8"/>
  <c r="G50" i="8"/>
  <c r="G51" i="8"/>
  <c r="G52" i="8"/>
  <c r="G53" i="8"/>
  <c r="D54" i="8"/>
  <c r="G54" i="8"/>
  <c r="G55" i="8"/>
  <c r="B56" i="8"/>
  <c r="G56" i="8"/>
  <c r="D57" i="8"/>
  <c r="G57" i="8"/>
  <c r="G58" i="8"/>
  <c r="G59" i="8"/>
  <c r="G60" i="8"/>
  <c r="G61" i="8"/>
  <c r="D62" i="8"/>
  <c r="G62" i="8"/>
  <c r="G63" i="8"/>
  <c r="G64" i="8"/>
  <c r="K4" i="8"/>
  <c r="K5" i="8"/>
  <c r="K6" i="8"/>
  <c r="K7" i="8"/>
  <c r="K8" i="8"/>
  <c r="K9" i="8"/>
  <c r="K10" i="8"/>
  <c r="K11" i="8"/>
  <c r="K12" i="8"/>
  <c r="K13" i="8"/>
  <c r="K14" i="8"/>
  <c r="K15" i="8"/>
  <c r="K16" i="8"/>
  <c r="K17" i="8"/>
  <c r="K18" i="8"/>
  <c r="K19" i="8"/>
  <c r="K20" i="8"/>
  <c r="K21" i="8"/>
  <c r="K22" i="8"/>
  <c r="K23" i="8"/>
  <c r="K24" i="8"/>
  <c r="K25" i="8"/>
  <c r="K26" i="8"/>
  <c r="K27" i="8"/>
  <c r="K28" i="8"/>
  <c r="K29" i="8"/>
  <c r="B81" i="12"/>
  <c r="B91" i="12"/>
  <c r="B64" i="12"/>
  <c r="B67" i="12"/>
  <c r="B48" i="12"/>
  <c r="B51" i="12"/>
  <c r="B27" i="12"/>
  <c r="B28" i="12"/>
  <c r="B31" i="12"/>
  <c r="B95" i="12"/>
  <c r="C81" i="12"/>
  <c r="C91" i="12"/>
  <c r="C67" i="12"/>
  <c r="C51" i="12"/>
  <c r="C31" i="12"/>
  <c r="C95" i="12"/>
  <c r="D81" i="12"/>
  <c r="D91" i="12"/>
  <c r="D67" i="12"/>
  <c r="D51" i="12"/>
  <c r="D31" i="12"/>
  <c r="D95" i="12"/>
  <c r="E81" i="12"/>
  <c r="E91" i="12"/>
  <c r="E67" i="12"/>
  <c r="E51" i="12"/>
  <c r="E31" i="12"/>
  <c r="E95" i="12"/>
  <c r="F81" i="12"/>
  <c r="F91" i="12"/>
  <c r="F31" i="12"/>
  <c r="F95" i="12"/>
  <c r="G95" i="12"/>
  <c r="K31" i="8"/>
  <c r="L29" i="8"/>
  <c r="L28" i="8"/>
  <c r="L27" i="8"/>
  <c r="L26" i="8"/>
  <c r="L25" i="8"/>
  <c r="L24" i="8"/>
  <c r="L23" i="8"/>
  <c r="L22" i="8"/>
  <c r="L21" i="8"/>
  <c r="L20" i="8"/>
  <c r="L19" i="8"/>
  <c r="L18" i="8"/>
  <c r="L17" i="8"/>
  <c r="L16" i="8"/>
  <c r="L15" i="8"/>
  <c r="L14" i="8"/>
  <c r="L13" i="8"/>
  <c r="L12" i="8"/>
  <c r="L11" i="8"/>
  <c r="L10" i="8"/>
  <c r="L9" i="8"/>
  <c r="L8" i="8"/>
  <c r="L7" i="8"/>
  <c r="L6" i="8"/>
  <c r="L5" i="8"/>
  <c r="L4" i="8"/>
  <c r="B46" i="8"/>
  <c r="B65" i="8"/>
  <c r="B67" i="8"/>
  <c r="C46" i="8"/>
  <c r="C65" i="8"/>
  <c r="C67" i="8"/>
  <c r="D46" i="8"/>
  <c r="D65" i="8"/>
  <c r="D67" i="8"/>
  <c r="E46" i="8"/>
  <c r="E65" i="8"/>
  <c r="E67" i="8"/>
  <c r="E70" i="8"/>
  <c r="F32" i="12"/>
  <c r="E32" i="12"/>
  <c r="D32" i="12"/>
  <c r="C32" i="12"/>
  <c r="B32" i="12"/>
  <c r="G2" i="5"/>
  <c r="B3" i="5"/>
  <c r="C3" i="5"/>
  <c r="D3" i="5"/>
  <c r="E3" i="5"/>
  <c r="G3" i="5"/>
  <c r="B4" i="5"/>
  <c r="C4" i="5"/>
  <c r="D4" i="5"/>
  <c r="E4" i="5"/>
  <c r="G4" i="5"/>
  <c r="B5" i="5"/>
  <c r="C5" i="5"/>
  <c r="D5" i="5"/>
  <c r="E5" i="5"/>
  <c r="F5" i="5"/>
  <c r="G5" i="5"/>
  <c r="H5" i="5"/>
  <c r="I5" i="5"/>
  <c r="J5" i="5"/>
  <c r="K5" i="5"/>
  <c r="F10" i="3"/>
  <c r="H10" i="3"/>
  <c r="F11" i="3"/>
  <c r="H11" i="3"/>
  <c r="F12" i="3"/>
  <c r="H12" i="3"/>
  <c r="F13" i="3"/>
  <c r="H13" i="3"/>
  <c r="F14" i="3"/>
  <c r="H14" i="3"/>
  <c r="F15" i="3"/>
  <c r="G15" i="3"/>
  <c r="H15" i="3"/>
  <c r="F16" i="3"/>
  <c r="G16" i="3"/>
  <c r="H16" i="3"/>
  <c r="F17" i="3"/>
  <c r="H17" i="3"/>
  <c r="F18" i="3"/>
  <c r="H18" i="3"/>
  <c r="F19" i="3"/>
  <c r="H19" i="3"/>
  <c r="F20" i="3"/>
  <c r="H20" i="3"/>
  <c r="F21" i="3"/>
  <c r="H21" i="3"/>
  <c r="F22" i="3"/>
  <c r="H22" i="3"/>
  <c r="F23" i="3"/>
  <c r="G23" i="3"/>
  <c r="H23" i="3"/>
  <c r="F24" i="3"/>
  <c r="H24" i="3"/>
  <c r="F25" i="3"/>
  <c r="H25" i="3"/>
  <c r="F26" i="3"/>
  <c r="H26" i="3"/>
  <c r="B27" i="3"/>
  <c r="C27" i="3"/>
  <c r="D27" i="3"/>
  <c r="E27" i="3"/>
  <c r="F27" i="3"/>
  <c r="G27" i="3"/>
  <c r="H27" i="3"/>
  <c r="F30" i="3"/>
  <c r="H30" i="3"/>
  <c r="F31" i="3"/>
  <c r="H31" i="3"/>
  <c r="C32" i="3"/>
  <c r="F32" i="3"/>
  <c r="H32" i="3"/>
  <c r="B33" i="3"/>
  <c r="F33" i="3"/>
  <c r="F34" i="3"/>
  <c r="H34" i="3"/>
  <c r="F35" i="3"/>
  <c r="H35" i="3"/>
  <c r="F36" i="3"/>
  <c r="H36" i="3"/>
  <c r="F37" i="3"/>
  <c r="H37" i="3"/>
  <c r="B38" i="3"/>
  <c r="C38" i="3"/>
  <c r="D38" i="3"/>
  <c r="E38" i="3"/>
  <c r="F38" i="3"/>
  <c r="G38" i="3"/>
  <c r="H38" i="3"/>
  <c r="B39" i="3"/>
  <c r="C39" i="3"/>
  <c r="D39" i="3"/>
  <c r="E39" i="3"/>
  <c r="F39" i="3"/>
  <c r="G39" i="3"/>
  <c r="H39" i="3"/>
  <c r="B42" i="3"/>
  <c r="B43" i="3"/>
  <c r="B44" i="3"/>
  <c r="F46" i="8"/>
  <c r="F65" i="8"/>
  <c r="G65" i="8"/>
  <c r="F67" i="8"/>
  <c r="G67" i="8"/>
  <c r="B25" i="2"/>
  <c r="C25" i="2"/>
  <c r="D25" i="2"/>
  <c r="E25" i="2"/>
  <c r="F25" i="2"/>
  <c r="G25" i="2"/>
  <c r="H25" i="2"/>
  <c r="I25" i="2"/>
  <c r="B46" i="2"/>
  <c r="C46" i="2"/>
  <c r="D46" i="2"/>
  <c r="E46" i="2"/>
  <c r="F46" i="2"/>
  <c r="G46" i="2"/>
  <c r="H46" i="2"/>
  <c r="I46" i="2"/>
  <c r="B54" i="2"/>
  <c r="B56" i="2"/>
  <c r="B58" i="2"/>
  <c r="C58" i="2"/>
  <c r="D58" i="2"/>
  <c r="E58" i="2"/>
  <c r="F58" i="2"/>
  <c r="G58" i="2"/>
  <c r="H58" i="2"/>
  <c r="I58" i="2"/>
  <c r="B96" i="12"/>
  <c r="C96" i="12"/>
  <c r="D96" i="12"/>
  <c r="E96" i="12"/>
  <c r="F96" i="12"/>
</calcChain>
</file>

<file path=xl/comments1.xml><?xml version="1.0" encoding="utf-8"?>
<comments xmlns="http://schemas.openxmlformats.org/spreadsheetml/2006/main">
  <authors>
    <author>Author</author>
  </authors>
  <commentList>
    <comment ref="B8" authorId="0">
      <text>
        <r>
          <rPr>
            <sz val="9"/>
            <color indexed="81"/>
            <rFont val="Calibri"/>
            <family val="2"/>
          </rPr>
          <t xml:space="preserve">Expected to go up once we have more solid data from the mapping.
</t>
        </r>
      </text>
    </comment>
    <comment ref="C8" authorId="0">
      <text>
        <r>
          <rPr>
            <b/>
            <sz val="9"/>
            <color indexed="81"/>
            <rFont val="Calibri"/>
            <family val="2"/>
          </rPr>
          <t>Children treated in Zaire from Mapping Activities</t>
        </r>
        <r>
          <rPr>
            <sz val="9"/>
            <color indexed="81"/>
            <rFont val="Calibri"/>
            <family val="2"/>
          </rPr>
          <t xml:space="preserve">
</t>
        </r>
      </text>
    </comment>
    <comment ref="D8" authorId="0">
      <text>
        <r>
          <rPr>
            <sz val="9"/>
            <color indexed="81"/>
            <rFont val="Calibri"/>
            <family val="2"/>
          </rPr>
          <t xml:space="preserve">630 HW+6381 teachers
6381 teachers trained translates from HT outputs sheet
630 Health Workers (2 per 315 targeted to be reached
</t>
        </r>
      </text>
    </comment>
    <comment ref="E8" authorId="0">
      <text>
        <r>
          <rPr>
            <b/>
            <sz val="9"/>
            <color indexed="81"/>
            <rFont val="Calibri"/>
            <family val="2"/>
          </rPr>
          <t>254 HWs trained to date by end Q2
45 HWs trained for mapping</t>
        </r>
        <r>
          <rPr>
            <sz val="9"/>
            <color indexed="81"/>
            <rFont val="Calibri"/>
            <family val="2"/>
          </rPr>
          <t xml:space="preserve">
</t>
        </r>
      </text>
    </comment>
    <comment ref="F8" authorId="0">
      <text>
        <r>
          <rPr>
            <sz val="9"/>
            <color indexed="81"/>
            <rFont val="Calibri"/>
            <family val="2"/>
          </rPr>
          <t xml:space="preserve">Population estimates continue to be rough.  This number aligns with our best understanding Feb 2014
</t>
        </r>
      </text>
    </comment>
    <comment ref="G8" authorId="0">
      <text>
        <r>
          <rPr>
            <b/>
            <sz val="9"/>
            <color indexed="81"/>
            <rFont val="Calibri"/>
            <family val="2"/>
          </rPr>
          <t>Full mapping report not yet received.</t>
        </r>
        <r>
          <rPr>
            <sz val="9"/>
            <color indexed="81"/>
            <rFont val="Calibri"/>
            <family val="2"/>
          </rPr>
          <t xml:space="preserve">
</t>
        </r>
      </text>
    </comment>
    <comment ref="B10" authorId="0">
      <text>
        <r>
          <rPr>
            <sz val="9"/>
            <color indexed="81"/>
            <rFont val="Calibri"/>
            <family val="2"/>
          </rPr>
          <t xml:space="preserve">In Sept 2014 Board Report, the 10,000,000 beneficiary target is in reference to the total program target of 10,211,905. 
The reduced amount is based on the EF's share of that total population based on treatment proportions and is intentionally different from the report.
</t>
        </r>
      </text>
    </comment>
    <comment ref="D10" authorId="0">
      <text>
        <r>
          <rPr>
            <b/>
            <sz val="9"/>
            <color indexed="81"/>
            <rFont val="Calibri"/>
            <family val="2"/>
          </rPr>
          <t>Tentatively 2,478, but could be increased to 12,793.</t>
        </r>
        <r>
          <rPr>
            <sz val="9"/>
            <color indexed="81"/>
            <rFont val="Calibri"/>
            <family val="2"/>
          </rPr>
          <t xml:space="preserve">
</t>
        </r>
      </text>
    </comment>
    <comment ref="F11" authorId="0">
      <text>
        <r>
          <rPr>
            <sz val="9"/>
            <color indexed="81"/>
            <rFont val="Calibri"/>
            <family val="2"/>
          </rPr>
          <t xml:space="preserve">32.5m moved to 2013 for annual glossy as per EA request
</t>
        </r>
      </text>
    </comment>
    <comment ref="D13" authorId="0">
      <text>
        <r>
          <rPr>
            <sz val="9"/>
            <color indexed="81"/>
            <rFont val="Calibri"/>
            <family val="2"/>
          </rPr>
          <t xml:space="preserve">PA Revision-
1000 officials
9000 teachers
9000 health ext workers
</t>
        </r>
      </text>
    </comment>
    <comment ref="B14" authorId="0">
      <text>
        <r>
          <rPr>
            <b/>
            <sz val="9"/>
            <color indexed="81"/>
            <rFont val="Calibri"/>
            <family val="2"/>
          </rPr>
          <t>3.6m projected for Y1, scaling to 10m by Y3</t>
        </r>
        <r>
          <rPr>
            <sz val="9"/>
            <color indexed="81"/>
            <rFont val="Calibri"/>
            <family val="2"/>
          </rPr>
          <t xml:space="preserve">
</t>
        </r>
      </text>
    </comment>
    <comment ref="D14" authorId="0">
      <text>
        <r>
          <rPr>
            <b/>
            <sz val="9"/>
            <color indexed="81"/>
            <rFont val="Calibri"/>
            <family val="2"/>
          </rPr>
          <t>Author:</t>
        </r>
        <r>
          <rPr>
            <sz val="9"/>
            <color indexed="81"/>
            <rFont val="Calibri"/>
            <family val="2"/>
          </rPr>
          <t xml:space="preserve">
To be Confirmed w/ SCI</t>
        </r>
      </text>
    </comment>
    <comment ref="E15" authorId="0">
      <text>
        <r>
          <rPr>
            <sz val="9"/>
            <color indexed="81"/>
            <rFont val="Calibri"/>
            <family val="2"/>
          </rPr>
          <t>31 July Report
1,219 gov resource persons, 64,535 teachers. 
In total, Bihar has 70,716 schools and one teacher was invited from each school. Only 64k were able to attend, however since this was Y3 of annual distribution, it did not completely preclude thouse schools from participating</t>
        </r>
      </text>
    </comment>
    <comment ref="B16" authorId="0">
      <text>
        <r>
          <rPr>
            <sz val="9"/>
            <color indexed="81"/>
            <rFont val="Calibri"/>
            <family val="2"/>
          </rPr>
          <t>DtW has agreed to treat 200k SACs regardless of coverage rate.</t>
        </r>
      </text>
    </comment>
    <comment ref="C16" authorId="0">
      <text>
        <r>
          <rPr>
            <sz val="9"/>
            <color indexed="81"/>
            <rFont val="Calibri"/>
            <family val="2"/>
          </rPr>
          <t xml:space="preserve">According to July 2014 report
</t>
        </r>
      </text>
    </comment>
    <comment ref="D16" authorId="0">
      <text>
        <r>
          <rPr>
            <b/>
            <sz val="9"/>
            <color indexed="81"/>
            <rFont val="Calibri"/>
            <family val="2"/>
          </rPr>
          <t>As per MOU. AT LEAST  150 district and provincials, 800 teachers</t>
        </r>
        <r>
          <rPr>
            <sz val="9"/>
            <color indexed="81"/>
            <rFont val="Calibri"/>
            <family val="2"/>
          </rPr>
          <t xml:space="preserve">
</t>
        </r>
      </text>
    </comment>
    <comment ref="B17" authorId="0">
      <text>
        <r>
          <rPr>
            <sz val="9"/>
            <color indexed="81"/>
            <rFont val="Calibri"/>
            <family val="2"/>
          </rPr>
          <t xml:space="preserve">Bomi (over 32,000 SAC 
- Gbarpolu (over 28,000 SAC  
- Grand Bassa (over 74,000 SAC  
- Grand Gedeh (over 28,000 SAC  
- Margibi (over 55,000 SAC
- Rivergee (over 22,000 SAC 
- Rivercess (over 22,000 SAC
</t>
        </r>
      </text>
    </comment>
    <comment ref="D17" authorId="0">
      <text>
        <r>
          <rPr>
            <b/>
            <sz val="9"/>
            <color indexed="81"/>
            <rFont val="Calibri"/>
            <family val="2"/>
          </rPr>
          <t>From MOU</t>
        </r>
      </text>
    </comment>
    <comment ref="D18" authorId="0">
      <text>
        <r>
          <rPr>
            <sz val="9"/>
            <color indexed="81"/>
            <rFont val="Calibri"/>
            <family val="2"/>
          </rPr>
          <t xml:space="preserve">Retrained Surgeons and  Patients trained in limb care. Revised down from 357. See comment in surgeries cell for more detail.
</t>
        </r>
      </text>
    </comment>
    <comment ref="E18" authorId="0">
      <text>
        <r>
          <rPr>
            <b/>
            <sz val="9"/>
            <color indexed="81"/>
            <rFont val="Calibri"/>
            <family val="2"/>
          </rPr>
          <t>38 Surgeons
37 trained in limb care</t>
        </r>
        <r>
          <rPr>
            <sz val="9"/>
            <color indexed="81"/>
            <rFont val="Calibri"/>
            <family val="2"/>
          </rPr>
          <t xml:space="preserve">
</t>
        </r>
      </text>
    </comment>
    <comment ref="I18" authorId="0">
      <text>
        <r>
          <rPr>
            <sz val="9"/>
            <color indexed="81"/>
            <rFont val="Calibri"/>
            <family val="2"/>
          </rPr>
          <t xml:space="preserve">Less people were found to be trained and receive surgery. This is why numbers were lower than initial projections.
Projected for 2014:
216 Hydrocele Surgeries
57 retrained surgeons
300 patients trained for personal lymphadema mgmt
300 washing kits distributed to patients
</t>
        </r>
      </text>
    </comment>
    <comment ref="D19" authorId="0">
      <text>
        <r>
          <rPr>
            <b/>
            <sz val="9"/>
            <color indexed="81"/>
            <rFont val="Calibri"/>
            <family val="2"/>
          </rPr>
          <t>To be determined during life of grant. Should be minimal final amount around 100.</t>
        </r>
      </text>
    </comment>
    <comment ref="B20" authorId="0">
      <text>
        <r>
          <rPr>
            <sz val="9"/>
            <color indexed="81"/>
            <rFont val="Calibri"/>
            <family val="2"/>
          </rPr>
          <t>85% of SAC and pre-SAC in Phase 1 and 2 mapping regions</t>
        </r>
      </text>
    </comment>
    <comment ref="D20" authorId="0">
      <text>
        <r>
          <rPr>
            <sz val="9"/>
            <color indexed="81"/>
            <rFont val="Calibri"/>
            <family val="2"/>
          </rPr>
          <t xml:space="preserve">2 per school for 1157 schools totaled from initial protocol.
89+308+223+245+113+179
</t>
        </r>
      </text>
    </comment>
    <comment ref="B21" authorId="0">
      <text>
        <r>
          <rPr>
            <sz val="9"/>
            <color indexed="81"/>
            <rFont val="Calibri"/>
            <family val="2"/>
          </rPr>
          <t>MDA is anticipated to reach both adults and children in 2014
Program year timing issue</t>
        </r>
      </text>
    </comment>
    <comment ref="C21" authorId="0">
      <text>
        <r>
          <rPr>
            <sz val="9"/>
            <color indexed="81"/>
            <rFont val="Calibri"/>
            <family val="2"/>
          </rPr>
          <t xml:space="preserve">Trmnt in March
</t>
        </r>
      </text>
    </comment>
    <comment ref="E21" authorId="0">
      <text>
        <r>
          <rPr>
            <b/>
            <sz val="9"/>
            <color indexed="81"/>
            <rFont val="Calibri"/>
            <family val="2"/>
          </rPr>
          <t>Author:</t>
        </r>
        <r>
          <rPr>
            <sz val="9"/>
            <color indexed="81"/>
            <rFont val="Calibri"/>
            <family val="2"/>
          </rPr>
          <t xml:space="preserve">
108 Lab techs</t>
        </r>
      </text>
    </comment>
    <comment ref="B22" authorId="0">
      <text>
        <r>
          <rPr>
            <sz val="9"/>
            <color indexed="81"/>
            <rFont val="Calibri"/>
            <family val="2"/>
          </rPr>
          <t xml:space="preserve">4.08 for STH/SCH and 120k for Oncho
</t>
        </r>
      </text>
    </comment>
    <comment ref="B23" authorId="0">
      <text>
        <r>
          <rPr>
            <b/>
            <sz val="9"/>
            <color indexed="81"/>
            <rFont val="Calibri"/>
            <family val="2"/>
          </rPr>
          <t>Final Legatum SI2 MDA target.</t>
        </r>
        <r>
          <rPr>
            <sz val="9"/>
            <color indexed="81"/>
            <rFont val="Calibri"/>
            <family val="2"/>
          </rPr>
          <t xml:space="preserve">
</t>
        </r>
      </text>
    </comment>
    <comment ref="B30" authorId="0">
      <text>
        <r>
          <rPr>
            <sz val="9"/>
            <color indexed="81"/>
            <rFont val="Calibri"/>
            <family val="2"/>
          </rPr>
          <t>treatment activities have been delayed since mapping activities have been added. treatment will follow the establishment of the prevalence baseline
treatment will hopefully occur in early 2014</t>
        </r>
      </text>
    </comment>
    <comment ref="C30" authorId="0">
      <text>
        <r>
          <rPr>
            <sz val="9"/>
            <color indexed="81"/>
            <rFont val="Calibri"/>
            <family val="2"/>
          </rPr>
          <t>Accoring to tables in 31 Jan report</t>
        </r>
      </text>
    </comment>
    <comment ref="D30" authorId="0">
      <text>
        <r>
          <rPr>
            <sz val="9"/>
            <color indexed="81"/>
            <rFont val="Calibri"/>
            <family val="2"/>
          </rPr>
          <t>2 teachers are trained at each school, 50% schools will be reached in year 1  + 210 health teams at an average estimate of 5 workers per centre</t>
        </r>
      </text>
    </comment>
    <comment ref="E30" authorId="0">
      <text>
        <r>
          <rPr>
            <sz val="9"/>
            <color indexed="81"/>
            <rFont val="Calibri"/>
            <family val="2"/>
          </rPr>
          <t xml:space="preserve">2 teachers per school for each school that participated in 2013 MDA
</t>
        </r>
      </text>
    </comment>
    <comment ref="B31" authorId="0">
      <text>
        <r>
          <rPr>
            <sz val="9"/>
            <color indexed="81"/>
            <rFont val="Calibri"/>
            <family val="2"/>
          </rPr>
          <t>Early indications from the Rutana impact survey would show that prevalence levels are above MDA thresholds and that future treatment may be necessary</t>
        </r>
      </text>
    </comment>
    <comment ref="B32" authorId="0">
      <text>
        <r>
          <rPr>
            <sz val="9"/>
            <color indexed="81"/>
            <rFont val="Calibri"/>
            <family val="2"/>
          </rPr>
          <t xml:space="preserve">With the instability in CAR, it is unlikely that any treatment activities will occur in 2013.
</t>
        </r>
      </text>
    </comment>
    <comment ref="E34" authorId="0">
      <text>
        <r>
          <rPr>
            <sz val="9"/>
            <color indexed="81"/>
            <rFont val="Calibri"/>
            <family val="2"/>
          </rPr>
          <t xml:space="preserve">In the due diligence process it was reported that this already happened.
</t>
        </r>
      </text>
    </comment>
    <comment ref="B35" authorId="0">
      <text>
        <r>
          <rPr>
            <sz val="9"/>
            <color indexed="81"/>
            <rFont val="Calibri"/>
            <family val="2"/>
          </rPr>
          <t xml:space="preserve">Deworming is planned to occur in January 2014
</t>
        </r>
      </text>
    </comment>
    <comment ref="B36" authorId="0">
      <text>
        <r>
          <rPr>
            <sz val="9"/>
            <color indexed="81"/>
            <rFont val="Calibri"/>
            <family val="2"/>
          </rPr>
          <t>DtW has committed to 80% coverage rates, but its impossible to know exactly how many are actuatlly targeted until mapping is complete.  As such, we have used the 180,000 figure because that is the number of treatments budgeted by DtW.</t>
        </r>
      </text>
    </comment>
    <comment ref="C36" authorId="0">
      <text>
        <r>
          <rPr>
            <b/>
            <sz val="9"/>
            <color indexed="81"/>
            <rFont val="Calibri"/>
            <family val="2"/>
          </rPr>
          <t>Author:</t>
        </r>
        <r>
          <rPr>
            <sz val="9"/>
            <color indexed="81"/>
            <rFont val="Calibri"/>
            <family val="2"/>
          </rPr>
          <t xml:space="preserve">
Confirmed in July 2014 Report</t>
        </r>
      </text>
    </comment>
    <comment ref="C38" authorId="0">
      <text>
        <r>
          <rPr>
            <sz val="9"/>
            <color indexed="81"/>
            <rFont val="Calibri"/>
            <family val="2"/>
          </rPr>
          <t>Some treatments did occur in very early 2014 but were part of the 2013 campaign and should be applied to 2013.</t>
        </r>
      </text>
    </comment>
    <comment ref="E38" authorId="0">
      <text>
        <r>
          <rPr>
            <b/>
            <sz val="9"/>
            <color indexed="81"/>
            <rFont val="Calibri"/>
            <family val="2"/>
          </rPr>
          <t>From Final report: 
92 Trainers
1331 HW
25595 CDDs</t>
        </r>
        <r>
          <rPr>
            <sz val="9"/>
            <color indexed="81"/>
            <rFont val="Calibri"/>
            <family val="2"/>
          </rPr>
          <t xml:space="preserve">
</t>
        </r>
      </text>
    </comment>
    <comment ref="C39" authorId="0">
      <text>
        <r>
          <rPr>
            <b/>
            <sz val="9"/>
            <color indexed="81"/>
            <rFont val="Calibri"/>
            <family val="2"/>
          </rPr>
          <t>Number of kids in Phase 2 survey</t>
        </r>
        <r>
          <rPr>
            <sz val="9"/>
            <color indexed="81"/>
            <rFont val="Calibri"/>
            <family val="2"/>
          </rPr>
          <t xml:space="preserve">
</t>
        </r>
      </text>
    </comment>
    <comment ref="E39" authorId="0">
      <text>
        <r>
          <rPr>
            <b/>
            <sz val="9"/>
            <color indexed="81"/>
            <rFont val="Calibri"/>
            <family val="2"/>
          </rPr>
          <t>We never actually set this target since the plans for MDA did not materialize.  But we did train 26, including me</t>
        </r>
        <r>
          <rPr>
            <sz val="9"/>
            <color indexed="81"/>
            <rFont val="Calibri"/>
            <family val="2"/>
          </rPr>
          <t xml:space="preserve">
</t>
        </r>
      </text>
    </comment>
    <comment ref="F39" authorId="0">
      <text>
        <r>
          <rPr>
            <sz val="9"/>
            <color indexed="81"/>
            <rFont val="Calibri"/>
            <family val="2"/>
          </rPr>
          <t>Phase 2 Mapping in Omusati, Oshana, Oshikoto, Ohangwena to occur in Oct-Nov 2013</t>
        </r>
      </text>
    </comment>
    <comment ref="C40" authorId="0">
      <text>
        <r>
          <rPr>
            <sz val="9"/>
            <color indexed="81"/>
            <rFont val="Calibri"/>
            <family val="2"/>
          </rPr>
          <t xml:space="preserve">Totals reported 30 Oct.
81.45% coverage of 36,161.
</t>
        </r>
      </text>
    </comment>
    <comment ref="C41" authorId="0">
      <text>
        <r>
          <rPr>
            <b/>
            <sz val="9"/>
            <color indexed="81"/>
            <rFont val="Calibri"/>
            <family val="2"/>
          </rPr>
          <t xml:space="preserve">Final validated numbers from SSI at closeout. </t>
        </r>
      </text>
    </comment>
    <comment ref="E41" authorId="0">
      <text>
        <r>
          <rPr>
            <sz val="9"/>
            <color indexed="81"/>
            <rFont val="Calibri"/>
            <family val="2"/>
          </rPr>
          <t xml:space="preserve">Final validated numbers from SSI at closeout.
</t>
        </r>
      </text>
    </comment>
    <comment ref="C42" authorId="0">
      <text>
        <r>
          <rPr>
            <sz val="9"/>
            <color indexed="81"/>
            <rFont val="Calibri"/>
            <family val="2"/>
          </rPr>
          <t>31 Jan reported results.
5,235,647 includes the treatment of both children and adults.  The 2013 MDA ultimately only targeted children for treatment, resulting in the reported total at a high rate of treatment coverage.</t>
        </r>
      </text>
    </comment>
    <comment ref="B43" authorId="0">
      <text>
        <r>
          <rPr>
            <sz val="9"/>
            <color indexed="81"/>
            <rFont val="Calibri"/>
            <family val="2"/>
          </rPr>
          <t xml:space="preserve">total population of 13 million targeted for treatment.  9.6 million of these 13 million are projected to receive treatment at target coverage rates
</t>
        </r>
      </text>
    </comment>
    <comment ref="C43" authorId="0">
      <text>
        <r>
          <rPr>
            <sz val="9"/>
            <color indexed="81"/>
            <rFont val="Calibri"/>
            <family val="2"/>
          </rPr>
          <t>From 31 Jan Final Report</t>
        </r>
      </text>
    </comment>
    <comment ref="F43" authorId="0">
      <text>
        <r>
          <rPr>
            <sz val="9"/>
            <color indexed="81"/>
            <rFont val="Calibri"/>
            <family val="2"/>
          </rPr>
          <t>All treated districts are being remapped, thus all in target population are mapping beneficiaries.  
Since the EF grant is for Technical Assistance, it is arguable that our funding is much more closely linked to this program outcome than any other target on this sheet.</t>
        </r>
      </text>
    </comment>
    <comment ref="G43" authorId="0">
      <text>
        <r>
          <rPr>
            <sz val="9"/>
            <color indexed="81"/>
            <rFont val="Calibri"/>
            <family val="2"/>
          </rPr>
          <t xml:space="preserve">Data collected from 8,000 individuals to set a program monitoring baseline and national disease risk map.  All pieces are also in place for nationwide remapping in early 2014 as agreed in original MOU.  
</t>
        </r>
      </text>
    </comment>
    <comment ref="C44" authorId="0">
      <text>
        <r>
          <rPr>
            <sz val="9"/>
            <color indexed="81"/>
            <rFont val="Calibri"/>
            <family val="2"/>
          </rPr>
          <t xml:space="preserve">From the numbers Alfred passed on to Colleen
</t>
        </r>
      </text>
    </comment>
    <comment ref="C45" authorId="0">
      <text>
        <r>
          <rPr>
            <sz val="9"/>
            <color indexed="81"/>
            <rFont val="Calibri"/>
            <family val="2"/>
          </rPr>
          <t>MDA occurred in 2013, however SCI did not have agreement in place with Zim Gov and funding was not delivered.  
Once agreement is finalized and funding is wired, funds will be backdated and treatment numbers will be available. Until that point, this number must be 0.</t>
        </r>
      </text>
    </comment>
    <comment ref="H56" authorId="0">
      <text>
        <r>
          <rPr>
            <sz val="9"/>
            <color indexed="81"/>
            <rFont val="Calibri"/>
            <family val="2"/>
          </rPr>
          <t>763 in 2012
547 in 2013</t>
        </r>
      </text>
    </comment>
  </commentList>
</comments>
</file>

<file path=xl/comments2.xml><?xml version="1.0" encoding="utf-8"?>
<comments xmlns="http://schemas.openxmlformats.org/spreadsheetml/2006/main">
  <authors>
    <author>Author</author>
  </authors>
  <commentList>
    <comment ref="A11" authorId="0">
      <text>
        <r>
          <rPr>
            <b/>
            <sz val="9"/>
            <color indexed="81"/>
            <rFont val="Calibri"/>
            <family val="2"/>
          </rPr>
          <t>Did receive a no cost extension to complete workshop. Still in closeout process.</t>
        </r>
        <r>
          <rPr>
            <sz val="9"/>
            <color indexed="81"/>
            <rFont val="Calibri"/>
            <family val="2"/>
          </rPr>
          <t xml:space="preserve">
</t>
        </r>
      </text>
    </comment>
    <comment ref="B12" authorId="0">
      <text>
        <r>
          <rPr>
            <b/>
            <sz val="9"/>
            <color indexed="81"/>
            <rFont val="Calibri"/>
            <family val="2"/>
          </rPr>
          <t>Author:</t>
        </r>
        <r>
          <rPr>
            <sz val="9"/>
            <color indexed="81"/>
            <rFont val="Calibri"/>
            <family val="2"/>
          </rPr>
          <t xml:space="preserve">
To be $105,885 unless EA agrees to full balance of $118,378</t>
        </r>
      </text>
    </comment>
    <comment ref="B14" authorId="0">
      <text>
        <r>
          <rPr>
            <sz val="9"/>
            <color indexed="81"/>
            <rFont val="Calibri"/>
            <family val="2"/>
          </rPr>
          <t xml:space="preserve">To be $1875000
</t>
        </r>
      </text>
    </comment>
    <comment ref="G15" authorId="0">
      <text>
        <r>
          <rPr>
            <b/>
            <sz val="9"/>
            <color indexed="81"/>
            <rFont val="Calibri"/>
            <family val="2"/>
          </rPr>
          <t>Remaining commitment plus MM and BMGF/AA funds</t>
        </r>
      </text>
    </comment>
    <comment ref="E20" authorId="0">
      <text>
        <r>
          <rPr>
            <sz val="9"/>
            <color indexed="81"/>
            <rFont val="Calibri"/>
            <family val="2"/>
          </rPr>
          <t xml:space="preserve">Mali program also received remaining funds from Niger HKI program, but this was the cash that left the EF
</t>
        </r>
      </text>
    </comment>
    <comment ref="B21" authorId="0">
      <text>
        <r>
          <rPr>
            <b/>
            <sz val="9"/>
            <color indexed="81"/>
            <rFont val="Calibri"/>
            <family val="2"/>
          </rPr>
          <t>$52,793</t>
        </r>
        <r>
          <rPr>
            <sz val="9"/>
            <color indexed="81"/>
            <rFont val="Calibri"/>
            <family val="2"/>
          </rPr>
          <t xml:space="preserve">
</t>
        </r>
      </text>
    </comment>
    <comment ref="E23" authorId="0">
      <text>
        <r>
          <rPr>
            <b/>
            <sz val="9"/>
            <color indexed="81"/>
            <rFont val="Calibri"/>
            <family val="2"/>
          </rPr>
          <t>£203,562.6 * 16 May fx rate - 1.6809 = $342,168.37</t>
        </r>
        <r>
          <rPr>
            <sz val="9"/>
            <color indexed="81"/>
            <rFont val="Calibri"/>
            <family val="2"/>
          </rPr>
          <t xml:space="preserve">
</t>
        </r>
      </text>
    </comment>
    <comment ref="G23" authorId="0">
      <text>
        <r>
          <rPr>
            <sz val="9"/>
            <color indexed="81"/>
            <rFont val="Calibri"/>
            <family val="2"/>
          </rPr>
          <t>£311,702-£203,562.60 which was disbursed leaves us with £108139.4 estimated at a 1.5 fx rate</t>
        </r>
      </text>
    </comment>
    <comment ref="B26" authorId="0">
      <text>
        <r>
          <rPr>
            <b/>
            <sz val="9"/>
            <color indexed="81"/>
            <rFont val="Calibri"/>
            <family val="2"/>
          </rPr>
          <t>This total includes $50,500 returned from SCI.  And if Zakharov gets his final tranche in on time it could be increased by $32k</t>
        </r>
        <r>
          <rPr>
            <sz val="9"/>
            <color indexed="81"/>
            <rFont val="Calibri"/>
            <family val="2"/>
          </rPr>
          <t xml:space="preserve">
</t>
        </r>
      </text>
    </comment>
    <comment ref="B32" authorId="0">
      <text>
        <r>
          <rPr>
            <sz val="9"/>
            <color indexed="81"/>
            <rFont val="Calibri"/>
            <family val="2"/>
          </rPr>
          <t xml:space="preserve">The volume committed to date after the MOU modificiation brought the total commitment from $968,723 to the current amount of $783,604.  Therefore, the TO DATE commitment is the lesser number.
</t>
        </r>
      </text>
    </comment>
    <comment ref="D37" authorId="0">
      <text>
        <r>
          <rPr>
            <sz val="9"/>
            <color indexed="81"/>
            <rFont val="Calibri"/>
            <family val="2"/>
          </rPr>
          <t xml:space="preserve">In total, $82,500 was wired. $50,500 was returned on SCI's inability to deliver program.
</t>
        </r>
      </text>
    </comment>
  </commentList>
</comments>
</file>

<file path=xl/comments3.xml><?xml version="1.0" encoding="utf-8"?>
<comments xmlns="http://schemas.openxmlformats.org/spreadsheetml/2006/main">
  <authors>
    <author>Author</author>
  </authors>
  <commentList>
    <comment ref="G2" authorId="0">
      <text>
        <r>
          <rPr>
            <b/>
            <sz val="9"/>
            <color indexed="81"/>
            <rFont val="Calibri"/>
            <family val="2"/>
          </rPr>
          <t>Africa</t>
        </r>
        <r>
          <rPr>
            <sz val="9"/>
            <color indexed="81"/>
            <rFont val="Calibri"/>
            <family val="2"/>
          </rPr>
          <t xml:space="preserve">
</t>
        </r>
      </text>
    </comment>
    <comment ref="G3" authorId="0">
      <text>
        <r>
          <rPr>
            <b/>
            <sz val="9"/>
            <color indexed="81"/>
            <rFont val="Calibri"/>
            <family val="2"/>
          </rPr>
          <t>ME/Asia</t>
        </r>
        <r>
          <rPr>
            <sz val="9"/>
            <color indexed="81"/>
            <rFont val="Calibri"/>
            <family val="2"/>
          </rPr>
          <t xml:space="preserve">
</t>
        </r>
      </text>
    </comment>
    <comment ref="G4" authorId="0">
      <text>
        <r>
          <rPr>
            <b/>
            <sz val="9"/>
            <color indexed="81"/>
            <rFont val="Calibri"/>
            <family val="2"/>
          </rPr>
          <t>LAC</t>
        </r>
      </text>
    </comment>
    <comment ref="F7" authorId="0">
      <text>
        <r>
          <rPr>
            <b/>
            <sz val="9"/>
            <color indexed="81"/>
            <rFont val="Calibri"/>
            <family val="2"/>
          </rPr>
          <t>For using some Kili funds</t>
        </r>
        <r>
          <rPr>
            <sz val="9"/>
            <color indexed="81"/>
            <rFont val="Calibri"/>
            <family val="2"/>
          </rPr>
          <t xml:space="preserve">
</t>
        </r>
      </text>
    </comment>
    <comment ref="F8" authorId="0">
      <text>
        <r>
          <rPr>
            <b/>
            <sz val="9"/>
            <color indexed="81"/>
            <rFont val="Calibri"/>
            <family val="2"/>
          </rPr>
          <t>DRC, Nigeria and Ethiopia are all Al Wahleed</t>
        </r>
        <r>
          <rPr>
            <sz val="9"/>
            <color indexed="81"/>
            <rFont val="Calibri"/>
            <family val="2"/>
          </rPr>
          <t xml:space="preserve">
</t>
        </r>
      </text>
    </comment>
    <comment ref="I13" authorId="0">
      <text>
        <r>
          <rPr>
            <b/>
            <sz val="9"/>
            <color indexed="81"/>
            <rFont val="Calibri"/>
            <family val="2"/>
          </rPr>
          <t>Author:</t>
        </r>
        <r>
          <rPr>
            <sz val="9"/>
            <color indexed="81"/>
            <rFont val="Calibri"/>
            <family val="2"/>
          </rPr>
          <t xml:space="preserve">
Zambia. </t>
        </r>
      </text>
    </comment>
  </commentList>
</comments>
</file>

<file path=xl/sharedStrings.xml><?xml version="1.0" encoding="utf-8"?>
<sst xmlns="http://schemas.openxmlformats.org/spreadsheetml/2006/main" count="559" uniqueCount="264">
  <si>
    <t>St. Kitts and the Grenadines</t>
  </si>
  <si>
    <t>Suriname</t>
  </si>
  <si>
    <t>Trinidad and Tobago</t>
  </si>
  <si>
    <t>Uruguay</t>
  </si>
  <si>
    <t>Venezuela</t>
  </si>
  <si>
    <t>Burkina Faso</t>
  </si>
  <si>
    <t>Congo - Brazzaville</t>
  </si>
  <si>
    <t>If country is active at any time in year, it’s a program of that year</t>
  </si>
  <si>
    <t>Ethiopia - Cargill/SCI</t>
  </si>
  <si>
    <t>Ethiopia SCI/Cargill</t>
  </si>
  <si>
    <t>2012 Progams</t>
  </si>
  <si>
    <t>Reported</t>
  </si>
  <si>
    <t>2013 Programs</t>
  </si>
  <si>
    <t>Trained</t>
  </si>
  <si>
    <t>Treated</t>
  </si>
  <si>
    <t>Total in Mapped Regions</t>
  </si>
  <si>
    <t>2014 Programs</t>
  </si>
  <si>
    <t>Ethiopia MoH</t>
  </si>
  <si>
    <t>Ethiopia SCI</t>
  </si>
  <si>
    <t>Ethiopia MoH/Shefa</t>
  </si>
  <si>
    <t>Grand Total:</t>
  </si>
  <si>
    <t>Ethiopia FMoH</t>
  </si>
  <si>
    <t>Short term</t>
  </si>
  <si>
    <t>Long term</t>
  </si>
  <si>
    <t xml:space="preserve">Cote D'Ivoire </t>
  </si>
  <si>
    <t>DRC APOC</t>
  </si>
  <si>
    <t>APOC</t>
  </si>
  <si>
    <t>Synergos</t>
  </si>
  <si>
    <t>Zimbawe Family Health MoH Dept</t>
  </si>
  <si>
    <t>Fred Hollows</t>
  </si>
  <si>
    <t>UFAR</t>
  </si>
  <si>
    <t>MITOSATH</t>
  </si>
  <si>
    <t>Past Implementing Partners</t>
  </si>
  <si>
    <t>Mali/Niger</t>
  </si>
  <si>
    <t>Cote D'Ivoire</t>
  </si>
  <si>
    <t>Namibia LATH/GGI</t>
  </si>
  <si>
    <t>Zimbabwe MoHCW</t>
  </si>
  <si>
    <t>Ethiopia</t>
  </si>
  <si>
    <t>Zimbabwe SCI</t>
  </si>
  <si>
    <t>Wake Forrest University/Surgey tool company?</t>
  </si>
  <si>
    <t>Mali/Niger Headstart</t>
  </si>
  <si>
    <t>Mali/Niger - Headstart</t>
  </si>
  <si>
    <t>This information is as of 30 August 2014</t>
  </si>
  <si>
    <t>2012 Programs</t>
  </si>
  <si>
    <t>Projected 2015 Programs</t>
  </si>
  <si>
    <t>DRC</t>
  </si>
  <si>
    <t>Nigeria</t>
  </si>
  <si>
    <t>RTI</t>
  </si>
  <si>
    <t>KCCO</t>
  </si>
  <si>
    <t>Tanzania MoH</t>
  </si>
  <si>
    <t>ICTC - Tanzania</t>
  </si>
  <si>
    <t>Angola</t>
  </si>
  <si>
    <t>Burundi</t>
  </si>
  <si>
    <t>Kenya</t>
  </si>
  <si>
    <t>Liberia</t>
  </si>
  <si>
    <t>Mali</t>
  </si>
  <si>
    <t>Namibia</t>
  </si>
  <si>
    <t>Rwanda</t>
  </si>
  <si>
    <t>Yemen</t>
  </si>
  <si>
    <t>Zimbabwe</t>
  </si>
  <si>
    <t>Niger</t>
  </si>
  <si>
    <t>Number treated</t>
  </si>
  <si>
    <t>Number Trained</t>
  </si>
  <si>
    <t>Current Implementing Partners</t>
  </si>
  <si>
    <t>Potential Implementing Partners</t>
  </si>
  <si>
    <t>SCI</t>
  </si>
  <si>
    <t>CBM</t>
  </si>
  <si>
    <t>The MENTOR Initiative</t>
  </si>
  <si>
    <t>HKI</t>
  </si>
  <si>
    <t>Sightsavers</t>
  </si>
  <si>
    <t>Worldvision</t>
  </si>
  <si>
    <t>Volume Committed to date</t>
  </si>
  <si>
    <t>Volume Disbursed to Date</t>
  </si>
  <si>
    <t>Mali 080187</t>
  </si>
  <si>
    <t>Mali 080206</t>
  </si>
  <si>
    <t>Niger 080202</t>
  </si>
  <si>
    <t>Nigeria 080201</t>
  </si>
  <si>
    <t>Yemen 080200</t>
  </si>
  <si>
    <t>Zimbabwe 080180</t>
  </si>
  <si>
    <t>CAR 080195</t>
  </si>
  <si>
    <t>Angola 080194</t>
  </si>
  <si>
    <t>Burundi 080139</t>
  </si>
  <si>
    <t>Rwanda 080140</t>
  </si>
  <si>
    <t>Kenya 080179</t>
  </si>
  <si>
    <t>Namibia 080193</t>
  </si>
  <si>
    <t>Mali 080201</t>
  </si>
  <si>
    <t>Liberia 080196</t>
  </si>
  <si>
    <t>TBD</t>
  </si>
  <si>
    <t>Projected</t>
  </si>
  <si>
    <t>Totals</t>
  </si>
  <si>
    <t>ZACH</t>
  </si>
  <si>
    <t>Africare</t>
  </si>
  <si>
    <t>Closed Programs</t>
  </si>
  <si>
    <t>CNTD</t>
  </si>
  <si>
    <t>Total Population in Mapped Regions</t>
  </si>
  <si>
    <t>Active Programs</t>
  </si>
  <si>
    <t>GGI/EF</t>
  </si>
  <si>
    <t>Short-term</t>
  </si>
  <si>
    <t>Long-term</t>
  </si>
  <si>
    <t>Volume Disbursed 2012</t>
  </si>
  <si>
    <t>Volume Disbursed 2013</t>
  </si>
  <si>
    <t>Zambia</t>
  </si>
  <si>
    <t>Countries actively researched</t>
  </si>
  <si>
    <t>Afghanistan</t>
  </si>
  <si>
    <t>Benin</t>
  </si>
  <si>
    <t>Cameroon</t>
  </si>
  <si>
    <t>Chad</t>
  </si>
  <si>
    <t>Cote d'Ivoire</t>
  </si>
  <si>
    <t>Egypt</t>
  </si>
  <si>
    <t>Ghana</t>
  </si>
  <si>
    <t>Guinea-Conakry</t>
  </si>
  <si>
    <t>Lesotho</t>
  </si>
  <si>
    <t>Madagascar</t>
  </si>
  <si>
    <t>Malawi</t>
  </si>
  <si>
    <t>Mauritania</t>
  </si>
  <si>
    <t>Mozambique</t>
  </si>
  <si>
    <t>Pakistan</t>
  </si>
  <si>
    <t>Senegal</t>
  </si>
  <si>
    <t>Sierra Leone</t>
  </si>
  <si>
    <t>South Sudan</t>
  </si>
  <si>
    <t>Syria</t>
  </si>
  <si>
    <t>Tanzania</t>
  </si>
  <si>
    <t>Uganda</t>
  </si>
  <si>
    <t>Zambia (Funding not included)</t>
  </si>
  <si>
    <t>Sub-Total:</t>
  </si>
  <si>
    <t>Total</t>
  </si>
  <si>
    <t>DRC 080217</t>
  </si>
  <si>
    <t>Ethiopia 080218</t>
  </si>
  <si>
    <t>Deworm the World/Evidence Action</t>
  </si>
  <si>
    <t>Volume Disbursed 2014</t>
  </si>
  <si>
    <t>Remaining 2014 Disbursement</t>
  </si>
  <si>
    <t>India Bihar 080221</t>
  </si>
  <si>
    <t>India 080221</t>
  </si>
  <si>
    <t>Total Projected 2014</t>
  </si>
  <si>
    <t>Programs in development</t>
  </si>
  <si>
    <t>Ethiopia - Direct MoH</t>
  </si>
  <si>
    <t>Triciasis Surgeries</t>
  </si>
  <si>
    <t>Hydrocele Surgeries</t>
  </si>
  <si>
    <t>Yemen 2014</t>
  </si>
  <si>
    <t>Programs anticipated, but not yet established</t>
  </si>
  <si>
    <t>Antigua</t>
  </si>
  <si>
    <t>Argentina</t>
  </si>
  <si>
    <t>Bahamas</t>
  </si>
  <si>
    <t>Barbados</t>
  </si>
  <si>
    <t>Belize</t>
  </si>
  <si>
    <t>Bolivia</t>
  </si>
  <si>
    <t>Brazil</t>
  </si>
  <si>
    <t>Chile</t>
  </si>
  <si>
    <t>Colombia</t>
  </si>
  <si>
    <t>Costa Rica</t>
  </si>
  <si>
    <t>Cuba</t>
  </si>
  <si>
    <t>Dominica</t>
  </si>
  <si>
    <t>Dominican Republic</t>
  </si>
  <si>
    <t>Ecuador</t>
  </si>
  <si>
    <t>El Salvador</t>
  </si>
  <si>
    <t>Grenada</t>
  </si>
  <si>
    <t>Guatemala</t>
  </si>
  <si>
    <t>Guyana</t>
  </si>
  <si>
    <t>Haiti</t>
  </si>
  <si>
    <t>Honduras</t>
  </si>
  <si>
    <t>Jamaica</t>
  </si>
  <si>
    <t>Mexico</t>
  </si>
  <si>
    <t>Nicaragua</t>
  </si>
  <si>
    <t>Panama</t>
  </si>
  <si>
    <t>Paraguay</t>
  </si>
  <si>
    <t>Peru</t>
  </si>
  <si>
    <t>St. Lucia</t>
  </si>
  <si>
    <t>DRC Idjwi</t>
  </si>
  <si>
    <t>DRC UFAR</t>
  </si>
  <si>
    <t>Ethiopia Carter Center</t>
  </si>
  <si>
    <t>Guinea Bissau</t>
  </si>
  <si>
    <t>Liberia SCI</t>
  </si>
  <si>
    <t>Namibia Synergos</t>
  </si>
  <si>
    <t>Nigeria Mitosath Ekiti</t>
  </si>
  <si>
    <t>Nigeria Mitosath Ondo</t>
  </si>
  <si>
    <t>Nigeria HKI Akwa Ibom</t>
  </si>
  <si>
    <t>Nigeria Amen</t>
  </si>
  <si>
    <t>Rwanda SCI</t>
  </si>
  <si>
    <t>Tanzania SSI</t>
  </si>
  <si>
    <t>Tanzania KCCO</t>
  </si>
  <si>
    <t>World Food Programme</t>
  </si>
  <si>
    <t>Yemen SCI</t>
  </si>
  <si>
    <t>Disbursed 2012</t>
  </si>
  <si>
    <t>Disbursed 2013</t>
  </si>
  <si>
    <t>Disbursed 2014</t>
  </si>
  <si>
    <t>Disbursed 2015</t>
  </si>
  <si>
    <t>Angola Mentor</t>
  </si>
  <si>
    <t>CAR WHO</t>
  </si>
  <si>
    <t>CAR OPC</t>
  </si>
  <si>
    <t>Cote D'Ivoire Sightsavers</t>
  </si>
  <si>
    <t>Ethiopia MoH 2015</t>
  </si>
  <si>
    <t>India - Rajasthan</t>
  </si>
  <si>
    <t>Kenya Evidence Action</t>
  </si>
  <si>
    <t>Mali 2015</t>
  </si>
  <si>
    <t>South Sudan Sightsavers</t>
  </si>
  <si>
    <t>Sudan Sightsavers</t>
  </si>
  <si>
    <t>Zambia FPSU</t>
  </si>
  <si>
    <t>Cote D'Ivoire 2014</t>
  </si>
  <si>
    <t>Ethiopia MoH 2014</t>
  </si>
  <si>
    <t>India Bihar</t>
  </si>
  <si>
    <t>Zimbabwe 2014</t>
  </si>
  <si>
    <t>Cote d' Ivoire</t>
  </si>
  <si>
    <t>DRC IMA</t>
  </si>
  <si>
    <t>DRC APOC/WHO</t>
  </si>
  <si>
    <t>Nigeria Ekiti</t>
  </si>
  <si>
    <t>Nigeria Ondo</t>
  </si>
  <si>
    <t>Nigeria AKW</t>
  </si>
  <si>
    <t>Somalia</t>
  </si>
  <si>
    <t>Chad (OPC)</t>
  </si>
  <si>
    <t>DRC - CBM</t>
  </si>
  <si>
    <t>DRC - CBM 2</t>
  </si>
  <si>
    <t>Ethiopia Afar Amref</t>
  </si>
  <si>
    <t>Kenya LF - MoH</t>
  </si>
  <si>
    <t>Mali HKI hydrocele</t>
  </si>
  <si>
    <t>Nigeria AHF</t>
  </si>
  <si>
    <t>Oncho Surveys</t>
  </si>
  <si>
    <t>WFP</t>
  </si>
  <si>
    <t>Number of Projected Treatments per Disease</t>
  </si>
  <si>
    <t>Grant</t>
  </si>
  <si>
    <t>STH</t>
  </si>
  <si>
    <t>SCH</t>
  </si>
  <si>
    <t xml:space="preserve">LF </t>
  </si>
  <si>
    <t>Oncho</t>
  </si>
  <si>
    <t xml:space="preserve"> Trachoma</t>
  </si>
  <si>
    <t>DRC CBM Kasai. Katanga</t>
  </si>
  <si>
    <t>DRC CBM North Kivu. Equateur</t>
  </si>
  <si>
    <t>Ethiopai Afar</t>
  </si>
  <si>
    <t>India Ev. Ac.</t>
  </si>
  <si>
    <t>Kenya Ev. Ac.</t>
  </si>
  <si>
    <t>South Sudan SSI</t>
  </si>
  <si>
    <t>Sudan SSI</t>
  </si>
  <si>
    <t>Number of Reported Treatments per Disease</t>
  </si>
  <si>
    <t>Etiopia SCI</t>
  </si>
  <si>
    <t>LF</t>
  </si>
  <si>
    <t>Trachoma</t>
  </si>
  <si>
    <t xml:space="preserve">Angola </t>
  </si>
  <si>
    <t>India Rajasthan</t>
  </si>
  <si>
    <t>Actuals as of 1/16/2016</t>
  </si>
  <si>
    <t>Actuals and projected for 2016</t>
  </si>
  <si>
    <t>Disbursed and Projected 2016</t>
  </si>
  <si>
    <t>Total to Date Disbursed and Projected</t>
  </si>
  <si>
    <t>Active Programs Sub-Total:</t>
  </si>
  <si>
    <t>Closed Programs Sub-Total:</t>
  </si>
  <si>
    <t xml:space="preserve">2012-2016 </t>
  </si>
  <si>
    <t>Treatments per disease</t>
  </si>
  <si>
    <t>2012-2016 Total</t>
  </si>
  <si>
    <t xml:space="preserve">Zimbabwe </t>
  </si>
  <si>
    <t xml:space="preserve">Burundi </t>
  </si>
  <si>
    <t xml:space="preserve">CAR </t>
  </si>
  <si>
    <t xml:space="preserve">Ethiopia </t>
  </si>
  <si>
    <t xml:space="preserve">Mali </t>
  </si>
  <si>
    <t xml:space="preserve">All diseases </t>
  </si>
  <si>
    <t>Percentage of all treatments</t>
  </si>
  <si>
    <t>Added by GiveWell:</t>
  </si>
  <si>
    <t>Countries</t>
  </si>
  <si>
    <t>India</t>
  </si>
  <si>
    <t>Sudan</t>
  </si>
  <si>
    <t xml:space="preserve">Total disbursed through 2015 or expected to be disbursed in 2016 </t>
  </si>
  <si>
    <t>Country</t>
  </si>
  <si>
    <t>Central African Republic</t>
  </si>
  <si>
    <t>Democratic Republic of Congo</t>
  </si>
  <si>
    <t>Other</t>
  </si>
  <si>
    <t>% of total</t>
  </si>
  <si>
    <t>Spending per reported treatment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</si>
</sst>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24">
    <font>
      <sz val="12"/>
      <color theme="1"/>
      <name val="Calibri"/>
      <family val="2"/>
      <scheme val="minor"/>
    </font>
    <font>
      <sz val="9"/>
      <color indexed="81"/>
      <name val="Calibri"/>
      <family val="2"/>
    </font>
    <font>
      <b/>
      <sz val="9"/>
      <color indexed="81"/>
      <name val="Calibri"/>
      <family val="2"/>
    </font>
    <font>
      <sz val="8"/>
      <name val="Calibri"/>
      <family val="2"/>
    </font>
    <font>
      <sz val="12"/>
      <color indexed="8"/>
      <name val="Calibri"/>
      <family val="2"/>
    </font>
    <font>
      <b/>
      <sz val="12"/>
      <color indexed="8"/>
      <name val="Calibri"/>
      <family val="2"/>
    </font>
    <font>
      <sz val="12"/>
      <name val="Calibri"/>
    </font>
    <font>
      <sz val="12"/>
      <color indexed="19"/>
      <name val="Calibri"/>
      <family val="2"/>
    </font>
    <font>
      <sz val="12"/>
      <color indexed="54"/>
      <name val="Calibri"/>
      <family val="2"/>
    </font>
    <font>
      <sz val="12"/>
      <color indexed="8"/>
      <name val="Calibri"/>
      <family val="2"/>
    </font>
    <font>
      <i/>
      <sz val="12"/>
      <color indexed="8"/>
      <name val="Calibri"/>
      <family val="2"/>
    </font>
    <font>
      <sz val="8"/>
      <name val="Verdana"/>
      <family val="2"/>
    </font>
    <font>
      <sz val="12"/>
      <name val="Frutiger LT Std 45 Light"/>
      <family val="2"/>
    </font>
    <font>
      <sz val="11"/>
      <name val="Frutiger LT Std 45 Light"/>
      <family val="2"/>
    </font>
    <font>
      <sz val="12"/>
      <color theme="1"/>
      <name val="Calibri"/>
      <family val="2"/>
      <scheme val="minor"/>
    </font>
    <font>
      <sz val="12"/>
      <color rgb="FF006100"/>
      <name val="Calibri"/>
      <family val="2"/>
      <scheme val="minor"/>
    </font>
    <font>
      <sz val="12"/>
      <color theme="1"/>
      <name val="Frutiger LT Std 45 Light"/>
      <family val="2"/>
    </font>
    <font>
      <b/>
      <sz val="12"/>
      <color theme="1"/>
      <name val="Frutiger LT Std 45 Light"/>
      <family val="2"/>
    </font>
    <font>
      <b/>
      <sz val="11"/>
      <color theme="1"/>
      <name val="Frutiger LT Std 45 Light"/>
      <family val="2"/>
    </font>
    <font>
      <sz val="11"/>
      <color theme="1"/>
      <name val="Frutiger LT Std 45 Light"/>
      <family val="2"/>
    </font>
    <font>
      <sz val="12"/>
      <color rgb="FFFF0000"/>
      <name val="Frutiger LT Std 45 Light"/>
      <family val="2"/>
    </font>
    <font>
      <sz val="9"/>
      <color theme="8" tint="0.39997558519241921"/>
      <name val="Frutiger LT Std 45 Light"/>
      <family val="2"/>
    </font>
    <font>
      <sz val="12.1"/>
      <color rgb="FF000000"/>
      <name val="Frutiger LT Std 45 Light"/>
      <family val="2"/>
    </font>
    <font>
      <i/>
      <sz val="12"/>
      <color theme="1"/>
      <name val="Frutiger LT Std 45 Light"/>
    </font>
  </fonts>
  <fills count="1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7"/>
        <bgColor indexed="64"/>
      </patternFill>
    </fill>
    <fill>
      <patternFill patternType="solid">
        <fgColor indexed="29"/>
        <bgColor indexed="64"/>
      </patternFill>
    </fill>
    <fill>
      <patternFill patternType="solid">
        <fgColor indexed="41"/>
        <bgColor indexed="8"/>
      </patternFill>
    </fill>
    <fill>
      <patternFill patternType="solid">
        <fgColor indexed="44"/>
        <bgColor indexed="8"/>
      </patternFill>
    </fill>
    <fill>
      <patternFill patternType="solid">
        <fgColor indexed="49"/>
        <bgColor indexed="8"/>
      </patternFill>
    </fill>
    <fill>
      <patternFill patternType="solid">
        <fgColor indexed="49"/>
        <bgColor indexed="64"/>
      </patternFill>
    </fill>
    <fill>
      <patternFill patternType="solid">
        <fgColor indexed="44"/>
        <bgColor indexed="64"/>
      </patternFill>
    </fill>
    <fill>
      <patternFill patternType="solid">
        <fgColor indexed="41"/>
        <bgColor indexed="64"/>
      </patternFill>
    </fill>
    <fill>
      <patternFill patternType="solid">
        <fgColor theme="4" tint="0.79998168889431442"/>
        <bgColor indexed="65"/>
      </patternFill>
    </fill>
    <fill>
      <patternFill patternType="solid">
        <fgColor rgb="FFC6EFCE"/>
      </patternFill>
    </fill>
    <fill>
      <patternFill patternType="solid">
        <fgColor theme="0" tint="-0.249977111117893"/>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4" fillId="13" borderId="0" applyNumberFormat="0" applyBorder="0" applyAlignment="0" applyProtection="0"/>
    <xf numFmtId="0" fontId="14" fillId="13"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4" fillId="0" borderId="0" applyFont="0" applyFill="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0" borderId="0"/>
    <xf numFmtId="0" fontId="14" fillId="0" borderId="0"/>
    <xf numFmtId="9" fontId="4" fillId="0" borderId="0" applyFont="0" applyFill="0" applyBorder="0" applyAlignment="0" applyProtection="0"/>
  </cellStyleXfs>
  <cellXfs count="180">
    <xf numFmtId="0" fontId="0" fillId="0" borderId="0" xfId="0"/>
    <xf numFmtId="164" fontId="0" fillId="0" borderId="0" xfId="0" applyNumberFormat="1"/>
    <xf numFmtId="3" fontId="0" fillId="0" borderId="0" xfId="0" applyNumberFormat="1"/>
    <xf numFmtId="0" fontId="0" fillId="0" borderId="0" xfId="0" applyAlignment="1">
      <alignment horizontal="right"/>
    </xf>
    <xf numFmtId="164" fontId="0" fillId="0" borderId="0" xfId="0" applyNumberFormat="1" applyFill="1"/>
    <xf numFmtId="0" fontId="0" fillId="0" borderId="0" xfId="0" applyFill="1"/>
    <xf numFmtId="5" fontId="4" fillId="0" borderId="0" xfId="5" applyNumberFormat="1" applyFont="1"/>
    <xf numFmtId="0" fontId="5" fillId="0" borderId="0" xfId="0" applyFont="1"/>
    <xf numFmtId="0" fontId="5" fillId="0" borderId="0" xfId="0" applyFont="1" applyAlignment="1">
      <alignment horizontal="center"/>
    </xf>
    <xf numFmtId="0" fontId="0" fillId="0" borderId="1" xfId="0" applyBorder="1"/>
    <xf numFmtId="0" fontId="0" fillId="0" borderId="1" xfId="0" applyBorder="1" applyAlignment="1">
      <alignment horizontal="right"/>
    </xf>
    <xf numFmtId="164" fontId="0" fillId="0" borderId="1" xfId="0" applyNumberFormat="1" applyBorder="1"/>
    <xf numFmtId="5" fontId="4" fillId="0" borderId="0" xfId="5" applyNumberFormat="1" applyFont="1" applyFill="1"/>
    <xf numFmtId="5" fontId="4" fillId="0" borderId="1" xfId="5" applyNumberFormat="1" applyFont="1" applyBorder="1"/>
    <xf numFmtId="0" fontId="6" fillId="0" borderId="0" xfId="0" applyFont="1"/>
    <xf numFmtId="0" fontId="7" fillId="0" borderId="0" xfId="0" applyFont="1"/>
    <xf numFmtId="5" fontId="0" fillId="0" borderId="0" xfId="0" applyNumberFormat="1"/>
    <xf numFmtId="0" fontId="0" fillId="0" borderId="0" xfId="0" applyAlignment="1">
      <alignment horizontal="left" wrapText="1"/>
    </xf>
    <xf numFmtId="0" fontId="8" fillId="0" borderId="0" xfId="0" applyFont="1" applyFill="1"/>
    <xf numFmtId="0" fontId="15" fillId="14" borderId="0" xfId="6" applyProtection="1">
      <protection locked="0"/>
    </xf>
    <xf numFmtId="0" fontId="0" fillId="0" borderId="0" xfId="0" applyProtection="1">
      <protection locked="0"/>
    </xf>
    <xf numFmtId="3" fontId="0" fillId="2" borderId="2" xfId="0" applyNumberFormat="1" applyFill="1" applyBorder="1" applyProtection="1">
      <protection locked="0"/>
    </xf>
    <xf numFmtId="3" fontId="0" fillId="2" borderId="0" xfId="0" applyNumberFormat="1" applyFill="1" applyBorder="1" applyProtection="1">
      <protection locked="0"/>
    </xf>
    <xf numFmtId="3" fontId="0" fillId="0" borderId="0" xfId="0" applyNumberFormat="1" applyFill="1" applyBorder="1" applyProtection="1">
      <protection locked="0"/>
    </xf>
    <xf numFmtId="3" fontId="0" fillId="0" borderId="3" xfId="0" applyNumberFormat="1" applyBorder="1" applyProtection="1">
      <protection locked="0"/>
    </xf>
    <xf numFmtId="3" fontId="0" fillId="0" borderId="0" xfId="0" applyNumberFormat="1" applyBorder="1" applyProtection="1">
      <protection locked="0"/>
    </xf>
    <xf numFmtId="3" fontId="0" fillId="2" borderId="3" xfId="0" applyNumberFormat="1" applyFill="1" applyBorder="1" applyProtection="1">
      <protection locked="0"/>
    </xf>
    <xf numFmtId="3" fontId="0" fillId="2" borderId="4" xfId="0" applyNumberFormat="1" applyFill="1" applyBorder="1" applyProtection="1">
      <protection locked="0"/>
    </xf>
    <xf numFmtId="3" fontId="0" fillId="0" borderId="2" xfId="0" applyNumberFormat="1" applyBorder="1" applyProtection="1">
      <protection locked="0"/>
    </xf>
    <xf numFmtId="0" fontId="0" fillId="0" borderId="0" xfId="0" applyFill="1" applyProtection="1">
      <protection locked="0"/>
    </xf>
    <xf numFmtId="3" fontId="0" fillId="0" borderId="3" xfId="0" applyNumberFormat="1" applyFill="1" applyBorder="1" applyProtection="1">
      <protection locked="0"/>
    </xf>
    <xf numFmtId="3" fontId="0" fillId="0" borderId="2" xfId="0" applyNumberFormat="1" applyFill="1" applyBorder="1" applyProtection="1">
      <protection locked="0"/>
    </xf>
    <xf numFmtId="0" fontId="0" fillId="0" borderId="0" xfId="0" applyAlignment="1" applyProtection="1">
      <alignment horizontal="right"/>
      <protection locked="0"/>
    </xf>
    <xf numFmtId="3" fontId="0" fillId="0" borderId="5" xfId="0" applyNumberFormat="1" applyBorder="1" applyProtection="1">
      <protection locked="0"/>
    </xf>
    <xf numFmtId="3" fontId="0" fillId="0" borderId="6" xfId="0" applyNumberFormat="1" applyBorder="1" applyProtection="1">
      <protection locked="0"/>
    </xf>
    <xf numFmtId="3" fontId="0" fillId="0" borderId="7" xfId="0" applyNumberFormat="1" applyBorder="1" applyProtection="1">
      <protection locked="0"/>
    </xf>
    <xf numFmtId="3" fontId="0" fillId="0" borderId="0" xfId="0" applyNumberFormat="1" applyProtection="1">
      <protection locked="0"/>
    </xf>
    <xf numFmtId="0" fontId="0" fillId="0" borderId="0" xfId="0" applyBorder="1" applyProtection="1">
      <protection locked="0"/>
    </xf>
    <xf numFmtId="3" fontId="6" fillId="0" borderId="2" xfId="0" applyNumberFormat="1" applyFont="1" applyFill="1" applyBorder="1" applyProtection="1">
      <protection locked="0"/>
    </xf>
    <xf numFmtId="3" fontId="6" fillId="2" borderId="2" xfId="0" applyNumberFormat="1" applyFont="1" applyFill="1" applyBorder="1" applyProtection="1">
      <protection locked="0"/>
    </xf>
    <xf numFmtId="0" fontId="0" fillId="0" borderId="8" xfId="0" applyFill="1" applyBorder="1" applyAlignment="1" applyProtection="1">
      <protection locked="0"/>
    </xf>
    <xf numFmtId="0" fontId="0" fillId="0" borderId="1"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Fill="1" applyBorder="1" applyAlignment="1" applyProtection="1">
      <protection locked="0"/>
    </xf>
    <xf numFmtId="164" fontId="0" fillId="3" borderId="0" xfId="0" applyNumberFormat="1" applyFill="1"/>
    <xf numFmtId="5" fontId="4" fillId="3" borderId="0" xfId="5" applyNumberFormat="1" applyFont="1" applyFill="1"/>
    <xf numFmtId="0" fontId="0" fillId="4" borderId="0" xfId="0" applyFill="1"/>
    <xf numFmtId="0" fontId="0" fillId="5" borderId="0" xfId="0" applyFill="1"/>
    <xf numFmtId="0" fontId="6" fillId="5" borderId="0" xfId="0" applyFont="1" applyFill="1"/>
    <xf numFmtId="0" fontId="8" fillId="5" borderId="0" xfId="0" applyFont="1" applyFill="1"/>
    <xf numFmtId="0" fontId="6" fillId="4" borderId="0" xfId="0" applyFont="1" applyFill="1"/>
    <xf numFmtId="0" fontId="8" fillId="4" borderId="0" xfId="0" applyFont="1" applyFill="1"/>
    <xf numFmtId="3" fontId="14" fillId="0" borderId="5" xfId="1" applyNumberFormat="1" applyFill="1" applyBorder="1" applyProtection="1">
      <protection locked="0"/>
    </xf>
    <xf numFmtId="3" fontId="14" fillId="0" borderId="7" xfId="1" applyNumberFormat="1" applyFill="1" applyBorder="1" applyProtection="1">
      <protection locked="0"/>
    </xf>
    <xf numFmtId="0" fontId="0" fillId="0" borderId="0" xfId="0" applyProtection="1"/>
    <xf numFmtId="0" fontId="0" fillId="0" borderId="8" xfId="0" applyFill="1" applyBorder="1" applyAlignment="1" applyProtection="1"/>
    <xf numFmtId="0" fontId="0" fillId="0" borderId="1" xfId="0" applyFill="1" applyBorder="1" applyAlignment="1" applyProtection="1"/>
    <xf numFmtId="0" fontId="0" fillId="0" borderId="1" xfId="0" applyFill="1" applyBorder="1" applyAlignment="1" applyProtection="1">
      <alignment horizontal="center"/>
    </xf>
    <xf numFmtId="0" fontId="0" fillId="0" borderId="1" xfId="0" applyBorder="1" applyAlignment="1" applyProtection="1">
      <alignment horizontal="center"/>
    </xf>
    <xf numFmtId="3" fontId="0" fillId="0" borderId="2" xfId="0" applyNumberFormat="1" applyFill="1" applyBorder="1" applyProtection="1"/>
    <xf numFmtId="3" fontId="6" fillId="0" borderId="3" xfId="0" applyNumberFormat="1" applyFont="1" applyFill="1" applyBorder="1" applyProtection="1"/>
    <xf numFmtId="3" fontId="0" fillId="0" borderId="3" xfId="0" applyNumberFormat="1" applyFill="1" applyBorder="1" applyProtection="1"/>
    <xf numFmtId="3" fontId="0" fillId="0" borderId="0" xfId="0" applyNumberFormat="1" applyBorder="1" applyProtection="1"/>
    <xf numFmtId="3" fontId="0" fillId="0" borderId="3" xfId="0" applyNumberFormat="1" applyBorder="1" applyProtection="1"/>
    <xf numFmtId="3" fontId="0" fillId="2" borderId="0" xfId="0" applyNumberFormat="1" applyFill="1" applyBorder="1" applyProtection="1"/>
    <xf numFmtId="3" fontId="0" fillId="2" borderId="4" xfId="0" applyNumberFormat="1" applyFill="1" applyBorder="1" applyProtection="1"/>
    <xf numFmtId="3" fontId="0" fillId="2" borderId="2" xfId="0" applyNumberFormat="1" applyFill="1" applyBorder="1" applyProtection="1"/>
    <xf numFmtId="3" fontId="0" fillId="2" borderId="3" xfId="0" applyNumberFormat="1" applyFill="1" applyBorder="1" applyProtection="1"/>
    <xf numFmtId="0" fontId="0" fillId="0" borderId="0" xfId="0" applyFill="1" applyProtection="1"/>
    <xf numFmtId="3" fontId="0" fillId="0" borderId="0" xfId="0" applyNumberFormat="1" applyFill="1" applyBorder="1" applyProtection="1"/>
    <xf numFmtId="3" fontId="0" fillId="0" borderId="2" xfId="0" applyNumberFormat="1" applyBorder="1" applyProtection="1"/>
    <xf numFmtId="3" fontId="0" fillId="6" borderId="3" xfId="0" applyNumberFormat="1" applyFill="1" applyBorder="1" applyProtection="1"/>
    <xf numFmtId="0" fontId="0" fillId="0" borderId="0" xfId="0" applyAlignment="1" applyProtection="1">
      <alignment horizontal="right"/>
    </xf>
    <xf numFmtId="3" fontId="14" fillId="0" borderId="5" xfId="1" applyNumberFormat="1" applyFill="1" applyBorder="1" applyProtection="1"/>
    <xf numFmtId="3" fontId="14" fillId="0" borderId="7" xfId="1" applyNumberFormat="1" applyFill="1" applyBorder="1" applyProtection="1"/>
    <xf numFmtId="3" fontId="0" fillId="0" borderId="5" xfId="0" applyNumberFormat="1" applyBorder="1" applyProtection="1"/>
    <xf numFmtId="3" fontId="0" fillId="0" borderId="7" xfId="0" applyNumberFormat="1" applyBorder="1" applyProtection="1"/>
    <xf numFmtId="3" fontId="0" fillId="0" borderId="6" xfId="0" applyNumberFormat="1" applyBorder="1" applyProtection="1"/>
    <xf numFmtId="3" fontId="0" fillId="0" borderId="9" xfId="0" applyNumberFormat="1" applyBorder="1" applyProtection="1"/>
    <xf numFmtId="0" fontId="0" fillId="0" borderId="0" xfId="0" applyAlignment="1" applyProtection="1">
      <alignment horizontal="left" wrapText="1"/>
    </xf>
    <xf numFmtId="0" fontId="0" fillId="0" borderId="8" xfId="0" applyBorder="1" applyAlignment="1" applyProtection="1"/>
    <xf numFmtId="0" fontId="0" fillId="0" borderId="10" xfId="0" applyBorder="1" applyAlignment="1" applyProtection="1"/>
    <xf numFmtId="3" fontId="6" fillId="0" borderId="0" xfId="0" applyNumberFormat="1" applyFont="1" applyFill="1" applyBorder="1" applyProtection="1"/>
    <xf numFmtId="3" fontId="0" fillId="0" borderId="5" xfId="0" applyNumberFormat="1" applyFill="1" applyBorder="1" applyProtection="1"/>
    <xf numFmtId="3" fontId="14" fillId="0" borderId="6" xfId="1" applyNumberFormat="1" applyFill="1" applyBorder="1" applyProtection="1"/>
    <xf numFmtId="0" fontId="0" fillId="4" borderId="0" xfId="0" applyFill="1" applyAlignment="1">
      <alignment horizontal="center"/>
    </xf>
    <xf numFmtId="0" fontId="0" fillId="5" borderId="0" xfId="0" applyFill="1" applyAlignment="1">
      <alignment horizontal="center"/>
    </xf>
    <xf numFmtId="0" fontId="9" fillId="7" borderId="0" xfId="0" applyFont="1" applyFill="1" applyAlignment="1">
      <alignment horizontal="center"/>
    </xf>
    <xf numFmtId="0" fontId="9" fillId="8" borderId="0" xfId="0" applyFont="1" applyFill="1" applyAlignment="1">
      <alignment horizontal="center"/>
    </xf>
    <xf numFmtId="0" fontId="9" fillId="9" borderId="0" xfId="0" applyFont="1" applyFill="1" applyAlignment="1">
      <alignment horizontal="center"/>
    </xf>
    <xf numFmtId="0" fontId="0" fillId="10" borderId="0" xfId="0" applyFill="1"/>
    <xf numFmtId="0" fontId="0" fillId="11" borderId="0" xfId="0" applyFill="1"/>
    <xf numFmtId="0" fontId="0" fillId="12" borderId="0" xfId="0" applyFill="1"/>
    <xf numFmtId="164" fontId="4" fillId="3" borderId="0" xfId="5" applyNumberFormat="1" applyFont="1" applyFill="1"/>
    <xf numFmtId="0" fontId="5" fillId="0" borderId="0" xfId="0" applyFont="1" applyFill="1" applyAlignment="1">
      <alignment horizontal="center"/>
    </xf>
    <xf numFmtId="0" fontId="5" fillId="0" borderId="0" xfId="0" applyFont="1" applyFill="1"/>
    <xf numFmtId="0" fontId="8" fillId="0" borderId="0" xfId="0" applyFont="1" applyFill="1" applyProtection="1">
      <protection locked="0"/>
    </xf>
    <xf numFmtId="3" fontId="10" fillId="0" borderId="2" xfId="0" applyNumberFormat="1" applyFont="1" applyFill="1" applyBorder="1" applyProtection="1">
      <protection locked="0"/>
    </xf>
    <xf numFmtId="3" fontId="0" fillId="0" borderId="4" xfId="0" applyNumberFormat="1" applyFill="1" applyBorder="1" applyProtection="1">
      <protection locked="0"/>
    </xf>
    <xf numFmtId="164" fontId="4" fillId="0" borderId="0" xfId="5" applyNumberFormat="1" applyFont="1" applyFill="1"/>
    <xf numFmtId="3" fontId="6" fillId="0" borderId="3" xfId="0" applyNumberFormat="1" applyFont="1" applyFill="1" applyBorder="1" applyProtection="1">
      <protection locked="0"/>
    </xf>
    <xf numFmtId="3" fontId="10" fillId="0" borderId="3" xfId="0" applyNumberFormat="1" applyFont="1" applyFill="1" applyBorder="1" applyProtection="1">
      <protection locked="0"/>
    </xf>
    <xf numFmtId="3" fontId="10" fillId="0" borderId="0" xfId="0" applyNumberFormat="1" applyFont="1" applyFill="1" applyBorder="1" applyProtection="1">
      <protection locked="0"/>
    </xf>
    <xf numFmtId="0" fontId="5" fillId="0" borderId="0" xfId="0" applyFont="1" applyFill="1" applyProtection="1">
      <protection locked="0"/>
    </xf>
    <xf numFmtId="0" fontId="6" fillId="0" borderId="0" xfId="0" applyFont="1" applyFill="1" applyProtection="1">
      <protection locked="0"/>
    </xf>
    <xf numFmtId="0" fontId="6" fillId="0" borderId="0" xfId="0" applyFont="1" applyFill="1"/>
    <xf numFmtId="164" fontId="0" fillId="0" borderId="1" xfId="0" applyNumberFormat="1" applyFill="1" applyBorder="1"/>
    <xf numFmtId="0" fontId="0" fillId="0" borderId="0" xfId="0" applyFont="1"/>
    <xf numFmtId="0" fontId="10" fillId="0" borderId="0" xfId="0" applyFont="1" applyFill="1"/>
    <xf numFmtId="164" fontId="10" fillId="0" borderId="0" xfId="0" applyNumberFormat="1" applyFont="1" applyFill="1"/>
    <xf numFmtId="0" fontId="10" fillId="0" borderId="0" xfId="0" applyFont="1"/>
    <xf numFmtId="164" fontId="10" fillId="0" borderId="0" xfId="0" applyNumberFormat="1" applyFont="1"/>
    <xf numFmtId="0" fontId="0" fillId="0" borderId="0" xfId="0" applyFont="1" applyFill="1"/>
    <xf numFmtId="164" fontId="0" fillId="0" borderId="0" xfId="0" applyNumberFormat="1" applyFont="1" applyFill="1"/>
    <xf numFmtId="3" fontId="0" fillId="0" borderId="2" xfId="0" applyNumberFormat="1" applyFont="1" applyFill="1" applyBorder="1" applyProtection="1">
      <protection locked="0"/>
    </xf>
    <xf numFmtId="3" fontId="0" fillId="0" borderId="0" xfId="0" applyNumberFormat="1" applyFont="1" applyFill="1" applyBorder="1" applyProtection="1">
      <protection locked="0"/>
    </xf>
    <xf numFmtId="0" fontId="15" fillId="0" borderId="0" xfId="6" applyFill="1" applyProtection="1">
      <protection locked="0"/>
    </xf>
    <xf numFmtId="3" fontId="16" fillId="0" borderId="0" xfId="0" applyNumberFormat="1" applyFont="1"/>
    <xf numFmtId="0" fontId="16" fillId="0" borderId="0" xfId="0" applyFont="1"/>
    <xf numFmtId="0" fontId="17" fillId="15" borderId="1" xfId="0" applyNumberFormat="1" applyFont="1" applyFill="1" applyBorder="1"/>
    <xf numFmtId="3" fontId="17" fillId="15" borderId="1" xfId="0" applyNumberFormat="1" applyFont="1" applyFill="1" applyBorder="1"/>
    <xf numFmtId="3" fontId="18" fillId="15" borderId="1" xfId="0" applyNumberFormat="1" applyFont="1" applyFill="1" applyBorder="1"/>
    <xf numFmtId="3" fontId="17" fillId="15" borderId="1" xfId="0" applyNumberFormat="1" applyFont="1" applyFill="1" applyBorder="1" applyAlignment="1">
      <alignment horizontal="center"/>
    </xf>
    <xf numFmtId="3" fontId="16" fillId="0" borderId="1" xfId="0" applyNumberFormat="1" applyFont="1" applyBorder="1"/>
    <xf numFmtId="3" fontId="16" fillId="0" borderId="1" xfId="0" applyNumberFormat="1" applyFont="1" applyFill="1" applyBorder="1"/>
    <xf numFmtId="3" fontId="19" fillId="0" borderId="1" xfId="9" applyNumberFormat="1" applyFont="1" applyBorder="1" applyAlignment="1" applyProtection="1">
      <alignment horizontal="right"/>
    </xf>
    <xf numFmtId="3" fontId="19" fillId="0" borderId="1" xfId="9" applyNumberFormat="1" applyFont="1" applyFill="1" applyBorder="1" applyAlignment="1" applyProtection="1">
      <alignment horizontal="right"/>
    </xf>
    <xf numFmtId="3" fontId="18" fillId="0" borderId="1" xfId="0" applyNumberFormat="1" applyFont="1" applyBorder="1"/>
    <xf numFmtId="3" fontId="17" fillId="16" borderId="1" xfId="0" applyNumberFormat="1" applyFont="1" applyFill="1" applyBorder="1"/>
    <xf numFmtId="3" fontId="17" fillId="0" borderId="1" xfId="0" applyNumberFormat="1" applyFont="1" applyBorder="1"/>
    <xf numFmtId="0" fontId="20" fillId="0" borderId="0" xfId="9" applyFont="1" applyProtection="1"/>
    <xf numFmtId="0" fontId="16" fillId="0" borderId="0" xfId="9" applyFont="1" applyProtection="1"/>
    <xf numFmtId="0" fontId="21" fillId="0" borderId="0" xfId="9" applyFont="1" applyAlignment="1" applyProtection="1">
      <alignment horizontal="left"/>
    </xf>
    <xf numFmtId="164" fontId="16" fillId="0" borderId="0" xfId="9" applyNumberFormat="1" applyFont="1" applyProtection="1"/>
    <xf numFmtId="164" fontId="16" fillId="0" borderId="0" xfId="9" applyNumberFormat="1" applyFont="1" applyFill="1" applyProtection="1"/>
    <xf numFmtId="164" fontId="16" fillId="15" borderId="0" xfId="9" applyNumberFormat="1" applyFont="1" applyFill="1" applyProtection="1"/>
    <xf numFmtId="0" fontId="16" fillId="0" borderId="0" xfId="9" applyFont="1" applyBorder="1" applyProtection="1"/>
    <xf numFmtId="0" fontId="12" fillId="0" borderId="0" xfId="9" applyFont="1" applyFill="1" applyBorder="1" applyProtection="1"/>
    <xf numFmtId="0" fontId="12" fillId="0" borderId="0" xfId="9" applyFont="1" applyBorder="1" applyProtection="1"/>
    <xf numFmtId="0" fontId="22" fillId="0" borderId="0" xfId="0" applyFont="1" applyBorder="1"/>
    <xf numFmtId="0" fontId="12" fillId="0" borderId="0" xfId="9" applyFont="1" applyProtection="1"/>
    <xf numFmtId="0" fontId="16" fillId="0" borderId="1" xfId="9" applyFont="1" applyBorder="1" applyAlignment="1" applyProtection="1">
      <alignment horizontal="right"/>
    </xf>
    <xf numFmtId="164" fontId="16" fillId="0" borderId="1" xfId="9" applyNumberFormat="1" applyFont="1" applyBorder="1" applyProtection="1"/>
    <xf numFmtId="0" fontId="16" fillId="0" borderId="0" xfId="9" applyFont="1" applyFill="1" applyProtection="1"/>
    <xf numFmtId="164" fontId="16" fillId="0" borderId="1" xfId="9" applyNumberFormat="1" applyFont="1" applyFill="1" applyBorder="1" applyProtection="1"/>
    <xf numFmtId="0" fontId="16" fillId="0" borderId="0" xfId="9" applyFont="1" applyBorder="1" applyAlignment="1" applyProtection="1">
      <alignment horizontal="right"/>
    </xf>
    <xf numFmtId="164" fontId="16" fillId="0" borderId="0" xfId="9" applyNumberFormat="1" applyFont="1" applyBorder="1" applyProtection="1"/>
    <xf numFmtId="3" fontId="16" fillId="0" borderId="0" xfId="0" applyNumberFormat="1" applyFont="1" applyBorder="1"/>
    <xf numFmtId="0" fontId="16" fillId="0" borderId="0" xfId="0" applyFont="1" applyBorder="1"/>
    <xf numFmtId="9" fontId="17" fillId="0" borderId="1" xfId="10" applyFont="1" applyBorder="1"/>
    <xf numFmtId="3" fontId="18" fillId="0" borderId="0" xfId="0" applyNumberFormat="1" applyFont="1" applyBorder="1"/>
    <xf numFmtId="0" fontId="17" fillId="15" borderId="0" xfId="9" applyFont="1" applyFill="1" applyProtection="1"/>
    <xf numFmtId="0" fontId="16" fillId="15" borderId="0" xfId="0" applyFont="1" applyFill="1"/>
    <xf numFmtId="0" fontId="17" fillId="15" borderId="1" xfId="9" applyFont="1" applyFill="1" applyBorder="1" applyProtection="1"/>
    <xf numFmtId="0" fontId="17" fillId="15" borderId="1" xfId="9" applyFont="1" applyFill="1" applyBorder="1" applyAlignment="1" applyProtection="1">
      <alignment wrapText="1"/>
    </xf>
    <xf numFmtId="0" fontId="17" fillId="15" borderId="1" xfId="9" applyFont="1" applyFill="1" applyBorder="1" applyAlignment="1" applyProtection="1">
      <alignment horizontal="right"/>
    </xf>
    <xf numFmtId="164" fontId="17" fillId="15" borderId="1" xfId="9" applyNumberFormat="1" applyFont="1" applyFill="1" applyBorder="1" applyProtection="1"/>
    <xf numFmtId="0" fontId="16" fillId="15" borderId="1" xfId="9" applyFont="1" applyFill="1" applyBorder="1" applyProtection="1"/>
    <xf numFmtId="0" fontId="16" fillId="15" borderId="1" xfId="9" applyFont="1" applyFill="1" applyBorder="1" applyAlignment="1" applyProtection="1">
      <alignment horizontal="right"/>
    </xf>
    <xf numFmtId="165" fontId="16" fillId="0" borderId="0" xfId="5" applyNumberFormat="1" applyFont="1" applyProtection="1"/>
    <xf numFmtId="165" fontId="16" fillId="0" borderId="0" xfId="5" applyNumberFormat="1" applyFont="1" applyFill="1" applyProtection="1"/>
    <xf numFmtId="165" fontId="16" fillId="0" borderId="0" xfId="5" applyNumberFormat="1" applyFont="1"/>
    <xf numFmtId="165" fontId="16" fillId="0" borderId="0" xfId="5" applyNumberFormat="1" applyFont="1" applyBorder="1"/>
    <xf numFmtId="165" fontId="16" fillId="0" borderId="0" xfId="5" applyNumberFormat="1" applyFont="1" applyFill="1" applyBorder="1" applyProtection="1"/>
    <xf numFmtId="165" fontId="13" fillId="0" borderId="0" xfId="5" applyNumberFormat="1" applyFont="1" applyBorder="1"/>
    <xf numFmtId="9" fontId="16" fillId="0" borderId="0" xfId="10" applyFont="1"/>
    <xf numFmtId="165" fontId="16" fillId="0" borderId="0" xfId="9" applyNumberFormat="1" applyFont="1" applyProtection="1"/>
    <xf numFmtId="9" fontId="16" fillId="0" borderId="0" xfId="10" applyFont="1" applyProtection="1"/>
    <xf numFmtId="9" fontId="16" fillId="0" borderId="0" xfId="9" applyNumberFormat="1" applyFont="1" applyProtection="1"/>
    <xf numFmtId="44" fontId="16" fillId="0" borderId="0" xfId="5" applyFont="1"/>
    <xf numFmtId="166" fontId="16" fillId="0" borderId="0" xfId="5" applyNumberFormat="1" applyFont="1"/>
    <xf numFmtId="9" fontId="18" fillId="0" borderId="0" xfId="10" applyFont="1" applyBorder="1"/>
    <xf numFmtId="0" fontId="23" fillId="0" borderId="0" xfId="0" applyFont="1"/>
    <xf numFmtId="0" fontId="17" fillId="0" borderId="0" xfId="0" applyFont="1"/>
    <xf numFmtId="164" fontId="16" fillId="0" borderId="0" xfId="10" applyNumberFormat="1" applyFont="1" applyProtection="1"/>
    <xf numFmtId="3" fontId="18" fillId="15" borderId="1" xfId="0" applyNumberFormat="1" applyFont="1" applyFill="1" applyBorder="1" applyAlignment="1">
      <alignment horizontal="center"/>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xf>
    <xf numFmtId="0" fontId="0" fillId="0" borderId="11" xfId="0" applyBorder="1" applyAlignment="1" applyProtection="1">
      <alignment horizontal="center"/>
    </xf>
  </cellXfs>
  <cellStyles count="11">
    <cellStyle name="20% - Accent1" xfId="1" builtinId="30"/>
    <cellStyle name="20% - Accent1 2" xfId="2"/>
    <cellStyle name="Comma 2" xfId="3"/>
    <cellStyle name="Comma 2 2" xfId="4"/>
    <cellStyle name="Currency" xfId="5" builtinId="4"/>
    <cellStyle name="Good" xfId="6" builtinId="26"/>
    <cellStyle name="Good 2" xfId="7"/>
    <cellStyle name="Normal" xfId="0" builtinId="0"/>
    <cellStyle name="Normal 2" xfId="8"/>
    <cellStyle name="Normal 2 2" xfId="9"/>
    <cellStyle name="Percent" xfId="10"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abSelected="1" workbookViewId="0"/>
  </sheetViews>
  <sheetFormatPr defaultRowHeight="15"/>
  <cols>
    <col min="1" max="1" width="28" style="117" customWidth="1"/>
    <col min="2" max="5" width="15.375" style="117" customWidth="1"/>
    <col min="6" max="6" width="12.375" style="117" customWidth="1"/>
    <col min="7" max="7" width="16.875" style="118" customWidth="1"/>
    <col min="8" max="8" width="16.5" style="118" customWidth="1"/>
    <col min="9" max="12" width="15.125" style="118" customWidth="1"/>
    <col min="13" max="256" width="11" style="118" customWidth="1"/>
    <col min="257" max="16384" width="9" style="118"/>
  </cols>
  <sheetData>
    <row r="1" spans="1:12" ht="15.75">
      <c r="A1" s="119">
        <v>2016</v>
      </c>
      <c r="B1" s="175" t="s">
        <v>217</v>
      </c>
      <c r="C1" s="175"/>
      <c r="D1" s="175"/>
      <c r="E1" s="175"/>
      <c r="F1" s="175"/>
    </row>
    <row r="2" spans="1:12" ht="15.75">
      <c r="A2" s="121" t="s">
        <v>218</v>
      </c>
      <c r="B2" s="122" t="s">
        <v>219</v>
      </c>
      <c r="C2" s="122" t="s">
        <v>220</v>
      </c>
      <c r="D2" s="122" t="s">
        <v>221</v>
      </c>
      <c r="E2" s="122" t="s">
        <v>222</v>
      </c>
      <c r="F2" s="122" t="s">
        <v>223</v>
      </c>
      <c r="H2"/>
      <c r="I2"/>
      <c r="J2"/>
      <c r="K2"/>
      <c r="L2"/>
    </row>
    <row r="3" spans="1:12" ht="15.75">
      <c r="A3" s="123" t="s">
        <v>51</v>
      </c>
      <c r="B3" s="123">
        <v>1053606</v>
      </c>
      <c r="C3" s="123">
        <v>1442291</v>
      </c>
      <c r="D3" s="123">
        <v>345723</v>
      </c>
      <c r="E3" s="123">
        <v>312789</v>
      </c>
      <c r="F3" s="123"/>
      <c r="H3"/>
      <c r="I3"/>
      <c r="J3"/>
      <c r="K3"/>
      <c r="L3"/>
    </row>
    <row r="4" spans="1:12" ht="15.75">
      <c r="A4" s="123" t="s">
        <v>187</v>
      </c>
      <c r="B4" s="123">
        <v>1343648</v>
      </c>
      <c r="C4" s="123">
        <v>442255</v>
      </c>
      <c r="D4" s="123">
        <v>678749</v>
      </c>
      <c r="E4" s="123">
        <v>579740</v>
      </c>
      <c r="F4" s="123">
        <v>1590874</v>
      </c>
      <c r="H4"/>
      <c r="I4"/>
      <c r="J4"/>
      <c r="K4"/>
      <c r="L4"/>
    </row>
    <row r="5" spans="1:12" ht="15.75">
      <c r="A5" s="123" t="s">
        <v>188</v>
      </c>
      <c r="B5" s="123"/>
      <c r="C5" s="123"/>
      <c r="D5" s="123"/>
      <c r="E5" s="123"/>
      <c r="F5" s="123">
        <v>539842</v>
      </c>
      <c r="H5"/>
      <c r="I5"/>
      <c r="J5"/>
      <c r="K5"/>
      <c r="L5"/>
    </row>
    <row r="6" spans="1:12" ht="15.75">
      <c r="A6" s="123" t="s">
        <v>106</v>
      </c>
      <c r="B6" s="123"/>
      <c r="C6" s="123"/>
      <c r="D6" s="123">
        <v>4000000</v>
      </c>
      <c r="E6" s="123">
        <v>2360000</v>
      </c>
      <c r="F6" s="123"/>
      <c r="H6"/>
      <c r="I6"/>
      <c r="J6"/>
      <c r="K6"/>
      <c r="L6"/>
    </row>
    <row r="7" spans="1:12" ht="15.75">
      <c r="A7" s="123" t="s">
        <v>201</v>
      </c>
      <c r="B7" s="123"/>
      <c r="C7" s="123"/>
      <c r="D7" s="123">
        <v>3140920</v>
      </c>
      <c r="E7" s="123">
        <v>1729112</v>
      </c>
      <c r="F7" s="123"/>
      <c r="H7"/>
      <c r="I7"/>
      <c r="J7"/>
      <c r="K7"/>
      <c r="L7"/>
    </row>
    <row r="8" spans="1:12" ht="15.75">
      <c r="A8" s="123" t="s">
        <v>203</v>
      </c>
      <c r="B8" s="125">
        <v>1219437</v>
      </c>
      <c r="C8" s="125">
        <v>451225</v>
      </c>
      <c r="D8" s="126">
        <v>1650246</v>
      </c>
      <c r="E8" s="125">
        <v>3002932</v>
      </c>
      <c r="F8" s="123"/>
      <c r="H8"/>
      <c r="I8"/>
      <c r="J8"/>
      <c r="K8"/>
      <c r="L8"/>
    </row>
    <row r="9" spans="1:12" ht="15.75">
      <c r="A9" s="123" t="s">
        <v>167</v>
      </c>
      <c r="B9" s="123">
        <v>63840</v>
      </c>
      <c r="C9" s="123">
        <v>63840</v>
      </c>
      <c r="D9" s="123">
        <v>212800</v>
      </c>
      <c r="E9" s="123"/>
      <c r="F9" s="123"/>
      <c r="H9"/>
      <c r="I9"/>
      <c r="J9"/>
      <c r="K9"/>
      <c r="L9"/>
    </row>
    <row r="10" spans="1:12" ht="15.75">
      <c r="A10" s="123" t="s">
        <v>168</v>
      </c>
      <c r="B10" s="123">
        <v>482464</v>
      </c>
      <c r="C10" s="123">
        <v>86668</v>
      </c>
      <c r="D10" s="123">
        <v>294173</v>
      </c>
      <c r="E10" s="123">
        <v>2671384</v>
      </c>
      <c r="F10" s="123"/>
      <c r="H10"/>
      <c r="I10"/>
      <c r="J10"/>
      <c r="K10"/>
      <c r="L10"/>
    </row>
    <row r="11" spans="1:12" ht="15.75">
      <c r="A11" s="123" t="s">
        <v>224</v>
      </c>
      <c r="B11" s="123">
        <v>1168612</v>
      </c>
      <c r="C11" s="123">
        <v>99427</v>
      </c>
      <c r="D11" s="123"/>
      <c r="E11" s="123">
        <v>5035902</v>
      </c>
      <c r="F11" s="123"/>
      <c r="H11"/>
      <c r="I11"/>
      <c r="J11"/>
      <c r="K11"/>
      <c r="L11"/>
    </row>
    <row r="12" spans="1:12" ht="15.75">
      <c r="A12" s="123" t="s">
        <v>225</v>
      </c>
      <c r="B12" s="123"/>
      <c r="C12" s="123"/>
      <c r="D12" s="123"/>
      <c r="E12" s="123">
        <v>9311485</v>
      </c>
      <c r="F12" s="123"/>
      <c r="H12"/>
      <c r="I12"/>
      <c r="J12"/>
      <c r="K12"/>
      <c r="L12"/>
    </row>
    <row r="13" spans="1:12" ht="15.75">
      <c r="A13" s="123" t="s">
        <v>21</v>
      </c>
      <c r="B13" s="123">
        <v>8038537</v>
      </c>
      <c r="C13" s="123">
        <v>2572622</v>
      </c>
      <c r="D13" s="123"/>
      <c r="E13" s="123">
        <v>1107909</v>
      </c>
      <c r="F13" s="123"/>
      <c r="H13"/>
      <c r="I13"/>
      <c r="J13"/>
      <c r="K13"/>
      <c r="L13"/>
    </row>
    <row r="14" spans="1:12" ht="15.75">
      <c r="A14" s="123" t="s">
        <v>18</v>
      </c>
      <c r="B14" s="123">
        <v>10000000</v>
      </c>
      <c r="C14" s="123">
        <v>2572621</v>
      </c>
      <c r="D14" s="123"/>
      <c r="E14" s="123"/>
      <c r="F14" s="123"/>
      <c r="H14"/>
      <c r="I14"/>
      <c r="J14"/>
      <c r="K14"/>
      <c r="L14"/>
    </row>
    <row r="15" spans="1:12" ht="15.75">
      <c r="A15" s="123" t="s">
        <v>226</v>
      </c>
      <c r="B15" s="123"/>
      <c r="C15" s="123"/>
      <c r="D15" s="123"/>
      <c r="E15" s="123"/>
      <c r="F15" s="123">
        <v>142084</v>
      </c>
      <c r="H15"/>
      <c r="I15"/>
      <c r="J15"/>
      <c r="K15"/>
      <c r="L15"/>
    </row>
    <row r="16" spans="1:12" ht="15.75">
      <c r="A16" s="123" t="s">
        <v>227</v>
      </c>
      <c r="B16" s="123">
        <v>18343289</v>
      </c>
      <c r="C16" s="123"/>
      <c r="D16" s="123"/>
      <c r="E16" s="123"/>
      <c r="F16" s="123"/>
      <c r="H16"/>
      <c r="I16"/>
      <c r="J16"/>
      <c r="K16"/>
      <c r="L16"/>
    </row>
    <row r="17" spans="1:12" ht="15.75">
      <c r="A17" s="123" t="s">
        <v>228</v>
      </c>
      <c r="B17" s="123">
        <v>111160</v>
      </c>
      <c r="C17" s="123">
        <v>111160</v>
      </c>
      <c r="D17" s="123"/>
      <c r="E17" s="123"/>
      <c r="F17" s="123"/>
      <c r="H17"/>
      <c r="I17"/>
      <c r="J17"/>
      <c r="K17"/>
      <c r="L17"/>
    </row>
    <row r="18" spans="1:12" ht="15.75">
      <c r="A18" s="123" t="s">
        <v>171</v>
      </c>
      <c r="B18" s="123">
        <v>118246</v>
      </c>
      <c r="C18" s="123">
        <v>118246</v>
      </c>
      <c r="D18" s="123"/>
      <c r="E18" s="123"/>
      <c r="F18" s="123"/>
      <c r="H18"/>
      <c r="I18"/>
      <c r="J18"/>
      <c r="K18"/>
      <c r="L18"/>
    </row>
    <row r="19" spans="1:12" ht="15.75">
      <c r="A19" s="123" t="s">
        <v>204</v>
      </c>
      <c r="B19" s="123">
        <v>781577</v>
      </c>
      <c r="C19" s="123">
        <v>739232</v>
      </c>
      <c r="D19" s="123">
        <v>1812353</v>
      </c>
      <c r="E19" s="123">
        <v>1812353</v>
      </c>
      <c r="F19" s="123"/>
      <c r="H19"/>
      <c r="I19"/>
      <c r="J19"/>
      <c r="K19"/>
      <c r="L19"/>
    </row>
    <row r="20" spans="1:12" ht="15.75">
      <c r="A20" s="123" t="s">
        <v>205</v>
      </c>
      <c r="B20" s="123">
        <v>959698</v>
      </c>
      <c r="C20" s="123">
        <v>233169</v>
      </c>
      <c r="D20" s="123">
        <v>2347686</v>
      </c>
      <c r="E20" s="123">
        <v>1924728</v>
      </c>
      <c r="F20" s="123"/>
      <c r="H20"/>
      <c r="I20"/>
      <c r="J20"/>
      <c r="K20"/>
      <c r="L20"/>
    </row>
    <row r="21" spans="1:12" ht="15.75">
      <c r="A21" s="123" t="s">
        <v>206</v>
      </c>
      <c r="B21" s="123">
        <v>500894</v>
      </c>
      <c r="C21" s="123">
        <v>36281</v>
      </c>
      <c r="D21" s="123">
        <v>919061</v>
      </c>
      <c r="E21" s="123">
        <v>27032</v>
      </c>
      <c r="F21" s="123"/>
      <c r="H21"/>
      <c r="I21"/>
      <c r="J21"/>
      <c r="K21"/>
      <c r="L21"/>
    </row>
    <row r="22" spans="1:12" ht="15.75">
      <c r="A22" s="123" t="s">
        <v>176</v>
      </c>
      <c r="B22" s="123"/>
      <c r="C22" s="123">
        <v>186281</v>
      </c>
      <c r="D22" s="124">
        <v>1611354</v>
      </c>
      <c r="E22" s="123">
        <v>1667186</v>
      </c>
      <c r="F22" s="123"/>
      <c r="H22"/>
      <c r="I22"/>
      <c r="J22"/>
      <c r="K22"/>
      <c r="L22"/>
    </row>
    <row r="23" spans="1:12" ht="15.75">
      <c r="A23" s="123" t="s">
        <v>177</v>
      </c>
      <c r="B23" s="123">
        <v>4736005</v>
      </c>
      <c r="C23" s="123"/>
      <c r="D23" s="123"/>
      <c r="E23" s="123"/>
      <c r="F23" s="123"/>
      <c r="H23"/>
      <c r="I23"/>
      <c r="J23"/>
      <c r="K23"/>
      <c r="L23"/>
    </row>
    <row r="24" spans="1:12" ht="15.75">
      <c r="A24" s="123" t="s">
        <v>207</v>
      </c>
      <c r="B24" s="123">
        <v>1209266</v>
      </c>
      <c r="C24" s="123">
        <v>1209266</v>
      </c>
      <c r="D24" s="123"/>
      <c r="E24" s="123"/>
      <c r="F24" s="123"/>
      <c r="H24"/>
      <c r="I24"/>
      <c r="J24"/>
      <c r="K24"/>
      <c r="L24"/>
    </row>
    <row r="25" spans="1:12" ht="15.75">
      <c r="A25" s="123" t="s">
        <v>229</v>
      </c>
      <c r="B25" s="123"/>
      <c r="C25" s="123"/>
      <c r="D25" s="123"/>
      <c r="E25" s="123">
        <v>588125</v>
      </c>
      <c r="F25" s="123"/>
      <c r="H25"/>
      <c r="I25"/>
      <c r="J25"/>
      <c r="K25"/>
      <c r="L25"/>
    </row>
    <row r="26" spans="1:12" ht="15.75">
      <c r="A26" s="123" t="s">
        <v>230</v>
      </c>
      <c r="B26" s="123"/>
      <c r="C26" s="123"/>
      <c r="D26" s="123"/>
      <c r="E26" s="123"/>
      <c r="F26" s="123">
        <v>1050000</v>
      </c>
      <c r="H26"/>
      <c r="I26"/>
      <c r="J26"/>
      <c r="K26"/>
      <c r="L26"/>
    </row>
    <row r="27" spans="1:12" ht="15.75">
      <c r="A27" s="123" t="s">
        <v>216</v>
      </c>
      <c r="B27" s="124">
        <f>6391883+6391883</f>
        <v>12783766</v>
      </c>
      <c r="C27" s="123"/>
      <c r="D27" s="123"/>
      <c r="E27" s="123"/>
      <c r="F27" s="123"/>
      <c r="H27"/>
      <c r="I27"/>
      <c r="J27"/>
      <c r="K27"/>
      <c r="L27"/>
    </row>
    <row r="28" spans="1:12" ht="15.75">
      <c r="A28" s="123" t="s">
        <v>181</v>
      </c>
      <c r="B28" s="123">
        <f>201669+201670</f>
        <v>403339</v>
      </c>
      <c r="C28" s="123">
        <v>403339</v>
      </c>
      <c r="D28" s="123"/>
      <c r="E28" s="123">
        <v>112500</v>
      </c>
      <c r="F28" s="123"/>
      <c r="H28"/>
      <c r="I28"/>
      <c r="J28"/>
      <c r="K28"/>
      <c r="L28"/>
    </row>
    <row r="29" spans="1:12" ht="15.75">
      <c r="A29" s="123" t="s">
        <v>196</v>
      </c>
      <c r="B29" s="123"/>
      <c r="C29" s="123"/>
      <c r="D29" s="123">
        <v>9038468</v>
      </c>
      <c r="E29" s="123"/>
      <c r="F29" s="123"/>
      <c r="H29"/>
      <c r="I29"/>
      <c r="J29"/>
      <c r="K29"/>
      <c r="L29"/>
    </row>
    <row r="30" spans="1:12" ht="15.75">
      <c r="A30" s="123" t="s">
        <v>36</v>
      </c>
      <c r="B30" s="124">
        <v>3487169</v>
      </c>
      <c r="C30" s="123">
        <v>3529333</v>
      </c>
      <c r="D30" s="124">
        <v>6142058</v>
      </c>
      <c r="E30" s="123"/>
      <c r="F30" s="123">
        <v>137810</v>
      </c>
      <c r="H30"/>
      <c r="I30"/>
      <c r="J30"/>
      <c r="K30"/>
      <c r="L30"/>
    </row>
    <row r="31" spans="1:12" ht="15.75">
      <c r="B31" s="127">
        <f>SUM(B3:B30)</f>
        <v>66804553</v>
      </c>
      <c r="C31" s="127">
        <f>SUM(C3:C30)</f>
        <v>14297256</v>
      </c>
      <c r="D31" s="127">
        <f>SUM(D3:D30)</f>
        <v>32193591</v>
      </c>
      <c r="E31" s="127">
        <f>SUM(E3:E30)</f>
        <v>32243177</v>
      </c>
      <c r="F31" s="127">
        <f>SUM(F3:F30)</f>
        <v>3460610</v>
      </c>
      <c r="G31" s="117"/>
      <c r="H31"/>
      <c r="I31"/>
      <c r="J31"/>
      <c r="K31"/>
      <c r="L31"/>
    </row>
    <row r="32" spans="1:12" ht="15.75">
      <c r="B32" s="171">
        <f>B31/SUM($B31:$F31)</f>
        <v>0.44835515109220025</v>
      </c>
      <c r="C32" s="171">
        <f>C31/SUM($B31:$F31)</f>
        <v>9.5955261823005789E-2</v>
      </c>
      <c r="D32" s="171">
        <f>D31/SUM($B31:$F31)</f>
        <v>0.21606554806235284</v>
      </c>
      <c r="E32" s="171">
        <f>E31/SUM($B31:$F31)</f>
        <v>0.21639834182450943</v>
      </c>
      <c r="F32" s="171">
        <f>F31/SUM($B31:$F31)</f>
        <v>2.3225697197931692E-2</v>
      </c>
      <c r="G32" s="165"/>
      <c r="H32"/>
      <c r="I32"/>
      <c r="J32"/>
      <c r="K32"/>
      <c r="L32"/>
    </row>
    <row r="34" spans="1:6" ht="15.75">
      <c r="A34" s="119">
        <v>2015</v>
      </c>
      <c r="B34" s="175" t="s">
        <v>231</v>
      </c>
      <c r="C34" s="175"/>
      <c r="D34" s="175"/>
      <c r="E34" s="175"/>
      <c r="F34" s="175"/>
    </row>
    <row r="35" spans="1:6" ht="15.75">
      <c r="A35" s="121" t="s">
        <v>218</v>
      </c>
      <c r="B35" s="122" t="s">
        <v>219</v>
      </c>
      <c r="C35" s="122" t="s">
        <v>220</v>
      </c>
      <c r="D35" s="122" t="s">
        <v>221</v>
      </c>
      <c r="E35" s="122" t="s">
        <v>222</v>
      </c>
      <c r="F35" s="122" t="s">
        <v>223</v>
      </c>
    </row>
    <row r="36" spans="1:6">
      <c r="A36" s="123" t="s">
        <v>186</v>
      </c>
      <c r="B36" s="123">
        <v>605325</v>
      </c>
      <c r="C36" s="123">
        <v>326514</v>
      </c>
      <c r="D36" s="123"/>
      <c r="E36" s="123"/>
      <c r="F36" s="123"/>
    </row>
    <row r="37" spans="1:6">
      <c r="A37" s="123" t="s">
        <v>34</v>
      </c>
      <c r="B37" s="123">
        <v>2415483</v>
      </c>
      <c r="C37" s="123"/>
      <c r="D37" s="123">
        <v>2415483</v>
      </c>
      <c r="E37" s="123">
        <v>2803608</v>
      </c>
      <c r="F37" s="123"/>
    </row>
    <row r="38" spans="1:6">
      <c r="A38" s="123" t="s">
        <v>25</v>
      </c>
      <c r="B38" s="123"/>
      <c r="C38" s="123"/>
      <c r="D38" s="123"/>
      <c r="E38" s="123">
        <v>1705576</v>
      </c>
      <c r="F38" s="123"/>
    </row>
    <row r="39" spans="1:6">
      <c r="A39" s="123" t="s">
        <v>167</v>
      </c>
      <c r="B39" s="123">
        <v>231330</v>
      </c>
      <c r="C39" s="123"/>
      <c r="D39" s="123">
        <v>131698</v>
      </c>
      <c r="E39" s="123"/>
      <c r="F39" s="123"/>
    </row>
    <row r="40" spans="1:6">
      <c r="A40" s="123" t="s">
        <v>202</v>
      </c>
      <c r="B40" s="123"/>
      <c r="C40" s="123"/>
      <c r="D40" s="123"/>
      <c r="E40" s="123"/>
      <c r="F40" s="123"/>
    </row>
    <row r="41" spans="1:6">
      <c r="A41" s="123" t="s">
        <v>168</v>
      </c>
      <c r="B41" s="123">
        <v>84672</v>
      </c>
      <c r="C41" s="123">
        <v>13454</v>
      </c>
      <c r="D41" s="123">
        <v>156678</v>
      </c>
      <c r="E41" s="123">
        <v>603075</v>
      </c>
      <c r="F41" s="123"/>
    </row>
    <row r="42" spans="1:6">
      <c r="A42" s="123" t="s">
        <v>21</v>
      </c>
      <c r="B42" s="123">
        <v>5335611</v>
      </c>
      <c r="C42" s="123">
        <v>2410597</v>
      </c>
      <c r="D42" s="123"/>
      <c r="E42" s="123"/>
      <c r="F42" s="123"/>
    </row>
    <row r="43" spans="1:6">
      <c r="A43" s="123" t="s">
        <v>232</v>
      </c>
      <c r="B43" s="123">
        <v>8430129</v>
      </c>
      <c r="C43" s="123">
        <v>5180115</v>
      </c>
      <c r="D43" s="123"/>
      <c r="E43" s="123"/>
      <c r="F43" s="123"/>
    </row>
    <row r="44" spans="1:6">
      <c r="A44" s="123" t="s">
        <v>173</v>
      </c>
      <c r="B44" s="123">
        <v>242375</v>
      </c>
      <c r="C44" s="123">
        <v>179053</v>
      </c>
      <c r="D44" s="123">
        <v>868369</v>
      </c>
      <c r="E44" s="123">
        <v>868369</v>
      </c>
      <c r="F44" s="123"/>
    </row>
    <row r="45" spans="1:6">
      <c r="A45" s="123" t="s">
        <v>174</v>
      </c>
      <c r="B45" s="123"/>
      <c r="C45" s="123">
        <v>52984</v>
      </c>
      <c r="D45" s="123">
        <v>1126731</v>
      </c>
      <c r="E45" s="123">
        <v>1014876</v>
      </c>
      <c r="F45" s="123"/>
    </row>
    <row r="46" spans="1:6">
      <c r="A46" s="123" t="s">
        <v>176</v>
      </c>
      <c r="B46" s="123"/>
      <c r="C46" s="123">
        <v>170489</v>
      </c>
      <c r="D46" s="123"/>
      <c r="E46" s="123"/>
      <c r="F46" s="123"/>
    </row>
    <row r="47" spans="1:6">
      <c r="A47" s="123" t="s">
        <v>175</v>
      </c>
      <c r="B47" s="123"/>
      <c r="C47" s="123"/>
      <c r="D47" s="123">
        <v>307912</v>
      </c>
      <c r="E47" s="123"/>
      <c r="F47" s="123"/>
    </row>
    <row r="48" spans="1:6">
      <c r="A48" s="123" t="s">
        <v>57</v>
      </c>
      <c r="B48" s="123">
        <f>4317659+3782811</f>
        <v>8100470</v>
      </c>
      <c r="C48" s="123">
        <v>212224</v>
      </c>
      <c r="D48" s="123"/>
      <c r="E48" s="123"/>
      <c r="F48" s="123"/>
    </row>
    <row r="49" spans="1:6">
      <c r="A49" s="123" t="s">
        <v>180</v>
      </c>
      <c r="B49" s="123">
        <v>366088</v>
      </c>
      <c r="C49" s="123"/>
      <c r="D49" s="123"/>
      <c r="E49" s="123"/>
      <c r="F49" s="123"/>
    </row>
    <row r="50" spans="1:6">
      <c r="A50" s="123" t="s">
        <v>59</v>
      </c>
      <c r="B50" s="123">
        <v>2421873</v>
      </c>
      <c r="C50" s="123">
        <v>2328189</v>
      </c>
      <c r="D50" s="123"/>
      <c r="E50" s="123"/>
      <c r="F50" s="123"/>
    </row>
    <row r="51" spans="1:6" ht="15.75">
      <c r="A51" s="127"/>
      <c r="B51" s="127">
        <f>SUM(B36:B50)</f>
        <v>28233356</v>
      </c>
      <c r="C51" s="127">
        <f>SUM(C36:C50)</f>
        <v>10873619</v>
      </c>
      <c r="D51" s="127">
        <f>SUM(D36:D50)</f>
        <v>5006871</v>
      </c>
      <c r="E51" s="127">
        <f>SUM(E36:E50)</f>
        <v>6995504</v>
      </c>
      <c r="F51" s="127"/>
    </row>
    <row r="52" spans="1:6" ht="15.75">
      <c r="A52" s="150"/>
      <c r="B52" s="150"/>
      <c r="C52" s="150"/>
      <c r="D52" s="150"/>
      <c r="E52" s="150"/>
      <c r="F52" s="150"/>
    </row>
    <row r="53" spans="1:6">
      <c r="A53" s="147"/>
      <c r="B53" s="147"/>
      <c r="C53" s="147"/>
      <c r="D53" s="147"/>
      <c r="E53" s="147"/>
      <c r="F53" s="147"/>
    </row>
    <row r="54" spans="1:6" ht="15.75">
      <c r="A54" s="119">
        <v>2014</v>
      </c>
      <c r="B54" s="120"/>
      <c r="C54" s="121" t="s">
        <v>231</v>
      </c>
      <c r="D54" s="120"/>
      <c r="E54" s="120"/>
      <c r="F54" s="120"/>
    </row>
    <row r="55" spans="1:6" ht="15.75">
      <c r="A55" s="121" t="s">
        <v>218</v>
      </c>
      <c r="B55" s="120" t="s">
        <v>219</v>
      </c>
      <c r="C55" s="120" t="s">
        <v>220</v>
      </c>
      <c r="D55" s="120" t="s">
        <v>233</v>
      </c>
      <c r="E55" s="120" t="s">
        <v>222</v>
      </c>
      <c r="F55" s="120" t="s">
        <v>234</v>
      </c>
    </row>
    <row r="56" spans="1:6">
      <c r="A56" s="123" t="s">
        <v>235</v>
      </c>
      <c r="B56" s="123">
        <v>17093</v>
      </c>
      <c r="C56" s="123">
        <v>690316</v>
      </c>
      <c r="D56" s="123"/>
      <c r="E56" s="123"/>
      <c r="F56" s="123"/>
    </row>
    <row r="57" spans="1:6">
      <c r="A57" s="123" t="s">
        <v>34</v>
      </c>
      <c r="B57" s="123"/>
      <c r="C57" s="123"/>
      <c r="D57" s="123">
        <v>5793572</v>
      </c>
      <c r="E57" s="123">
        <v>6175211</v>
      </c>
      <c r="F57" s="123"/>
    </row>
    <row r="58" spans="1:6">
      <c r="A58" s="123" t="s">
        <v>25</v>
      </c>
      <c r="B58" s="123"/>
      <c r="C58" s="123"/>
      <c r="D58" s="123">
        <v>2532179</v>
      </c>
      <c r="E58" s="123"/>
      <c r="F58" s="123"/>
    </row>
    <row r="59" spans="1:6">
      <c r="A59" s="123" t="s">
        <v>21</v>
      </c>
      <c r="B59" s="123">
        <v>7858197</v>
      </c>
      <c r="C59" s="123"/>
      <c r="D59" s="123"/>
      <c r="E59" s="123"/>
      <c r="F59" s="123"/>
    </row>
    <row r="60" spans="1:6">
      <c r="A60" s="123" t="s">
        <v>236</v>
      </c>
      <c r="B60" s="123">
        <v>17490519</v>
      </c>
      <c r="C60" s="123"/>
      <c r="D60" s="123"/>
      <c r="E60" s="123"/>
      <c r="F60" s="123"/>
    </row>
    <row r="61" spans="1:6">
      <c r="A61" s="123" t="s">
        <v>53</v>
      </c>
      <c r="B61" s="123">
        <v>474818</v>
      </c>
      <c r="C61" s="123">
        <v>376398</v>
      </c>
      <c r="D61" s="123"/>
      <c r="E61" s="123"/>
      <c r="F61" s="123"/>
    </row>
    <row r="62" spans="1:6">
      <c r="A62" s="123" t="s">
        <v>54</v>
      </c>
      <c r="B62" s="123"/>
      <c r="C62" s="123">
        <v>420000</v>
      </c>
      <c r="D62" s="123"/>
      <c r="E62" s="123"/>
      <c r="F62" s="123"/>
    </row>
    <row r="63" spans="1:6">
      <c r="A63" s="123" t="s">
        <v>56</v>
      </c>
      <c r="B63" s="123">
        <v>12861</v>
      </c>
      <c r="C63" s="123">
        <v>14972</v>
      </c>
      <c r="D63" s="123"/>
      <c r="E63" s="123"/>
      <c r="F63" s="123"/>
    </row>
    <row r="64" spans="1:6">
      <c r="A64" s="123" t="s">
        <v>57</v>
      </c>
      <c r="B64" s="123">
        <f>3027176+2421509</f>
        <v>5448685</v>
      </c>
      <c r="C64" s="123">
        <v>174762</v>
      </c>
      <c r="D64" s="123"/>
      <c r="E64" s="123"/>
      <c r="F64" s="123"/>
    </row>
    <row r="65" spans="1:6">
      <c r="A65" s="123" t="s">
        <v>58</v>
      </c>
      <c r="B65" s="123">
        <v>7224480</v>
      </c>
      <c r="C65" s="123">
        <v>7224480</v>
      </c>
      <c r="D65" s="123"/>
      <c r="E65" s="123"/>
      <c r="F65" s="123"/>
    </row>
    <row r="66" spans="1:6">
      <c r="A66" s="123" t="s">
        <v>59</v>
      </c>
      <c r="B66" s="123">
        <v>2682925</v>
      </c>
      <c r="C66" s="123">
        <v>2682925</v>
      </c>
      <c r="D66" s="123"/>
      <c r="E66" s="123"/>
      <c r="F66" s="123"/>
    </row>
    <row r="67" spans="1:6" ht="15.75">
      <c r="A67" s="127"/>
      <c r="B67" s="127">
        <f>SUM(B56:B66)</f>
        <v>41209578</v>
      </c>
      <c r="C67" s="127">
        <f>SUM(C56:C66)</f>
        <v>11583853</v>
      </c>
      <c r="D67" s="127">
        <f>SUM(D56:D66)</f>
        <v>8325751</v>
      </c>
      <c r="E67" s="127">
        <f>SUM(E56:E66)</f>
        <v>6175211</v>
      </c>
      <c r="F67" s="127"/>
    </row>
    <row r="68" spans="1:6" ht="15.75">
      <c r="A68" s="150"/>
      <c r="B68" s="150"/>
      <c r="C68" s="150"/>
      <c r="D68" s="150"/>
      <c r="E68" s="150"/>
      <c r="F68" s="150"/>
    </row>
    <row r="69" spans="1:6">
      <c r="A69" s="147"/>
      <c r="B69" s="147"/>
      <c r="C69" s="147"/>
      <c r="D69" s="147"/>
      <c r="E69" s="147"/>
      <c r="F69" s="147"/>
    </row>
    <row r="70" spans="1:6" ht="15.75">
      <c r="A70" s="119">
        <v>2013</v>
      </c>
      <c r="B70" s="120"/>
      <c r="C70" s="121" t="s">
        <v>231</v>
      </c>
      <c r="D70" s="120"/>
      <c r="E70" s="120"/>
      <c r="F70" s="120"/>
    </row>
    <row r="71" spans="1:6" ht="15.75">
      <c r="A71" s="121" t="s">
        <v>218</v>
      </c>
      <c r="B71" s="120" t="s">
        <v>219</v>
      </c>
      <c r="C71" s="120" t="s">
        <v>220</v>
      </c>
      <c r="D71" s="120" t="s">
        <v>233</v>
      </c>
      <c r="E71" s="120" t="s">
        <v>222</v>
      </c>
      <c r="F71" s="120" t="s">
        <v>234</v>
      </c>
    </row>
    <row r="72" spans="1:6">
      <c r="A72" s="123" t="s">
        <v>51</v>
      </c>
      <c r="B72" s="123">
        <v>567291</v>
      </c>
      <c r="C72" s="123"/>
      <c r="D72" s="123"/>
      <c r="E72" s="123"/>
      <c r="F72" s="123"/>
    </row>
    <row r="73" spans="1:6">
      <c r="A73" s="123" t="s">
        <v>53</v>
      </c>
      <c r="B73" s="123">
        <v>123150</v>
      </c>
      <c r="C73" s="123">
        <v>97907</v>
      </c>
      <c r="D73" s="123"/>
      <c r="E73" s="123"/>
      <c r="F73" s="123"/>
    </row>
    <row r="74" spans="1:6">
      <c r="A74" s="123" t="s">
        <v>55</v>
      </c>
      <c r="B74" s="123">
        <v>5162457</v>
      </c>
      <c r="C74" s="123">
        <v>4135988</v>
      </c>
      <c r="D74" s="123">
        <v>11959908</v>
      </c>
      <c r="E74" s="123">
        <v>4149705</v>
      </c>
      <c r="F74" s="123"/>
    </row>
    <row r="75" spans="1:6">
      <c r="A75" s="123" t="s">
        <v>56</v>
      </c>
      <c r="B75" s="123">
        <v>12381</v>
      </c>
      <c r="C75" s="123">
        <v>12381</v>
      </c>
      <c r="D75" s="123"/>
      <c r="E75" s="123"/>
      <c r="F75" s="123"/>
    </row>
    <row r="76" spans="1:6">
      <c r="A76" s="123" t="s">
        <v>60</v>
      </c>
      <c r="B76" s="123">
        <v>12911</v>
      </c>
      <c r="C76" s="123">
        <v>29453</v>
      </c>
      <c r="D76" s="123">
        <v>26639</v>
      </c>
      <c r="E76" s="123"/>
      <c r="F76" s="123">
        <v>14456</v>
      </c>
    </row>
    <row r="77" spans="1:6">
      <c r="A77" s="123" t="s">
        <v>46</v>
      </c>
      <c r="B77" s="123">
        <v>909623</v>
      </c>
      <c r="C77" s="123">
        <v>909623</v>
      </c>
      <c r="D77" s="123">
        <v>5345213</v>
      </c>
      <c r="E77" s="123">
        <v>4479513</v>
      </c>
      <c r="F77" s="123">
        <v>2086522</v>
      </c>
    </row>
    <row r="78" spans="1:6">
      <c r="A78" s="123" t="s">
        <v>57</v>
      </c>
      <c r="B78" s="123">
        <v>2806011</v>
      </c>
      <c r="C78" s="123">
        <v>1318077</v>
      </c>
      <c r="D78" s="123"/>
      <c r="E78" s="123"/>
      <c r="F78" s="123"/>
    </row>
    <row r="79" spans="1:6">
      <c r="A79" s="123" t="s">
        <v>58</v>
      </c>
      <c r="B79" s="123"/>
      <c r="C79" s="123">
        <v>12450000</v>
      </c>
      <c r="D79" s="123"/>
      <c r="E79" s="123"/>
      <c r="F79" s="123"/>
    </row>
    <row r="80" spans="1:6">
      <c r="A80" s="123" t="s">
        <v>101</v>
      </c>
      <c r="B80" s="123"/>
      <c r="C80" s="123"/>
      <c r="D80" s="123"/>
      <c r="E80" s="123"/>
      <c r="F80" s="123">
        <v>315204</v>
      </c>
    </row>
    <row r="81" spans="1:7" ht="15.75">
      <c r="A81" s="127"/>
      <c r="B81" s="127">
        <f>SUM(B72:B80)</f>
        <v>9593824</v>
      </c>
      <c r="C81" s="127">
        <f>SUM(C72:C80)</f>
        <v>18953429</v>
      </c>
      <c r="D81" s="127">
        <f>SUM(D72:D80)</f>
        <v>17331760</v>
      </c>
      <c r="E81" s="127">
        <f>SUM(E72:E80)</f>
        <v>8629218</v>
      </c>
      <c r="F81" s="127">
        <f>SUM(F72:F80)</f>
        <v>2416182</v>
      </c>
    </row>
    <row r="82" spans="1:7" ht="15.75">
      <c r="A82" s="150"/>
      <c r="B82" s="150"/>
      <c r="C82" s="150"/>
      <c r="D82" s="150"/>
      <c r="E82" s="150"/>
      <c r="F82" s="150"/>
    </row>
    <row r="83" spans="1:7">
      <c r="A83" s="147"/>
      <c r="B83" s="147"/>
      <c r="C83" s="147"/>
      <c r="D83" s="147"/>
      <c r="E83" s="147"/>
      <c r="F83" s="147"/>
    </row>
    <row r="84" spans="1:7" ht="15.75">
      <c r="A84" s="119">
        <v>2012</v>
      </c>
      <c r="B84" s="120"/>
      <c r="C84" s="121" t="s">
        <v>231</v>
      </c>
      <c r="D84" s="120"/>
      <c r="E84" s="120"/>
      <c r="F84" s="120"/>
    </row>
    <row r="85" spans="1:7" ht="15.75">
      <c r="A85" s="121" t="s">
        <v>218</v>
      </c>
      <c r="B85" s="120" t="s">
        <v>219</v>
      </c>
      <c r="C85" s="120" t="s">
        <v>220</v>
      </c>
      <c r="D85" s="120" t="s">
        <v>233</v>
      </c>
      <c r="E85" s="120" t="s">
        <v>222</v>
      </c>
      <c r="F85" s="120" t="s">
        <v>234</v>
      </c>
    </row>
    <row r="86" spans="1:7">
      <c r="A86" s="123" t="s">
        <v>52</v>
      </c>
      <c r="B86" s="123"/>
      <c r="C86" s="123"/>
      <c r="D86" s="123"/>
      <c r="E86" s="123"/>
      <c r="F86" s="123">
        <v>161884</v>
      </c>
    </row>
    <row r="87" spans="1:7">
      <c r="A87" s="123" t="s">
        <v>55</v>
      </c>
      <c r="B87" s="123">
        <v>8112111</v>
      </c>
      <c r="C87" s="123">
        <v>2738793</v>
      </c>
      <c r="D87" s="123">
        <v>8112111</v>
      </c>
      <c r="E87" s="123">
        <v>1973520</v>
      </c>
      <c r="F87" s="123"/>
    </row>
    <row r="88" spans="1:7">
      <c r="A88" s="123" t="s">
        <v>56</v>
      </c>
      <c r="B88" s="123">
        <v>5918</v>
      </c>
      <c r="C88" s="123">
        <v>5918</v>
      </c>
      <c r="D88" s="123"/>
      <c r="E88" s="123"/>
      <c r="F88" s="123"/>
    </row>
    <row r="89" spans="1:7">
      <c r="A89" s="123" t="s">
        <v>101</v>
      </c>
      <c r="B89" s="123"/>
      <c r="C89" s="123"/>
      <c r="D89" s="123"/>
      <c r="E89" s="123"/>
      <c r="F89" s="123">
        <v>254717</v>
      </c>
    </row>
    <row r="90" spans="1:7">
      <c r="A90" s="123" t="s">
        <v>59</v>
      </c>
      <c r="B90" s="123">
        <v>1090993</v>
      </c>
      <c r="C90" s="123">
        <v>744023</v>
      </c>
      <c r="D90" s="123"/>
      <c r="E90" s="123"/>
      <c r="F90" s="123"/>
    </row>
    <row r="91" spans="1:7" ht="15.75">
      <c r="A91" s="127"/>
      <c r="B91" s="127">
        <f>SUM(B86:B90)</f>
        <v>9209022</v>
      </c>
      <c r="C91" s="127">
        <f>SUM(C86:C90)</f>
        <v>3488734</v>
      </c>
      <c r="D91" s="127">
        <f>SUM(D86:D90)</f>
        <v>8112111</v>
      </c>
      <c r="E91" s="127">
        <f>SUM(E86:E90)</f>
        <v>1973520</v>
      </c>
      <c r="F91" s="127">
        <f>SUM(F86:F90)</f>
        <v>416601</v>
      </c>
    </row>
    <row r="92" spans="1:7" ht="15.75">
      <c r="A92" s="150"/>
      <c r="B92" s="150"/>
      <c r="C92" s="150"/>
      <c r="D92" s="150"/>
      <c r="E92" s="150"/>
      <c r="F92" s="150"/>
    </row>
    <row r="94" spans="1:7" ht="15.75">
      <c r="A94" s="128" t="s">
        <v>245</v>
      </c>
      <c r="B94" s="128" t="s">
        <v>219</v>
      </c>
      <c r="C94" s="128" t="s">
        <v>220</v>
      </c>
      <c r="D94" s="128" t="s">
        <v>233</v>
      </c>
      <c r="E94" s="128" t="s">
        <v>222</v>
      </c>
      <c r="F94" s="128" t="s">
        <v>234</v>
      </c>
      <c r="G94" s="128" t="s">
        <v>251</v>
      </c>
    </row>
    <row r="95" spans="1:7" ht="15.75">
      <c r="A95" s="129" t="s">
        <v>244</v>
      </c>
      <c r="B95" s="129">
        <f>SUM(B81,B91,B67,B51,B31)</f>
        <v>155050333</v>
      </c>
      <c r="C95" s="129">
        <f>SUM(C81,C91,C67,C51,C31)</f>
        <v>59196891</v>
      </c>
      <c r="D95" s="129">
        <f>SUM(D81,D91,D67,D51,D31)</f>
        <v>70970084</v>
      </c>
      <c r="E95" s="129">
        <f>SUM(E81,E91,E67,E51,E31)</f>
        <v>56016630</v>
      </c>
      <c r="F95" s="129">
        <f>SUM(F81,F91,F67,F51,F31)</f>
        <v>6293393</v>
      </c>
      <c r="G95" s="129">
        <f>SUM(B95:F95)</f>
        <v>347527331</v>
      </c>
    </row>
    <row r="96" spans="1:7" ht="15.75">
      <c r="A96" s="129" t="s">
        <v>252</v>
      </c>
      <c r="B96" s="149">
        <f>(B95/$G$95)</f>
        <v>0.44615291854556327</v>
      </c>
      <c r="C96" s="149">
        <f>(C95/$G$95)</f>
        <v>0.17033736837233099</v>
      </c>
      <c r="D96" s="149">
        <f>(D95/$G$95)</f>
        <v>0.20421439601825159</v>
      </c>
      <c r="E96" s="149">
        <f>(E95/$G$95)</f>
        <v>0.16118625789463448</v>
      </c>
      <c r="F96" s="149">
        <f>(F95/$G$95)</f>
        <v>1.8109059169219701E-2</v>
      </c>
      <c r="G96" s="148"/>
    </row>
  </sheetData>
  <mergeCells count="2">
    <mergeCell ref="B1:F1"/>
    <mergeCell ref="B34:F34"/>
  </mergeCell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Y71"/>
  <sheetViews>
    <sheetView zoomScaleNormal="100" workbookViewId="0">
      <selection activeCell="J10" sqref="J10"/>
    </sheetView>
  </sheetViews>
  <sheetFormatPr defaultColWidth="10.625" defaultRowHeight="15.75"/>
  <cols>
    <col min="1" max="1" width="21.875" customWidth="1"/>
    <col min="2" max="2" width="13.5" customWidth="1"/>
    <col min="3" max="3" width="13.375" customWidth="1"/>
    <col min="4" max="4" width="13.5" customWidth="1"/>
    <col min="5" max="5" width="13.375" customWidth="1"/>
    <col min="6" max="6" width="13.5" customWidth="1"/>
    <col min="7" max="7" width="13.375" customWidth="1"/>
    <col min="8" max="8" width="15.625" bestFit="1" customWidth="1"/>
    <col min="9" max="9" width="17.5" bestFit="1" customWidth="1"/>
    <col min="10" max="13" width="13.375" customWidth="1"/>
    <col min="14" max="14" width="10.375" bestFit="1" customWidth="1"/>
    <col min="15" max="15" width="13.375" bestFit="1" customWidth="1"/>
    <col min="16" max="16" width="13.375" customWidth="1"/>
    <col min="17" max="17" width="13.375" bestFit="1" customWidth="1"/>
    <col min="18" max="18" width="13.375" customWidth="1"/>
    <col min="19" max="19" width="13.375" bestFit="1" customWidth="1"/>
    <col min="20" max="20" width="10.375" bestFit="1" customWidth="1"/>
    <col min="21" max="21" width="10.375" customWidth="1"/>
    <col min="22" max="22" width="13.375" bestFit="1" customWidth="1"/>
    <col min="23" max="23" width="10.375" bestFit="1" customWidth="1"/>
    <col min="24" max="24" width="10.375" customWidth="1"/>
    <col min="25" max="25" width="13.375" bestFit="1" customWidth="1"/>
  </cols>
  <sheetData>
    <row r="2" spans="1:11" s="20" customFormat="1">
      <c r="A2" s="19" t="s">
        <v>42</v>
      </c>
      <c r="B2" s="19"/>
    </row>
    <row r="3" spans="1:11" s="20" customFormat="1">
      <c r="A3" s="116"/>
      <c r="B3" s="116"/>
    </row>
    <row r="4" spans="1:11" s="20" customFormat="1">
      <c r="A4" s="116"/>
      <c r="B4" s="116"/>
    </row>
    <row r="5" spans="1:11" s="20" customFormat="1"/>
    <row r="6" spans="1:11" s="20" customFormat="1">
      <c r="A6" s="20" t="s">
        <v>16</v>
      </c>
      <c r="B6" s="176" t="s">
        <v>14</v>
      </c>
      <c r="C6" s="177"/>
      <c r="D6" s="176" t="s">
        <v>13</v>
      </c>
      <c r="E6" s="177"/>
      <c r="F6" s="176" t="s">
        <v>15</v>
      </c>
      <c r="G6" s="177"/>
      <c r="H6" s="40" t="s">
        <v>136</v>
      </c>
      <c r="I6" s="43" t="s">
        <v>137</v>
      </c>
    </row>
    <row r="7" spans="1:11" s="20" customFormat="1">
      <c r="B7" s="41" t="s">
        <v>88</v>
      </c>
      <c r="C7" s="42" t="s">
        <v>11</v>
      </c>
      <c r="D7" s="41" t="s">
        <v>88</v>
      </c>
      <c r="E7" s="42" t="s">
        <v>11</v>
      </c>
      <c r="F7" s="41" t="s">
        <v>88</v>
      </c>
      <c r="G7" s="42" t="s">
        <v>11</v>
      </c>
      <c r="H7" s="42" t="s">
        <v>11</v>
      </c>
      <c r="I7" s="42" t="s">
        <v>11</v>
      </c>
      <c r="K7" s="103"/>
    </row>
    <row r="8" spans="1:11" s="20" customFormat="1">
      <c r="A8" s="20" t="s">
        <v>80</v>
      </c>
      <c r="B8" s="31">
        <v>1261555</v>
      </c>
      <c r="C8" s="30">
        <v>7770</v>
      </c>
      <c r="D8" s="23">
        <v>7011</v>
      </c>
      <c r="E8" s="23">
        <v>299</v>
      </c>
      <c r="F8" s="28">
        <v>5300000</v>
      </c>
      <c r="G8" s="100"/>
      <c r="H8" s="27"/>
      <c r="I8" s="27"/>
      <c r="K8" s="29"/>
    </row>
    <row r="9" spans="1:11" s="20" customFormat="1">
      <c r="A9" s="20" t="s">
        <v>81</v>
      </c>
      <c r="B9" s="21"/>
      <c r="C9" s="26"/>
      <c r="D9" s="21"/>
      <c r="E9" s="26"/>
      <c r="F9" s="22"/>
      <c r="G9" s="26"/>
      <c r="H9" s="22"/>
      <c r="I9" s="27"/>
      <c r="K9" s="104"/>
    </row>
    <row r="10" spans="1:11" s="20" customFormat="1">
      <c r="A10" s="20" t="s">
        <v>34</v>
      </c>
      <c r="B10" s="97">
        <v>1966892</v>
      </c>
      <c r="C10" s="101"/>
      <c r="D10" s="102">
        <v>2478</v>
      </c>
      <c r="E10" s="30"/>
      <c r="F10" s="22"/>
      <c r="G10" s="26"/>
      <c r="H10" s="22"/>
      <c r="I10" s="27"/>
      <c r="K10" s="96"/>
    </row>
    <row r="11" spans="1:11" s="29" customFormat="1">
      <c r="A11" s="29" t="s">
        <v>126</v>
      </c>
      <c r="B11" s="21"/>
      <c r="C11" s="26"/>
      <c r="D11" s="22"/>
      <c r="E11" s="22"/>
      <c r="F11" s="38">
        <v>0</v>
      </c>
      <c r="G11" s="30">
        <v>0</v>
      </c>
      <c r="H11" s="27"/>
      <c r="I11" s="27"/>
      <c r="K11" s="104"/>
    </row>
    <row r="12" spans="1:11" s="29" customFormat="1">
      <c r="A12" s="96" t="s">
        <v>25</v>
      </c>
      <c r="B12" s="97">
        <v>1049000</v>
      </c>
      <c r="C12" s="30"/>
      <c r="D12" s="102">
        <v>10524</v>
      </c>
      <c r="E12" s="23"/>
      <c r="F12" s="39"/>
      <c r="G12" s="26"/>
      <c r="H12" s="27"/>
      <c r="I12" s="27"/>
      <c r="K12" s="96"/>
    </row>
    <row r="13" spans="1:11" s="29" customFormat="1">
      <c r="A13" s="29" t="s">
        <v>17</v>
      </c>
      <c r="B13" s="31">
        <v>10000000</v>
      </c>
      <c r="C13" s="30"/>
      <c r="D13" s="23">
        <v>19000</v>
      </c>
      <c r="E13" s="23"/>
      <c r="F13" s="39"/>
      <c r="G13" s="26"/>
      <c r="H13" s="27"/>
      <c r="I13" s="27"/>
      <c r="K13" s="104"/>
    </row>
    <row r="14" spans="1:11" s="29" customFormat="1">
      <c r="A14" s="29" t="s">
        <v>18</v>
      </c>
      <c r="B14" s="97">
        <v>3600000</v>
      </c>
      <c r="C14" s="30"/>
      <c r="D14" s="102"/>
      <c r="E14" s="23"/>
      <c r="F14" s="39"/>
      <c r="G14" s="26"/>
      <c r="H14" s="27"/>
      <c r="I14" s="27"/>
      <c r="K14" s="96"/>
    </row>
    <row r="15" spans="1:11" s="20" customFormat="1">
      <c r="A15" s="20" t="s">
        <v>132</v>
      </c>
      <c r="B15" s="31">
        <v>17000000</v>
      </c>
      <c r="C15" s="24">
        <v>17470519</v>
      </c>
      <c r="D15" s="23">
        <v>70000</v>
      </c>
      <c r="E15" s="25">
        <v>65754</v>
      </c>
      <c r="F15" s="21"/>
      <c r="G15" s="26"/>
      <c r="H15" s="27"/>
      <c r="I15" s="27"/>
      <c r="K15" s="104"/>
    </row>
    <row r="16" spans="1:11" s="20" customFormat="1">
      <c r="A16" s="20" t="s">
        <v>83</v>
      </c>
      <c r="B16" s="31">
        <v>200000</v>
      </c>
      <c r="C16" s="30">
        <v>475508</v>
      </c>
      <c r="D16" s="23">
        <v>950</v>
      </c>
      <c r="E16" s="25">
        <v>1098</v>
      </c>
      <c r="F16" s="21"/>
      <c r="G16" s="26"/>
      <c r="H16" s="27"/>
      <c r="I16" s="27"/>
      <c r="K16" s="29"/>
    </row>
    <row r="17" spans="1:11" s="20" customFormat="1">
      <c r="A17" s="20" t="s">
        <v>86</v>
      </c>
      <c r="B17" s="31">
        <v>261000</v>
      </c>
      <c r="C17" s="30"/>
      <c r="D17" s="23">
        <v>1028</v>
      </c>
      <c r="E17" s="23"/>
      <c r="F17" s="21"/>
      <c r="G17" s="26"/>
      <c r="H17" s="27"/>
      <c r="I17" s="27"/>
      <c r="K17" s="29"/>
    </row>
    <row r="18" spans="1:11" s="20" customFormat="1">
      <c r="A18" s="29" t="s">
        <v>74</v>
      </c>
      <c r="B18" s="21"/>
      <c r="C18" s="26"/>
      <c r="D18" s="23">
        <v>157</v>
      </c>
      <c r="E18" s="23">
        <v>75</v>
      </c>
      <c r="F18" s="21"/>
      <c r="G18" s="26"/>
      <c r="H18" s="27"/>
      <c r="I18" s="98">
        <v>164</v>
      </c>
      <c r="K18" s="104"/>
    </row>
    <row r="19" spans="1:11" s="20" customFormat="1">
      <c r="A19" s="29" t="s">
        <v>40</v>
      </c>
      <c r="B19" s="21"/>
      <c r="C19" s="26"/>
      <c r="D19" s="23" t="s">
        <v>87</v>
      </c>
      <c r="E19" s="23"/>
      <c r="F19" s="21"/>
      <c r="G19" s="26"/>
      <c r="H19" s="27"/>
      <c r="I19" s="27"/>
      <c r="K19" s="104"/>
    </row>
    <row r="20" spans="1:11" s="20" customFormat="1">
      <c r="A20" s="20" t="s">
        <v>84</v>
      </c>
      <c r="B20" s="31">
        <v>397569</v>
      </c>
      <c r="C20" s="30"/>
      <c r="D20" s="23">
        <v>2314</v>
      </c>
      <c r="E20" s="23"/>
      <c r="F20" s="21"/>
      <c r="G20" s="26"/>
      <c r="H20" s="27"/>
      <c r="I20" s="27"/>
      <c r="K20" s="96"/>
    </row>
    <row r="21" spans="1:11" s="20" customFormat="1">
      <c r="A21" s="20" t="s">
        <v>82</v>
      </c>
      <c r="B21" s="31">
        <v>5235647</v>
      </c>
      <c r="C21" s="30">
        <v>1280251</v>
      </c>
      <c r="D21" s="23">
        <v>2265</v>
      </c>
      <c r="E21" s="23">
        <v>108</v>
      </c>
      <c r="F21" s="31">
        <v>11460000</v>
      </c>
      <c r="G21" s="30">
        <v>11460000</v>
      </c>
      <c r="H21" s="27"/>
      <c r="I21" s="27"/>
      <c r="K21" s="29"/>
    </row>
    <row r="22" spans="1:11" s="20" customFormat="1">
      <c r="A22" s="20" t="s">
        <v>138</v>
      </c>
      <c r="B22" s="114">
        <v>4200000</v>
      </c>
      <c r="C22" s="30"/>
      <c r="D22" s="115" t="s">
        <v>87</v>
      </c>
      <c r="E22" s="23">
        <v>125</v>
      </c>
      <c r="F22" s="21"/>
      <c r="G22" s="26"/>
      <c r="H22" s="27"/>
      <c r="I22" s="27"/>
      <c r="K22" s="29"/>
    </row>
    <row r="23" spans="1:11" s="20" customFormat="1">
      <c r="A23" s="20" t="s">
        <v>101</v>
      </c>
      <c r="B23" s="31">
        <v>229500</v>
      </c>
      <c r="C23" s="100"/>
      <c r="D23" s="23">
        <v>230</v>
      </c>
      <c r="E23" s="23"/>
      <c r="F23" s="21"/>
      <c r="G23" s="26"/>
      <c r="H23" s="27"/>
      <c r="I23" s="27"/>
      <c r="K23" s="104"/>
    </row>
    <row r="24" spans="1:11" s="20" customFormat="1">
      <c r="A24" s="20" t="s">
        <v>78</v>
      </c>
      <c r="B24" s="31">
        <v>2300000</v>
      </c>
      <c r="C24" s="30"/>
      <c r="D24" s="22"/>
      <c r="E24" s="22"/>
      <c r="F24" s="21"/>
      <c r="G24" s="26"/>
      <c r="H24" s="27"/>
      <c r="I24" s="27"/>
      <c r="K24" s="29"/>
    </row>
    <row r="25" spans="1:11" s="20" customFormat="1">
      <c r="A25" s="32" t="s">
        <v>89</v>
      </c>
      <c r="B25" s="52">
        <f t="shared" ref="B25:I25" si="0">SUM(B8:B24)</f>
        <v>47701163</v>
      </c>
      <c r="C25" s="53">
        <f t="shared" si="0"/>
        <v>19234048</v>
      </c>
      <c r="D25" s="33">
        <f t="shared" si="0"/>
        <v>115957</v>
      </c>
      <c r="E25" s="34">
        <f t="shared" si="0"/>
        <v>67459</v>
      </c>
      <c r="F25" s="33">
        <f t="shared" si="0"/>
        <v>16760000</v>
      </c>
      <c r="G25" s="35">
        <f t="shared" si="0"/>
        <v>11460000</v>
      </c>
      <c r="H25" s="33">
        <f t="shared" si="0"/>
        <v>0</v>
      </c>
      <c r="I25" s="33">
        <f t="shared" si="0"/>
        <v>164</v>
      </c>
      <c r="K25" s="29"/>
    </row>
    <row r="26" spans="1:11" s="20" customFormat="1">
      <c r="E26" s="36"/>
      <c r="H26" s="37"/>
      <c r="I26" s="37"/>
    </row>
    <row r="27" spans="1:11" s="20" customFormat="1">
      <c r="E27" s="36"/>
      <c r="H27" s="37"/>
      <c r="I27" s="37"/>
    </row>
    <row r="28" spans="1:11">
      <c r="A28" s="54" t="s">
        <v>12</v>
      </c>
      <c r="B28" s="178" t="s">
        <v>14</v>
      </c>
      <c r="C28" s="179"/>
      <c r="D28" s="178" t="s">
        <v>13</v>
      </c>
      <c r="E28" s="179"/>
      <c r="F28" s="178" t="s">
        <v>15</v>
      </c>
      <c r="G28" s="179"/>
      <c r="H28" s="55" t="s">
        <v>136</v>
      </c>
      <c r="I28" s="56" t="s">
        <v>137</v>
      </c>
    </row>
    <row r="29" spans="1:11">
      <c r="A29" s="54"/>
      <c r="B29" s="57" t="s">
        <v>88</v>
      </c>
      <c r="C29" s="58" t="s">
        <v>11</v>
      </c>
      <c r="D29" s="57" t="s">
        <v>88</v>
      </c>
      <c r="E29" s="58" t="s">
        <v>11</v>
      </c>
      <c r="F29" s="57" t="s">
        <v>88</v>
      </c>
      <c r="G29" s="58" t="s">
        <v>11</v>
      </c>
      <c r="H29" s="58" t="s">
        <v>11</v>
      </c>
      <c r="I29" s="58" t="s">
        <v>11</v>
      </c>
    </row>
    <row r="30" spans="1:11">
      <c r="A30" s="54" t="s">
        <v>80</v>
      </c>
      <c r="B30" s="59">
        <v>765621</v>
      </c>
      <c r="C30" s="60">
        <v>567291</v>
      </c>
      <c r="D30" s="59">
        <v>3177</v>
      </c>
      <c r="E30" s="61">
        <v>3536</v>
      </c>
      <c r="F30" s="62">
        <v>5494083</v>
      </c>
      <c r="G30" s="63">
        <v>0</v>
      </c>
      <c r="H30" s="64"/>
      <c r="I30" s="65"/>
    </row>
    <row r="31" spans="1:11">
      <c r="A31" s="54" t="s">
        <v>81</v>
      </c>
      <c r="B31" s="59">
        <v>146970</v>
      </c>
      <c r="C31" s="63">
        <v>0</v>
      </c>
      <c r="D31" s="66"/>
      <c r="E31" s="67"/>
      <c r="F31" s="62">
        <v>0</v>
      </c>
      <c r="G31" s="63">
        <v>0</v>
      </c>
      <c r="H31" s="64"/>
      <c r="I31" s="65"/>
    </row>
    <row r="32" spans="1:11" s="5" customFormat="1">
      <c r="A32" s="68" t="s">
        <v>79</v>
      </c>
      <c r="B32" s="59">
        <v>0</v>
      </c>
      <c r="C32" s="61">
        <v>0</v>
      </c>
      <c r="D32" s="59">
        <v>0</v>
      </c>
      <c r="E32" s="61">
        <v>0</v>
      </c>
      <c r="F32" s="69">
        <v>0</v>
      </c>
      <c r="G32" s="61">
        <v>0</v>
      </c>
      <c r="H32" s="64"/>
      <c r="I32" s="65"/>
      <c r="K32"/>
    </row>
    <row r="33" spans="1:25" s="5" customFormat="1">
      <c r="A33" s="68" t="s">
        <v>126</v>
      </c>
      <c r="B33" s="66"/>
      <c r="C33" s="67"/>
      <c r="D33" s="59">
        <v>165</v>
      </c>
      <c r="E33" s="61">
        <v>165</v>
      </c>
      <c r="F33" s="69">
        <v>64500000</v>
      </c>
      <c r="G33" s="61">
        <v>64500000</v>
      </c>
      <c r="H33" s="64"/>
      <c r="I33" s="65"/>
      <c r="K33"/>
    </row>
    <row r="34" spans="1:25" s="5" customFormat="1">
      <c r="A34" s="68" t="s">
        <v>127</v>
      </c>
      <c r="B34" s="66"/>
      <c r="C34" s="67"/>
      <c r="D34" s="59">
        <v>170</v>
      </c>
      <c r="E34" s="61">
        <v>170</v>
      </c>
      <c r="F34" s="69">
        <v>79000000</v>
      </c>
      <c r="G34" s="61">
        <v>79000000</v>
      </c>
      <c r="H34" s="64"/>
      <c r="I34" s="65"/>
      <c r="K34"/>
    </row>
    <row r="35" spans="1:25">
      <c r="A35" s="54" t="s">
        <v>132</v>
      </c>
      <c r="B35" s="59">
        <v>0</v>
      </c>
      <c r="C35" s="63">
        <v>0</v>
      </c>
      <c r="D35" s="59">
        <v>0</v>
      </c>
      <c r="E35" s="63">
        <v>0</v>
      </c>
      <c r="F35" s="64"/>
      <c r="G35" s="67"/>
      <c r="H35" s="64"/>
      <c r="I35" s="65"/>
    </row>
    <row r="36" spans="1:25">
      <c r="A36" s="54" t="s">
        <v>83</v>
      </c>
      <c r="B36" s="59">
        <v>90000</v>
      </c>
      <c r="C36" s="61">
        <v>123150</v>
      </c>
      <c r="D36" s="59">
        <v>385</v>
      </c>
      <c r="E36" s="63">
        <v>350</v>
      </c>
      <c r="F36" s="62">
        <v>7900000</v>
      </c>
      <c r="G36" s="61">
        <v>7900000</v>
      </c>
      <c r="H36" s="64"/>
      <c r="I36" s="65"/>
    </row>
    <row r="37" spans="1:25">
      <c r="A37" s="54" t="s">
        <v>86</v>
      </c>
      <c r="B37" s="66"/>
      <c r="C37" s="67"/>
      <c r="D37" s="66"/>
      <c r="E37" s="67"/>
      <c r="F37" s="64"/>
      <c r="G37" s="67"/>
      <c r="H37" s="64"/>
      <c r="I37" s="65"/>
    </row>
    <row r="38" spans="1:25">
      <c r="A38" s="68" t="s">
        <v>74</v>
      </c>
      <c r="B38" s="59">
        <v>7542381</v>
      </c>
      <c r="C38" s="61">
        <v>12051165</v>
      </c>
      <c r="D38" s="59">
        <v>21846</v>
      </c>
      <c r="E38" s="61">
        <v>27018</v>
      </c>
      <c r="F38" s="64"/>
      <c r="G38" s="67"/>
      <c r="H38" s="64"/>
      <c r="I38" s="65"/>
    </row>
    <row r="39" spans="1:25">
      <c r="A39" s="54" t="s">
        <v>84</v>
      </c>
      <c r="B39" s="59">
        <v>113100</v>
      </c>
      <c r="C39" s="61">
        <v>12381</v>
      </c>
      <c r="D39" s="59">
        <v>26</v>
      </c>
      <c r="E39" s="61">
        <v>26</v>
      </c>
      <c r="F39" s="62">
        <v>844500</v>
      </c>
      <c r="G39" s="63">
        <v>844500</v>
      </c>
      <c r="H39" s="64"/>
      <c r="I39" s="65"/>
    </row>
    <row r="40" spans="1:25">
      <c r="A40" s="54" t="s">
        <v>75</v>
      </c>
      <c r="B40" s="59">
        <v>46090</v>
      </c>
      <c r="C40" s="63">
        <v>29453</v>
      </c>
      <c r="D40" s="70">
        <v>102</v>
      </c>
      <c r="E40" s="63">
        <v>102</v>
      </c>
      <c r="F40" s="64"/>
      <c r="G40" s="67"/>
      <c r="H40" s="64"/>
      <c r="I40" s="65"/>
    </row>
    <row r="41" spans="1:25">
      <c r="A41" s="54" t="s">
        <v>76</v>
      </c>
      <c r="B41" s="59">
        <v>7000000</v>
      </c>
      <c r="C41" s="61">
        <v>12820871</v>
      </c>
      <c r="D41" s="70">
        <v>38610</v>
      </c>
      <c r="E41" s="61">
        <v>33895</v>
      </c>
      <c r="F41" s="64"/>
      <c r="G41" s="67"/>
      <c r="H41" s="64"/>
      <c r="I41" s="65"/>
    </row>
    <row r="42" spans="1:25">
      <c r="A42" s="54" t="s">
        <v>82</v>
      </c>
      <c r="B42" s="59">
        <v>5235647.25</v>
      </c>
      <c r="C42" s="61">
        <v>4124088</v>
      </c>
      <c r="D42" s="59">
        <v>2265</v>
      </c>
      <c r="E42" s="61">
        <v>2264</v>
      </c>
      <c r="F42" s="64"/>
      <c r="G42" s="67"/>
      <c r="H42" s="64"/>
      <c r="I42" s="65"/>
    </row>
    <row r="43" spans="1:25">
      <c r="A43" s="54" t="s">
        <v>77</v>
      </c>
      <c r="B43" s="59">
        <v>9660213</v>
      </c>
      <c r="C43" s="63">
        <v>9588024</v>
      </c>
      <c r="D43" s="59">
        <v>30878</v>
      </c>
      <c r="E43" s="63">
        <v>30878</v>
      </c>
      <c r="F43" s="62">
        <v>13000000</v>
      </c>
      <c r="G43" s="63">
        <v>13000000</v>
      </c>
      <c r="H43" s="64"/>
      <c r="I43" s="65"/>
    </row>
    <row r="44" spans="1:25">
      <c r="A44" s="54" t="s">
        <v>101</v>
      </c>
      <c r="B44" s="59">
        <v>229500</v>
      </c>
      <c r="C44" s="61">
        <v>315204</v>
      </c>
      <c r="D44" s="59">
        <v>230</v>
      </c>
      <c r="E44" s="60">
        <v>947</v>
      </c>
      <c r="F44" s="64"/>
      <c r="G44" s="67"/>
      <c r="H44" s="69">
        <v>547</v>
      </c>
      <c r="I44" s="65"/>
    </row>
    <row r="45" spans="1:25">
      <c r="A45" s="54" t="s">
        <v>78</v>
      </c>
      <c r="B45" s="59">
        <v>750000</v>
      </c>
      <c r="C45" s="71">
        <v>0</v>
      </c>
      <c r="D45" s="59">
        <v>0</v>
      </c>
      <c r="E45" s="61">
        <v>0</v>
      </c>
      <c r="F45" s="64"/>
      <c r="G45" s="67"/>
      <c r="H45" s="64"/>
      <c r="I45" s="65"/>
    </row>
    <row r="46" spans="1:25">
      <c r="A46" s="72" t="s">
        <v>89</v>
      </c>
      <c r="B46" s="73">
        <f t="shared" ref="B46:I46" si="1">SUM(B30:B45)</f>
        <v>31579522.25</v>
      </c>
      <c r="C46" s="74">
        <f t="shared" si="1"/>
        <v>39631627</v>
      </c>
      <c r="D46" s="75">
        <f t="shared" si="1"/>
        <v>97854</v>
      </c>
      <c r="E46" s="76">
        <f t="shared" si="1"/>
        <v>99351</v>
      </c>
      <c r="F46" s="77">
        <f t="shared" si="1"/>
        <v>170738583</v>
      </c>
      <c r="G46" s="76">
        <f t="shared" si="1"/>
        <v>165244500</v>
      </c>
      <c r="H46" s="77">
        <f t="shared" si="1"/>
        <v>547</v>
      </c>
      <c r="I46" s="78">
        <f t="shared" si="1"/>
        <v>0</v>
      </c>
    </row>
    <row r="47" spans="1:25">
      <c r="A47" s="79"/>
      <c r="B47" s="79"/>
      <c r="C47" s="79"/>
      <c r="D47" s="79"/>
      <c r="E47" s="79"/>
      <c r="F47" s="79"/>
      <c r="G47" s="79"/>
      <c r="H47" s="79"/>
      <c r="I47" s="79"/>
      <c r="J47" s="17"/>
      <c r="K47" s="17"/>
      <c r="L47" s="17"/>
      <c r="M47" s="17"/>
      <c r="N47" s="17"/>
      <c r="O47" s="17"/>
      <c r="P47" s="17"/>
      <c r="Q47" s="17"/>
      <c r="R47" s="17"/>
      <c r="S47" s="17"/>
      <c r="T47" s="17"/>
      <c r="U47" s="17"/>
      <c r="V47" s="17"/>
      <c r="W47" s="17"/>
      <c r="X47" s="17"/>
      <c r="Y47" s="17"/>
    </row>
    <row r="48" spans="1:25">
      <c r="A48" s="54"/>
      <c r="B48" s="54"/>
      <c r="C48" s="54"/>
      <c r="D48" s="54"/>
      <c r="E48" s="68"/>
      <c r="F48" s="54"/>
      <c r="G48" s="54"/>
      <c r="H48" s="54"/>
      <c r="I48" s="54"/>
    </row>
    <row r="49" spans="1:11">
      <c r="A49" s="54" t="s">
        <v>10</v>
      </c>
      <c r="B49" s="178" t="s">
        <v>61</v>
      </c>
      <c r="C49" s="179"/>
      <c r="D49" s="178" t="s">
        <v>62</v>
      </c>
      <c r="E49" s="179"/>
      <c r="F49" s="80" t="s">
        <v>94</v>
      </c>
      <c r="G49" s="81"/>
      <c r="H49" s="55" t="s">
        <v>136</v>
      </c>
      <c r="I49" s="56" t="s">
        <v>137</v>
      </c>
    </row>
    <row r="50" spans="1:11">
      <c r="A50" s="54"/>
      <c r="B50" s="58" t="s">
        <v>88</v>
      </c>
      <c r="C50" s="58" t="s">
        <v>11</v>
      </c>
      <c r="D50" s="58" t="s">
        <v>88</v>
      </c>
      <c r="E50" s="58" t="s">
        <v>11</v>
      </c>
      <c r="F50" s="58" t="s">
        <v>88</v>
      </c>
      <c r="G50" s="58" t="s">
        <v>11</v>
      </c>
      <c r="H50" s="57" t="s">
        <v>11</v>
      </c>
      <c r="I50" s="57" t="s">
        <v>11</v>
      </c>
    </row>
    <row r="51" spans="1:11">
      <c r="A51" s="54" t="s">
        <v>81</v>
      </c>
      <c r="B51" s="70">
        <v>146970</v>
      </c>
      <c r="C51" s="62">
        <v>161884</v>
      </c>
      <c r="D51" s="70">
        <v>466</v>
      </c>
      <c r="E51" s="62">
        <v>466</v>
      </c>
      <c r="F51" s="66"/>
      <c r="G51" s="64"/>
      <c r="H51" s="70">
        <v>4</v>
      </c>
      <c r="I51" s="65"/>
    </row>
    <row r="52" spans="1:11">
      <c r="A52" s="54" t="s">
        <v>83</v>
      </c>
      <c r="B52" s="66"/>
      <c r="C52" s="64"/>
      <c r="D52" s="66"/>
      <c r="E52" s="64"/>
      <c r="F52" s="66"/>
      <c r="G52" s="64"/>
      <c r="H52" s="66"/>
      <c r="I52" s="65"/>
    </row>
    <row r="53" spans="1:11">
      <c r="A53" s="68" t="s">
        <v>73</v>
      </c>
      <c r="B53" s="59">
        <v>10782824</v>
      </c>
      <c r="C53" s="69">
        <v>9921453</v>
      </c>
      <c r="D53" s="59">
        <v>22224</v>
      </c>
      <c r="E53" s="62">
        <v>19635</v>
      </c>
      <c r="F53" s="66"/>
      <c r="G53" s="64"/>
      <c r="H53" s="66"/>
      <c r="I53" s="65"/>
    </row>
    <row r="54" spans="1:11" s="5" customFormat="1">
      <c r="A54" s="54" t="s">
        <v>84</v>
      </c>
      <c r="B54" s="59">
        <f>5940*0.83</f>
        <v>4930.2</v>
      </c>
      <c r="C54" s="69">
        <v>5918</v>
      </c>
      <c r="D54" s="66"/>
      <c r="E54" s="64"/>
      <c r="F54" s="70">
        <v>312600</v>
      </c>
      <c r="G54" s="62">
        <v>312600</v>
      </c>
      <c r="H54" s="66"/>
      <c r="I54" s="65"/>
      <c r="J54"/>
      <c r="K54"/>
    </row>
    <row r="55" spans="1:11">
      <c r="A55" s="54" t="s">
        <v>82</v>
      </c>
      <c r="B55" s="66"/>
      <c r="C55" s="67"/>
      <c r="D55" s="66"/>
      <c r="E55" s="67"/>
      <c r="F55" s="64"/>
      <c r="G55" s="67"/>
      <c r="H55" s="64"/>
      <c r="I55" s="65"/>
    </row>
    <row r="56" spans="1:11" s="5" customFormat="1">
      <c r="A56" s="54" t="s">
        <v>101</v>
      </c>
      <c r="B56" s="59">
        <f>270000*0.85</f>
        <v>229500</v>
      </c>
      <c r="C56" s="82">
        <v>254717</v>
      </c>
      <c r="D56" s="59">
        <v>230</v>
      </c>
      <c r="E56" s="69">
        <v>2208</v>
      </c>
      <c r="F56" s="66"/>
      <c r="G56" s="64"/>
      <c r="H56" s="59">
        <v>763</v>
      </c>
      <c r="I56" s="65"/>
      <c r="J56"/>
      <c r="K56"/>
    </row>
    <row r="57" spans="1:11" s="5" customFormat="1">
      <c r="A57" s="54" t="s">
        <v>78</v>
      </c>
      <c r="B57" s="70">
        <v>750000</v>
      </c>
      <c r="C57" s="69">
        <v>1835016</v>
      </c>
      <c r="D57" s="66"/>
      <c r="E57" s="64"/>
      <c r="F57" s="66"/>
      <c r="G57" s="64"/>
      <c r="H57" s="66"/>
      <c r="I57" s="65"/>
      <c r="J57"/>
      <c r="K57"/>
    </row>
    <row r="58" spans="1:11">
      <c r="A58" s="72" t="s">
        <v>89</v>
      </c>
      <c r="B58" s="83">
        <f t="shared" ref="B58:I58" si="2">SUM(B51:B57)</f>
        <v>11914224.199999999</v>
      </c>
      <c r="C58" s="84">
        <f t="shared" si="2"/>
        <v>12178988</v>
      </c>
      <c r="D58" s="75">
        <f t="shared" si="2"/>
        <v>22920</v>
      </c>
      <c r="E58" s="76">
        <f t="shared" si="2"/>
        <v>22309</v>
      </c>
      <c r="F58" s="75">
        <f t="shared" si="2"/>
        <v>312600</v>
      </c>
      <c r="G58" s="77">
        <f t="shared" si="2"/>
        <v>312600</v>
      </c>
      <c r="H58" s="75">
        <f t="shared" si="2"/>
        <v>767</v>
      </c>
      <c r="I58" s="78">
        <f t="shared" si="2"/>
        <v>0</v>
      </c>
    </row>
    <row r="70" spans="2:6">
      <c r="B70" s="2"/>
      <c r="C70" s="2"/>
      <c r="D70" s="2"/>
      <c r="F70" s="2"/>
    </row>
    <row r="71" spans="2:6">
      <c r="B71" s="2"/>
      <c r="C71" s="2"/>
      <c r="D71" s="2"/>
      <c r="F71" s="2"/>
    </row>
  </sheetData>
  <sheetProtection formatCells="0" formatColumns="0" formatRows="0" insertColumns="0" insertRows="0" insertHyperlinks="0" pivotTables="0"/>
  <mergeCells count="8">
    <mergeCell ref="B6:C6"/>
    <mergeCell ref="D6:E6"/>
    <mergeCell ref="F6:G6"/>
    <mergeCell ref="B49:C49"/>
    <mergeCell ref="D49:E49"/>
    <mergeCell ref="B28:C28"/>
    <mergeCell ref="D28:E28"/>
    <mergeCell ref="F28:G28"/>
  </mergeCells>
  <phoneticPr fontId="3" type="noConversion"/>
  <pageMargins left="0.75000000000000011" right="0.75000000000000011" top="1" bottom="1" header="0.5" footer="0.5"/>
  <pageSetup paperSize="3" scale="81" orientation="landscape"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heetViews>
  <sheetFormatPr defaultRowHeight="15"/>
  <cols>
    <col min="1" max="1" width="26.5" style="131" customWidth="1"/>
    <col min="2" max="2" width="16.125" style="131" customWidth="1"/>
    <col min="3" max="3" width="17" style="131" customWidth="1"/>
    <col min="4" max="4" width="16.625" style="131" customWidth="1"/>
    <col min="5" max="6" width="16" style="131" customWidth="1"/>
    <col min="7" max="7" width="21.625" style="131" customWidth="1"/>
    <col min="8" max="9" width="11" style="118" customWidth="1"/>
    <col min="10" max="10" width="18.625" style="118" customWidth="1"/>
    <col min="11" max="11" width="19.375" style="118" customWidth="1"/>
    <col min="12" max="256" width="11" style="118" customWidth="1"/>
    <col min="257" max="16384" width="9" style="118"/>
  </cols>
  <sheetData>
    <row r="1" spans="1:12">
      <c r="A1" s="130" t="s">
        <v>237</v>
      </c>
      <c r="H1" s="172" t="s">
        <v>253</v>
      </c>
    </row>
    <row r="2" spans="1:12">
      <c r="A2" s="130" t="s">
        <v>238</v>
      </c>
      <c r="E2" s="132"/>
      <c r="F2" s="132"/>
    </row>
    <row r="3" spans="1:12" ht="47.25">
      <c r="A3" s="153" t="s">
        <v>95</v>
      </c>
      <c r="B3" s="153" t="s">
        <v>182</v>
      </c>
      <c r="C3" s="153" t="s">
        <v>183</v>
      </c>
      <c r="D3" s="153" t="s">
        <v>184</v>
      </c>
      <c r="E3" s="153" t="s">
        <v>185</v>
      </c>
      <c r="F3" s="154" t="s">
        <v>239</v>
      </c>
      <c r="G3" s="154" t="s">
        <v>240</v>
      </c>
      <c r="H3" s="118" t="s">
        <v>258</v>
      </c>
      <c r="J3" s="173" t="s">
        <v>254</v>
      </c>
      <c r="K3" s="118" t="s">
        <v>257</v>
      </c>
      <c r="L3" s="118" t="s">
        <v>262</v>
      </c>
    </row>
    <row r="4" spans="1:12">
      <c r="A4" s="131" t="s">
        <v>186</v>
      </c>
      <c r="B4" s="159">
        <v>0</v>
      </c>
      <c r="C4" s="159">
        <v>574836</v>
      </c>
      <c r="D4" s="160">
        <f>1471198+553750</f>
        <v>2024948</v>
      </c>
      <c r="E4" s="161">
        <v>1633000</v>
      </c>
      <c r="F4" s="162">
        <v>1209229</v>
      </c>
      <c r="G4" s="135">
        <f>SUM(B4:F4)</f>
        <v>5442013</v>
      </c>
      <c r="H4" s="118" t="s">
        <v>51</v>
      </c>
      <c r="J4" s="118" t="s">
        <v>37</v>
      </c>
      <c r="K4" s="170">
        <f t="shared" ref="K4:K28" si="0">SUMIF(H$4:H$64,J4,G$4:G$64)</f>
        <v>6581777.5</v>
      </c>
      <c r="L4" s="165">
        <f>K4/K$29</f>
        <v>0.1927663971523067</v>
      </c>
    </row>
    <row r="5" spans="1:12">
      <c r="A5" s="131" t="s">
        <v>187</v>
      </c>
      <c r="B5" s="159"/>
      <c r="C5" s="159"/>
      <c r="D5" s="160"/>
      <c r="E5" s="162">
        <v>180000</v>
      </c>
      <c r="F5" s="162">
        <v>0</v>
      </c>
      <c r="G5" s="135">
        <f>SUM(B5:F5)</f>
        <v>180000</v>
      </c>
      <c r="H5" s="118" t="s">
        <v>259</v>
      </c>
      <c r="J5" s="118" t="s">
        <v>51</v>
      </c>
      <c r="K5" s="170">
        <f t="shared" si="0"/>
        <v>5442013</v>
      </c>
      <c r="L5" s="165">
        <f t="shared" ref="L5:L29" si="1">K5/K$29</f>
        <v>0.15938509608779941</v>
      </c>
    </row>
    <row r="6" spans="1:12">
      <c r="A6" s="136" t="s">
        <v>188</v>
      </c>
      <c r="B6" s="159"/>
      <c r="C6" s="159"/>
      <c r="D6" s="159"/>
      <c r="E6" s="162">
        <v>62347</v>
      </c>
      <c r="F6" s="162">
        <v>0</v>
      </c>
      <c r="G6" s="135">
        <f>SUM(B6:F6)</f>
        <v>62347</v>
      </c>
      <c r="H6" s="118" t="s">
        <v>259</v>
      </c>
      <c r="J6" s="118" t="s">
        <v>260</v>
      </c>
      <c r="K6" s="170">
        <f t="shared" si="0"/>
        <v>4079386.95</v>
      </c>
      <c r="L6" s="165">
        <f t="shared" si="1"/>
        <v>0.11947664972594975</v>
      </c>
    </row>
    <row r="7" spans="1:12">
      <c r="A7" s="136" t="s">
        <v>208</v>
      </c>
      <c r="B7" s="159"/>
      <c r="C7" s="159"/>
      <c r="D7" s="160"/>
      <c r="E7" s="162"/>
      <c r="F7" s="162">
        <v>96928</v>
      </c>
      <c r="G7" s="135">
        <f>SUM(B7:F7)</f>
        <v>96928</v>
      </c>
      <c r="H7" s="118" t="s">
        <v>106</v>
      </c>
      <c r="J7" s="118" t="s">
        <v>46</v>
      </c>
      <c r="K7" s="170">
        <f t="shared" si="0"/>
        <v>3133979.33</v>
      </c>
      <c r="L7" s="165">
        <f t="shared" si="1"/>
        <v>9.1787652225238561E-2</v>
      </c>
    </row>
    <row r="8" spans="1:12">
      <c r="A8" s="137" t="s">
        <v>189</v>
      </c>
      <c r="B8" s="160">
        <v>0</v>
      </c>
      <c r="C8" s="160">
        <v>0</v>
      </c>
      <c r="D8" s="160">
        <v>0</v>
      </c>
      <c r="E8" s="162">
        <v>229656</v>
      </c>
      <c r="F8" s="162">
        <v>434994.81</v>
      </c>
      <c r="G8" s="135">
        <f t="shared" ref="G8:G45" si="2">SUM(B8:F8)</f>
        <v>664650.81000000006</v>
      </c>
      <c r="H8" s="118" t="s">
        <v>107</v>
      </c>
      <c r="J8" s="118" t="s">
        <v>55</v>
      </c>
      <c r="K8" s="170">
        <f t="shared" si="0"/>
        <v>2041557</v>
      </c>
      <c r="L8" s="165">
        <f t="shared" si="1"/>
        <v>5.9792903584339009E-2</v>
      </c>
    </row>
    <row r="9" spans="1:12">
      <c r="A9" s="136" t="s">
        <v>25</v>
      </c>
      <c r="B9" s="159">
        <v>0</v>
      </c>
      <c r="C9" s="159">
        <v>0</v>
      </c>
      <c r="D9" s="160">
        <v>624930</v>
      </c>
      <c r="E9" s="163">
        <v>662035</v>
      </c>
      <c r="F9" s="162">
        <v>0</v>
      </c>
      <c r="G9" s="135">
        <f t="shared" si="2"/>
        <v>1286965</v>
      </c>
      <c r="H9" s="118" t="s">
        <v>260</v>
      </c>
      <c r="J9" s="118" t="s">
        <v>57</v>
      </c>
      <c r="K9" s="170">
        <f t="shared" si="0"/>
        <v>1632274.3900000001</v>
      </c>
      <c r="L9" s="165">
        <f t="shared" si="1"/>
        <v>4.7805878172618145E-2</v>
      </c>
    </row>
    <row r="10" spans="1:12">
      <c r="A10" s="138" t="s">
        <v>167</v>
      </c>
      <c r="B10" s="159">
        <v>0</v>
      </c>
      <c r="C10" s="159">
        <v>0</v>
      </c>
      <c r="D10" s="160">
        <v>0</v>
      </c>
      <c r="E10" s="162">
        <v>275979</v>
      </c>
      <c r="F10" s="162">
        <v>374201.81</v>
      </c>
      <c r="G10" s="135">
        <f t="shared" si="2"/>
        <v>650180.81000000006</v>
      </c>
      <c r="H10" s="118" t="s">
        <v>260</v>
      </c>
      <c r="J10" s="118" t="s">
        <v>59</v>
      </c>
      <c r="K10" s="170">
        <f t="shared" si="0"/>
        <v>1501051</v>
      </c>
      <c r="L10" s="165">
        <f t="shared" si="1"/>
        <v>4.3962621527675029E-2</v>
      </c>
    </row>
    <row r="11" spans="1:12">
      <c r="A11" s="138" t="s">
        <v>168</v>
      </c>
      <c r="B11" s="159">
        <v>0</v>
      </c>
      <c r="C11" s="159">
        <v>0</v>
      </c>
      <c r="D11" s="160">
        <v>0</v>
      </c>
      <c r="E11" s="163">
        <v>127017.44</v>
      </c>
      <c r="F11" s="162">
        <v>431666.7</v>
      </c>
      <c r="G11" s="135">
        <f t="shared" si="2"/>
        <v>558684.14</v>
      </c>
      <c r="H11" s="118" t="s">
        <v>260</v>
      </c>
      <c r="J11" s="118" t="s">
        <v>53</v>
      </c>
      <c r="K11" s="170">
        <f t="shared" si="0"/>
        <v>1499739</v>
      </c>
      <c r="L11" s="165">
        <f t="shared" si="1"/>
        <v>4.392419581166384E-2</v>
      </c>
    </row>
    <row r="12" spans="1:12">
      <c r="A12" s="139" t="s">
        <v>209</v>
      </c>
      <c r="B12" s="159"/>
      <c r="C12" s="159"/>
      <c r="D12" s="160"/>
      <c r="E12" s="162"/>
      <c r="F12" s="162">
        <v>855667</v>
      </c>
      <c r="G12" s="135">
        <f t="shared" si="2"/>
        <v>855667</v>
      </c>
      <c r="H12" s="118" t="s">
        <v>260</v>
      </c>
      <c r="J12" s="118" t="s">
        <v>101</v>
      </c>
      <c r="K12" s="170">
        <f t="shared" si="0"/>
        <v>1157461</v>
      </c>
      <c r="L12" s="165">
        <f t="shared" si="1"/>
        <v>3.3899594268312183E-2</v>
      </c>
    </row>
    <row r="13" spans="1:12">
      <c r="A13" s="139" t="s">
        <v>210</v>
      </c>
      <c r="B13" s="159"/>
      <c r="C13" s="159"/>
      <c r="D13" s="159"/>
      <c r="E13" s="159"/>
      <c r="F13" s="162">
        <v>356870</v>
      </c>
      <c r="G13" s="135">
        <f t="shared" si="2"/>
        <v>356870</v>
      </c>
      <c r="H13" s="118" t="s">
        <v>260</v>
      </c>
      <c r="J13" s="118" t="s">
        <v>256</v>
      </c>
      <c r="K13" s="170">
        <f t="shared" si="0"/>
        <v>1000000</v>
      </c>
      <c r="L13" s="165">
        <f t="shared" si="1"/>
        <v>2.9287893301210306E-2</v>
      </c>
    </row>
    <row r="14" spans="1:12">
      <c r="A14" s="139" t="s">
        <v>211</v>
      </c>
      <c r="B14" s="159"/>
      <c r="C14" s="159"/>
      <c r="D14" s="159"/>
      <c r="E14" s="159"/>
      <c r="F14" s="162">
        <v>125069.5</v>
      </c>
      <c r="G14" s="135">
        <f t="shared" si="2"/>
        <v>125069.5</v>
      </c>
      <c r="H14" s="118" t="s">
        <v>37</v>
      </c>
      <c r="J14" s="118" t="s">
        <v>58</v>
      </c>
      <c r="K14" s="170">
        <f t="shared" si="0"/>
        <v>917512</v>
      </c>
      <c r="L14" s="165">
        <f t="shared" si="1"/>
        <v>2.6871993558580071E-2</v>
      </c>
    </row>
    <row r="15" spans="1:12">
      <c r="A15" s="136" t="s">
        <v>190</v>
      </c>
      <c r="B15" s="159">
        <v>0</v>
      </c>
      <c r="C15" s="159">
        <v>0</v>
      </c>
      <c r="D15" s="160">
        <v>0</v>
      </c>
      <c r="E15" s="163">
        <v>842038</v>
      </c>
      <c r="F15" s="162">
        <v>1927545</v>
      </c>
      <c r="G15" s="135">
        <f t="shared" si="2"/>
        <v>2769583</v>
      </c>
      <c r="H15" s="118" t="s">
        <v>37</v>
      </c>
      <c r="J15" s="118" t="s">
        <v>107</v>
      </c>
      <c r="K15" s="170">
        <f t="shared" si="0"/>
        <v>783028.81</v>
      </c>
      <c r="L15" s="165">
        <f t="shared" si="1"/>
        <v>2.2933264239053678E-2</v>
      </c>
    </row>
    <row r="16" spans="1:12">
      <c r="A16" s="136" t="s">
        <v>9</v>
      </c>
      <c r="B16" s="159">
        <v>0</v>
      </c>
      <c r="C16" s="159">
        <v>0</v>
      </c>
      <c r="D16" s="160">
        <f>214230+357050</f>
        <v>571280</v>
      </c>
      <c r="E16" s="162">
        <v>624100</v>
      </c>
      <c r="F16" s="162">
        <v>679620</v>
      </c>
      <c r="G16" s="135">
        <f t="shared" si="2"/>
        <v>1875000</v>
      </c>
      <c r="H16" s="118" t="s">
        <v>37</v>
      </c>
      <c r="J16" s="118" t="s">
        <v>255</v>
      </c>
      <c r="K16" s="170">
        <f t="shared" si="0"/>
        <v>782102</v>
      </c>
      <c r="L16" s="165">
        <f t="shared" si="1"/>
        <v>2.2906119926663183E-2</v>
      </c>
    </row>
    <row r="17" spans="1:12">
      <c r="A17" s="136" t="s">
        <v>169</v>
      </c>
      <c r="B17" s="160"/>
      <c r="C17" s="160"/>
      <c r="D17" s="160"/>
      <c r="E17" s="162">
        <v>375000</v>
      </c>
      <c r="F17" s="162">
        <v>125000</v>
      </c>
      <c r="G17" s="135">
        <f t="shared" si="2"/>
        <v>500000</v>
      </c>
      <c r="H17" s="118" t="s">
        <v>37</v>
      </c>
      <c r="J17" s="118" t="s">
        <v>56</v>
      </c>
      <c r="K17" s="170">
        <f t="shared" si="0"/>
        <v>593873</v>
      </c>
      <c r="L17" s="165">
        <f t="shared" si="1"/>
        <v>1.7393289058469669E-2</v>
      </c>
    </row>
    <row r="18" spans="1:12">
      <c r="A18" s="139" t="s">
        <v>29</v>
      </c>
      <c r="B18" s="160"/>
      <c r="C18" s="160"/>
      <c r="D18" s="160"/>
      <c r="E18" s="162"/>
      <c r="F18" s="162">
        <v>30000</v>
      </c>
      <c r="G18" s="135">
        <f t="shared" si="2"/>
        <v>30000</v>
      </c>
      <c r="H18" s="118" t="s">
        <v>261</v>
      </c>
      <c r="J18" s="118" t="s">
        <v>119</v>
      </c>
      <c r="K18" s="170">
        <f t="shared" si="0"/>
        <v>416490</v>
      </c>
      <c r="L18" s="165">
        <f t="shared" si="1"/>
        <v>1.2198114681021081E-2</v>
      </c>
    </row>
    <row r="19" spans="1:12">
      <c r="A19" s="136" t="s">
        <v>170</v>
      </c>
      <c r="B19" s="160"/>
      <c r="C19" s="160"/>
      <c r="D19" s="160"/>
      <c r="E19" s="162">
        <v>10586</v>
      </c>
      <c r="F19" s="162">
        <v>0</v>
      </c>
      <c r="G19" s="135">
        <f t="shared" si="2"/>
        <v>10586</v>
      </c>
      <c r="H19" s="118" t="s">
        <v>170</v>
      </c>
      <c r="J19" s="118" t="s">
        <v>121</v>
      </c>
      <c r="K19" s="170">
        <f t="shared" si="0"/>
        <v>316327</v>
      </c>
      <c r="L19" s="165">
        <f t="shared" si="1"/>
        <v>9.2645514242919516E-3</v>
      </c>
    </row>
    <row r="20" spans="1:12">
      <c r="A20" s="136" t="s">
        <v>191</v>
      </c>
      <c r="B20" s="160"/>
      <c r="C20" s="160"/>
      <c r="D20" s="160"/>
      <c r="E20" s="162">
        <v>294102</v>
      </c>
      <c r="F20" s="162">
        <v>308000</v>
      </c>
      <c r="G20" s="135">
        <f t="shared" si="2"/>
        <v>602102</v>
      </c>
      <c r="H20" s="118" t="s">
        <v>255</v>
      </c>
      <c r="J20" s="118" t="s">
        <v>259</v>
      </c>
      <c r="K20" s="170">
        <f t="shared" si="0"/>
        <v>242347</v>
      </c>
      <c r="L20" s="165">
        <f t="shared" si="1"/>
        <v>7.0978330778684144E-3</v>
      </c>
    </row>
    <row r="21" spans="1:12">
      <c r="A21" s="136" t="s">
        <v>192</v>
      </c>
      <c r="B21" s="159">
        <v>297329</v>
      </c>
      <c r="C21" s="159">
        <v>225893</v>
      </c>
      <c r="D21" s="160">
        <v>52349</v>
      </c>
      <c r="E21" s="163">
        <v>153045</v>
      </c>
      <c r="F21" s="162">
        <v>36123</v>
      </c>
      <c r="G21" s="135">
        <f t="shared" si="2"/>
        <v>764739</v>
      </c>
      <c r="H21" s="118" t="s">
        <v>53</v>
      </c>
      <c r="J21" s="118" t="s">
        <v>54</v>
      </c>
      <c r="K21" s="170">
        <f t="shared" si="0"/>
        <v>178000</v>
      </c>
      <c r="L21" s="165">
        <f t="shared" si="1"/>
        <v>5.2132450076154344E-3</v>
      </c>
    </row>
    <row r="22" spans="1:12">
      <c r="A22" s="136" t="s">
        <v>212</v>
      </c>
      <c r="B22" s="159"/>
      <c r="C22" s="159"/>
      <c r="D22" s="160"/>
      <c r="E22" s="163"/>
      <c r="F22" s="162">
        <v>735000</v>
      </c>
      <c r="G22" s="135">
        <f t="shared" si="2"/>
        <v>735000</v>
      </c>
      <c r="H22" s="118" t="s">
        <v>53</v>
      </c>
      <c r="J22" s="118" t="s">
        <v>52</v>
      </c>
      <c r="K22" s="170">
        <f t="shared" si="0"/>
        <v>110151</v>
      </c>
      <c r="L22" s="165">
        <f t="shared" si="1"/>
        <v>3.2260907350216165E-3</v>
      </c>
    </row>
    <row r="23" spans="1:12">
      <c r="A23" s="136" t="s">
        <v>171</v>
      </c>
      <c r="B23" s="159">
        <v>0</v>
      </c>
      <c r="C23" s="159">
        <v>78000</v>
      </c>
      <c r="D23" s="160">
        <v>0</v>
      </c>
      <c r="E23" s="163">
        <v>0</v>
      </c>
      <c r="F23" s="162">
        <v>100000</v>
      </c>
      <c r="G23" s="135">
        <f t="shared" si="2"/>
        <v>178000</v>
      </c>
      <c r="H23" s="118" t="s">
        <v>54</v>
      </c>
      <c r="J23" s="118" t="s">
        <v>106</v>
      </c>
      <c r="K23" s="170">
        <f t="shared" si="0"/>
        <v>96928</v>
      </c>
      <c r="L23" s="165">
        <f t="shared" si="1"/>
        <v>2.8388169218997125E-3</v>
      </c>
    </row>
    <row r="24" spans="1:12">
      <c r="A24" s="136" t="s">
        <v>213</v>
      </c>
      <c r="B24" s="159"/>
      <c r="C24" s="159"/>
      <c r="D24" s="160"/>
      <c r="E24" s="163"/>
      <c r="F24" s="162">
        <v>119880</v>
      </c>
      <c r="G24" s="135">
        <f t="shared" si="2"/>
        <v>119880</v>
      </c>
      <c r="H24" s="118" t="s">
        <v>55</v>
      </c>
      <c r="J24" s="118" t="s">
        <v>207</v>
      </c>
      <c r="K24" s="170">
        <f t="shared" si="0"/>
        <v>66218</v>
      </c>
      <c r="L24" s="165">
        <f t="shared" si="1"/>
        <v>1.9393857186195439E-3</v>
      </c>
    </row>
    <row r="25" spans="1:12">
      <c r="A25" s="136" t="s">
        <v>193</v>
      </c>
      <c r="B25" s="159">
        <v>0</v>
      </c>
      <c r="C25" s="159">
        <v>0</v>
      </c>
      <c r="D25" s="160">
        <v>22209</v>
      </c>
      <c r="E25" s="163">
        <v>0</v>
      </c>
      <c r="F25" s="163">
        <v>0</v>
      </c>
      <c r="G25" s="135">
        <f t="shared" si="2"/>
        <v>22209</v>
      </c>
      <c r="H25" s="118" t="s">
        <v>55</v>
      </c>
      <c r="J25" s="118" t="s">
        <v>60</v>
      </c>
      <c r="K25" s="170">
        <f t="shared" si="0"/>
        <v>62400</v>
      </c>
      <c r="L25" s="165">
        <f t="shared" si="1"/>
        <v>1.8275645419955232E-3</v>
      </c>
    </row>
    <row r="26" spans="1:12">
      <c r="A26" s="136" t="s">
        <v>41</v>
      </c>
      <c r="B26" s="159">
        <v>0</v>
      </c>
      <c r="C26" s="159">
        <v>0</v>
      </c>
      <c r="D26" s="160">
        <v>44812</v>
      </c>
      <c r="E26" s="163">
        <v>0</v>
      </c>
      <c r="F26" s="163">
        <v>0</v>
      </c>
      <c r="G26" s="135">
        <f t="shared" si="2"/>
        <v>44812</v>
      </c>
      <c r="H26" s="118" t="s">
        <v>261</v>
      </c>
      <c r="J26" s="118" t="s">
        <v>114</v>
      </c>
      <c r="K26" s="170">
        <f t="shared" si="0"/>
        <v>50000</v>
      </c>
      <c r="L26" s="165">
        <f t="shared" si="1"/>
        <v>1.4643946650605153E-3</v>
      </c>
    </row>
    <row r="27" spans="1:12">
      <c r="A27" s="136" t="s">
        <v>114</v>
      </c>
      <c r="B27" s="159"/>
      <c r="C27" s="159"/>
      <c r="D27" s="160"/>
      <c r="E27" s="163"/>
      <c r="F27" s="162">
        <v>50000</v>
      </c>
      <c r="G27" s="135">
        <f t="shared" si="2"/>
        <v>50000</v>
      </c>
      <c r="H27" s="118" t="s">
        <v>114</v>
      </c>
      <c r="J27" s="118" t="s">
        <v>170</v>
      </c>
      <c r="K27" s="170">
        <f t="shared" si="0"/>
        <v>10586</v>
      </c>
      <c r="L27" s="165">
        <f t="shared" si="1"/>
        <v>3.1004163848661232E-4</v>
      </c>
    </row>
    <row r="28" spans="1:12">
      <c r="A28" s="136" t="s">
        <v>172</v>
      </c>
      <c r="B28" s="160">
        <v>0</v>
      </c>
      <c r="C28" s="160">
        <v>0</v>
      </c>
      <c r="D28" s="160">
        <f>249013+88127</f>
        <v>337140</v>
      </c>
      <c r="E28" s="163">
        <v>0</v>
      </c>
      <c r="F28" s="163">
        <v>0</v>
      </c>
      <c r="G28" s="135">
        <f t="shared" si="2"/>
        <v>337140</v>
      </c>
      <c r="H28" s="118" t="s">
        <v>56</v>
      </c>
      <c r="J28" s="118" t="s">
        <v>261</v>
      </c>
      <c r="K28" s="170">
        <f t="shared" si="0"/>
        <v>1448599</v>
      </c>
      <c r="L28" s="165">
        <f t="shared" si="1"/>
        <v>4.2426412948239949E-2</v>
      </c>
    </row>
    <row r="29" spans="1:12">
      <c r="A29" s="138" t="s">
        <v>173</v>
      </c>
      <c r="B29" s="160">
        <v>0</v>
      </c>
      <c r="C29" s="160">
        <v>0</v>
      </c>
      <c r="D29" s="160">
        <v>0</v>
      </c>
      <c r="E29" s="163">
        <v>495450.45</v>
      </c>
      <c r="F29" s="162">
        <v>157461</v>
      </c>
      <c r="G29" s="135">
        <f t="shared" si="2"/>
        <v>652911.44999999995</v>
      </c>
      <c r="H29" s="118" t="s">
        <v>46</v>
      </c>
      <c r="J29" s="118" t="s">
        <v>125</v>
      </c>
      <c r="K29" s="170">
        <f>SUM(K4:K28)</f>
        <v>34143800.980000004</v>
      </c>
      <c r="L29" s="165">
        <f t="shared" si="1"/>
        <v>1</v>
      </c>
    </row>
    <row r="30" spans="1:12">
      <c r="A30" s="138" t="s">
        <v>174</v>
      </c>
      <c r="B30" s="160">
        <v>0</v>
      </c>
      <c r="C30" s="160">
        <v>0</v>
      </c>
      <c r="D30" s="160">
        <v>0</v>
      </c>
      <c r="E30" s="163">
        <v>588322.75</v>
      </c>
      <c r="F30" s="162">
        <v>0</v>
      </c>
      <c r="G30" s="135">
        <f t="shared" si="2"/>
        <v>588322.75</v>
      </c>
      <c r="H30" s="118" t="s">
        <v>46</v>
      </c>
    </row>
    <row r="31" spans="1:12">
      <c r="A31" s="138" t="s">
        <v>175</v>
      </c>
      <c r="B31" s="160">
        <v>0</v>
      </c>
      <c r="C31" s="160">
        <v>0</v>
      </c>
      <c r="D31" s="160">
        <v>0</v>
      </c>
      <c r="E31" s="163">
        <v>598089</v>
      </c>
      <c r="F31" s="162">
        <v>268939</v>
      </c>
      <c r="G31" s="135">
        <f t="shared" si="2"/>
        <v>867028</v>
      </c>
      <c r="H31" s="118" t="s">
        <v>46</v>
      </c>
      <c r="J31" s="118" t="s">
        <v>263</v>
      </c>
      <c r="K31" s="169">
        <f>K29/'Treatments by Disease'!G95</f>
        <v>9.8247815162485749E-2</v>
      </c>
    </row>
    <row r="32" spans="1:12">
      <c r="A32" s="139" t="s">
        <v>214</v>
      </c>
      <c r="B32" s="160"/>
      <c r="C32" s="160"/>
      <c r="D32" s="160"/>
      <c r="E32" s="163"/>
      <c r="F32" s="162">
        <v>188532</v>
      </c>
      <c r="G32" s="135">
        <f t="shared" si="2"/>
        <v>188532</v>
      </c>
      <c r="H32" s="118" t="s">
        <v>46</v>
      </c>
    </row>
    <row r="33" spans="1:8">
      <c r="A33" s="138" t="s">
        <v>176</v>
      </c>
      <c r="B33" s="159"/>
      <c r="C33" s="159"/>
      <c r="D33" s="159"/>
      <c r="E33" s="163">
        <v>337185.13</v>
      </c>
      <c r="F33" s="163"/>
      <c r="G33" s="135">
        <f t="shared" si="2"/>
        <v>337185.13</v>
      </c>
      <c r="H33" s="118" t="s">
        <v>46</v>
      </c>
    </row>
    <row r="34" spans="1:8">
      <c r="A34" s="138" t="s">
        <v>215</v>
      </c>
      <c r="B34" s="159"/>
      <c r="C34" s="159"/>
      <c r="D34" s="159"/>
      <c r="E34" s="163"/>
      <c r="F34" s="162">
        <v>523961</v>
      </c>
      <c r="G34" s="135">
        <f t="shared" si="2"/>
        <v>523961</v>
      </c>
      <c r="H34" s="118" t="s">
        <v>261</v>
      </c>
    </row>
    <row r="35" spans="1:8">
      <c r="A35" s="136" t="s">
        <v>177</v>
      </c>
      <c r="B35" s="160">
        <v>424293</v>
      </c>
      <c r="C35" s="160">
        <v>0</v>
      </c>
      <c r="D35" s="160">
        <v>342168.37</v>
      </c>
      <c r="E35" s="164">
        <v>545273.02</v>
      </c>
      <c r="F35" s="162">
        <v>320540</v>
      </c>
      <c r="G35" s="135">
        <f t="shared" si="2"/>
        <v>1632274.3900000001</v>
      </c>
      <c r="H35" s="118" t="s">
        <v>57</v>
      </c>
    </row>
    <row r="36" spans="1:8">
      <c r="A36" s="136" t="s">
        <v>207</v>
      </c>
      <c r="B36" s="160"/>
      <c r="C36" s="160"/>
      <c r="D36" s="160"/>
      <c r="E36" s="164"/>
      <c r="F36" s="162">
        <v>66218</v>
      </c>
      <c r="G36" s="135">
        <f t="shared" si="2"/>
        <v>66218</v>
      </c>
      <c r="H36" s="118" t="s">
        <v>207</v>
      </c>
    </row>
    <row r="37" spans="1:8">
      <c r="A37" s="138" t="s">
        <v>194</v>
      </c>
      <c r="B37" s="160">
        <v>0</v>
      </c>
      <c r="C37" s="160">
        <v>0</v>
      </c>
      <c r="D37" s="160">
        <v>0</v>
      </c>
      <c r="E37" s="163">
        <v>416490</v>
      </c>
      <c r="F37" s="162">
        <v>0</v>
      </c>
      <c r="G37" s="135">
        <f t="shared" si="2"/>
        <v>416490</v>
      </c>
      <c r="H37" s="118" t="s">
        <v>119</v>
      </c>
    </row>
    <row r="38" spans="1:8">
      <c r="A38" s="138" t="s">
        <v>195</v>
      </c>
      <c r="B38" s="160"/>
      <c r="C38" s="160"/>
      <c r="D38" s="160"/>
      <c r="E38" s="163">
        <v>1000000</v>
      </c>
      <c r="F38" s="163">
        <v>0</v>
      </c>
      <c r="G38" s="135">
        <f t="shared" si="2"/>
        <v>1000000</v>
      </c>
      <c r="H38" s="118" t="s">
        <v>256</v>
      </c>
    </row>
    <row r="39" spans="1:8">
      <c r="A39" s="138" t="s">
        <v>178</v>
      </c>
      <c r="B39" s="160">
        <v>0</v>
      </c>
      <c r="C39" s="160">
        <v>0</v>
      </c>
      <c r="D39" s="160">
        <v>0</v>
      </c>
      <c r="E39" s="162">
        <v>150000</v>
      </c>
      <c r="F39" s="162">
        <v>0</v>
      </c>
      <c r="G39" s="135">
        <f t="shared" si="2"/>
        <v>150000</v>
      </c>
      <c r="H39" s="118" t="s">
        <v>121</v>
      </c>
    </row>
    <row r="40" spans="1:8">
      <c r="A40" s="138" t="s">
        <v>179</v>
      </c>
      <c r="B40" s="160">
        <v>0</v>
      </c>
      <c r="C40" s="160">
        <v>0</v>
      </c>
      <c r="D40" s="160">
        <v>40066</v>
      </c>
      <c r="E40" s="163">
        <v>0</v>
      </c>
      <c r="F40" s="162">
        <v>41082</v>
      </c>
      <c r="G40" s="135">
        <f t="shared" si="2"/>
        <v>81148</v>
      </c>
      <c r="H40" s="118" t="s">
        <v>121</v>
      </c>
    </row>
    <row r="41" spans="1:8">
      <c r="A41" s="138" t="s">
        <v>49</v>
      </c>
      <c r="B41" s="160">
        <v>0</v>
      </c>
      <c r="C41" s="160">
        <v>0</v>
      </c>
      <c r="D41" s="160">
        <v>0</v>
      </c>
      <c r="E41" s="163">
        <v>54581</v>
      </c>
      <c r="F41" s="162">
        <v>30598</v>
      </c>
      <c r="G41" s="135">
        <f t="shared" si="2"/>
        <v>85179</v>
      </c>
      <c r="H41" s="118" t="s">
        <v>121</v>
      </c>
    </row>
    <row r="42" spans="1:8">
      <c r="A42" s="138" t="s">
        <v>181</v>
      </c>
      <c r="B42" s="160">
        <v>0</v>
      </c>
      <c r="C42" s="160">
        <v>0</v>
      </c>
      <c r="D42" s="160">
        <v>0</v>
      </c>
      <c r="E42" s="163">
        <v>359478</v>
      </c>
      <c r="F42" s="162">
        <v>166980</v>
      </c>
      <c r="G42" s="135">
        <f t="shared" si="2"/>
        <v>526458</v>
      </c>
      <c r="H42" s="118" t="s">
        <v>58</v>
      </c>
    </row>
    <row r="43" spans="1:8">
      <c r="A43" s="138" t="s">
        <v>180</v>
      </c>
      <c r="B43" s="160">
        <v>0</v>
      </c>
      <c r="C43" s="160">
        <v>0</v>
      </c>
      <c r="D43" s="160">
        <v>0</v>
      </c>
      <c r="E43" s="163">
        <v>330000</v>
      </c>
      <c r="F43" s="162">
        <v>519826</v>
      </c>
      <c r="G43" s="135">
        <f t="shared" si="2"/>
        <v>849826</v>
      </c>
      <c r="H43" s="118" t="s">
        <v>261</v>
      </c>
    </row>
    <row r="44" spans="1:8">
      <c r="A44" s="138" t="s">
        <v>196</v>
      </c>
      <c r="B44" s="160"/>
      <c r="C44" s="160"/>
      <c r="D44" s="160"/>
      <c r="E44" s="162">
        <v>493096</v>
      </c>
      <c r="F44" s="162">
        <v>664365</v>
      </c>
      <c r="G44" s="135">
        <f t="shared" si="2"/>
        <v>1157461</v>
      </c>
      <c r="H44" s="118" t="s">
        <v>101</v>
      </c>
    </row>
    <row r="45" spans="1:8">
      <c r="A45" s="140" t="s">
        <v>36</v>
      </c>
      <c r="B45" s="159">
        <v>0</v>
      </c>
      <c r="C45" s="160">
        <v>0</v>
      </c>
      <c r="D45" s="160">
        <v>0</v>
      </c>
      <c r="E45" s="163">
        <v>326102</v>
      </c>
      <c r="F45" s="162">
        <v>998205</v>
      </c>
      <c r="G45" s="135">
        <f t="shared" si="2"/>
        <v>1324307</v>
      </c>
      <c r="H45" s="118" t="s">
        <v>59</v>
      </c>
    </row>
    <row r="46" spans="1:8">
      <c r="A46" s="141" t="s">
        <v>241</v>
      </c>
      <c r="B46" s="142">
        <f t="shared" ref="B46:G46" si="3">SUM(B4:B45)</f>
        <v>721622</v>
      </c>
      <c r="C46" s="142">
        <f t="shared" si="3"/>
        <v>878729</v>
      </c>
      <c r="D46" s="142">
        <f t="shared" si="3"/>
        <v>4059902.37</v>
      </c>
      <c r="E46" s="142">
        <f t="shared" si="3"/>
        <v>11162972.789999999</v>
      </c>
      <c r="F46" s="142">
        <f t="shared" si="3"/>
        <v>11942501.82</v>
      </c>
      <c r="G46" s="142">
        <f t="shared" si="3"/>
        <v>28765727.98</v>
      </c>
    </row>
    <row r="47" spans="1:8">
      <c r="F47" s="166"/>
    </row>
    <row r="48" spans="1:8" ht="15.75">
      <c r="A48" s="151" t="s">
        <v>92</v>
      </c>
      <c r="B48" s="152"/>
      <c r="C48" s="152"/>
      <c r="D48" s="152"/>
      <c r="E48" s="152"/>
      <c r="F48" s="152"/>
      <c r="G48" s="152"/>
    </row>
    <row r="49" spans="1:8">
      <c r="A49" s="143" t="s">
        <v>247</v>
      </c>
      <c r="B49" s="134">
        <v>110151</v>
      </c>
      <c r="C49" s="134">
        <v>0</v>
      </c>
      <c r="D49" s="134">
        <v>0</v>
      </c>
      <c r="E49" s="134">
        <v>0</v>
      </c>
      <c r="F49" s="134">
        <v>0</v>
      </c>
      <c r="G49" s="135">
        <f t="shared" ref="G49:G55" si="4">B49+C49+D49</f>
        <v>110151</v>
      </c>
      <c r="H49" s="118" t="s">
        <v>52</v>
      </c>
    </row>
    <row r="50" spans="1:8">
      <c r="A50" s="131" t="s">
        <v>248</v>
      </c>
      <c r="B50" s="133">
        <v>0</v>
      </c>
      <c r="C50" s="133">
        <v>0</v>
      </c>
      <c r="D50" s="133">
        <v>0</v>
      </c>
      <c r="E50" s="133">
        <v>0</v>
      </c>
      <c r="F50" s="133">
        <v>0</v>
      </c>
      <c r="G50" s="135">
        <f t="shared" si="4"/>
        <v>0</v>
      </c>
      <c r="H50" s="118" t="s">
        <v>259</v>
      </c>
    </row>
    <row r="51" spans="1:8">
      <c r="A51" s="143" t="s">
        <v>197</v>
      </c>
      <c r="B51" s="134">
        <v>0</v>
      </c>
      <c r="C51" s="134">
        <v>0</v>
      </c>
      <c r="D51" s="134">
        <v>118378</v>
      </c>
      <c r="E51" s="134">
        <v>0</v>
      </c>
      <c r="F51" s="134">
        <v>0</v>
      </c>
      <c r="G51" s="135">
        <f t="shared" si="4"/>
        <v>118378</v>
      </c>
      <c r="H51" s="118" t="s">
        <v>107</v>
      </c>
    </row>
    <row r="52" spans="1:8">
      <c r="A52" s="143" t="s">
        <v>45</v>
      </c>
      <c r="B52" s="133">
        <v>0</v>
      </c>
      <c r="C52" s="133">
        <v>278265</v>
      </c>
      <c r="D52" s="134">
        <v>92755</v>
      </c>
      <c r="E52" s="134">
        <v>0</v>
      </c>
      <c r="F52" s="134">
        <v>0</v>
      </c>
      <c r="G52" s="135">
        <f t="shared" si="4"/>
        <v>371020</v>
      </c>
      <c r="H52" s="118" t="s">
        <v>260</v>
      </c>
    </row>
    <row r="53" spans="1:8">
      <c r="A53" s="131" t="s">
        <v>249</v>
      </c>
      <c r="B53" s="133">
        <v>0</v>
      </c>
      <c r="C53" s="133">
        <v>341838</v>
      </c>
      <c r="D53" s="133">
        <v>20613</v>
      </c>
      <c r="E53" s="134">
        <v>0</v>
      </c>
      <c r="F53" s="134">
        <v>0</v>
      </c>
      <c r="G53" s="135">
        <f t="shared" si="4"/>
        <v>362451</v>
      </c>
      <c r="H53" s="118" t="s">
        <v>37</v>
      </c>
    </row>
    <row r="54" spans="1:8">
      <c r="A54" s="131" t="s">
        <v>198</v>
      </c>
      <c r="B54" s="133">
        <v>0</v>
      </c>
      <c r="C54" s="133">
        <v>0</v>
      </c>
      <c r="D54" s="134">
        <f>611068+338606</f>
        <v>949674</v>
      </c>
      <c r="E54" s="134">
        <v>0</v>
      </c>
      <c r="F54" s="134">
        <v>0</v>
      </c>
      <c r="G54" s="135">
        <f t="shared" si="4"/>
        <v>949674</v>
      </c>
      <c r="H54" s="118" t="s">
        <v>37</v>
      </c>
    </row>
    <row r="55" spans="1:8">
      <c r="A55" s="131" t="s">
        <v>199</v>
      </c>
      <c r="B55" s="133">
        <v>0</v>
      </c>
      <c r="C55" s="133">
        <v>160000</v>
      </c>
      <c r="D55" s="134">
        <v>20000</v>
      </c>
      <c r="E55" s="134">
        <v>0</v>
      </c>
      <c r="F55" s="134">
        <v>0</v>
      </c>
      <c r="G55" s="135">
        <f t="shared" si="4"/>
        <v>180000</v>
      </c>
      <c r="H55" s="118" t="s">
        <v>255</v>
      </c>
    </row>
    <row r="56" spans="1:8">
      <c r="A56" s="131" t="s">
        <v>250</v>
      </c>
      <c r="B56" s="133">
        <f>495000+193000</f>
        <v>688000</v>
      </c>
      <c r="C56" s="133">
        <v>95604</v>
      </c>
      <c r="D56" s="133">
        <v>0</v>
      </c>
      <c r="E56" s="134">
        <v>0</v>
      </c>
      <c r="F56" s="134">
        <v>0</v>
      </c>
      <c r="G56" s="135">
        <f>B56+C56</f>
        <v>783604</v>
      </c>
      <c r="H56" s="118" t="s">
        <v>55</v>
      </c>
    </row>
    <row r="57" spans="1:8">
      <c r="A57" s="131" t="s">
        <v>250</v>
      </c>
      <c r="B57" s="133">
        <v>0</v>
      </c>
      <c r="C57" s="133">
        <v>909253</v>
      </c>
      <c r="D57" s="134">
        <f>206611</f>
        <v>206611</v>
      </c>
      <c r="E57" s="134">
        <v>0</v>
      </c>
      <c r="F57" s="134">
        <v>0</v>
      </c>
      <c r="G57" s="135">
        <f>B57+C57+D57</f>
        <v>1115864</v>
      </c>
      <c r="H57" s="118" t="s">
        <v>55</v>
      </c>
    </row>
    <row r="58" spans="1:8">
      <c r="A58" s="131" t="s">
        <v>35</v>
      </c>
      <c r="B58" s="134">
        <v>31016</v>
      </c>
      <c r="C58" s="134">
        <v>225717</v>
      </c>
      <c r="D58" s="133">
        <v>0</v>
      </c>
      <c r="E58" s="134">
        <v>0</v>
      </c>
      <c r="F58" s="134">
        <v>0</v>
      </c>
      <c r="G58" s="135">
        <f>B58+C58</f>
        <v>256733</v>
      </c>
      <c r="H58" s="118" t="s">
        <v>56</v>
      </c>
    </row>
    <row r="59" spans="1:8">
      <c r="A59" s="131" t="s">
        <v>60</v>
      </c>
      <c r="B59" s="133">
        <v>0</v>
      </c>
      <c r="C59" s="133">
        <v>62400</v>
      </c>
      <c r="D59" s="133">
        <v>0</v>
      </c>
      <c r="E59" s="134">
        <v>0</v>
      </c>
      <c r="F59" s="134">
        <v>0</v>
      </c>
      <c r="G59" s="135">
        <f t="shared" ref="G59:G64" si="5">B59+C59+D59</f>
        <v>62400</v>
      </c>
      <c r="H59" s="118" t="s">
        <v>60</v>
      </c>
    </row>
    <row r="60" spans="1:8">
      <c r="A60" s="131" t="s">
        <v>46</v>
      </c>
      <c r="B60" s="133">
        <v>0</v>
      </c>
      <c r="C60" s="133">
        <v>500000</v>
      </c>
      <c r="D60" s="133">
        <v>0</v>
      </c>
      <c r="E60" s="134">
        <v>0</v>
      </c>
      <c r="F60" s="134">
        <v>0</v>
      </c>
      <c r="G60" s="135">
        <f t="shared" si="5"/>
        <v>500000</v>
      </c>
      <c r="H60" s="118" t="s">
        <v>46</v>
      </c>
    </row>
    <row r="61" spans="1:8">
      <c r="A61" s="131" t="s">
        <v>58</v>
      </c>
      <c r="B61" s="133">
        <v>0</v>
      </c>
      <c r="C61" s="133">
        <v>140000</v>
      </c>
      <c r="D61" s="133">
        <v>7711</v>
      </c>
      <c r="E61" s="134">
        <v>0</v>
      </c>
      <c r="F61" s="134">
        <v>0</v>
      </c>
      <c r="G61" s="135">
        <f t="shared" si="5"/>
        <v>147711</v>
      </c>
      <c r="H61" s="118" t="s">
        <v>58</v>
      </c>
    </row>
    <row r="62" spans="1:8">
      <c r="A62" s="131" t="s">
        <v>138</v>
      </c>
      <c r="B62" s="134">
        <v>0</v>
      </c>
      <c r="C62" s="134">
        <v>0</v>
      </c>
      <c r="D62" s="134">
        <f>139282+104061</f>
        <v>243343</v>
      </c>
      <c r="E62" s="134">
        <v>0</v>
      </c>
      <c r="F62" s="134">
        <v>0</v>
      </c>
      <c r="G62" s="135">
        <f t="shared" si="5"/>
        <v>243343</v>
      </c>
      <c r="H62" s="118" t="s">
        <v>58</v>
      </c>
    </row>
    <row r="63" spans="1:8">
      <c r="A63" s="131" t="s">
        <v>200</v>
      </c>
      <c r="B63" s="133">
        <v>0</v>
      </c>
      <c r="C63" s="134">
        <v>0</v>
      </c>
      <c r="D63" s="134">
        <v>144244</v>
      </c>
      <c r="E63" s="134">
        <v>0</v>
      </c>
      <c r="F63" s="134">
        <v>0</v>
      </c>
      <c r="G63" s="135">
        <f t="shared" si="5"/>
        <v>144244</v>
      </c>
      <c r="H63" s="118" t="s">
        <v>59</v>
      </c>
    </row>
    <row r="64" spans="1:8">
      <c r="A64" s="131" t="s">
        <v>246</v>
      </c>
      <c r="B64" s="133">
        <v>0</v>
      </c>
      <c r="C64" s="134">
        <v>32500</v>
      </c>
      <c r="D64" s="134">
        <v>0</v>
      </c>
      <c r="E64" s="134">
        <v>0</v>
      </c>
      <c r="F64" s="134">
        <v>0</v>
      </c>
      <c r="G64" s="135">
        <f t="shared" si="5"/>
        <v>32500</v>
      </c>
      <c r="H64" s="118" t="s">
        <v>59</v>
      </c>
    </row>
    <row r="65" spans="1:7">
      <c r="A65" s="141" t="s">
        <v>242</v>
      </c>
      <c r="B65" s="142">
        <f t="shared" ref="B65:G65" si="6">SUM(B49:B64)</f>
        <v>829167</v>
      </c>
      <c r="C65" s="142">
        <f t="shared" si="6"/>
        <v>2745577</v>
      </c>
      <c r="D65" s="142">
        <f t="shared" si="6"/>
        <v>1803329</v>
      </c>
      <c r="E65" s="142">
        <f t="shared" si="6"/>
        <v>0</v>
      </c>
      <c r="F65" s="142">
        <f>SUM(F49:F64)</f>
        <v>0</v>
      </c>
      <c r="G65" s="144">
        <f t="shared" si="6"/>
        <v>5378073</v>
      </c>
    </row>
    <row r="66" spans="1:7">
      <c r="A66" s="145"/>
      <c r="B66" s="146"/>
      <c r="C66" s="146"/>
      <c r="D66" s="146"/>
      <c r="E66" s="146"/>
      <c r="F66" s="146"/>
      <c r="G66" s="146"/>
    </row>
    <row r="67" spans="1:7" ht="15.75">
      <c r="A67" s="155" t="s">
        <v>20</v>
      </c>
      <c r="B67" s="156">
        <f t="shared" ref="B67:G67" si="7">B46+B65</f>
        <v>1550789</v>
      </c>
      <c r="C67" s="156">
        <f t="shared" si="7"/>
        <v>3624306</v>
      </c>
      <c r="D67" s="156">
        <f t="shared" si="7"/>
        <v>5863231.3700000001</v>
      </c>
      <c r="E67" s="156">
        <f t="shared" si="7"/>
        <v>11162972.789999999</v>
      </c>
      <c r="F67" s="156">
        <f>SUM(F4:F45)</f>
        <v>11942501.82</v>
      </c>
      <c r="G67" s="156">
        <f t="shared" si="7"/>
        <v>34143800.980000004</v>
      </c>
    </row>
    <row r="68" spans="1:7">
      <c r="A68" s="157"/>
      <c r="B68" s="157">
        <v>2012</v>
      </c>
      <c r="C68" s="157">
        <v>2013</v>
      </c>
      <c r="D68" s="157">
        <v>2014</v>
      </c>
      <c r="E68" s="157">
        <v>2015</v>
      </c>
      <c r="F68" s="157">
        <v>2016</v>
      </c>
      <c r="G68" s="158" t="s">
        <v>243</v>
      </c>
    </row>
    <row r="70" spans="1:7">
      <c r="C70" s="167"/>
      <c r="D70" s="167"/>
      <c r="E70" s="174">
        <f>SUM(B67:E67)</f>
        <v>22201299.16</v>
      </c>
      <c r="F70" s="167"/>
    </row>
    <row r="72" spans="1:7">
      <c r="F72" s="168"/>
    </row>
  </sheetData>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5:M44"/>
  <sheetViews>
    <sheetView zoomScaleNormal="100" workbookViewId="0">
      <selection activeCell="B24" sqref="B24"/>
    </sheetView>
  </sheetViews>
  <sheetFormatPr defaultColWidth="10.625" defaultRowHeight="15.75"/>
  <cols>
    <col min="1" max="1" width="36.375" bestFit="1" customWidth="1"/>
    <col min="2" max="2" width="27.375" customWidth="1"/>
    <col min="3" max="5" width="23.5" customWidth="1"/>
    <col min="6" max="6" width="27.625" customWidth="1"/>
    <col min="7" max="7" width="26.125" bestFit="1" customWidth="1"/>
    <col min="8" max="8" width="21.5" customWidth="1"/>
    <col min="9" max="9" width="11" bestFit="1" customWidth="1"/>
    <col min="10" max="10" width="10.625" customWidth="1"/>
    <col min="11" max="13" width="11" customWidth="1"/>
  </cols>
  <sheetData>
    <row r="5" spans="1:13">
      <c r="J5" s="5"/>
    </row>
    <row r="6" spans="1:13">
      <c r="J6" s="5"/>
    </row>
    <row r="7" spans="1:13">
      <c r="B7" s="1"/>
      <c r="J7" s="5"/>
    </row>
    <row r="8" spans="1:13">
      <c r="J8" s="5"/>
    </row>
    <row r="9" spans="1:13">
      <c r="A9" s="7" t="s">
        <v>95</v>
      </c>
      <c r="B9" s="7" t="s">
        <v>71</v>
      </c>
      <c r="C9" s="7" t="s">
        <v>99</v>
      </c>
      <c r="D9" s="7" t="s">
        <v>100</v>
      </c>
      <c r="E9" s="7" t="s">
        <v>129</v>
      </c>
      <c r="F9" s="7" t="s">
        <v>72</v>
      </c>
      <c r="G9" s="7" t="s">
        <v>130</v>
      </c>
      <c r="H9" s="7" t="s">
        <v>133</v>
      </c>
      <c r="I9" s="7"/>
      <c r="J9" s="5"/>
      <c r="K9" s="107"/>
      <c r="L9" s="107"/>
      <c r="M9" s="1"/>
    </row>
    <row r="10" spans="1:13">
      <c r="A10" t="s">
        <v>80</v>
      </c>
      <c r="B10" s="4">
        <v>7285315</v>
      </c>
      <c r="C10" s="1">
        <v>0</v>
      </c>
      <c r="D10" s="1">
        <v>574836</v>
      </c>
      <c r="E10" s="4">
        <v>1471198</v>
      </c>
      <c r="F10" s="44">
        <f>C10+D10+E10</f>
        <v>2046034</v>
      </c>
      <c r="G10" s="12">
        <v>804308</v>
      </c>
      <c r="H10" s="45">
        <f>E10+G10</f>
        <v>2275506</v>
      </c>
      <c r="I10" s="16"/>
      <c r="J10" s="5"/>
      <c r="M10" s="1"/>
    </row>
    <row r="11" spans="1:13" s="5" customFormat="1">
      <c r="A11" s="5" t="s">
        <v>81</v>
      </c>
      <c r="B11" s="4">
        <v>331500</v>
      </c>
      <c r="C11" s="4">
        <v>110151</v>
      </c>
      <c r="D11" s="4">
        <v>0</v>
      </c>
      <c r="E11" s="4">
        <v>0</v>
      </c>
      <c r="F11" s="44">
        <f>C11+D11+E11</f>
        <v>110151</v>
      </c>
      <c r="G11" s="12">
        <v>0</v>
      </c>
      <c r="H11" s="45">
        <f>E11+G11</f>
        <v>0</v>
      </c>
      <c r="J11" s="105"/>
      <c r="M11" s="4"/>
    </row>
    <row r="12" spans="1:13" s="5" customFormat="1">
      <c r="A12" s="5" t="s">
        <v>34</v>
      </c>
      <c r="B12" s="4"/>
      <c r="C12" s="4">
        <v>0</v>
      </c>
      <c r="D12" s="4">
        <v>0</v>
      </c>
      <c r="E12" s="4">
        <v>0</v>
      </c>
      <c r="F12" s="44">
        <f>C12+D12+E12</f>
        <v>0</v>
      </c>
      <c r="G12" s="12">
        <v>105000</v>
      </c>
      <c r="H12" s="45">
        <f>E12+G12</f>
        <v>105000</v>
      </c>
      <c r="J12" s="18"/>
      <c r="M12" s="1"/>
    </row>
    <row r="13" spans="1:13">
      <c r="A13" t="s">
        <v>126</v>
      </c>
      <c r="B13" s="4">
        <v>371020</v>
      </c>
      <c r="C13" s="1">
        <v>0</v>
      </c>
      <c r="D13" s="1">
        <v>278265</v>
      </c>
      <c r="E13" s="4">
        <v>92755</v>
      </c>
      <c r="F13" s="44">
        <f t="shared" ref="F13:F26" si="0">C13+D13+E13</f>
        <v>371020</v>
      </c>
      <c r="G13" s="12">
        <v>0</v>
      </c>
      <c r="H13" s="45">
        <f t="shared" ref="H13:H26" si="1">E13+G13</f>
        <v>92755</v>
      </c>
      <c r="J13" s="105"/>
      <c r="K13" s="5"/>
      <c r="L13" s="5"/>
      <c r="M13" s="1"/>
    </row>
    <row r="14" spans="1:13">
      <c r="A14" t="s">
        <v>25</v>
      </c>
      <c r="B14" s="4"/>
      <c r="C14" s="1">
        <v>0</v>
      </c>
      <c r="D14" s="1">
        <v>0</v>
      </c>
      <c r="E14" s="4">
        <v>0</v>
      </c>
      <c r="F14" s="44">
        <f t="shared" si="0"/>
        <v>0</v>
      </c>
      <c r="G14" s="12">
        <v>625000</v>
      </c>
      <c r="H14" s="45">
        <f t="shared" si="1"/>
        <v>625000</v>
      </c>
      <c r="J14" s="18"/>
      <c r="K14" s="112"/>
      <c r="L14" s="112"/>
      <c r="M14" s="1"/>
    </row>
    <row r="15" spans="1:13">
      <c r="A15" t="s">
        <v>19</v>
      </c>
      <c r="B15" s="4">
        <v>750000</v>
      </c>
      <c r="C15" s="1">
        <v>0</v>
      </c>
      <c r="D15" s="1">
        <v>0</v>
      </c>
      <c r="E15" s="4">
        <v>611068</v>
      </c>
      <c r="F15" s="44">
        <f t="shared" si="0"/>
        <v>611068</v>
      </c>
      <c r="G15" s="12">
        <f>138932+110674</f>
        <v>249606</v>
      </c>
      <c r="H15" s="45">
        <f t="shared" si="1"/>
        <v>860674</v>
      </c>
      <c r="J15" s="105"/>
      <c r="K15" s="112"/>
      <c r="L15" s="112"/>
      <c r="M15" s="1"/>
    </row>
    <row r="16" spans="1:13">
      <c r="A16" t="s">
        <v>9</v>
      </c>
      <c r="B16" s="4">
        <v>1875000</v>
      </c>
      <c r="C16" s="1">
        <v>0</v>
      </c>
      <c r="D16" s="1">
        <v>0</v>
      </c>
      <c r="E16" s="113">
        <v>214230</v>
      </c>
      <c r="F16" s="44">
        <f t="shared" si="0"/>
        <v>214230</v>
      </c>
      <c r="G16" s="12">
        <f>142820+214230</f>
        <v>357050</v>
      </c>
      <c r="H16" s="45">
        <f t="shared" si="1"/>
        <v>571280</v>
      </c>
      <c r="J16" s="18"/>
      <c r="K16" s="112"/>
      <c r="L16" s="112"/>
      <c r="M16" s="4"/>
    </row>
    <row r="17" spans="1:13">
      <c r="A17" t="s">
        <v>132</v>
      </c>
      <c r="B17" s="4">
        <v>180000</v>
      </c>
      <c r="C17" s="1">
        <v>0</v>
      </c>
      <c r="D17" s="1">
        <v>160000</v>
      </c>
      <c r="E17" s="113">
        <v>20000</v>
      </c>
      <c r="F17" s="44">
        <f>C17+D17+E17</f>
        <v>180000</v>
      </c>
      <c r="G17" s="12">
        <v>0</v>
      </c>
      <c r="H17" s="45">
        <f>E17+G17</f>
        <v>20000</v>
      </c>
      <c r="J17" s="105"/>
      <c r="K17" s="112"/>
      <c r="L17" s="112"/>
      <c r="M17" s="1"/>
    </row>
    <row r="18" spans="1:13">
      <c r="A18" t="s">
        <v>83</v>
      </c>
      <c r="B18" s="4">
        <v>1146473</v>
      </c>
      <c r="C18" s="1">
        <v>297329</v>
      </c>
      <c r="D18" s="1">
        <v>225893</v>
      </c>
      <c r="E18" s="4">
        <v>52349</v>
      </c>
      <c r="F18" s="44">
        <f t="shared" si="0"/>
        <v>575571</v>
      </c>
      <c r="G18" s="12">
        <v>134172</v>
      </c>
      <c r="H18" s="45">
        <f t="shared" si="1"/>
        <v>186521</v>
      </c>
      <c r="J18" s="5"/>
      <c r="M18" s="1"/>
    </row>
    <row r="19" spans="1:13">
      <c r="A19" t="s">
        <v>86</v>
      </c>
      <c r="B19" s="4">
        <v>390000</v>
      </c>
      <c r="C19" s="1">
        <v>0</v>
      </c>
      <c r="D19" s="1">
        <v>78000</v>
      </c>
      <c r="E19" s="4">
        <v>0</v>
      </c>
      <c r="F19" s="44">
        <f t="shared" si="0"/>
        <v>78000</v>
      </c>
      <c r="G19" s="12">
        <v>78000</v>
      </c>
      <c r="H19" s="45">
        <f t="shared" si="1"/>
        <v>78000</v>
      </c>
      <c r="J19" s="5"/>
      <c r="K19" s="110"/>
      <c r="L19" s="110"/>
      <c r="M19" s="111"/>
    </row>
    <row r="20" spans="1:13">
      <c r="A20" t="s">
        <v>74</v>
      </c>
      <c r="B20" s="4">
        <v>1304016</v>
      </c>
      <c r="C20" s="1">
        <v>0</v>
      </c>
      <c r="D20" s="1">
        <v>909253</v>
      </c>
      <c r="E20" s="4">
        <v>206611</v>
      </c>
      <c r="F20" s="44">
        <f t="shared" si="0"/>
        <v>1115864</v>
      </c>
      <c r="G20" s="12">
        <v>0</v>
      </c>
      <c r="H20" s="45">
        <f t="shared" si="1"/>
        <v>206611</v>
      </c>
      <c r="I20" s="16"/>
      <c r="J20" s="105"/>
      <c r="K20" s="110"/>
      <c r="L20" s="110"/>
      <c r="M20" s="111"/>
    </row>
    <row r="21" spans="1:13">
      <c r="A21" t="s">
        <v>41</v>
      </c>
      <c r="B21" s="4"/>
      <c r="C21" s="1">
        <v>0</v>
      </c>
      <c r="D21" s="1">
        <v>0</v>
      </c>
      <c r="E21" s="4">
        <v>0</v>
      </c>
      <c r="F21" s="44">
        <f t="shared" si="0"/>
        <v>0</v>
      </c>
      <c r="G21" s="12">
        <v>52793</v>
      </c>
      <c r="H21" s="45">
        <f t="shared" si="1"/>
        <v>52793</v>
      </c>
      <c r="I21" s="16"/>
      <c r="J21" s="18"/>
      <c r="K21" s="108"/>
      <c r="L21" s="108"/>
      <c r="M21" s="109"/>
    </row>
    <row r="22" spans="1:13">
      <c r="A22" t="s">
        <v>84</v>
      </c>
      <c r="B22" s="4">
        <v>1043021</v>
      </c>
      <c r="C22" s="4">
        <v>0</v>
      </c>
      <c r="D22" s="4">
        <v>0</v>
      </c>
      <c r="E22" s="4">
        <v>249013</v>
      </c>
      <c r="F22" s="44">
        <f t="shared" si="0"/>
        <v>249013</v>
      </c>
      <c r="G22" s="12">
        <v>0</v>
      </c>
      <c r="H22" s="45">
        <f t="shared" si="1"/>
        <v>249013</v>
      </c>
      <c r="J22" s="5"/>
      <c r="K22" s="108"/>
      <c r="L22" s="108"/>
      <c r="M22" s="109"/>
    </row>
    <row r="23" spans="1:13">
      <c r="A23" t="s">
        <v>82</v>
      </c>
      <c r="B23" s="4">
        <v>1259214</v>
      </c>
      <c r="C23" s="4">
        <v>424293</v>
      </c>
      <c r="D23" s="4">
        <v>0</v>
      </c>
      <c r="E23" s="4">
        <v>342168.37</v>
      </c>
      <c r="F23" s="44">
        <f t="shared" si="0"/>
        <v>766461.37</v>
      </c>
      <c r="G23" s="99">
        <f>108139.4*1.5</f>
        <v>162209.09999999998</v>
      </c>
      <c r="H23" s="93">
        <f t="shared" si="1"/>
        <v>504377.47</v>
      </c>
      <c r="J23" s="5"/>
      <c r="K23" s="108"/>
      <c r="L23" s="108"/>
      <c r="M23" s="111"/>
    </row>
    <row r="24" spans="1:13">
      <c r="A24" t="s">
        <v>138</v>
      </c>
      <c r="B24" s="4">
        <v>243343</v>
      </c>
      <c r="C24" s="4">
        <v>0</v>
      </c>
      <c r="D24" s="4">
        <v>0</v>
      </c>
      <c r="E24" s="4">
        <v>139282</v>
      </c>
      <c r="F24" s="44">
        <f t="shared" si="0"/>
        <v>139282</v>
      </c>
      <c r="G24" s="12">
        <v>104061</v>
      </c>
      <c r="H24" s="93">
        <f t="shared" si="1"/>
        <v>243343</v>
      </c>
      <c r="J24" s="105"/>
      <c r="K24" s="108"/>
      <c r="L24" s="108"/>
      <c r="M24" s="1"/>
    </row>
    <row r="25" spans="1:13">
      <c r="A25" t="s">
        <v>123</v>
      </c>
      <c r="B25" s="4">
        <v>0</v>
      </c>
      <c r="C25" s="1">
        <v>0</v>
      </c>
      <c r="D25" s="1">
        <v>0</v>
      </c>
      <c r="E25" s="1">
        <v>0</v>
      </c>
      <c r="F25" s="44">
        <f t="shared" si="0"/>
        <v>0</v>
      </c>
      <c r="G25" s="6">
        <v>0</v>
      </c>
      <c r="H25" s="45">
        <f t="shared" si="1"/>
        <v>0</v>
      </c>
      <c r="J25" s="5"/>
      <c r="K25" s="108"/>
      <c r="L25" s="108"/>
      <c r="M25" s="1"/>
    </row>
    <row r="26" spans="1:13">
      <c r="A26" t="s">
        <v>36</v>
      </c>
      <c r="B26" s="4">
        <v>144244</v>
      </c>
      <c r="C26" s="1">
        <v>0</v>
      </c>
      <c r="D26" s="4">
        <v>0</v>
      </c>
      <c r="E26" s="113">
        <v>144244</v>
      </c>
      <c r="F26" s="44">
        <f t="shared" si="0"/>
        <v>144244</v>
      </c>
      <c r="G26" s="12">
        <v>0</v>
      </c>
      <c r="H26" s="45">
        <f t="shared" si="1"/>
        <v>144244</v>
      </c>
      <c r="J26" s="5"/>
      <c r="K26" s="108"/>
      <c r="L26" s="108"/>
      <c r="M26" s="111"/>
    </row>
    <row r="27" spans="1:13">
      <c r="A27" s="10" t="s">
        <v>124</v>
      </c>
      <c r="B27" s="11">
        <f t="shared" ref="B27:H27" si="2">SUM(B10:B26)</f>
        <v>16323146</v>
      </c>
      <c r="C27" s="11">
        <f t="shared" si="2"/>
        <v>831773</v>
      </c>
      <c r="D27" s="11">
        <f t="shared" si="2"/>
        <v>2226247</v>
      </c>
      <c r="E27" s="11">
        <f t="shared" si="2"/>
        <v>3542918.37</v>
      </c>
      <c r="F27" s="11">
        <f t="shared" si="2"/>
        <v>6600938.3700000001</v>
      </c>
      <c r="G27" s="11">
        <f t="shared" si="2"/>
        <v>2672199.1</v>
      </c>
      <c r="H27" s="13">
        <f t="shared" si="2"/>
        <v>6215117.4699999997</v>
      </c>
      <c r="J27" s="5"/>
      <c r="K27" s="108"/>
      <c r="L27" s="108"/>
      <c r="M27" s="111"/>
    </row>
    <row r="28" spans="1:13">
      <c r="H28" s="6"/>
      <c r="J28" s="5"/>
      <c r="K28" s="108"/>
      <c r="L28" s="108"/>
      <c r="M28" s="111"/>
    </row>
    <row r="29" spans="1:13">
      <c r="A29" s="7" t="s">
        <v>92</v>
      </c>
      <c r="H29" s="6"/>
      <c r="J29" s="5"/>
      <c r="K29" s="108"/>
      <c r="L29" s="108"/>
      <c r="M29" s="111"/>
    </row>
    <row r="30" spans="1:13">
      <c r="A30" t="s">
        <v>79</v>
      </c>
      <c r="B30" s="1">
        <v>0</v>
      </c>
      <c r="C30" s="1">
        <v>0</v>
      </c>
      <c r="D30" s="1">
        <v>0</v>
      </c>
      <c r="E30" s="1">
        <v>0</v>
      </c>
      <c r="F30" s="1">
        <f>C30+D30+E30</f>
        <v>0</v>
      </c>
      <c r="G30" s="6">
        <v>0</v>
      </c>
      <c r="H30" s="6">
        <f t="shared" ref="H30:H37" si="3">E30+G30</f>
        <v>0</v>
      </c>
      <c r="J30" s="5"/>
      <c r="K30" s="108"/>
      <c r="L30" s="108"/>
      <c r="M30" s="111"/>
    </row>
    <row r="31" spans="1:13">
      <c r="A31" t="s">
        <v>127</v>
      </c>
      <c r="B31" s="1">
        <v>362451</v>
      </c>
      <c r="C31" s="1">
        <v>0</v>
      </c>
      <c r="D31" s="1">
        <v>341838</v>
      </c>
      <c r="E31" s="1">
        <v>20613</v>
      </c>
      <c r="F31" s="1">
        <f>C31+D31+E31</f>
        <v>362451</v>
      </c>
      <c r="G31" s="6">
        <v>0</v>
      </c>
      <c r="H31" s="6">
        <f t="shared" si="3"/>
        <v>20613</v>
      </c>
      <c r="K31" s="108"/>
      <c r="L31" s="108"/>
      <c r="M31" s="111"/>
    </row>
    <row r="32" spans="1:13">
      <c r="A32" t="s">
        <v>73</v>
      </c>
      <c r="B32" s="1">
        <v>783604</v>
      </c>
      <c r="C32" s="1">
        <f>495000+193000</f>
        <v>688000</v>
      </c>
      <c r="D32" s="1">
        <v>95604</v>
      </c>
      <c r="E32" s="1">
        <v>0</v>
      </c>
      <c r="F32" s="1">
        <f>C32+D32</f>
        <v>783604</v>
      </c>
      <c r="G32" s="6">
        <v>0</v>
      </c>
      <c r="H32" s="6">
        <f t="shared" si="3"/>
        <v>0</v>
      </c>
      <c r="M32" s="111"/>
    </row>
    <row r="33" spans="1:13">
      <c r="A33" t="s">
        <v>35</v>
      </c>
      <c r="B33" s="1">
        <f>C33+D33</f>
        <v>256733</v>
      </c>
      <c r="C33" s="4">
        <v>31016</v>
      </c>
      <c r="D33" s="4">
        <v>225717</v>
      </c>
      <c r="E33" s="1">
        <v>0</v>
      </c>
      <c r="F33" s="1">
        <f>C33+D33</f>
        <v>256733</v>
      </c>
      <c r="G33" s="6">
        <v>0</v>
      </c>
      <c r="H33" s="6">
        <v>0</v>
      </c>
      <c r="M33" s="111"/>
    </row>
    <row r="34" spans="1:13">
      <c r="A34" t="s">
        <v>75</v>
      </c>
      <c r="B34" s="1">
        <v>78000</v>
      </c>
      <c r="C34" s="1">
        <v>0</v>
      </c>
      <c r="D34" s="1">
        <v>62400</v>
      </c>
      <c r="E34" s="1">
        <v>0</v>
      </c>
      <c r="F34" s="1">
        <f>C34+D34+E34</f>
        <v>62400</v>
      </c>
      <c r="G34" s="6">
        <v>0</v>
      </c>
      <c r="H34" s="6">
        <f t="shared" si="3"/>
        <v>0</v>
      </c>
      <c r="M34" s="111"/>
    </row>
    <row r="35" spans="1:13">
      <c r="A35" t="s">
        <v>76</v>
      </c>
      <c r="B35" s="1">
        <v>500000</v>
      </c>
      <c r="C35" s="1">
        <v>0</v>
      </c>
      <c r="D35" s="1">
        <v>500000</v>
      </c>
      <c r="E35" s="1">
        <v>0</v>
      </c>
      <c r="F35" s="1">
        <f>C35+D35+E35</f>
        <v>500000</v>
      </c>
      <c r="G35" s="6">
        <v>0</v>
      </c>
      <c r="H35" s="6">
        <f t="shared" si="3"/>
        <v>0</v>
      </c>
      <c r="M35" s="111"/>
    </row>
    <row r="36" spans="1:13">
      <c r="A36" t="s">
        <v>77</v>
      </c>
      <c r="B36" s="1">
        <v>150000</v>
      </c>
      <c r="C36" s="1">
        <v>0</v>
      </c>
      <c r="D36" s="1">
        <v>140000</v>
      </c>
      <c r="E36" s="1">
        <v>7711</v>
      </c>
      <c r="F36" s="1">
        <f>C36+D36+E36</f>
        <v>147711</v>
      </c>
      <c r="G36" s="6">
        <v>0</v>
      </c>
      <c r="H36" s="6">
        <f t="shared" si="3"/>
        <v>7711</v>
      </c>
      <c r="M36" s="111"/>
    </row>
    <row r="37" spans="1:13">
      <c r="A37" t="s">
        <v>78</v>
      </c>
      <c r="B37" s="4">
        <v>32000</v>
      </c>
      <c r="C37" s="1">
        <v>0</v>
      </c>
      <c r="D37" s="4">
        <v>32500</v>
      </c>
      <c r="E37" s="4">
        <v>0</v>
      </c>
      <c r="F37" s="4">
        <f>C37+D37+E37</f>
        <v>32500</v>
      </c>
      <c r="G37" s="12">
        <v>0</v>
      </c>
      <c r="H37" s="12">
        <f t="shared" si="3"/>
        <v>0</v>
      </c>
      <c r="M37" s="111"/>
    </row>
    <row r="38" spans="1:13">
      <c r="A38" s="10" t="s">
        <v>124</v>
      </c>
      <c r="B38" s="11">
        <f>SUM(B30:B37)</f>
        <v>2162788</v>
      </c>
      <c r="C38" s="11">
        <f t="shared" ref="C38:H38" si="4">SUM(C30:C36)</f>
        <v>719016</v>
      </c>
      <c r="D38" s="11">
        <f t="shared" si="4"/>
        <v>1365559</v>
      </c>
      <c r="E38" s="11">
        <f t="shared" si="4"/>
        <v>28324</v>
      </c>
      <c r="F38" s="11">
        <f t="shared" si="4"/>
        <v>2112899</v>
      </c>
      <c r="G38" s="11">
        <f t="shared" si="4"/>
        <v>0</v>
      </c>
      <c r="H38" s="11">
        <f t="shared" si="4"/>
        <v>28324</v>
      </c>
      <c r="M38" s="111"/>
    </row>
    <row r="39" spans="1:13">
      <c r="A39" s="3" t="s">
        <v>20</v>
      </c>
      <c r="B39" s="1">
        <f t="shared" ref="B39:H39" si="5">B27+B38</f>
        <v>18485934</v>
      </c>
      <c r="C39" s="1">
        <f t="shared" si="5"/>
        <v>1550789</v>
      </c>
      <c r="D39" s="1">
        <f t="shared" si="5"/>
        <v>3591806</v>
      </c>
      <c r="E39" s="1">
        <f t="shared" si="5"/>
        <v>3571242.37</v>
      </c>
      <c r="F39" s="1">
        <f t="shared" si="5"/>
        <v>8713837.370000001</v>
      </c>
      <c r="G39" s="1">
        <f t="shared" si="5"/>
        <v>2672199.1</v>
      </c>
      <c r="H39" s="1">
        <f t="shared" si="5"/>
        <v>6243441.4699999997</v>
      </c>
    </row>
    <row r="42" spans="1:13">
      <c r="A42" s="9" t="s">
        <v>97</v>
      </c>
      <c r="B42" s="106">
        <f>B30+B20+B34+B35+B36+B17+B13+B31+B15+B24+B32+B12+B26</f>
        <v>4866678</v>
      </c>
      <c r="C42" s="1"/>
      <c r="D42" s="1"/>
      <c r="E42" s="1"/>
    </row>
    <row r="43" spans="1:13">
      <c r="A43" s="9" t="s">
        <v>98</v>
      </c>
      <c r="B43" s="106">
        <f>B10+B11+B18+B22+B23+B19+B25+B37+B33+B16+B14</f>
        <v>13619256</v>
      </c>
      <c r="C43" s="1"/>
      <c r="D43" s="1"/>
      <c r="E43" s="1"/>
    </row>
    <row r="44" spans="1:13">
      <c r="A44" s="9" t="s">
        <v>125</v>
      </c>
      <c r="B44" s="106">
        <f>SUM(B42:B43)</f>
        <v>18485934</v>
      </c>
    </row>
  </sheetData>
  <sheetProtection formatCells="0" formatColumns="0" formatRows="0" insertColumns="0" insertRows="0" insertHyperlinks="0" pivotTables="0"/>
  <phoneticPr fontId="11" type="noConversion"/>
  <pageMargins left="0.75" right="0.75" top="1" bottom="1" header="0.5" footer="0.5"/>
  <pageSetup orientation="portrait"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2:K60"/>
  <sheetViews>
    <sheetView workbookViewId="0">
      <selection activeCell="B10" sqref="B10"/>
    </sheetView>
  </sheetViews>
  <sheetFormatPr defaultColWidth="10.625" defaultRowHeight="15.75"/>
  <cols>
    <col min="1" max="1" width="10.625" customWidth="1"/>
    <col min="2" max="2" width="36.125" customWidth="1"/>
    <col min="3" max="4" width="38.375" customWidth="1"/>
    <col min="5" max="5" width="45.375" customWidth="1"/>
    <col min="6" max="6" width="28.125" customWidth="1"/>
    <col min="7" max="7" width="25.875" bestFit="1" customWidth="1"/>
    <col min="8" max="8" width="22" customWidth="1"/>
    <col min="9" max="9" width="32.625" customWidth="1"/>
    <col min="10" max="10" width="29.375" customWidth="1"/>
    <col min="11" max="11" width="32.625" customWidth="1"/>
  </cols>
  <sheetData>
    <row r="2" spans="1:11">
      <c r="B2" t="s">
        <v>7</v>
      </c>
      <c r="C2" s="15"/>
      <c r="D2" s="18" t="s">
        <v>139</v>
      </c>
      <c r="E2" s="18" t="s">
        <v>139</v>
      </c>
      <c r="G2" s="87" t="e">
        <f ca="1">CountCellsByColor(G7:G61, $G2)</f>
        <v>#NAME?</v>
      </c>
    </row>
    <row r="3" spans="1:11">
      <c r="A3" s="46" t="s">
        <v>22</v>
      </c>
      <c r="B3" s="85" t="e">
        <f ca="1">CountCellsByColor(B7:B63, $A3)</f>
        <v>#NAME?</v>
      </c>
      <c r="C3" s="85" t="e">
        <f ca="1">CountCellsByColor(C7:C63, $A3)</f>
        <v>#NAME?</v>
      </c>
      <c r="D3" s="85" t="e">
        <f ca="1">CountCellsByColor(D7:D66, $A3)</f>
        <v>#NAME?</v>
      </c>
      <c r="E3" s="85" t="e">
        <f ca="1">CountCellsByColor(E7:E64, $A3)</f>
        <v>#NAME?</v>
      </c>
      <c r="G3" s="88" t="e">
        <f ca="1">CountCellsByColor(G7:G62, $G3)</f>
        <v>#NAME?</v>
      </c>
    </row>
    <row r="4" spans="1:11">
      <c r="A4" s="47" t="s">
        <v>23</v>
      </c>
      <c r="B4" s="86" t="e">
        <f ca="1">CountCellsByColor(B7:B64, $A4)</f>
        <v>#NAME?</v>
      </c>
      <c r="C4" s="86" t="e">
        <f ca="1">CountCellsByColor(C7:C64, $A4)</f>
        <v>#NAME?</v>
      </c>
      <c r="D4" s="86" t="e">
        <f ca="1">CountCellsByColor(D7:D67, $A4)</f>
        <v>#NAME?</v>
      </c>
      <c r="E4" s="86" t="e">
        <f ca="1">CountCellsByColor(E7:E65, $A4)</f>
        <v>#NAME?</v>
      </c>
      <c r="G4" s="89" t="e">
        <f ca="1">CountCellsByColor(G7:G63, $G4)</f>
        <v>#NAME?</v>
      </c>
    </row>
    <row r="5" spans="1:11">
      <c r="B5" s="8">
        <f>COUNTA(B7:B50)</f>
        <v>7</v>
      </c>
      <c r="C5" s="8">
        <f>COUNTA(C7:C60)</f>
        <v>16</v>
      </c>
      <c r="D5" s="8">
        <f>COUNTA(D7:D63)</f>
        <v>18</v>
      </c>
      <c r="E5" s="8">
        <f>COUNTA(E7:E50)</f>
        <v>12</v>
      </c>
      <c r="F5" s="8">
        <f>COUNTA(F7:F36)</f>
        <v>4</v>
      </c>
      <c r="G5" s="8">
        <f>COUNTA(G7:G65)</f>
        <v>54</v>
      </c>
      <c r="H5" s="8">
        <f>COUNTA(H7:H51)</f>
        <v>8</v>
      </c>
      <c r="I5" s="94">
        <f>COUNTA(I7:I22)</f>
        <v>11</v>
      </c>
      <c r="J5" s="8">
        <f>COUNTA(J7:J13)</f>
        <v>7</v>
      </c>
      <c r="K5" s="94">
        <f>COUNTA(K7:K11)</f>
        <v>1</v>
      </c>
    </row>
    <row r="6" spans="1:11">
      <c r="B6" s="7" t="s">
        <v>43</v>
      </c>
      <c r="C6" s="7" t="s">
        <v>12</v>
      </c>
      <c r="D6" s="7" t="s">
        <v>16</v>
      </c>
      <c r="E6" s="95" t="s">
        <v>44</v>
      </c>
      <c r="F6" s="7" t="s">
        <v>134</v>
      </c>
      <c r="G6" s="7" t="s">
        <v>102</v>
      </c>
      <c r="H6" s="7" t="s">
        <v>92</v>
      </c>
      <c r="I6" s="95" t="s">
        <v>63</v>
      </c>
      <c r="J6" s="7" t="s">
        <v>64</v>
      </c>
      <c r="K6" s="95" t="s">
        <v>32</v>
      </c>
    </row>
    <row r="7" spans="1:11">
      <c r="B7" s="47" t="s">
        <v>81</v>
      </c>
      <c r="C7" s="48" t="s">
        <v>80</v>
      </c>
      <c r="D7" s="47" t="s">
        <v>80</v>
      </c>
      <c r="E7" s="47" t="s">
        <v>80</v>
      </c>
      <c r="F7" t="s">
        <v>121</v>
      </c>
      <c r="G7" s="91" t="s">
        <v>103</v>
      </c>
      <c r="H7" t="s">
        <v>79</v>
      </c>
      <c r="I7" s="5" t="s">
        <v>65</v>
      </c>
      <c r="J7" t="s">
        <v>70</v>
      </c>
      <c r="K7" s="5" t="s">
        <v>69</v>
      </c>
    </row>
    <row r="8" spans="1:11">
      <c r="B8" s="47" t="s">
        <v>83</v>
      </c>
      <c r="C8" s="48" t="s">
        <v>81</v>
      </c>
      <c r="D8" s="48" t="s">
        <v>81</v>
      </c>
      <c r="E8" s="49" t="s">
        <v>25</v>
      </c>
      <c r="F8" t="s">
        <v>45</v>
      </c>
      <c r="G8" s="90" t="s">
        <v>140</v>
      </c>
      <c r="H8" s="14" t="s">
        <v>127</v>
      </c>
      <c r="I8" s="5" t="s">
        <v>66</v>
      </c>
      <c r="J8" t="s">
        <v>31</v>
      </c>
    </row>
    <row r="9" spans="1:11">
      <c r="B9" s="46" t="s">
        <v>73</v>
      </c>
      <c r="C9" s="46" t="s">
        <v>79</v>
      </c>
      <c r="D9" s="51" t="s">
        <v>24</v>
      </c>
      <c r="E9" s="50" t="s">
        <v>135</v>
      </c>
      <c r="F9" t="s">
        <v>46</v>
      </c>
      <c r="G9" s="90" t="s">
        <v>141</v>
      </c>
      <c r="H9" t="s">
        <v>73</v>
      </c>
      <c r="I9" s="5" t="s">
        <v>67</v>
      </c>
      <c r="J9" t="s">
        <v>90</v>
      </c>
    </row>
    <row r="10" spans="1:11">
      <c r="B10" s="47" t="s">
        <v>84</v>
      </c>
      <c r="C10" s="46" t="s">
        <v>126</v>
      </c>
      <c r="D10" s="50" t="s">
        <v>126</v>
      </c>
      <c r="E10" s="49" t="s">
        <v>8</v>
      </c>
      <c r="F10" t="s">
        <v>37</v>
      </c>
      <c r="G10" s="90" t="s">
        <v>142</v>
      </c>
      <c r="H10" t="s">
        <v>35</v>
      </c>
      <c r="I10" s="5" t="s">
        <v>128</v>
      </c>
      <c r="J10" t="s">
        <v>91</v>
      </c>
    </row>
    <row r="11" spans="1:11">
      <c r="B11" s="47" t="s">
        <v>82</v>
      </c>
      <c r="C11" s="46" t="s">
        <v>127</v>
      </c>
      <c r="D11" s="49" t="s">
        <v>25</v>
      </c>
      <c r="E11" s="47" t="s">
        <v>83</v>
      </c>
      <c r="G11" s="90" t="s">
        <v>143</v>
      </c>
      <c r="H11" t="s">
        <v>75</v>
      </c>
      <c r="I11" s="5" t="s">
        <v>68</v>
      </c>
      <c r="J11" t="s">
        <v>29</v>
      </c>
    </row>
    <row r="12" spans="1:11">
      <c r="B12" s="47" t="s">
        <v>101</v>
      </c>
      <c r="C12" s="46" t="s">
        <v>131</v>
      </c>
      <c r="D12" s="50" t="s">
        <v>135</v>
      </c>
      <c r="E12" s="47" t="s">
        <v>86</v>
      </c>
      <c r="G12" s="90" t="s">
        <v>144</v>
      </c>
      <c r="H12" t="s">
        <v>76</v>
      </c>
      <c r="I12" s="5" t="s">
        <v>93</v>
      </c>
      <c r="J12" t="s">
        <v>30</v>
      </c>
    </row>
    <row r="13" spans="1:11">
      <c r="B13" s="47" t="s">
        <v>78</v>
      </c>
      <c r="C13" s="48" t="s">
        <v>83</v>
      </c>
      <c r="D13" s="49" t="s">
        <v>8</v>
      </c>
      <c r="E13" s="51" t="s">
        <v>33</v>
      </c>
      <c r="G13" s="92" t="s">
        <v>104</v>
      </c>
      <c r="H13" t="s">
        <v>77</v>
      </c>
      <c r="I13" s="5" t="s">
        <v>96</v>
      </c>
      <c r="J13" s="5" t="s">
        <v>39</v>
      </c>
    </row>
    <row r="14" spans="1:11">
      <c r="C14" s="48" t="s">
        <v>86</v>
      </c>
      <c r="D14" s="50" t="s">
        <v>131</v>
      </c>
      <c r="E14" s="47" t="s">
        <v>84</v>
      </c>
      <c r="G14" s="90" t="s">
        <v>145</v>
      </c>
      <c r="H14" t="s">
        <v>38</v>
      </c>
      <c r="I14" s="5" t="s">
        <v>21</v>
      </c>
      <c r="J14" s="5" t="s">
        <v>47</v>
      </c>
    </row>
    <row r="15" spans="1:11">
      <c r="C15" s="46" t="s">
        <v>85</v>
      </c>
      <c r="D15" s="47" t="s">
        <v>83</v>
      </c>
      <c r="E15" s="47" t="s">
        <v>82</v>
      </c>
      <c r="G15" s="90" t="s">
        <v>146</v>
      </c>
      <c r="I15" s="5" t="s">
        <v>26</v>
      </c>
      <c r="J15" s="5" t="s">
        <v>48</v>
      </c>
    </row>
    <row r="16" spans="1:11">
      <c r="C16" s="48" t="s">
        <v>84</v>
      </c>
      <c r="D16" s="47" t="s">
        <v>86</v>
      </c>
      <c r="E16" s="50" t="s">
        <v>138</v>
      </c>
      <c r="G16" s="92" t="s">
        <v>5</v>
      </c>
      <c r="I16" s="5" t="s">
        <v>27</v>
      </c>
      <c r="J16" s="5" t="s">
        <v>49</v>
      </c>
    </row>
    <row r="17" spans="3:10">
      <c r="C17" s="46" t="s">
        <v>75</v>
      </c>
      <c r="D17" s="50" t="s">
        <v>85</v>
      </c>
      <c r="E17" s="49" t="s">
        <v>121</v>
      </c>
      <c r="G17" s="92" t="s">
        <v>105</v>
      </c>
      <c r="I17" s="5" t="s">
        <v>28</v>
      </c>
      <c r="J17" s="5" t="s">
        <v>50</v>
      </c>
    </row>
    <row r="18" spans="3:10">
      <c r="C18" s="46" t="s">
        <v>76</v>
      </c>
      <c r="D18" s="51" t="s">
        <v>33</v>
      </c>
      <c r="E18" s="46" t="s">
        <v>36</v>
      </c>
      <c r="G18" s="92" t="s">
        <v>106</v>
      </c>
    </row>
    <row r="19" spans="3:10">
      <c r="C19" s="48" t="s">
        <v>82</v>
      </c>
      <c r="D19" s="47" t="s">
        <v>84</v>
      </c>
      <c r="G19" s="90" t="s">
        <v>147</v>
      </c>
    </row>
    <row r="20" spans="3:10">
      <c r="C20" s="50" t="s">
        <v>77</v>
      </c>
      <c r="D20" s="47" t="s">
        <v>82</v>
      </c>
      <c r="G20" s="90" t="s">
        <v>148</v>
      </c>
    </row>
    <row r="21" spans="3:10">
      <c r="C21" s="48" t="s">
        <v>101</v>
      </c>
      <c r="D21" s="50" t="s">
        <v>138</v>
      </c>
      <c r="G21" s="92" t="s">
        <v>6</v>
      </c>
    </row>
    <row r="22" spans="3:10">
      <c r="C22" s="48" t="s">
        <v>78</v>
      </c>
      <c r="D22" s="47" t="s">
        <v>101</v>
      </c>
      <c r="G22" s="90" t="s">
        <v>149</v>
      </c>
    </row>
    <row r="23" spans="3:10">
      <c r="D23" s="47" t="s">
        <v>78</v>
      </c>
      <c r="G23" s="92" t="s">
        <v>107</v>
      </c>
    </row>
    <row r="24" spans="3:10">
      <c r="D24" s="46" t="s">
        <v>36</v>
      </c>
      <c r="G24" s="90" t="s">
        <v>150</v>
      </c>
    </row>
    <row r="25" spans="3:10">
      <c r="G25" s="90" t="s">
        <v>151</v>
      </c>
    </row>
    <row r="26" spans="3:10">
      <c r="G26" s="90" t="s">
        <v>152</v>
      </c>
    </row>
    <row r="27" spans="3:10">
      <c r="G27" s="90" t="s">
        <v>153</v>
      </c>
    </row>
    <row r="28" spans="3:10">
      <c r="G28" s="92" t="s">
        <v>108</v>
      </c>
    </row>
    <row r="29" spans="3:10">
      <c r="G29" s="90" t="s">
        <v>154</v>
      </c>
    </row>
    <row r="30" spans="3:10">
      <c r="G30" s="92" t="s">
        <v>109</v>
      </c>
    </row>
    <row r="31" spans="3:10">
      <c r="G31" s="90" t="s">
        <v>155</v>
      </c>
    </row>
    <row r="32" spans="3:10">
      <c r="G32" s="90" t="s">
        <v>156</v>
      </c>
    </row>
    <row r="33" spans="7:7">
      <c r="G33" s="92" t="s">
        <v>110</v>
      </c>
    </row>
    <row r="34" spans="7:7">
      <c r="G34" s="90" t="s">
        <v>157</v>
      </c>
    </row>
    <row r="35" spans="7:7">
      <c r="G35" s="90" t="s">
        <v>158</v>
      </c>
    </row>
    <row r="36" spans="7:7">
      <c r="G36" s="90" t="s">
        <v>159</v>
      </c>
    </row>
    <row r="37" spans="7:7">
      <c r="G37" s="90" t="s">
        <v>160</v>
      </c>
    </row>
    <row r="38" spans="7:7">
      <c r="G38" s="92" t="s">
        <v>111</v>
      </c>
    </row>
    <row r="39" spans="7:7">
      <c r="G39" s="92" t="s">
        <v>112</v>
      </c>
    </row>
    <row r="40" spans="7:7">
      <c r="G40" s="92" t="s">
        <v>113</v>
      </c>
    </row>
    <row r="41" spans="7:7">
      <c r="G41" s="92" t="s">
        <v>114</v>
      </c>
    </row>
    <row r="42" spans="7:7">
      <c r="G42" s="90" t="s">
        <v>161</v>
      </c>
    </row>
    <row r="43" spans="7:7">
      <c r="G43" s="92" t="s">
        <v>115</v>
      </c>
    </row>
    <row r="44" spans="7:7">
      <c r="G44" s="90" t="s">
        <v>162</v>
      </c>
    </row>
    <row r="45" spans="7:7">
      <c r="G45" s="91" t="s">
        <v>116</v>
      </c>
    </row>
    <row r="46" spans="7:7">
      <c r="G46" s="90" t="s">
        <v>163</v>
      </c>
    </row>
    <row r="47" spans="7:7">
      <c r="G47" s="90" t="s">
        <v>164</v>
      </c>
    </row>
    <row r="48" spans="7:7">
      <c r="G48" s="90" t="s">
        <v>165</v>
      </c>
    </row>
    <row r="49" spans="7:7">
      <c r="G49" s="92" t="s">
        <v>117</v>
      </c>
    </row>
    <row r="50" spans="7:7">
      <c r="G50" s="92" t="s">
        <v>118</v>
      </c>
    </row>
    <row r="51" spans="7:7">
      <c r="G51" s="92" t="s">
        <v>119</v>
      </c>
    </row>
    <row r="52" spans="7:7">
      <c r="G52" s="90" t="s">
        <v>166</v>
      </c>
    </row>
    <row r="53" spans="7:7">
      <c r="G53" s="90" t="s">
        <v>0</v>
      </c>
    </row>
    <row r="54" spans="7:7">
      <c r="G54" s="90" t="s">
        <v>1</v>
      </c>
    </row>
    <row r="55" spans="7:7">
      <c r="G55" s="91" t="s">
        <v>120</v>
      </c>
    </row>
    <row r="56" spans="7:7">
      <c r="G56" s="92" t="s">
        <v>121</v>
      </c>
    </row>
    <row r="57" spans="7:7">
      <c r="G57" s="90" t="s">
        <v>2</v>
      </c>
    </row>
    <row r="58" spans="7:7">
      <c r="G58" s="92" t="s">
        <v>122</v>
      </c>
    </row>
    <row r="59" spans="7:7">
      <c r="G59" s="90" t="s">
        <v>3</v>
      </c>
    </row>
    <row r="60" spans="7:7">
      <c r="G60" s="90" t="s">
        <v>4</v>
      </c>
    </row>
  </sheetData>
  <sheetProtection formatCells="0" formatColumns="0" formatRows="0" insertColumns="0" insertRows="0" insertHyperlinks="0" pivotTables="0"/>
  <pageMargins left="0.75" right="0.75" top="1" bottom="1" header="0.5" footer="0.5"/>
  <pageSetup orientation="portrait" horizontalDpi="4294967292" verticalDpi="4294967292"/>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Treatments by Disease</vt:lpstr>
      <vt:lpstr>Historical Beneficiaries</vt:lpstr>
      <vt:lpstr>Updated Program Financing</vt:lpstr>
      <vt:lpstr>Historical Program Financing</vt:lpstr>
      <vt:lpstr>Historical Number of GsPsIPs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2016-11-22T20:33:42Z</dcterms:created>
  <dcterms:modified xsi:type="dcterms:W3CDTF">2016-11-22T20:40:44Z</dcterms:modified>
</cp:coreProperties>
</file>