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2017 - 2018 summary" sheetId="1" r:id="rId1"/>
    <sheet name="Unrestricted commitments" sheetId="3" r:id="rId2"/>
    <sheet name="Unrestricted forecasts" sheetId="4" r:id="rId3"/>
  </sheets>
  <definedNames>
    <definedName name="_xlnm.Print_Area" localSheetId="0">'2017 - 2018 summary'!$A$1:$I$41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 r="C13" i="1"/>
  <c r="B13" i="1"/>
  <c r="B11" i="1" l="1"/>
  <c r="D29" i="1" l="1"/>
  <c r="D38" i="1" l="1"/>
  <c r="C6" i="3" l="1"/>
  <c r="C12" i="4" s="1"/>
  <c r="C16" i="4" l="1"/>
  <c r="F34" i="1" l="1"/>
  <c r="F9" i="1"/>
  <c r="H9" i="1" s="1"/>
  <c r="B34" i="1" s="1"/>
  <c r="H11" i="1"/>
  <c r="H34" i="1" l="1"/>
  <c r="B36" i="1"/>
  <c r="H36" i="1" s="1"/>
  <c r="C10" i="1" l="1"/>
  <c r="F29" i="1" l="1"/>
  <c r="F37" i="1" l="1"/>
  <c r="F35" i="1"/>
  <c r="F33" i="1"/>
  <c r="F30" i="1"/>
  <c r="E31" i="1" l="1"/>
  <c r="E38" i="1" s="1"/>
  <c r="D31" i="1" l="1"/>
  <c r="D39" i="1" s="1"/>
  <c r="F38" i="1"/>
  <c r="F13" i="1"/>
  <c r="F12" i="1"/>
  <c r="H12" i="1" s="1"/>
  <c r="F10" i="1"/>
  <c r="H10" i="1" s="1"/>
  <c r="F8" i="1"/>
  <c r="H8" i="1" s="1"/>
  <c r="F5" i="1"/>
  <c r="H5" i="1" s="1"/>
  <c r="F4" i="1"/>
  <c r="H4" i="1" s="1"/>
  <c r="B33" i="1" l="1"/>
  <c r="E39" i="1"/>
  <c r="B35" i="1"/>
  <c r="B37" i="1"/>
  <c r="B30" i="1"/>
  <c r="H30" i="1" l="1"/>
  <c r="G13" i="1" l="1"/>
  <c r="H13" i="1" l="1"/>
  <c r="B38" i="1" s="1"/>
  <c r="C31" i="1" l="1"/>
  <c r="G31" i="1"/>
  <c r="I31" i="1"/>
  <c r="B29" i="1" l="1"/>
  <c r="F31" i="1"/>
  <c r="F39" i="1" s="1"/>
  <c r="H29" i="1" l="1"/>
  <c r="B31" i="1"/>
  <c r="B39" i="1" s="1"/>
  <c r="C14" i="3" l="1"/>
  <c r="C5" i="3" s="1"/>
  <c r="G38" i="1"/>
  <c r="G39" i="1" s="1"/>
  <c r="H37" i="1"/>
  <c r="H33" i="1"/>
  <c r="H38" i="1" l="1"/>
  <c r="C4" i="3" l="1"/>
  <c r="C7" i="3" s="1"/>
  <c r="I38" i="1" s="1"/>
  <c r="C6" i="4" l="1"/>
  <c r="C8" i="4" s="1"/>
  <c r="I39" i="1"/>
  <c r="H35" i="1" l="1"/>
  <c r="C39" i="1"/>
  <c r="H31" i="1"/>
  <c r="H39" i="1" l="1"/>
  <c r="D6" i="1"/>
  <c r="D14" i="1"/>
  <c r="G6" i="1"/>
  <c r="G14" i="1" s="1"/>
  <c r="B6" i="1"/>
  <c r="B14" i="1"/>
  <c r="H6" i="1"/>
  <c r="H14" i="1" s="1"/>
  <c r="C6" i="1"/>
  <c r="C14" i="1" s="1"/>
  <c r="E6" i="1"/>
  <c r="E14" i="1" s="1"/>
  <c r="F6" i="1"/>
  <c r="F14" i="1" s="1"/>
</calcChain>
</file>

<file path=xl/sharedStrings.xml><?xml version="1.0" encoding="utf-8"?>
<sst xmlns="http://schemas.openxmlformats.org/spreadsheetml/2006/main" count="86" uniqueCount="65">
  <si>
    <t>Beta</t>
  </si>
  <si>
    <t>Deworm the World Initiative</t>
  </si>
  <si>
    <t>Evidence Action - unrestricted</t>
  </si>
  <si>
    <t>Total</t>
  </si>
  <si>
    <t>Amount</t>
  </si>
  <si>
    <t>Program/Area*</t>
  </si>
  <si>
    <t>Notes</t>
  </si>
  <si>
    <t>Total Planned</t>
  </si>
  <si>
    <t>DSW planned program spending</t>
  </si>
  <si>
    <t>DTW planned program spending</t>
  </si>
  <si>
    <t>Beta planned program spending</t>
  </si>
  <si>
    <t>Beta funds transfer (planned)</t>
  </si>
  <si>
    <t>From balance analysis</t>
  </si>
  <si>
    <t>Unrestricted funds not committed</t>
  </si>
  <si>
    <t>Current planned commitments of unrestricted funds</t>
  </si>
  <si>
    <t>Internal Transfers</t>
  </si>
  <si>
    <t xml:space="preserve">Dispensers for Safe Water </t>
  </si>
  <si>
    <t>Direct Expenses</t>
  </si>
  <si>
    <t xml:space="preserve">Revenue  </t>
  </si>
  <si>
    <t>Total Expenses</t>
  </si>
  <si>
    <t>NOTES:</t>
  </si>
  <si>
    <r>
      <t>Allocation for Supporting Services</t>
    </r>
    <r>
      <rPr>
        <vertAlign val="superscript"/>
        <sz val="9"/>
        <color theme="1"/>
        <rFont val="Calibri"/>
        <family val="2"/>
        <scheme val="minor"/>
      </rPr>
      <t>4</t>
    </r>
  </si>
  <si>
    <t>Dispensers for Safe Water funds transfer (planned)</t>
  </si>
  <si>
    <t>Deworm the World Initiative funds transfer (planned)</t>
  </si>
  <si>
    <t>Evidence Action January through December 31 2017 Revenue and Expenditures</t>
  </si>
  <si>
    <t>Closing Balance 12/31/17</t>
  </si>
  <si>
    <t>Evidence Action January through June 30 2018 Revenue and Expenditures</t>
  </si>
  <si>
    <t>Opening Balance 01/01/18</t>
  </si>
  <si>
    <t>Closing Balance 06/30/18</t>
  </si>
  <si>
    <r>
      <t>Allocation for Supporting Services</t>
    </r>
    <r>
      <rPr>
        <vertAlign val="superscript"/>
        <sz val="9"/>
        <color theme="1"/>
        <rFont val="Calibri"/>
        <family val="2"/>
        <scheme val="minor"/>
      </rPr>
      <t>1</t>
    </r>
  </si>
  <si>
    <r>
      <t xml:space="preserve">1 </t>
    </r>
    <r>
      <rPr>
        <sz val="10"/>
        <color theme="1"/>
        <rFont val="Calibri"/>
        <family val="2"/>
        <scheme val="minor"/>
      </rPr>
      <t>Supporting services include Management &amp; General Administration and Fundraising expenses. Portion of these costs are recovered from the program donors through the indirect cost recovery charge, which is shown as a cost to the programs and a recovery against unrestricted expenses</t>
    </r>
  </si>
  <si>
    <t>Opening Balance 01/01/17</t>
  </si>
  <si>
    <t>Amount uncommitted as of 06/30/18</t>
  </si>
  <si>
    <r>
      <t>Internal Transfers</t>
    </r>
    <r>
      <rPr>
        <vertAlign val="superscript"/>
        <sz val="9"/>
        <color theme="1"/>
        <rFont val="Calibri"/>
        <family val="2"/>
        <scheme val="minor"/>
      </rPr>
      <t>2</t>
    </r>
  </si>
  <si>
    <r>
      <rPr>
        <vertAlign val="superscript"/>
        <sz val="10"/>
        <color theme="1"/>
        <rFont val="Calibri"/>
        <family val="2"/>
        <scheme val="minor"/>
      </rPr>
      <t xml:space="preserve">2 </t>
    </r>
    <r>
      <rPr>
        <sz val="10"/>
        <color theme="1"/>
        <rFont val="Calibri"/>
        <family val="2"/>
        <scheme val="minor"/>
      </rPr>
      <t>Internal transfers include transfers between programs and  where unrestricted funds have been designated by management to a program to support that program's costs.</t>
    </r>
  </si>
  <si>
    <r>
      <rPr>
        <vertAlign val="superscript"/>
        <sz val="10"/>
        <color theme="1"/>
        <rFont val="Calibri"/>
        <family val="2"/>
        <scheme val="minor"/>
      </rPr>
      <t>4</t>
    </r>
    <r>
      <rPr>
        <sz val="10"/>
        <color theme="1"/>
        <rFont val="Calibri"/>
        <family val="2"/>
        <scheme val="minor"/>
      </rPr>
      <t xml:space="preserve"> The Evidence Action restricted grant is the Strengthening Operations Investment Grant received from GiveWell in 2017</t>
    </r>
  </si>
  <si>
    <r>
      <t xml:space="preserve">Dispensers for Safe Water - loans </t>
    </r>
    <r>
      <rPr>
        <vertAlign val="superscript"/>
        <sz val="9"/>
        <color theme="1"/>
        <rFont val="Calibri"/>
        <family val="2"/>
        <scheme val="minor"/>
      </rPr>
      <t>3</t>
    </r>
  </si>
  <si>
    <r>
      <t xml:space="preserve">Evidence Action - restricted </t>
    </r>
    <r>
      <rPr>
        <vertAlign val="superscript"/>
        <sz val="9"/>
        <color theme="1"/>
        <rFont val="Calibri"/>
        <family val="2"/>
        <scheme val="minor"/>
      </rPr>
      <t>4</t>
    </r>
  </si>
  <si>
    <t xml:space="preserve">Evidence Action - restricted </t>
  </si>
  <si>
    <r>
      <t xml:space="preserve">Dispensers for Safe Water - loans </t>
    </r>
    <r>
      <rPr>
        <vertAlign val="superscript"/>
        <sz val="9"/>
        <color theme="1"/>
        <rFont val="Calibri"/>
        <family val="2"/>
        <scheme val="minor"/>
      </rPr>
      <t>5</t>
    </r>
  </si>
  <si>
    <r>
      <rPr>
        <vertAlign val="superscript"/>
        <sz val="10"/>
        <color theme="1"/>
        <rFont val="Calibri"/>
        <family val="2"/>
        <scheme val="minor"/>
      </rPr>
      <t>5</t>
    </r>
    <r>
      <rPr>
        <sz val="10"/>
        <color theme="1"/>
        <rFont val="Calibri"/>
        <family val="2"/>
        <scheme val="minor"/>
      </rPr>
      <t xml:space="preserve"> the remaining loan balance of $500k was forgiven in 2018</t>
    </r>
  </si>
  <si>
    <t>Evidence Action - Commitments of unrestricted funds available as of 6/30/18</t>
  </si>
  <si>
    <t>Current balance as of 6/30/18</t>
  </si>
  <si>
    <t>Balance at 6/30/18</t>
  </si>
  <si>
    <t>Evidence Action - Forecast of unrestricted funds at 12/31/18</t>
  </si>
  <si>
    <t>Unrestricted funds not committed at 6/30/18</t>
  </si>
  <si>
    <t>Unrestricted Fundraising target, July-Dec 2018</t>
  </si>
  <si>
    <t>Projected unrestricted balance at 12/31/18 to allocate to 2019 budgets</t>
  </si>
  <si>
    <r>
      <rPr>
        <vertAlign val="superscript"/>
        <sz val="10"/>
        <color theme="1"/>
        <rFont val="Calibri"/>
        <family val="2"/>
        <scheme val="minor"/>
      </rPr>
      <t>3</t>
    </r>
    <r>
      <rPr>
        <sz val="10"/>
        <color theme="1"/>
        <rFont val="Calibri"/>
        <family val="2"/>
        <scheme val="minor"/>
      </rPr>
      <t xml:space="preserve"> DSW received loans to fund the up-front cost of dispenser installations. Once installed, dispensers generate carbon credits because they avert carbon emissions. DSW sells these credits on the carbon market and uses the funds to repay loans and cover future operating costs. As of January 1, 2017, DSW held $3.25 million in outstanding loans from external funding sources. During 2017, $2.75 million of these loans were forgiven by the lenders - this forgiveness is reflected as revenue and reduces the liability</t>
    </r>
  </si>
  <si>
    <t>No further transfers planned in 2018</t>
  </si>
  <si>
    <t>No transfers planned in 2018</t>
  </si>
  <si>
    <t>As per schedule</t>
  </si>
  <si>
    <t>Designated as operating reserves</t>
  </si>
  <si>
    <t xml:space="preserve">Preliminary forecast revenue for rest of 2018 - expectations are for lower receipts than in 2017 due to economic outlook including stock market performance, impact on deducibility under new tax rules </t>
  </si>
  <si>
    <t>Designate 2 months budget to increase reserves to 4 months of budget as per the Reserves Policy</t>
  </si>
  <si>
    <t>Reserve established under Reserve Policy - year 1 of implementation requires 2 months of budget (2018 support services budget $3,974,5212); building up to 6  months of budget by end of year 3</t>
  </si>
  <si>
    <t>Comments</t>
  </si>
  <si>
    <t>See below</t>
  </si>
  <si>
    <t>Program/Area</t>
  </si>
  <si>
    <t>Assumes same level of support as in 2018 - pending fundraising outcomes and resulting gap from 2019 budget process</t>
  </si>
  <si>
    <t>Evidence Action - 2019 Planned use of unrestricted funds</t>
  </si>
  <si>
    <t xml:space="preserve">There is active fund raising for Beta in progress and we are hopeful that these efforts will be successful. Pending the outcome of these fundraising efforts, unrestricted funds are earmarked to cover any 2018 budget gaps in these programs </t>
  </si>
  <si>
    <t>Beta Winning Start (G-United)</t>
  </si>
  <si>
    <t>Beta No Lean Season</t>
  </si>
  <si>
    <t>Beta sub total (excluding Beta No Lean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</si>
</sst>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Red]\-&quot;$&quot;#,##0"/>
    <numFmt numFmtId="165" formatCode="_(&quot;$&quot;* #,##0_);_(&quot;$&quot;* \(#,##0\);_(&quot;$&quot;* &quot;-&quot;??_);_(@_)"/>
  </numFmts>
  <fonts count="22" x14ac:knownFonts="1">
    <font>
      <sz val="11"/>
      <color theme="1"/>
      <name val="Calibri"/>
      <family val="2"/>
      <scheme val="minor"/>
    </font>
    <font>
      <b/>
      <sz val="14"/>
      <color rgb="FFE8E5E2"/>
      <name val="Calibri"/>
      <family val="2"/>
      <scheme val="minor"/>
    </font>
    <font>
      <sz val="10"/>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b/>
      <sz val="9"/>
      <name val="Calibri"/>
      <family val="2"/>
      <scheme val="minor"/>
    </font>
    <font>
      <sz val="8"/>
      <color theme="1"/>
      <name val="Tahoma"/>
      <family val="2"/>
    </font>
    <font>
      <b/>
      <sz val="9"/>
      <color theme="1"/>
      <name val="Tahoma"/>
      <family val="2"/>
    </font>
    <font>
      <sz val="9"/>
      <color theme="1"/>
      <name val="Tahoma"/>
      <family val="2"/>
    </font>
    <font>
      <b/>
      <sz val="9"/>
      <color theme="1"/>
      <name val="Arial"/>
      <family val="2"/>
    </font>
    <font>
      <i/>
      <sz val="9"/>
      <color theme="1"/>
      <name val="Calibri"/>
      <family val="2"/>
      <scheme val="minor"/>
    </font>
    <font>
      <i/>
      <sz val="9"/>
      <name val="Calibri"/>
      <family val="2"/>
      <scheme val="minor"/>
    </font>
    <font>
      <i/>
      <sz val="11"/>
      <color theme="1"/>
      <name val="Calibri"/>
      <family val="2"/>
      <scheme val="minor"/>
    </font>
    <font>
      <vertAlign val="superscript"/>
      <sz val="9"/>
      <color theme="1"/>
      <name val="Calibri"/>
      <family val="2"/>
      <scheme val="minor"/>
    </font>
    <font>
      <b/>
      <sz val="11"/>
      <color theme="1"/>
      <name val="Calibri"/>
      <family val="2"/>
      <scheme val="minor"/>
    </font>
    <font>
      <vertAlign val="superscript"/>
      <sz val="10"/>
      <color theme="1"/>
      <name val="Calibri"/>
      <family val="2"/>
      <scheme val="minor"/>
    </font>
    <font>
      <sz val="11"/>
      <color rgb="FFFF0000"/>
      <name val="Calibri"/>
      <family val="2"/>
      <scheme val="minor"/>
    </font>
    <font>
      <sz val="11"/>
      <color theme="1"/>
      <name val="Calibri"/>
      <family val="2"/>
      <scheme val="minor"/>
    </font>
    <font>
      <sz val="8"/>
      <color theme="1"/>
      <name val="Calibri"/>
      <family val="2"/>
      <scheme val="minor"/>
    </font>
    <font>
      <sz val="8"/>
      <color theme="4" tint="-0.249977111117893"/>
      <name val="Calibri"/>
      <family val="2"/>
      <scheme val="minor"/>
    </font>
    <font>
      <sz val="9"/>
      <name val="Tahoma"/>
      <family val="2"/>
    </font>
  </fonts>
  <fills count="8">
    <fill>
      <patternFill patternType="none"/>
    </fill>
    <fill>
      <patternFill patternType="gray125"/>
    </fill>
    <fill>
      <patternFill patternType="solid">
        <fgColor rgb="FF5E5F5F"/>
        <bgColor indexed="64"/>
      </patternFill>
    </fill>
    <fill>
      <patternFill patternType="solid">
        <fgColor rgb="FFCECCCD"/>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s>
  <cellStyleXfs count="4">
    <xf numFmtId="0" fontId="0" fillId="0" borderId="0"/>
    <xf numFmtId="0" fontId="7" fillId="0" borderId="0"/>
    <xf numFmtId="44" fontId="7" fillId="0" borderId="0" applyFont="0" applyFill="0" applyBorder="0" applyAlignment="0" applyProtection="0"/>
    <xf numFmtId="44" fontId="18" fillId="0" borderId="0" applyFont="0" applyFill="0" applyBorder="0" applyAlignment="0" applyProtection="0"/>
  </cellStyleXfs>
  <cellXfs count="76">
    <xf numFmtId="0" fontId="0" fillId="0" borderId="0" xfId="0"/>
    <xf numFmtId="0" fontId="2"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4" xfId="0" applyFont="1" applyFill="1" applyBorder="1" applyAlignment="1">
      <alignment wrapText="1"/>
    </xf>
    <xf numFmtId="165" fontId="3" fillId="4" borderId="5" xfId="0" applyNumberFormat="1" applyFont="1" applyFill="1" applyBorder="1" applyAlignment="1">
      <alignment horizontal="left"/>
    </xf>
    <xf numFmtId="0" fontId="3" fillId="4" borderId="6" xfId="0" applyFont="1" applyFill="1" applyBorder="1" applyAlignment="1">
      <alignment wrapText="1"/>
    </xf>
    <xf numFmtId="165" fontId="3" fillId="4" borderId="7" xfId="0" applyNumberFormat="1" applyFont="1" applyFill="1" applyBorder="1" applyAlignment="1">
      <alignment horizontal="left"/>
    </xf>
    <xf numFmtId="0" fontId="5" fillId="4" borderId="8" xfId="0" applyFont="1" applyFill="1" applyBorder="1" applyAlignment="1">
      <alignment wrapText="1"/>
    </xf>
    <xf numFmtId="165" fontId="5" fillId="4" borderId="9" xfId="0" applyNumberFormat="1" applyFont="1" applyFill="1" applyBorder="1" applyAlignment="1">
      <alignment horizontal="left"/>
    </xf>
    <xf numFmtId="165" fontId="3" fillId="4" borderId="10" xfId="0" applyNumberFormat="1" applyFont="1" applyFill="1" applyBorder="1" applyAlignment="1">
      <alignment horizontal="left"/>
    </xf>
    <xf numFmtId="0" fontId="8" fillId="6" borderId="14" xfId="1" applyFont="1" applyFill="1" applyBorder="1" applyAlignment="1">
      <alignment horizontal="left"/>
    </xf>
    <xf numFmtId="0" fontId="8" fillId="6" borderId="0" xfId="1" applyFont="1" applyFill="1" applyBorder="1" applyAlignment="1">
      <alignment horizontal="left"/>
    </xf>
    <xf numFmtId="0" fontId="8" fillId="6" borderId="15" xfId="1" applyFont="1" applyFill="1" applyBorder="1" applyAlignment="1">
      <alignment horizontal="left"/>
    </xf>
    <xf numFmtId="0" fontId="9" fillId="0" borderId="14" xfId="1" applyFont="1" applyBorder="1"/>
    <xf numFmtId="165" fontId="9" fillId="0" borderId="0" xfId="2" applyNumberFormat="1" applyFont="1" applyBorder="1"/>
    <xf numFmtId="165" fontId="9" fillId="0" borderId="0" xfId="2" applyNumberFormat="1" applyFont="1" applyFill="1" applyBorder="1"/>
    <xf numFmtId="0" fontId="9" fillId="0" borderId="14" xfId="1" applyFont="1" applyFill="1" applyBorder="1"/>
    <xf numFmtId="0" fontId="10" fillId="5" borderId="16" xfId="1" applyFont="1" applyFill="1" applyBorder="1" applyAlignment="1">
      <alignment wrapText="1"/>
    </xf>
    <xf numFmtId="164" fontId="10" fillId="5" borderId="17" xfId="1" applyNumberFormat="1" applyFont="1" applyFill="1" applyBorder="1" applyAlignment="1">
      <alignment horizontal="right" wrapText="1"/>
    </xf>
    <xf numFmtId="0" fontId="9" fillId="5" borderId="18" xfId="1" applyFont="1" applyFill="1" applyBorder="1"/>
    <xf numFmtId="0" fontId="3" fillId="0" borderId="0" xfId="0" applyFont="1" applyFill="1" applyBorder="1"/>
    <xf numFmtId="0" fontId="10" fillId="0" borderId="0" xfId="1" applyFont="1" applyFill="1" applyBorder="1" applyAlignment="1">
      <alignment wrapText="1"/>
    </xf>
    <xf numFmtId="164" fontId="10" fillId="0" borderId="0" xfId="1" applyNumberFormat="1" applyFont="1" applyFill="1" applyBorder="1" applyAlignment="1">
      <alignment horizontal="right" wrapText="1"/>
    </xf>
    <xf numFmtId="0" fontId="7" fillId="0" borderId="0" xfId="1" applyFont="1" applyFill="1" applyBorder="1"/>
    <xf numFmtId="0" fontId="9" fillId="0" borderId="15" xfId="1" applyFont="1" applyBorder="1"/>
    <xf numFmtId="165" fontId="3" fillId="0" borderId="7" xfId="0" applyNumberFormat="1" applyFont="1" applyFill="1" applyBorder="1" applyAlignment="1">
      <alignment horizontal="left"/>
    </xf>
    <xf numFmtId="0" fontId="11" fillId="4" borderId="6" xfId="0" applyFont="1" applyFill="1" applyBorder="1" applyAlignment="1">
      <alignment wrapText="1"/>
    </xf>
    <xf numFmtId="0" fontId="13" fillId="0" borderId="0" xfId="0" applyFont="1"/>
    <xf numFmtId="165" fontId="11" fillId="4" borderId="21" xfId="0" applyNumberFormat="1" applyFont="1" applyFill="1" applyBorder="1" applyAlignment="1">
      <alignment horizontal="left"/>
    </xf>
    <xf numFmtId="165" fontId="11" fillId="4" borderId="22" xfId="0" applyNumberFormat="1" applyFont="1" applyFill="1" applyBorder="1" applyAlignment="1">
      <alignment horizontal="left"/>
    </xf>
    <xf numFmtId="165" fontId="11" fillId="4" borderId="23" xfId="0" applyNumberFormat="1" applyFont="1" applyFill="1" applyBorder="1" applyAlignment="1">
      <alignment horizontal="left"/>
    </xf>
    <xf numFmtId="165" fontId="11" fillId="4" borderId="10" xfId="0" applyNumberFormat="1" applyFont="1" applyFill="1" applyBorder="1" applyAlignment="1">
      <alignment horizontal="left"/>
    </xf>
    <xf numFmtId="0" fontId="9" fillId="0" borderId="14" xfId="1" applyFont="1" applyFill="1" applyBorder="1" applyAlignment="1">
      <alignment vertical="center"/>
    </xf>
    <xf numFmtId="165" fontId="0" fillId="0" borderId="0" xfId="0" applyNumberFormat="1"/>
    <xf numFmtId="0" fontId="3" fillId="3" borderId="24" xfId="0" applyFont="1" applyFill="1" applyBorder="1" applyAlignment="1">
      <alignment horizontal="center" vertical="center" wrapText="1"/>
    </xf>
    <xf numFmtId="165" fontId="3" fillId="4" borderId="25" xfId="0" applyNumberFormat="1" applyFont="1" applyFill="1" applyBorder="1" applyAlignment="1">
      <alignment horizontal="left"/>
    </xf>
    <xf numFmtId="165" fontId="11" fillId="4" borderId="26" xfId="0" applyNumberFormat="1" applyFont="1" applyFill="1" applyBorder="1" applyAlignment="1">
      <alignment horizontal="left"/>
    </xf>
    <xf numFmtId="165" fontId="11" fillId="4" borderId="27" xfId="0" applyNumberFormat="1" applyFont="1" applyFill="1" applyBorder="1" applyAlignment="1">
      <alignment horizontal="left"/>
    </xf>
    <xf numFmtId="165" fontId="5" fillId="4" borderId="28" xfId="0" applyNumberFormat="1" applyFont="1" applyFill="1" applyBorder="1" applyAlignment="1">
      <alignment horizontal="left"/>
    </xf>
    <xf numFmtId="0" fontId="9" fillId="0" borderId="15" xfId="1" applyFont="1" applyBorder="1" applyAlignment="1">
      <alignment vertical="center" wrapText="1"/>
    </xf>
    <xf numFmtId="0" fontId="0" fillId="0" borderId="0" xfId="0" applyAlignment="1">
      <alignment vertical="center"/>
    </xf>
    <xf numFmtId="0" fontId="0" fillId="0" borderId="0" xfId="0" applyFill="1" applyAlignment="1">
      <alignment wrapText="1"/>
    </xf>
    <xf numFmtId="0" fontId="15" fillId="0" borderId="0" xfId="0" applyFont="1"/>
    <xf numFmtId="0" fontId="0" fillId="0" borderId="0" xfId="0" applyAlignment="1">
      <alignment wrapText="1"/>
    </xf>
    <xf numFmtId="0" fontId="17" fillId="0" borderId="0" xfId="0" applyFont="1"/>
    <xf numFmtId="0" fontId="2" fillId="0" borderId="0" xfId="0" applyFont="1" applyAlignment="1">
      <alignment horizontal="left" vertical="center" wrapText="1"/>
    </xf>
    <xf numFmtId="0" fontId="2" fillId="0" borderId="0" xfId="0" applyFont="1" applyAlignment="1">
      <alignment vertical="center" wrapText="1"/>
    </xf>
    <xf numFmtId="0" fontId="3" fillId="0" borderId="6" xfId="0" applyFont="1" applyFill="1" applyBorder="1" applyAlignment="1">
      <alignment wrapText="1"/>
    </xf>
    <xf numFmtId="165" fontId="4" fillId="0" borderId="6" xfId="0" applyNumberFormat="1" applyFont="1" applyFill="1" applyBorder="1" applyAlignment="1">
      <alignment horizontal="left"/>
    </xf>
    <xf numFmtId="165" fontId="12" fillId="0" borderId="20" xfId="0" applyNumberFormat="1" applyFont="1" applyFill="1" applyBorder="1" applyAlignment="1">
      <alignment horizontal="left"/>
    </xf>
    <xf numFmtId="165" fontId="12" fillId="0" borderId="19" xfId="0" applyNumberFormat="1" applyFont="1" applyFill="1" applyBorder="1" applyAlignment="1">
      <alignment horizontal="left"/>
    </xf>
    <xf numFmtId="165" fontId="6" fillId="0" borderId="8" xfId="0" applyNumberFormat="1" applyFont="1" applyFill="1" applyBorder="1" applyAlignment="1">
      <alignment horizontal="left"/>
    </xf>
    <xf numFmtId="165" fontId="9" fillId="0" borderId="0" xfId="2" applyNumberFormat="1" applyFont="1" applyFill="1" applyBorder="1" applyAlignment="1">
      <alignment vertical="center"/>
    </xf>
    <xf numFmtId="0" fontId="8" fillId="0" borderId="16" xfId="1" applyFont="1" applyBorder="1"/>
    <xf numFmtId="165" fontId="8" fillId="0" borderId="17" xfId="2" applyNumberFormat="1" applyFont="1" applyFill="1" applyBorder="1"/>
    <xf numFmtId="0" fontId="8" fillId="0" borderId="18" xfId="1" applyFont="1" applyBorder="1"/>
    <xf numFmtId="0" fontId="9" fillId="0" borderId="14" xfId="1" applyFont="1" applyBorder="1" applyAlignment="1">
      <alignment vertical="center"/>
    </xf>
    <xf numFmtId="0" fontId="9" fillId="0" borderId="15" xfId="1" applyFont="1" applyFill="1" applyBorder="1" applyAlignment="1">
      <alignment vertical="center" wrapText="1"/>
    </xf>
    <xf numFmtId="0" fontId="19" fillId="0" borderId="0" xfId="0" applyFont="1" applyFill="1" applyAlignment="1"/>
    <xf numFmtId="0" fontId="19" fillId="0" borderId="0" xfId="0" applyFont="1" applyAlignment="1">
      <alignment horizontal="left" indent="2"/>
    </xf>
    <xf numFmtId="0" fontId="19" fillId="0" borderId="0" xfId="0" applyFont="1" applyAlignment="1"/>
    <xf numFmtId="0" fontId="19" fillId="0" borderId="0" xfId="0" applyFont="1" applyAlignment="1">
      <alignment horizontal="left"/>
    </xf>
    <xf numFmtId="44" fontId="20" fillId="0" borderId="0" xfId="3" applyFont="1"/>
    <xf numFmtId="165" fontId="3" fillId="0" borderId="10" xfId="0" applyNumberFormat="1" applyFont="1" applyFill="1" applyBorder="1" applyAlignment="1">
      <alignment horizontal="left"/>
    </xf>
    <xf numFmtId="165" fontId="11" fillId="0" borderId="10" xfId="0" applyNumberFormat="1" applyFont="1" applyFill="1" applyBorder="1" applyAlignment="1">
      <alignment horizontal="left"/>
    </xf>
    <xf numFmtId="0" fontId="21" fillId="0" borderId="15" xfId="1" applyFont="1" applyBorder="1" applyAlignment="1">
      <alignment vertical="center" wrapText="1"/>
    </xf>
    <xf numFmtId="0" fontId="2" fillId="0" borderId="0" xfId="0" applyFont="1" applyAlignment="1">
      <alignment horizontal="left" vertical="center"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6" fillId="0" borderId="0" xfId="0" applyFont="1" applyAlignment="1">
      <alignment horizontal="left" vertical="center" wrapText="1"/>
    </xf>
    <xf numFmtId="0" fontId="8" fillId="5" borderId="11" xfId="1" applyFont="1" applyFill="1" applyBorder="1" applyAlignment="1">
      <alignment horizontal="center"/>
    </xf>
    <xf numFmtId="0" fontId="8" fillId="5" borderId="12" xfId="1" applyFont="1" applyFill="1" applyBorder="1" applyAlignment="1">
      <alignment horizontal="center"/>
    </xf>
    <xf numFmtId="0" fontId="8" fillId="5" borderId="13" xfId="1" applyFont="1" applyFill="1" applyBorder="1" applyAlignment="1">
      <alignment horizontal="center"/>
    </xf>
    <xf numFmtId="0" fontId="17" fillId="7" borderId="0" xfId="0" applyFont="1" applyFill="1" applyAlignment="1">
      <alignment horizontal="left" vertical="center" wrapText="1"/>
    </xf>
  </cellXfs>
  <cellStyles count="4">
    <cellStyle name="Currency" xfId="3" builtinId="4"/>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tabSelected="1" zoomScaleNormal="100" workbookViewId="0"/>
  </sheetViews>
  <sheetFormatPr defaultRowHeight="15" x14ac:dyDescent="0.25"/>
  <cols>
    <col min="1" max="1" width="39.140625" customWidth="1"/>
    <col min="2" max="7" width="12.85546875" customWidth="1"/>
    <col min="8" max="8" width="14.42578125" customWidth="1"/>
    <col min="9" max="9" width="14.7109375" customWidth="1"/>
    <col min="10" max="14" width="16.140625" customWidth="1"/>
  </cols>
  <sheetData>
    <row r="2" spans="1:10" ht="19.5" thickBot="1" x14ac:dyDescent="0.35">
      <c r="A2" s="69" t="s">
        <v>24</v>
      </c>
      <c r="B2" s="70"/>
      <c r="C2" s="70"/>
      <c r="D2" s="70"/>
      <c r="E2" s="70"/>
      <c r="F2" s="70"/>
      <c r="G2" s="70"/>
      <c r="H2" s="70"/>
    </row>
    <row r="3" spans="1:10" ht="39" thickBot="1" x14ac:dyDescent="0.3">
      <c r="A3" s="1"/>
      <c r="B3" s="2" t="s">
        <v>31</v>
      </c>
      <c r="C3" s="3" t="s">
        <v>18</v>
      </c>
      <c r="D3" s="3" t="s">
        <v>17</v>
      </c>
      <c r="E3" s="3" t="s">
        <v>29</v>
      </c>
      <c r="F3" s="3" t="s">
        <v>19</v>
      </c>
      <c r="G3" s="3" t="s">
        <v>33</v>
      </c>
      <c r="H3" s="36" t="s">
        <v>25</v>
      </c>
    </row>
    <row r="4" spans="1:10" x14ac:dyDescent="0.25">
      <c r="A4" s="5" t="s">
        <v>0</v>
      </c>
      <c r="B4" s="6">
        <v>-33973</v>
      </c>
      <c r="C4" s="6">
        <v>1628767</v>
      </c>
      <c r="D4" s="11">
        <v>903565</v>
      </c>
      <c r="E4" s="11">
        <v>107451</v>
      </c>
      <c r="F4" s="8">
        <f>+D4+E4</f>
        <v>1011016</v>
      </c>
      <c r="G4" s="11">
        <v>199387</v>
      </c>
      <c r="H4" s="37">
        <f>(B4+C4-F4+G4)</f>
        <v>783165</v>
      </c>
      <c r="I4" s="35"/>
    </row>
    <row r="5" spans="1:10" x14ac:dyDescent="0.25">
      <c r="A5" s="7" t="s">
        <v>62</v>
      </c>
      <c r="B5" s="8">
        <v>-98864</v>
      </c>
      <c r="C5" s="8">
        <v>587535</v>
      </c>
      <c r="D5" s="8">
        <v>291987</v>
      </c>
      <c r="E5" s="8">
        <v>49579</v>
      </c>
      <c r="F5" s="8">
        <f t="shared" ref="F5" si="0">+D5+E5</f>
        <v>341566</v>
      </c>
      <c r="G5" s="8">
        <v>-50412</v>
      </c>
      <c r="H5" s="37">
        <f>(B5+C5-F5+G5)</f>
        <v>96693</v>
      </c>
      <c r="I5" s="35"/>
    </row>
    <row r="6" spans="1:10" s="29" customFormat="1" x14ac:dyDescent="0.25">
      <c r="A6" s="28" t="s">
        <v>64</v>
      </c>
      <c r="B6" s="30">
        <f t="shared" ref="B6:H6" si="1">SUBTOTAL(9,B4:B5)</f>
        <v>-132837</v>
      </c>
      <c r="C6" s="31">
        <f t="shared" si="1"/>
        <v>2216302</v>
      </c>
      <c r="D6" s="31">
        <f t="shared" si="1"/>
        <v>1195552</v>
      </c>
      <c r="E6" s="31">
        <f t="shared" si="1"/>
        <v>157030</v>
      </c>
      <c r="F6" s="31">
        <f t="shared" si="1"/>
        <v>1352582</v>
      </c>
      <c r="G6" s="31">
        <f t="shared" si="1"/>
        <v>148975</v>
      </c>
      <c r="H6" s="38">
        <f t="shared" si="1"/>
        <v>879858</v>
      </c>
      <c r="I6" s="35"/>
    </row>
    <row r="7" spans="1:10" s="29" customFormat="1" x14ac:dyDescent="0.25">
      <c r="A7" s="28"/>
      <c r="B7" s="32"/>
      <c r="C7" s="33"/>
      <c r="D7" s="33"/>
      <c r="E7" s="33"/>
      <c r="F7" s="33"/>
      <c r="G7" s="33"/>
      <c r="H7" s="39"/>
    </row>
    <row r="8" spans="1:10" x14ac:dyDescent="0.25">
      <c r="A8" s="7" t="s">
        <v>1</v>
      </c>
      <c r="B8" s="8">
        <v>18217222</v>
      </c>
      <c r="C8" s="8">
        <v>30069435</v>
      </c>
      <c r="D8" s="8">
        <v>8482732</v>
      </c>
      <c r="E8" s="8">
        <v>1523240</v>
      </c>
      <c r="F8" s="8">
        <f t="shared" ref="F8:F13" si="2">+D8+E8</f>
        <v>10005972</v>
      </c>
      <c r="G8" s="8">
        <v>-148975</v>
      </c>
      <c r="H8" s="37">
        <f t="shared" ref="H8:H13" si="3">(B8+C8-F8+G8)</f>
        <v>38131710</v>
      </c>
    </row>
    <row r="9" spans="1:10" x14ac:dyDescent="0.25">
      <c r="A9" s="49" t="s">
        <v>63</v>
      </c>
      <c r="B9" s="8">
        <v>1602213</v>
      </c>
      <c r="C9" s="8">
        <v>17350993</v>
      </c>
      <c r="D9" s="8">
        <v>2330576</v>
      </c>
      <c r="E9" s="8">
        <v>419504</v>
      </c>
      <c r="F9" s="8">
        <f>+D9+E9</f>
        <v>2750080</v>
      </c>
      <c r="G9" s="8">
        <v>0</v>
      </c>
      <c r="H9" s="37">
        <f t="shared" si="3"/>
        <v>16203126</v>
      </c>
    </row>
    <row r="10" spans="1:10" x14ac:dyDescent="0.25">
      <c r="A10" s="7" t="s">
        <v>16</v>
      </c>
      <c r="B10" s="8">
        <v>-631057</v>
      </c>
      <c r="C10" s="8">
        <f>8210931-375000</f>
        <v>7835931</v>
      </c>
      <c r="D10" s="8">
        <v>3804719</v>
      </c>
      <c r="E10" s="8">
        <v>689183</v>
      </c>
      <c r="F10" s="8">
        <f t="shared" si="2"/>
        <v>4493902</v>
      </c>
      <c r="G10" s="27">
        <v>375000</v>
      </c>
      <c r="H10" s="37">
        <f t="shared" si="3"/>
        <v>3085972</v>
      </c>
      <c r="J10" s="43"/>
    </row>
    <row r="11" spans="1:10" x14ac:dyDescent="0.25">
      <c r="A11" s="7" t="s">
        <v>36</v>
      </c>
      <c r="B11" s="8">
        <f>-3250000+50</f>
        <v>-3249950</v>
      </c>
      <c r="C11" s="8">
        <v>2749950</v>
      </c>
      <c r="D11" s="8"/>
      <c r="E11" s="8"/>
      <c r="F11" s="8"/>
      <c r="G11" s="8"/>
      <c r="H11" s="37">
        <f t="shared" si="3"/>
        <v>-500000</v>
      </c>
    </row>
    <row r="12" spans="1:10" x14ac:dyDescent="0.25">
      <c r="A12" s="7" t="s">
        <v>37</v>
      </c>
      <c r="B12" s="8"/>
      <c r="C12" s="8">
        <v>2642300</v>
      </c>
      <c r="D12" s="8">
        <v>473864</v>
      </c>
      <c r="E12" s="8"/>
      <c r="F12" s="8">
        <f t="shared" si="2"/>
        <v>473864</v>
      </c>
      <c r="G12" s="8"/>
      <c r="H12" s="37">
        <f t="shared" si="3"/>
        <v>2168436</v>
      </c>
    </row>
    <row r="13" spans="1:10" x14ac:dyDescent="0.25">
      <c r="A13" s="7" t="s">
        <v>2</v>
      </c>
      <c r="B13" s="8">
        <f>1531885-244</f>
        <v>1531641</v>
      </c>
      <c r="C13" s="8">
        <f>1293951+375000+5</f>
        <v>1668956</v>
      </c>
      <c r="D13" s="8">
        <v>2906756.6699999925</v>
      </c>
      <c r="E13" s="8">
        <v>-2788957</v>
      </c>
      <c r="F13" s="8">
        <f t="shared" si="2"/>
        <v>117799.66999999247</v>
      </c>
      <c r="G13" s="27">
        <f>-G10</f>
        <v>-375000</v>
      </c>
      <c r="H13" s="37">
        <f t="shared" si="3"/>
        <v>2707797.3300000075</v>
      </c>
    </row>
    <row r="14" spans="1:10" ht="15.75" thickBot="1" x14ac:dyDescent="0.3">
      <c r="A14" s="9" t="s">
        <v>3</v>
      </c>
      <c r="B14" s="10">
        <f t="shared" ref="B14:H14" si="4">SUBTOTAL(9,B4:B13)</f>
        <v>17337232</v>
      </c>
      <c r="C14" s="10">
        <f t="shared" si="4"/>
        <v>64533867</v>
      </c>
      <c r="D14" s="10">
        <f t="shared" si="4"/>
        <v>19194199.669999994</v>
      </c>
      <c r="E14" s="10">
        <f t="shared" si="4"/>
        <v>0</v>
      </c>
      <c r="F14" s="10">
        <f t="shared" si="4"/>
        <v>19194199.669999994</v>
      </c>
      <c r="G14" s="10">
        <f t="shared" si="4"/>
        <v>0</v>
      </c>
      <c r="H14" s="40">
        <f t="shared" si="4"/>
        <v>62676899.330000006</v>
      </c>
    </row>
    <row r="16" spans="1:10" x14ac:dyDescent="0.25">
      <c r="A16" s="44" t="s">
        <v>20</v>
      </c>
    </row>
    <row r="17" spans="1:12" ht="17.25" customHeight="1" x14ac:dyDescent="0.25">
      <c r="A17" s="71" t="s">
        <v>30</v>
      </c>
      <c r="B17" s="68"/>
      <c r="C17" s="68"/>
      <c r="D17" s="68"/>
      <c r="E17" s="68"/>
      <c r="F17" s="68"/>
      <c r="G17" s="68"/>
      <c r="H17" s="68"/>
      <c r="I17" s="68"/>
    </row>
    <row r="18" spans="1:12" ht="21.75" customHeight="1" x14ac:dyDescent="0.25">
      <c r="A18" s="68"/>
      <c r="B18" s="68"/>
      <c r="C18" s="68"/>
      <c r="D18" s="68"/>
      <c r="E18" s="68"/>
      <c r="F18" s="68"/>
      <c r="G18" s="68"/>
      <c r="H18" s="68"/>
      <c r="I18" s="68"/>
    </row>
    <row r="19" spans="1:12" ht="26.25" customHeight="1" x14ac:dyDescent="0.25">
      <c r="A19" s="68" t="s">
        <v>34</v>
      </c>
      <c r="B19" s="68"/>
      <c r="C19" s="68"/>
      <c r="D19" s="68"/>
      <c r="E19" s="68"/>
      <c r="F19" s="68"/>
      <c r="G19" s="68"/>
      <c r="H19" s="68"/>
      <c r="I19" s="68"/>
    </row>
    <row r="20" spans="1:12" ht="13.5" customHeight="1" x14ac:dyDescent="0.25"/>
    <row r="21" spans="1:12" ht="9.75" customHeight="1" x14ac:dyDescent="0.25">
      <c r="A21" s="68" t="s">
        <v>48</v>
      </c>
      <c r="B21" s="68"/>
      <c r="C21" s="68"/>
      <c r="D21" s="68"/>
      <c r="E21" s="68"/>
      <c r="F21" s="68"/>
      <c r="G21" s="68"/>
      <c r="H21" s="68"/>
      <c r="I21" s="68"/>
    </row>
    <row r="22" spans="1:12" ht="42" customHeight="1" x14ac:dyDescent="0.25">
      <c r="A22" s="68"/>
      <c r="B22" s="68"/>
      <c r="C22" s="68"/>
      <c r="D22" s="68"/>
      <c r="E22" s="68"/>
      <c r="F22" s="68"/>
      <c r="G22" s="68"/>
      <c r="H22" s="68"/>
      <c r="I22" s="68"/>
    </row>
    <row r="23" spans="1:12" x14ac:dyDescent="0.25">
      <c r="A23" s="47"/>
      <c r="B23" s="47"/>
      <c r="C23" s="47"/>
      <c r="D23" s="47"/>
      <c r="E23" s="47"/>
      <c r="F23" s="47"/>
      <c r="G23" s="47"/>
      <c r="H23" s="47"/>
      <c r="I23" s="47"/>
    </row>
    <row r="24" spans="1:12" ht="15" customHeight="1" x14ac:dyDescent="0.25">
      <c r="A24" s="68" t="s">
        <v>35</v>
      </c>
      <c r="B24" s="68"/>
      <c r="C24" s="68"/>
      <c r="D24" s="68"/>
      <c r="E24" s="68"/>
      <c r="F24" s="68"/>
      <c r="G24" s="68"/>
      <c r="H24" s="68"/>
      <c r="I24" s="68"/>
    </row>
    <row r="25" spans="1:12" x14ac:dyDescent="0.25">
      <c r="A25" s="48"/>
      <c r="B25" s="48"/>
      <c r="C25" s="48"/>
      <c r="D25" s="48"/>
      <c r="E25" s="48"/>
      <c r="F25" s="48"/>
      <c r="G25" s="48"/>
    </row>
    <row r="26" spans="1:12" x14ac:dyDescent="0.25">
      <c r="L26" s="60"/>
    </row>
    <row r="27" spans="1:12" ht="19.5" thickBot="1" x14ac:dyDescent="0.35">
      <c r="A27" s="69" t="s">
        <v>26</v>
      </c>
      <c r="B27" s="70"/>
      <c r="C27" s="70"/>
      <c r="D27" s="70"/>
      <c r="E27" s="70"/>
      <c r="F27" s="70"/>
      <c r="G27" s="70"/>
      <c r="H27" s="70"/>
      <c r="I27" s="70"/>
      <c r="L27" s="61"/>
    </row>
    <row r="28" spans="1:12" ht="39" thickBot="1" x14ac:dyDescent="0.3">
      <c r="A28" s="1"/>
      <c r="B28" s="2" t="s">
        <v>27</v>
      </c>
      <c r="C28" s="3" t="s">
        <v>18</v>
      </c>
      <c r="D28" s="3" t="s">
        <v>17</v>
      </c>
      <c r="E28" s="3" t="s">
        <v>21</v>
      </c>
      <c r="F28" s="3" t="s">
        <v>19</v>
      </c>
      <c r="G28" s="3" t="s">
        <v>15</v>
      </c>
      <c r="H28" s="3" t="s">
        <v>28</v>
      </c>
      <c r="I28" s="4" t="s">
        <v>32</v>
      </c>
      <c r="L28" s="62"/>
    </row>
    <row r="29" spans="1:12" x14ac:dyDescent="0.25">
      <c r="A29" s="5" t="s">
        <v>0</v>
      </c>
      <c r="B29" s="6">
        <f>+H4</f>
        <v>783165</v>
      </c>
      <c r="C29" s="6">
        <v>326488</v>
      </c>
      <c r="D29" s="65">
        <f>283149-0.49</f>
        <v>283148.51</v>
      </c>
      <c r="E29" s="65">
        <v>38395</v>
      </c>
      <c r="F29" s="27">
        <f>SUM(D29:E29)</f>
        <v>321543.51</v>
      </c>
      <c r="G29" s="8"/>
      <c r="H29" s="8">
        <f>B29+C29-F29+G29</f>
        <v>788109.49</v>
      </c>
      <c r="I29" s="50">
        <v>0</v>
      </c>
      <c r="L29" s="61"/>
    </row>
    <row r="30" spans="1:12" x14ac:dyDescent="0.25">
      <c r="A30" s="7" t="s">
        <v>62</v>
      </c>
      <c r="B30" s="8">
        <f>+H5</f>
        <v>96693</v>
      </c>
      <c r="C30" s="8">
        <v>750924</v>
      </c>
      <c r="D30" s="8">
        <v>165108</v>
      </c>
      <c r="E30" s="8">
        <v>27876</v>
      </c>
      <c r="F30" s="8">
        <f t="shared" ref="F30" si="5">SUM(D30:E30)</f>
        <v>192984</v>
      </c>
      <c r="G30" s="8"/>
      <c r="H30" s="8">
        <f>B30+C30-F30+G30</f>
        <v>654633</v>
      </c>
      <c r="I30" s="50">
        <v>0</v>
      </c>
      <c r="L30" s="61"/>
    </row>
    <row r="31" spans="1:12" s="29" customFormat="1" x14ac:dyDescent="0.25">
      <c r="A31" s="28" t="s">
        <v>64</v>
      </c>
      <c r="B31" s="30">
        <f t="shared" ref="B31:I31" si="6">SUBTOTAL(9,B29:B30)</f>
        <v>879858</v>
      </c>
      <c r="C31" s="31">
        <f t="shared" si="6"/>
        <v>1077412</v>
      </c>
      <c r="D31" s="31">
        <f t="shared" si="6"/>
        <v>448256.51</v>
      </c>
      <c r="E31" s="31">
        <f t="shared" si="6"/>
        <v>66271</v>
      </c>
      <c r="F31" s="31">
        <f t="shared" si="6"/>
        <v>514527.51</v>
      </c>
      <c r="G31" s="31">
        <f t="shared" si="6"/>
        <v>0</v>
      </c>
      <c r="H31" s="31">
        <f t="shared" si="6"/>
        <v>1442742.49</v>
      </c>
      <c r="I31" s="51">
        <f t="shared" si="6"/>
        <v>0</v>
      </c>
      <c r="L31" s="61"/>
    </row>
    <row r="32" spans="1:12" s="29" customFormat="1" x14ac:dyDescent="0.25">
      <c r="A32" s="28"/>
      <c r="B32" s="32"/>
      <c r="C32" s="33"/>
      <c r="D32" s="66"/>
      <c r="E32" s="66"/>
      <c r="F32" s="33"/>
      <c r="G32" s="33"/>
      <c r="H32" s="33"/>
      <c r="I32" s="52"/>
      <c r="L32" s="63"/>
    </row>
    <row r="33" spans="1:9" x14ac:dyDescent="0.25">
      <c r="A33" s="7" t="s">
        <v>1</v>
      </c>
      <c r="B33" s="8">
        <f t="shared" ref="B33:B38" si="7">+H8</f>
        <v>38131710</v>
      </c>
      <c r="C33" s="8">
        <v>5954085</v>
      </c>
      <c r="D33" s="27">
        <v>5153594</v>
      </c>
      <c r="E33" s="27">
        <v>927876</v>
      </c>
      <c r="F33" s="27">
        <f t="shared" ref="F33:F38" si="8">SUM(D33:E33)</f>
        <v>6081470</v>
      </c>
      <c r="G33" s="8"/>
      <c r="H33" s="8">
        <f t="shared" ref="H33:H38" si="9">B33+C33-F33+G33</f>
        <v>38004325</v>
      </c>
      <c r="I33" s="50">
        <v>-3056692</v>
      </c>
    </row>
    <row r="34" spans="1:9" x14ac:dyDescent="0.25">
      <c r="A34" s="49" t="s">
        <v>63</v>
      </c>
      <c r="B34" s="8">
        <f t="shared" si="7"/>
        <v>16203126</v>
      </c>
      <c r="C34" s="8">
        <v>360752</v>
      </c>
      <c r="D34" s="8">
        <v>893163</v>
      </c>
      <c r="E34" s="8">
        <v>160769</v>
      </c>
      <c r="F34" s="8">
        <f t="shared" ref="F34" si="10">SUM(D34:E34)</f>
        <v>1053932</v>
      </c>
      <c r="G34" s="8"/>
      <c r="H34" s="8">
        <f t="shared" si="9"/>
        <v>15509946</v>
      </c>
      <c r="I34" s="50">
        <v>99124</v>
      </c>
    </row>
    <row r="35" spans="1:9" x14ac:dyDescent="0.25">
      <c r="A35" s="7" t="s">
        <v>16</v>
      </c>
      <c r="B35" s="8">
        <f t="shared" si="7"/>
        <v>3085972</v>
      </c>
      <c r="C35" s="8">
        <v>1382259</v>
      </c>
      <c r="D35" s="8">
        <v>2092927.7599999981</v>
      </c>
      <c r="E35" s="8">
        <v>382013.52000000008</v>
      </c>
      <c r="F35" s="8">
        <f t="shared" si="8"/>
        <v>2474941.2799999984</v>
      </c>
      <c r="G35" s="8">
        <v>500000</v>
      </c>
      <c r="H35" s="8">
        <f t="shared" si="9"/>
        <v>2493289.7200000016</v>
      </c>
      <c r="I35" s="50">
        <v>0</v>
      </c>
    </row>
    <row r="36" spans="1:9" x14ac:dyDescent="0.25">
      <c r="A36" s="7" t="s">
        <v>39</v>
      </c>
      <c r="B36" s="8">
        <f t="shared" si="7"/>
        <v>-500000</v>
      </c>
      <c r="C36" s="8">
        <v>500000</v>
      </c>
      <c r="D36" s="8"/>
      <c r="E36" s="8"/>
      <c r="F36" s="8"/>
      <c r="G36" s="8"/>
      <c r="H36" s="8">
        <f t="shared" si="9"/>
        <v>0</v>
      </c>
      <c r="I36" s="50"/>
    </row>
    <row r="37" spans="1:9" x14ac:dyDescent="0.25">
      <c r="A37" s="7" t="s">
        <v>38</v>
      </c>
      <c r="B37" s="8">
        <f t="shared" si="7"/>
        <v>2168436</v>
      </c>
      <c r="C37" s="8">
        <v>0</v>
      </c>
      <c r="D37" s="8">
        <v>181738</v>
      </c>
      <c r="E37" s="8"/>
      <c r="F37" s="8">
        <f t="shared" si="8"/>
        <v>181738</v>
      </c>
      <c r="G37" s="8"/>
      <c r="H37" s="8">
        <f t="shared" si="9"/>
        <v>1986698</v>
      </c>
      <c r="I37" s="50">
        <v>0</v>
      </c>
    </row>
    <row r="38" spans="1:9" x14ac:dyDescent="0.25">
      <c r="A38" s="7" t="s">
        <v>2</v>
      </c>
      <c r="B38" s="8">
        <f t="shared" si="7"/>
        <v>2707797.3300000075</v>
      </c>
      <c r="C38" s="8">
        <f>698252.8</f>
        <v>698252.80000000005</v>
      </c>
      <c r="D38" s="8">
        <f>1498878-D37</f>
        <v>1317140</v>
      </c>
      <c r="E38" s="8">
        <f>-SUM(E31,E33,E35,E34)</f>
        <v>-1536929.52</v>
      </c>
      <c r="F38" s="8">
        <f t="shared" si="8"/>
        <v>-219789.52000000002</v>
      </c>
      <c r="G38" s="27">
        <f>-G35</f>
        <v>-500000</v>
      </c>
      <c r="H38" s="8">
        <f t="shared" si="9"/>
        <v>3125839.6500000074</v>
      </c>
      <c r="I38" s="50">
        <f>'Unrestricted commitments'!C7</f>
        <v>2163420.9833333408</v>
      </c>
    </row>
    <row r="39" spans="1:9" ht="15.75" thickBot="1" x14ac:dyDescent="0.3">
      <c r="A39" s="9" t="s">
        <v>3</v>
      </c>
      <c r="B39" s="10">
        <f>SUBTOTAL(9,B29:B38)</f>
        <v>62676899.330000006</v>
      </c>
      <c r="C39" s="10">
        <f t="shared" ref="C39:I39" si="11">SUBTOTAL(9,C29:C38)</f>
        <v>9972760.8000000007</v>
      </c>
      <c r="D39" s="10">
        <f t="shared" si="11"/>
        <v>10086819.269999998</v>
      </c>
      <c r="E39" s="10">
        <f t="shared" si="11"/>
        <v>0</v>
      </c>
      <c r="F39" s="10">
        <f t="shared" si="11"/>
        <v>10086819.27</v>
      </c>
      <c r="G39" s="10">
        <f t="shared" si="11"/>
        <v>0</v>
      </c>
      <c r="H39" s="10">
        <f t="shared" si="11"/>
        <v>62562840.860000007</v>
      </c>
      <c r="I39" s="53">
        <f t="shared" si="11"/>
        <v>-794147.01666665915</v>
      </c>
    </row>
    <row r="41" spans="1:9" ht="15" customHeight="1" x14ac:dyDescent="0.25">
      <c r="A41" s="68" t="s">
        <v>40</v>
      </c>
      <c r="B41" s="68"/>
      <c r="C41" s="68"/>
      <c r="D41" s="68"/>
      <c r="E41" s="68"/>
      <c r="F41" s="68"/>
      <c r="G41" s="68"/>
      <c r="H41" s="68"/>
      <c r="I41" s="68"/>
    </row>
    <row r="42" spans="1:9" x14ac:dyDescent="0.25">
      <c r="D42" s="64"/>
      <c r="E42" s="64"/>
      <c r="F42" s="64"/>
      <c r="G42" s="64"/>
      <c r="H42" s="64"/>
    </row>
  </sheetData>
  <mergeCells count="7">
    <mergeCell ref="A41:I41"/>
    <mergeCell ref="A27:I27"/>
    <mergeCell ref="A17:I18"/>
    <mergeCell ref="A19:I19"/>
    <mergeCell ref="A2:H2"/>
    <mergeCell ref="A24:I24"/>
    <mergeCell ref="A21:I2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heetViews>
  <sheetFormatPr defaultRowHeight="15" x14ac:dyDescent="0.25"/>
  <cols>
    <col min="2" max="2" width="57.7109375" customWidth="1"/>
    <col min="3" max="3" width="12.42578125" bestFit="1" customWidth="1"/>
    <col min="4" max="4" width="50" customWidth="1"/>
    <col min="6" max="6" width="10" bestFit="1" customWidth="1"/>
  </cols>
  <sheetData>
    <row r="1" spans="2:6" ht="15.75" thickBot="1" x14ac:dyDescent="0.3"/>
    <row r="2" spans="2:6" x14ac:dyDescent="0.25">
      <c r="B2" s="72" t="s">
        <v>41</v>
      </c>
      <c r="C2" s="73"/>
      <c r="D2" s="74"/>
    </row>
    <row r="3" spans="2:6" x14ac:dyDescent="0.25">
      <c r="B3" s="12"/>
      <c r="C3" s="13" t="s">
        <v>4</v>
      </c>
      <c r="D3" s="14" t="s">
        <v>56</v>
      </c>
    </row>
    <row r="4" spans="2:6" x14ac:dyDescent="0.25">
      <c r="B4" s="15" t="s">
        <v>42</v>
      </c>
      <c r="C4" s="16">
        <f>'2017 - 2018 summary'!H38</f>
        <v>3125839.6500000074</v>
      </c>
      <c r="D4" s="26" t="s">
        <v>12</v>
      </c>
    </row>
    <row r="5" spans="2:6" x14ac:dyDescent="0.25">
      <c r="B5" s="15" t="s">
        <v>14</v>
      </c>
      <c r="C5" s="17">
        <f>C14</f>
        <v>300000</v>
      </c>
      <c r="D5" s="26" t="s">
        <v>57</v>
      </c>
    </row>
    <row r="6" spans="2:6" s="42" customFormat="1" ht="45" x14ac:dyDescent="0.25">
      <c r="B6" s="58" t="s">
        <v>52</v>
      </c>
      <c r="C6" s="54">
        <f>(3974512/12)*2</f>
        <v>662418.66666666663</v>
      </c>
      <c r="D6" s="59" t="s">
        <v>55</v>
      </c>
    </row>
    <row r="7" spans="2:6" ht="15.75" thickBot="1" x14ac:dyDescent="0.3">
      <c r="B7" s="55" t="s">
        <v>13</v>
      </c>
      <c r="C7" s="56">
        <f>C4-C5-C6</f>
        <v>2163420.9833333408</v>
      </c>
      <c r="D7" s="57" t="s">
        <v>43</v>
      </c>
    </row>
    <row r="8" spans="2:6" ht="15.75" thickBot="1" x14ac:dyDescent="0.3"/>
    <row r="9" spans="2:6" x14ac:dyDescent="0.25">
      <c r="B9" s="72" t="s">
        <v>41</v>
      </c>
      <c r="C9" s="73"/>
      <c r="D9" s="74"/>
    </row>
    <row r="10" spans="2:6" x14ac:dyDescent="0.25">
      <c r="B10" s="12" t="s">
        <v>5</v>
      </c>
      <c r="C10" s="13" t="s">
        <v>4</v>
      </c>
      <c r="D10" s="14" t="s">
        <v>6</v>
      </c>
    </row>
    <row r="11" spans="2:6" ht="56.25" x14ac:dyDescent="0.25">
      <c r="B11" s="34" t="s">
        <v>11</v>
      </c>
      <c r="C11" s="54">
        <v>300000</v>
      </c>
      <c r="D11" s="67" t="s">
        <v>61</v>
      </c>
      <c r="E11" s="46"/>
      <c r="F11" s="46"/>
    </row>
    <row r="12" spans="2:6" x14ac:dyDescent="0.25">
      <c r="B12" s="18" t="s">
        <v>22</v>
      </c>
      <c r="C12" s="17">
        <v>0</v>
      </c>
      <c r="D12" s="26" t="s">
        <v>49</v>
      </c>
    </row>
    <row r="13" spans="2:6" x14ac:dyDescent="0.25">
      <c r="B13" s="18" t="s">
        <v>23</v>
      </c>
      <c r="C13" s="17">
        <v>0</v>
      </c>
      <c r="D13" s="26" t="s">
        <v>50</v>
      </c>
    </row>
    <row r="14" spans="2:6" ht="15.75" thickBot="1" x14ac:dyDescent="0.3">
      <c r="B14" s="19" t="s">
        <v>7</v>
      </c>
      <c r="C14" s="20">
        <f>SUM(C11:C13)</f>
        <v>300000</v>
      </c>
      <c r="D14" s="21"/>
    </row>
    <row r="15" spans="2:6" x14ac:dyDescent="0.25">
      <c r="B15" s="22"/>
      <c r="F15" s="54"/>
    </row>
    <row r="17" spans="2:4" hidden="1" x14ac:dyDescent="0.25">
      <c r="B17" s="75"/>
      <c r="C17" s="75"/>
      <c r="D17" s="75"/>
    </row>
    <row r="18" spans="2:4" x14ac:dyDescent="0.25">
      <c r="B18" s="45"/>
      <c r="C18" s="45"/>
      <c r="D18" s="45"/>
    </row>
    <row r="19" spans="2:4" x14ac:dyDescent="0.25">
      <c r="B19" s="45"/>
      <c r="C19" s="45"/>
      <c r="D19" s="45"/>
    </row>
    <row r="20" spans="2:4" x14ac:dyDescent="0.25">
      <c r="B20" s="45"/>
      <c r="C20" s="45"/>
      <c r="D20" s="45"/>
    </row>
  </sheetData>
  <mergeCells count="3">
    <mergeCell ref="B2:D2"/>
    <mergeCell ref="B9:D9"/>
    <mergeCell ref="B17:D17"/>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8"/>
  <sheetViews>
    <sheetView workbookViewId="0"/>
  </sheetViews>
  <sheetFormatPr defaultRowHeight="15" x14ac:dyDescent="0.25"/>
  <cols>
    <col min="2" max="2" width="57.7109375" customWidth="1"/>
    <col min="3" max="3" width="12.42578125" bestFit="1" customWidth="1"/>
    <col min="4" max="4" width="50" customWidth="1"/>
  </cols>
  <sheetData>
    <row r="3" spans="2:6" ht="15.75" thickBot="1" x14ac:dyDescent="0.3"/>
    <row r="4" spans="2:6" x14ac:dyDescent="0.25">
      <c r="B4" s="72" t="s">
        <v>44</v>
      </c>
      <c r="C4" s="73"/>
      <c r="D4" s="74"/>
    </row>
    <row r="5" spans="2:6" x14ac:dyDescent="0.25">
      <c r="B5" s="12" t="s">
        <v>58</v>
      </c>
      <c r="C5" s="13" t="s">
        <v>4</v>
      </c>
      <c r="D5" s="14" t="s">
        <v>6</v>
      </c>
    </row>
    <row r="6" spans="2:6" x14ac:dyDescent="0.25">
      <c r="B6" s="15" t="s">
        <v>45</v>
      </c>
      <c r="C6" s="16">
        <f>+'Unrestricted commitments'!C7</f>
        <v>2163420.9833333408</v>
      </c>
      <c r="D6" s="26" t="s">
        <v>51</v>
      </c>
    </row>
    <row r="7" spans="2:6" s="42" customFormat="1" ht="45" x14ac:dyDescent="0.25">
      <c r="B7" s="58" t="s">
        <v>46</v>
      </c>
      <c r="C7" s="54">
        <v>600000</v>
      </c>
      <c r="D7" s="59" t="s">
        <v>53</v>
      </c>
      <c r="F7"/>
    </row>
    <row r="8" spans="2:6" ht="14.25" customHeight="1" thickBot="1" x14ac:dyDescent="0.3">
      <c r="B8" s="19" t="s">
        <v>47</v>
      </c>
      <c r="C8" s="20">
        <f>C7+C6</f>
        <v>2763420.9833333408</v>
      </c>
      <c r="D8" s="21"/>
    </row>
    <row r="9" spans="2:6" ht="15.75" customHeight="1" thickBot="1" x14ac:dyDescent="0.3">
      <c r="B9" s="23"/>
      <c r="C9" s="24"/>
      <c r="D9" s="25"/>
    </row>
    <row r="10" spans="2:6" x14ac:dyDescent="0.25">
      <c r="B10" s="72" t="s">
        <v>60</v>
      </c>
      <c r="C10" s="73"/>
      <c r="D10" s="74"/>
    </row>
    <row r="11" spans="2:6" x14ac:dyDescent="0.25">
      <c r="B11" s="12" t="s">
        <v>58</v>
      </c>
      <c r="C11" s="13" t="s">
        <v>4</v>
      </c>
      <c r="D11" s="14" t="s">
        <v>6</v>
      </c>
      <c r="F11" s="46"/>
    </row>
    <row r="12" spans="2:6" s="42" customFormat="1" ht="22.5" x14ac:dyDescent="0.25">
      <c r="B12" s="58" t="s">
        <v>52</v>
      </c>
      <c r="C12" s="54">
        <f>'Unrestricted commitments'!C6</f>
        <v>662418.66666666663</v>
      </c>
      <c r="D12" s="41" t="s">
        <v>54</v>
      </c>
    </row>
    <row r="13" spans="2:6" s="42" customFormat="1" ht="33.75" x14ac:dyDescent="0.25">
      <c r="B13" s="34" t="s">
        <v>8</v>
      </c>
      <c r="C13" s="54">
        <v>500000</v>
      </c>
      <c r="D13" s="41" t="s">
        <v>59</v>
      </c>
    </row>
    <row r="14" spans="2:6" s="42" customFormat="1" x14ac:dyDescent="0.25">
      <c r="B14" s="34" t="s">
        <v>9</v>
      </c>
      <c r="C14" s="54">
        <v>0</v>
      </c>
      <c r="D14" s="41"/>
    </row>
    <row r="15" spans="2:6" s="42" customFormat="1" ht="33.75" x14ac:dyDescent="0.25">
      <c r="B15" s="34" t="s">
        <v>10</v>
      </c>
      <c r="C15" s="54">
        <v>300000</v>
      </c>
      <c r="D15" s="41" t="s">
        <v>59</v>
      </c>
    </row>
    <row r="16" spans="2:6" ht="15.75" thickBot="1" x14ac:dyDescent="0.3">
      <c r="B16" s="19" t="s">
        <v>3</v>
      </c>
      <c r="C16" s="20">
        <f>SUM(C12:C15)</f>
        <v>1462418.6666666665</v>
      </c>
      <c r="D16" s="21"/>
    </row>
    <row r="18" spans="2:2" x14ac:dyDescent="0.25">
      <c r="B18" s="45"/>
    </row>
  </sheetData>
  <mergeCells count="2">
    <mergeCell ref="B4:D4"/>
    <mergeCell ref="B10:D1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2017 - 2018 summary</vt:lpstr>
      <vt:lpstr>Unrestricted commitments</vt:lpstr>
      <vt:lpstr>Unrestricted forecasts</vt:lpstr>
      <vt:lpstr>'2017 - 2018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2018-10-19T00:28:53Z</dcterms:created>
  <dcterms:modified xsi:type="dcterms:W3CDTF">2018-10-19T00:29:00Z</dcterms:modified>
</cp:coreProperties>
</file>