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416"/>
  <workbookPr filterPrivacy="1" showInkAnnotation="0" autoCompressPictures="0"/>
  <bookViews>
    <workbookView xWindow="0" yWindow="-20" windowWidth="28580" windowHeight="16760" tabRatio="631" activeTab="3"/>
  </bookViews>
  <sheets>
    <sheet name="Distributions as of Nov '14" sheetId="2" r:id="rId1"/>
    <sheet name="AMF org" sheetId="6" r:id="rId2"/>
    <sheet name="Exchange rates" sheetId="3" r:id="rId3"/>
    <sheet name="Summary" sheetId="4" r:id="rId4"/>
    <sheet name="Balaka and Dedza non-net budget" sheetId="5" r:id="rId5"/>
    <sheet name="Dowa non-net budget" sheetId="8" r:id="rId6"/>
    <sheet name="Kasaï Occidental non-net costs" sheetId="9" r:id="rId7"/>
    <sheet name="CU non-monetary costs Ntcheu" sheetId="7" r:id="rId8"/>
  </sheets>
  <definedNames>
    <definedName name="_xlnm._FilterDatabase" localSheetId="6" hidden="1">'Kasaï Occidental non-net costs'!$A$6:$C$6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32" i="4" l="1"/>
  <c r="G25" i="4"/>
  <c r="J114" i="5"/>
  <c r="F116" i="5"/>
  <c r="J22" i="8"/>
  <c r="L22" i="8"/>
  <c r="L23" i="8"/>
  <c r="F6" i="4"/>
  <c r="J116" i="8"/>
  <c r="L116" i="8"/>
  <c r="J117" i="8"/>
  <c r="L117" i="8"/>
  <c r="L118" i="8"/>
  <c r="F7" i="4"/>
  <c r="J134" i="8"/>
  <c r="L134" i="8"/>
  <c r="J135" i="8"/>
  <c r="L135" i="8"/>
  <c r="J136" i="8"/>
  <c r="L136" i="8"/>
  <c r="J137" i="8"/>
  <c r="L137" i="8"/>
  <c r="J138" i="8"/>
  <c r="L138" i="8"/>
  <c r="L139" i="8"/>
  <c r="J142" i="8"/>
  <c r="L142" i="8"/>
  <c r="J143" i="8"/>
  <c r="L143" i="8"/>
  <c r="J144" i="8"/>
  <c r="L144" i="8"/>
  <c r="J145" i="8"/>
  <c r="L145" i="8"/>
  <c r="J146" i="8"/>
  <c r="L146" i="8"/>
  <c r="J147" i="8"/>
  <c r="L147" i="8"/>
  <c r="J148" i="8"/>
  <c r="L148" i="8"/>
  <c r="L149" i="8"/>
  <c r="J152" i="8"/>
  <c r="L152" i="8"/>
  <c r="J153" i="8"/>
  <c r="L153" i="8"/>
  <c r="J154" i="8"/>
  <c r="L154" i="8"/>
  <c r="J155" i="8"/>
  <c r="L155" i="8"/>
  <c r="J156" i="8"/>
  <c r="L156" i="8"/>
  <c r="J157" i="8"/>
  <c r="L157" i="8"/>
  <c r="L158" i="8"/>
  <c r="L160" i="8"/>
  <c r="J165" i="8"/>
  <c r="L165" i="8"/>
  <c r="J166" i="8"/>
  <c r="L166" i="8"/>
  <c r="J167" i="8"/>
  <c r="L167" i="8"/>
  <c r="J168" i="8"/>
  <c r="L168" i="8"/>
  <c r="L169" i="8"/>
  <c r="J172" i="8"/>
  <c r="L172" i="8"/>
  <c r="J173" i="8"/>
  <c r="L173" i="8"/>
  <c r="J174" i="8"/>
  <c r="L174" i="8"/>
  <c r="J175" i="8"/>
  <c r="L175" i="8"/>
  <c r="J176" i="8"/>
  <c r="L176" i="8"/>
  <c r="J177" i="8"/>
  <c r="L177" i="8"/>
  <c r="J178" i="8"/>
  <c r="L178" i="8"/>
  <c r="J179" i="8"/>
  <c r="L179" i="8"/>
  <c r="L180" i="8"/>
  <c r="J183" i="8"/>
  <c r="L183" i="8"/>
  <c r="J184" i="8"/>
  <c r="L184" i="8"/>
  <c r="J185" i="8"/>
  <c r="L185" i="8"/>
  <c r="J186" i="8"/>
  <c r="L186" i="8"/>
  <c r="J187" i="8"/>
  <c r="L187" i="8"/>
  <c r="J188" i="8"/>
  <c r="L188" i="8"/>
  <c r="L189" i="8"/>
  <c r="L191" i="8"/>
  <c r="J195" i="8"/>
  <c r="L195" i="8"/>
  <c r="J196" i="8"/>
  <c r="L196" i="8"/>
  <c r="L197" i="8"/>
  <c r="J201" i="8"/>
  <c r="L201" i="8"/>
  <c r="J202" i="8"/>
  <c r="L202" i="8"/>
  <c r="J203" i="8"/>
  <c r="L203" i="8"/>
  <c r="J204" i="8"/>
  <c r="L204" i="8"/>
  <c r="J205" i="8"/>
  <c r="L205" i="8"/>
  <c r="J206" i="8"/>
  <c r="L206" i="8"/>
  <c r="L207" i="8"/>
  <c r="J211" i="8"/>
  <c r="L211" i="8"/>
  <c r="J212" i="8"/>
  <c r="L212" i="8"/>
  <c r="J213" i="8"/>
  <c r="L213" i="8"/>
  <c r="L214" i="8"/>
  <c r="J218" i="8"/>
  <c r="L218" i="8"/>
  <c r="J219" i="8"/>
  <c r="L219" i="8"/>
  <c r="J220" i="8"/>
  <c r="L220" i="8"/>
  <c r="L221" i="8"/>
  <c r="L223" i="8"/>
  <c r="F8" i="4"/>
  <c r="J33" i="8"/>
  <c r="L33" i="8"/>
  <c r="J34" i="8"/>
  <c r="L34" i="8"/>
  <c r="J35" i="8"/>
  <c r="L35" i="8"/>
  <c r="J36" i="8"/>
  <c r="L36" i="8"/>
  <c r="J37" i="8"/>
  <c r="L37" i="8"/>
  <c r="L38" i="8"/>
  <c r="J42" i="8"/>
  <c r="L42" i="8"/>
  <c r="J43" i="8"/>
  <c r="L43" i="8"/>
  <c r="J44" i="8"/>
  <c r="L44" i="8"/>
  <c r="J45" i="8"/>
  <c r="L45" i="8"/>
  <c r="J46" i="8"/>
  <c r="L46" i="8"/>
  <c r="J47" i="8"/>
  <c r="L47" i="8"/>
  <c r="J48" i="8"/>
  <c r="L48" i="8"/>
  <c r="L49" i="8"/>
  <c r="J53" i="8"/>
  <c r="L53" i="8"/>
  <c r="J54" i="8"/>
  <c r="L54" i="8"/>
  <c r="J55" i="8"/>
  <c r="L55" i="8"/>
  <c r="J56" i="8"/>
  <c r="L56" i="8"/>
  <c r="J57" i="8"/>
  <c r="L57" i="8"/>
  <c r="J58" i="8"/>
  <c r="L58" i="8"/>
  <c r="L59" i="8"/>
  <c r="L61" i="8"/>
  <c r="F9" i="4"/>
  <c r="J66" i="8"/>
  <c r="L66" i="8"/>
  <c r="J67" i="8"/>
  <c r="L67" i="8"/>
  <c r="J68" i="8"/>
  <c r="L68" i="8"/>
  <c r="J69" i="8"/>
  <c r="L69" i="8"/>
  <c r="L70" i="8"/>
  <c r="J73" i="8"/>
  <c r="L73" i="8"/>
  <c r="J74" i="8"/>
  <c r="L74" i="8"/>
  <c r="J75" i="8"/>
  <c r="L75" i="8"/>
  <c r="J76" i="8"/>
  <c r="L76" i="8"/>
  <c r="J77" i="8"/>
  <c r="L77" i="8"/>
  <c r="J78" i="8"/>
  <c r="L78" i="8"/>
  <c r="J79" i="8"/>
  <c r="L79" i="8"/>
  <c r="J80" i="8"/>
  <c r="L80" i="8"/>
  <c r="J81" i="8"/>
  <c r="L81" i="8"/>
  <c r="L82" i="8"/>
  <c r="J85" i="8"/>
  <c r="L85" i="8"/>
  <c r="J86" i="8"/>
  <c r="L86" i="8"/>
  <c r="J87" i="8"/>
  <c r="L87" i="8"/>
  <c r="J88" i="8"/>
  <c r="L88" i="8"/>
  <c r="L89" i="8"/>
  <c r="L91" i="8"/>
  <c r="J95" i="8"/>
  <c r="L95" i="8"/>
  <c r="J96" i="8"/>
  <c r="L96" i="8"/>
  <c r="L97" i="8"/>
  <c r="J101" i="8"/>
  <c r="L101" i="8"/>
  <c r="L102" i="8"/>
  <c r="J106" i="8"/>
  <c r="L106" i="8"/>
  <c r="J107" i="8"/>
  <c r="L107" i="8"/>
  <c r="J108" i="8"/>
  <c r="L108" i="8"/>
  <c r="J109" i="8"/>
  <c r="L109" i="8"/>
  <c r="J110" i="8"/>
  <c r="L110" i="8"/>
  <c r="J111" i="8"/>
  <c r="L111" i="8"/>
  <c r="L112" i="8"/>
  <c r="J122" i="8"/>
  <c r="L122" i="8"/>
  <c r="J123" i="8"/>
  <c r="L123" i="8"/>
  <c r="J124" i="8"/>
  <c r="L124" i="8"/>
  <c r="L125" i="8"/>
  <c r="F10" i="4"/>
  <c r="F25" i="4"/>
  <c r="G26" i="4"/>
  <c r="G27" i="4"/>
  <c r="G29" i="4"/>
  <c r="J286" i="8"/>
  <c r="L286" i="8"/>
  <c r="F14" i="4"/>
  <c r="J287" i="8"/>
  <c r="L287" i="8"/>
  <c r="F15" i="4"/>
  <c r="J290" i="8"/>
  <c r="L290" i="8"/>
  <c r="F16" i="4"/>
  <c r="J291" i="8"/>
  <c r="L291" i="8"/>
  <c r="F17" i="4"/>
  <c r="J294" i="8"/>
  <c r="L294" i="8"/>
  <c r="F18" i="4"/>
  <c r="J295" i="8"/>
  <c r="L295" i="8"/>
  <c r="F19" i="4"/>
  <c r="F26" i="4"/>
  <c r="F27" i="4"/>
  <c r="F29" i="4"/>
  <c r="E29" i="4"/>
  <c r="D29" i="4"/>
  <c r="C29" i="4"/>
  <c r="D26" i="4"/>
  <c r="D25" i="4"/>
  <c r="D27" i="4"/>
  <c r="G6" i="4"/>
  <c r="F23" i="4"/>
  <c r="F21" i="4"/>
  <c r="F38" i="8"/>
  <c r="F49" i="8"/>
  <c r="F59" i="8"/>
  <c r="F61" i="8"/>
  <c r="F4" i="4"/>
  <c r="H22" i="8"/>
  <c r="J23" i="8"/>
  <c r="J302" i="8"/>
  <c r="H122" i="8"/>
  <c r="H123" i="8"/>
  <c r="H124" i="8"/>
  <c r="J125" i="8"/>
  <c r="H116" i="8"/>
  <c r="H117" i="8"/>
  <c r="J118" i="8"/>
  <c r="H106" i="8"/>
  <c r="H107" i="8"/>
  <c r="H108" i="8"/>
  <c r="H109" i="8"/>
  <c r="H110" i="8"/>
  <c r="H111" i="8"/>
  <c r="J112" i="8"/>
  <c r="H101" i="8"/>
  <c r="J102" i="8"/>
  <c r="H95" i="8"/>
  <c r="H96" i="8"/>
  <c r="J97" i="8"/>
  <c r="H85" i="8"/>
  <c r="H86" i="8"/>
  <c r="H87" i="8"/>
  <c r="H88" i="8"/>
  <c r="J89" i="8"/>
  <c r="H73" i="8"/>
  <c r="H74" i="8"/>
  <c r="H75" i="8"/>
  <c r="H76" i="8"/>
  <c r="H77" i="8"/>
  <c r="H78" i="8"/>
  <c r="H79" i="8"/>
  <c r="H80" i="8"/>
  <c r="H81" i="8"/>
  <c r="J82" i="8"/>
  <c r="H66" i="8"/>
  <c r="H67" i="8"/>
  <c r="H68" i="8"/>
  <c r="H69" i="8"/>
  <c r="J70" i="8"/>
  <c r="J91" i="8"/>
  <c r="H53" i="8"/>
  <c r="H54" i="8"/>
  <c r="H55" i="8"/>
  <c r="H56" i="8"/>
  <c r="H57" i="8"/>
  <c r="H58" i="8"/>
  <c r="J59" i="8"/>
  <c r="H42" i="8"/>
  <c r="H43" i="8"/>
  <c r="H44" i="8"/>
  <c r="H45" i="8"/>
  <c r="H46" i="8"/>
  <c r="H47" i="8"/>
  <c r="H48" i="8"/>
  <c r="J49" i="8"/>
  <c r="H33" i="8"/>
  <c r="H34" i="8"/>
  <c r="H35" i="8"/>
  <c r="H36" i="8"/>
  <c r="H37" i="8"/>
  <c r="J38" i="8"/>
  <c r="J61" i="8"/>
  <c r="J127" i="8"/>
  <c r="J304" i="8"/>
  <c r="H218" i="8"/>
  <c r="H219" i="8"/>
  <c r="H220" i="8"/>
  <c r="J221" i="8"/>
  <c r="H211" i="8"/>
  <c r="H212" i="8"/>
  <c r="H213" i="8"/>
  <c r="J214" i="8"/>
  <c r="H201" i="8"/>
  <c r="H202" i="8"/>
  <c r="H203" i="8"/>
  <c r="H204" i="8"/>
  <c r="H205" i="8"/>
  <c r="H206" i="8"/>
  <c r="J207" i="8"/>
  <c r="H195" i="8"/>
  <c r="H196" i="8"/>
  <c r="J197" i="8"/>
  <c r="H183" i="8"/>
  <c r="H184" i="8"/>
  <c r="H185" i="8"/>
  <c r="H186" i="8"/>
  <c r="H187" i="8"/>
  <c r="H188" i="8"/>
  <c r="J189" i="8"/>
  <c r="H172" i="8"/>
  <c r="H173" i="8"/>
  <c r="H174" i="8"/>
  <c r="H175" i="8"/>
  <c r="H176" i="8"/>
  <c r="H177" i="8"/>
  <c r="H178" i="8"/>
  <c r="H179" i="8"/>
  <c r="J180" i="8"/>
  <c r="H165" i="8"/>
  <c r="H166" i="8"/>
  <c r="H167" i="8"/>
  <c r="H168" i="8"/>
  <c r="J169" i="8"/>
  <c r="J191" i="8"/>
  <c r="H152" i="8"/>
  <c r="H153" i="8"/>
  <c r="H154" i="8"/>
  <c r="H155" i="8"/>
  <c r="H156" i="8"/>
  <c r="H157" i="8"/>
  <c r="J158" i="8"/>
  <c r="H142" i="8"/>
  <c r="H143" i="8"/>
  <c r="H144" i="8"/>
  <c r="H145" i="8"/>
  <c r="H146" i="8"/>
  <c r="H147" i="8"/>
  <c r="H148" i="8"/>
  <c r="J149" i="8"/>
  <c r="H134" i="8"/>
  <c r="H135" i="8"/>
  <c r="H136" i="8"/>
  <c r="H137" i="8"/>
  <c r="H138" i="8"/>
  <c r="J139" i="8"/>
  <c r="J160" i="8"/>
  <c r="J223" i="8"/>
  <c r="J306" i="8"/>
  <c r="H294" i="8"/>
  <c r="H295" i="8"/>
  <c r="J296" i="8"/>
  <c r="H290" i="8"/>
  <c r="H291" i="8"/>
  <c r="J292" i="8"/>
  <c r="H286" i="8"/>
  <c r="H287" i="8"/>
  <c r="J288" i="8"/>
  <c r="J298" i="8"/>
  <c r="J308" i="8"/>
  <c r="J310" i="8"/>
  <c r="N310" i="8"/>
  <c r="L302" i="8"/>
  <c r="L127" i="8"/>
  <c r="L304" i="8"/>
  <c r="L306" i="8"/>
  <c r="L296" i="8"/>
  <c r="L292" i="8"/>
  <c r="L288" i="8"/>
  <c r="L298" i="8"/>
  <c r="L308" i="8"/>
  <c r="L310" i="8"/>
  <c r="F23" i="8"/>
  <c r="F302" i="8"/>
  <c r="F125" i="8"/>
  <c r="F118" i="8"/>
  <c r="F112" i="8"/>
  <c r="F102" i="8"/>
  <c r="F97" i="8"/>
  <c r="F89" i="8"/>
  <c r="F82" i="8"/>
  <c r="F70" i="8"/>
  <c r="F91" i="8"/>
  <c r="F127" i="8"/>
  <c r="F304" i="8"/>
  <c r="F221" i="8"/>
  <c r="F214" i="8"/>
  <c r="F207" i="8"/>
  <c r="F197" i="8"/>
  <c r="F189" i="8"/>
  <c r="F180" i="8"/>
  <c r="F169" i="8"/>
  <c r="F191" i="8"/>
  <c r="F158" i="8"/>
  <c r="F149" i="8"/>
  <c r="F139" i="8"/>
  <c r="F160" i="8"/>
  <c r="F223" i="8"/>
  <c r="F306" i="8"/>
  <c r="F296" i="8"/>
  <c r="F292" i="8"/>
  <c r="F288" i="8"/>
  <c r="F298" i="8"/>
  <c r="F308" i="8"/>
  <c r="F310" i="8"/>
  <c r="N308" i="8"/>
  <c r="N306" i="8"/>
  <c r="N304" i="8"/>
  <c r="N302" i="8"/>
  <c r="N298" i="8"/>
  <c r="N296" i="8"/>
  <c r="N292" i="8"/>
  <c r="N288" i="8"/>
  <c r="H277" i="8"/>
  <c r="J277" i="8"/>
  <c r="L277" i="8"/>
  <c r="H278" i="8"/>
  <c r="J278" i="8"/>
  <c r="L278" i="8"/>
  <c r="H279" i="8"/>
  <c r="J279" i="8"/>
  <c r="L279" i="8"/>
  <c r="L280" i="8"/>
  <c r="H271" i="8"/>
  <c r="J271" i="8"/>
  <c r="L271" i="8"/>
  <c r="H272" i="8"/>
  <c r="J272" i="8"/>
  <c r="L272" i="8"/>
  <c r="L273" i="8"/>
  <c r="H263" i="8"/>
  <c r="J263" i="8"/>
  <c r="L263" i="8"/>
  <c r="H264" i="8"/>
  <c r="J264" i="8"/>
  <c r="L264" i="8"/>
  <c r="L265" i="8"/>
  <c r="H251" i="8"/>
  <c r="J251" i="8"/>
  <c r="L251" i="8"/>
  <c r="H252" i="8"/>
  <c r="J252" i="8"/>
  <c r="L252" i="8"/>
  <c r="H253" i="8"/>
  <c r="J253" i="8"/>
  <c r="L253" i="8"/>
  <c r="H254" i="8"/>
  <c r="J254" i="8"/>
  <c r="L254" i="8"/>
  <c r="H255" i="8"/>
  <c r="J255" i="8"/>
  <c r="L255" i="8"/>
  <c r="H256" i="8"/>
  <c r="J256" i="8"/>
  <c r="L256" i="8"/>
  <c r="H257" i="8"/>
  <c r="J257" i="8"/>
  <c r="L257" i="8"/>
  <c r="H258" i="8"/>
  <c r="J258" i="8"/>
  <c r="L258" i="8"/>
  <c r="H259" i="8"/>
  <c r="J259" i="8"/>
  <c r="L259" i="8"/>
  <c r="L260" i="8"/>
  <c r="H242" i="8"/>
  <c r="J242" i="8"/>
  <c r="L242" i="8"/>
  <c r="H243" i="8"/>
  <c r="J243" i="8"/>
  <c r="L243" i="8"/>
  <c r="H244" i="8"/>
  <c r="J244" i="8"/>
  <c r="L244" i="8"/>
  <c r="H245" i="8"/>
  <c r="J245" i="8"/>
  <c r="L245" i="8"/>
  <c r="H246" i="8"/>
  <c r="J246" i="8"/>
  <c r="L246" i="8"/>
  <c r="H247" i="8"/>
  <c r="J247" i="8"/>
  <c r="L247" i="8"/>
  <c r="L248" i="8"/>
  <c r="L267" i="8"/>
  <c r="H231" i="8"/>
  <c r="J231" i="8"/>
  <c r="L231" i="8"/>
  <c r="H232" i="8"/>
  <c r="J232" i="8"/>
  <c r="L232" i="8"/>
  <c r="H233" i="8"/>
  <c r="J233" i="8"/>
  <c r="L233" i="8"/>
  <c r="H234" i="8"/>
  <c r="J234" i="8"/>
  <c r="L234" i="8"/>
  <c r="H235" i="8"/>
  <c r="J235" i="8"/>
  <c r="L235" i="8"/>
  <c r="H236" i="8"/>
  <c r="J236" i="8"/>
  <c r="L236" i="8"/>
  <c r="L237" i="8"/>
  <c r="L282" i="8"/>
  <c r="J280" i="8"/>
  <c r="J273" i="8"/>
  <c r="J265" i="8"/>
  <c r="J260" i="8"/>
  <c r="J248" i="8"/>
  <c r="J267" i="8"/>
  <c r="J237" i="8"/>
  <c r="J282" i="8"/>
  <c r="F280" i="8"/>
  <c r="F273" i="8"/>
  <c r="F265" i="8"/>
  <c r="F260" i="8"/>
  <c r="F248" i="8"/>
  <c r="F267" i="8"/>
  <c r="F237" i="8"/>
  <c r="F282" i="8"/>
  <c r="N280" i="8"/>
  <c r="N273" i="8"/>
  <c r="N267" i="8"/>
  <c r="N265" i="8"/>
  <c r="N260" i="8"/>
  <c r="N248" i="8"/>
  <c r="N237" i="8"/>
  <c r="N223" i="8"/>
  <c r="N221" i="8"/>
  <c r="N214" i="8"/>
  <c r="N207" i="8"/>
  <c r="N197" i="8"/>
  <c r="N191" i="8"/>
  <c r="N189" i="8"/>
  <c r="N180" i="8"/>
  <c r="N169" i="8"/>
  <c r="N160" i="8"/>
  <c r="N158" i="8"/>
  <c r="N149" i="8"/>
  <c r="N139" i="8"/>
  <c r="N127" i="8"/>
  <c r="N125" i="8"/>
  <c r="N118" i="8"/>
  <c r="N112" i="8"/>
  <c r="N97" i="8"/>
  <c r="N91" i="8"/>
  <c r="N89" i="8"/>
  <c r="N82" i="8"/>
  <c r="N70" i="8"/>
  <c r="N61" i="8"/>
  <c r="N59" i="8"/>
  <c r="N49" i="8"/>
  <c r="N38" i="8"/>
  <c r="N23" i="8"/>
  <c r="S10" i="8"/>
  <c r="S9" i="8"/>
  <c r="AR40" i="5"/>
  <c r="E6" i="4"/>
  <c r="E7" i="4"/>
  <c r="E8" i="4"/>
  <c r="E9" i="4"/>
  <c r="E10" i="4"/>
  <c r="E25" i="4"/>
  <c r="E14" i="4"/>
  <c r="E15" i="4"/>
  <c r="E16" i="4"/>
  <c r="E17" i="4"/>
  <c r="E18" i="4"/>
  <c r="E19" i="4"/>
  <c r="E26" i="4"/>
  <c r="E27" i="4"/>
  <c r="D6" i="4"/>
  <c r="D7" i="4"/>
  <c r="D8" i="4"/>
  <c r="D9" i="4"/>
  <c r="D10" i="4"/>
  <c r="D14" i="4"/>
  <c r="D15" i="4"/>
  <c r="D16" i="4"/>
  <c r="D17" i="4"/>
  <c r="D18" i="4"/>
  <c r="D19" i="4"/>
  <c r="C25" i="4"/>
  <c r="C27" i="4"/>
  <c r="E4" i="4"/>
  <c r="E21" i="4"/>
  <c r="E23" i="4"/>
  <c r="G4" i="4"/>
  <c r="G23" i="4"/>
  <c r="D4" i="4"/>
  <c r="D21" i="4"/>
  <c r="D23" i="4"/>
  <c r="T96" i="5"/>
  <c r="T97" i="5"/>
  <c r="AR21" i="5"/>
  <c r="AR24" i="5"/>
  <c r="AR25" i="5"/>
  <c r="AR26" i="5"/>
  <c r="AR27" i="5"/>
  <c r="AR28" i="5"/>
  <c r="AR29" i="5"/>
  <c r="AR30" i="5"/>
  <c r="AR31" i="5"/>
  <c r="AR32" i="5"/>
  <c r="AR33" i="5"/>
  <c r="AR34" i="5"/>
  <c r="AR35" i="5"/>
  <c r="AR36" i="5"/>
  <c r="AR37" i="5"/>
  <c r="AR41" i="5"/>
  <c r="AR42" i="5"/>
  <c r="AR43" i="5"/>
  <c r="AR44" i="5"/>
  <c r="AR45" i="5"/>
  <c r="AR46" i="5"/>
  <c r="AR47" i="5"/>
  <c r="AR48" i="5"/>
  <c r="AR49" i="5"/>
  <c r="AR50" i="5"/>
  <c r="AR51" i="5"/>
  <c r="AR52" i="5"/>
  <c r="AR53" i="5"/>
  <c r="AR54" i="5"/>
  <c r="AR55" i="5"/>
  <c r="AR56" i="5"/>
  <c r="AR97" i="5"/>
  <c r="AR92" i="5"/>
  <c r="AR81" i="5"/>
  <c r="AR77" i="5"/>
  <c r="AR70" i="5"/>
  <c r="AR99" i="5"/>
  <c r="AR101" i="5"/>
  <c r="AR103" i="5"/>
  <c r="AH21" i="5"/>
  <c r="AF24" i="5"/>
  <c r="AH24" i="5"/>
  <c r="AF25" i="5"/>
  <c r="AH25" i="5"/>
  <c r="AF26" i="5"/>
  <c r="AH26" i="5"/>
  <c r="AD27" i="5"/>
  <c r="AF27" i="5"/>
  <c r="AH27" i="5"/>
  <c r="AF28" i="5"/>
  <c r="AH28" i="5"/>
  <c r="AF29" i="5"/>
  <c r="AH29" i="5"/>
  <c r="AF30" i="5"/>
  <c r="AH30" i="5"/>
  <c r="AF31" i="5"/>
  <c r="AH31" i="5"/>
  <c r="AF32" i="5"/>
  <c r="AH32" i="5"/>
  <c r="AF33" i="5"/>
  <c r="AH33" i="5"/>
  <c r="AF34" i="5"/>
  <c r="AH34" i="5"/>
  <c r="AF35" i="5"/>
  <c r="AH35" i="5"/>
  <c r="AF36" i="5"/>
  <c r="AH36" i="5"/>
  <c r="AH37" i="5"/>
  <c r="AF40" i="5"/>
  <c r="AH40" i="5"/>
  <c r="AF41" i="5"/>
  <c r="AH41" i="5"/>
  <c r="AD42" i="5"/>
  <c r="AF42" i="5"/>
  <c r="AH42" i="5"/>
  <c r="AF43" i="5"/>
  <c r="AH43" i="5"/>
  <c r="AF44" i="5"/>
  <c r="AH44" i="5"/>
  <c r="AF45" i="5"/>
  <c r="AH45" i="5"/>
  <c r="AF46" i="5"/>
  <c r="AH46" i="5"/>
  <c r="AF47" i="5"/>
  <c r="AH47" i="5"/>
  <c r="AF48" i="5"/>
  <c r="AH48" i="5"/>
  <c r="AF49" i="5"/>
  <c r="AH49" i="5"/>
  <c r="AF50" i="5"/>
  <c r="AH50" i="5"/>
  <c r="AF51" i="5"/>
  <c r="AH51" i="5"/>
  <c r="AF52" i="5"/>
  <c r="AH52" i="5"/>
  <c r="AF53" i="5"/>
  <c r="AH53" i="5"/>
  <c r="AF54" i="5"/>
  <c r="AH54" i="5"/>
  <c r="AF55" i="5"/>
  <c r="AH55" i="5"/>
  <c r="AH56" i="5"/>
  <c r="AH95" i="5"/>
  <c r="AH96" i="5"/>
  <c r="AH97" i="5"/>
  <c r="AF84" i="5"/>
  <c r="AH84" i="5"/>
  <c r="AF85" i="5"/>
  <c r="AH85" i="5"/>
  <c r="AF86" i="5"/>
  <c r="AH86" i="5"/>
  <c r="AF87" i="5"/>
  <c r="AH87" i="5"/>
  <c r="AF88" i="5"/>
  <c r="AH88" i="5"/>
  <c r="AF89" i="5"/>
  <c r="AH89" i="5"/>
  <c r="AF90" i="5"/>
  <c r="AH90" i="5"/>
  <c r="AF91" i="5"/>
  <c r="AH91" i="5"/>
  <c r="AH92" i="5"/>
  <c r="AF80" i="5"/>
  <c r="AH80" i="5"/>
  <c r="AH81" i="5"/>
  <c r="AF73" i="5"/>
  <c r="AH73" i="5"/>
  <c r="AF74" i="5"/>
  <c r="AH74" i="5"/>
  <c r="AF75" i="5"/>
  <c r="AH75" i="5"/>
  <c r="AF76" i="5"/>
  <c r="AH76" i="5"/>
  <c r="AH77" i="5"/>
  <c r="AF65" i="5"/>
  <c r="AH65" i="5"/>
  <c r="AF66" i="5"/>
  <c r="AH66" i="5"/>
  <c r="AF67" i="5"/>
  <c r="AH67" i="5"/>
  <c r="AF68" i="5"/>
  <c r="AH68" i="5"/>
  <c r="AF69" i="5"/>
  <c r="AH69" i="5"/>
  <c r="AH70" i="5"/>
  <c r="AH99" i="5"/>
  <c r="AH101" i="5"/>
  <c r="AH103" i="5"/>
  <c r="AR131" i="5"/>
  <c r="J21" i="5"/>
  <c r="J24" i="5"/>
  <c r="H25" i="5"/>
  <c r="J25" i="5"/>
  <c r="H26" i="5"/>
  <c r="J26" i="5"/>
  <c r="H27" i="5"/>
  <c r="J27" i="5"/>
  <c r="H28" i="5"/>
  <c r="J28" i="5"/>
  <c r="H29" i="5"/>
  <c r="J29" i="5"/>
  <c r="H30" i="5"/>
  <c r="J30" i="5"/>
  <c r="H31" i="5"/>
  <c r="J31" i="5"/>
  <c r="H32" i="5"/>
  <c r="J32" i="5"/>
  <c r="H33" i="5"/>
  <c r="J33" i="5"/>
  <c r="H34" i="5"/>
  <c r="J34" i="5"/>
  <c r="H35" i="5"/>
  <c r="J35" i="5"/>
  <c r="H36" i="5"/>
  <c r="J36" i="5"/>
  <c r="J37" i="5"/>
  <c r="H50" i="5"/>
  <c r="J50" i="5"/>
  <c r="H51" i="5"/>
  <c r="J51" i="5"/>
  <c r="H52" i="5"/>
  <c r="J52" i="5"/>
  <c r="H53" i="5"/>
  <c r="J53" i="5"/>
  <c r="H54" i="5"/>
  <c r="J54" i="5"/>
  <c r="H55" i="5"/>
  <c r="J55" i="5"/>
  <c r="J56" i="5"/>
  <c r="J95" i="5"/>
  <c r="J96" i="5"/>
  <c r="J97" i="5"/>
  <c r="H84" i="5"/>
  <c r="J84" i="5"/>
  <c r="H85" i="5"/>
  <c r="J85" i="5"/>
  <c r="H86" i="5"/>
  <c r="J86" i="5"/>
  <c r="H87" i="5"/>
  <c r="J87" i="5"/>
  <c r="H88" i="5"/>
  <c r="J88" i="5"/>
  <c r="H89" i="5"/>
  <c r="J89" i="5"/>
  <c r="H90" i="5"/>
  <c r="J90" i="5"/>
  <c r="H91" i="5"/>
  <c r="J91" i="5"/>
  <c r="J92" i="5"/>
  <c r="H80" i="5"/>
  <c r="J80" i="5"/>
  <c r="J81" i="5"/>
  <c r="H73" i="5"/>
  <c r="J73" i="5"/>
  <c r="H74" i="5"/>
  <c r="J74" i="5"/>
  <c r="H75" i="5"/>
  <c r="J75" i="5"/>
  <c r="H76" i="5"/>
  <c r="J76" i="5"/>
  <c r="J77" i="5"/>
  <c r="H65" i="5"/>
  <c r="J65" i="5"/>
  <c r="H66" i="5"/>
  <c r="J66" i="5"/>
  <c r="H67" i="5"/>
  <c r="J67" i="5"/>
  <c r="H68" i="5"/>
  <c r="J68" i="5"/>
  <c r="H69" i="5"/>
  <c r="J69" i="5"/>
  <c r="J70" i="5"/>
  <c r="J99" i="5"/>
  <c r="J101" i="5"/>
  <c r="J103" i="5"/>
  <c r="T121" i="5"/>
  <c r="T125" i="5"/>
  <c r="T131" i="5"/>
  <c r="BL131" i="5"/>
  <c r="BL137" i="5"/>
  <c r="AR126" i="5"/>
  <c r="AR130" i="5"/>
  <c r="AR132" i="5"/>
  <c r="T21" i="5"/>
  <c r="R24" i="5"/>
  <c r="T24" i="5"/>
  <c r="R25" i="5"/>
  <c r="T25" i="5"/>
  <c r="R26" i="5"/>
  <c r="T26" i="5"/>
  <c r="R27" i="5"/>
  <c r="T27" i="5"/>
  <c r="R28" i="5"/>
  <c r="T28" i="5"/>
  <c r="R29" i="5"/>
  <c r="T29" i="5"/>
  <c r="R30" i="5"/>
  <c r="T30" i="5"/>
  <c r="R31" i="5"/>
  <c r="T31" i="5"/>
  <c r="R32" i="5"/>
  <c r="T32" i="5"/>
  <c r="R33" i="5"/>
  <c r="T33" i="5"/>
  <c r="R34" i="5"/>
  <c r="T34" i="5"/>
  <c r="R35" i="5"/>
  <c r="T35" i="5"/>
  <c r="R36" i="5"/>
  <c r="T36" i="5"/>
  <c r="T37" i="5"/>
  <c r="T50" i="5"/>
  <c r="T51" i="5"/>
  <c r="T52" i="5"/>
  <c r="T53" i="5"/>
  <c r="T54" i="5"/>
  <c r="T55" i="5"/>
  <c r="T56" i="5"/>
  <c r="T95" i="5"/>
  <c r="T92" i="5"/>
  <c r="T81" i="5"/>
  <c r="T77" i="5"/>
  <c r="T70" i="5"/>
  <c r="T99" i="5"/>
  <c r="T101" i="5"/>
  <c r="T103" i="5"/>
  <c r="T126" i="5"/>
  <c r="T130" i="5"/>
  <c r="T132" i="5"/>
  <c r="BL132" i="5"/>
  <c r="BL126" i="5"/>
  <c r="BL130" i="5"/>
  <c r="AR125" i="5"/>
  <c r="BL125" i="5"/>
  <c r="BL127" i="5"/>
  <c r="AR127" i="5"/>
  <c r="T127" i="5"/>
  <c r="AR121" i="5"/>
  <c r="BL121" i="5"/>
  <c r="AV103" i="5"/>
  <c r="AR122" i="5"/>
  <c r="X103" i="5"/>
  <c r="T122" i="5"/>
  <c r="BL122" i="5"/>
  <c r="BL123" i="5"/>
  <c r="AR123" i="5"/>
  <c r="T123" i="5"/>
  <c r="BD20" i="5"/>
  <c r="BD21" i="5"/>
  <c r="BD24" i="5"/>
  <c r="BD25" i="5"/>
  <c r="BD26" i="5"/>
  <c r="BD27" i="5"/>
  <c r="BD28" i="5"/>
  <c r="BD29" i="5"/>
  <c r="BD30" i="5"/>
  <c r="BD31" i="5"/>
  <c r="BD32" i="5"/>
  <c r="BD33" i="5"/>
  <c r="BD34" i="5"/>
  <c r="BD35" i="5"/>
  <c r="BD36" i="5"/>
  <c r="BD37" i="5"/>
  <c r="BD40" i="5"/>
  <c r="BD41" i="5"/>
  <c r="BD42" i="5"/>
  <c r="BD43" i="5"/>
  <c r="BD44" i="5"/>
  <c r="BD45" i="5"/>
  <c r="BD46" i="5"/>
  <c r="BD47" i="5"/>
  <c r="BD48" i="5"/>
  <c r="BD49" i="5"/>
  <c r="BD50" i="5"/>
  <c r="BD51" i="5"/>
  <c r="BD52" i="5"/>
  <c r="BD53" i="5"/>
  <c r="BD54" i="5"/>
  <c r="BD55" i="5"/>
  <c r="BD56" i="5"/>
  <c r="BD84" i="5"/>
  <c r="BD85" i="5"/>
  <c r="BD86" i="5"/>
  <c r="BD87" i="5"/>
  <c r="BD88" i="5"/>
  <c r="BD89" i="5"/>
  <c r="BD90" i="5"/>
  <c r="BD91" i="5"/>
  <c r="BD92" i="5"/>
  <c r="BD80" i="5"/>
  <c r="BD81" i="5"/>
  <c r="BD73" i="5"/>
  <c r="BD74" i="5"/>
  <c r="BD75" i="5"/>
  <c r="BD76" i="5"/>
  <c r="BD77" i="5"/>
  <c r="BD65" i="5"/>
  <c r="BD66" i="5"/>
  <c r="BD67" i="5"/>
  <c r="BD68" i="5"/>
  <c r="BD69" i="5"/>
  <c r="BD70" i="5"/>
  <c r="BD99" i="5"/>
  <c r="BD101" i="5"/>
  <c r="BD121" i="5"/>
  <c r="BD122" i="5"/>
  <c r="AH121" i="5"/>
  <c r="AH122" i="5"/>
  <c r="J121" i="5"/>
  <c r="J122" i="5"/>
  <c r="BJ25" i="5"/>
  <c r="BJ26" i="5"/>
  <c r="BJ27" i="5"/>
  <c r="BJ28" i="5"/>
  <c r="BJ29" i="5"/>
  <c r="BJ30" i="5"/>
  <c r="BJ31" i="5"/>
  <c r="BJ32" i="5"/>
  <c r="BJ33" i="5"/>
  <c r="BJ34" i="5"/>
  <c r="BJ35" i="5"/>
  <c r="BJ36" i="5"/>
  <c r="BJ24" i="5"/>
  <c r="BJ37" i="5"/>
  <c r="BJ40" i="5"/>
  <c r="BJ41" i="5"/>
  <c r="BJ42" i="5"/>
  <c r="BJ43" i="5"/>
  <c r="BJ44" i="5"/>
  <c r="BJ45" i="5"/>
  <c r="BJ46" i="5"/>
  <c r="BJ47" i="5"/>
  <c r="BJ48" i="5"/>
  <c r="BJ49" i="5"/>
  <c r="BJ50" i="5"/>
  <c r="BJ51" i="5"/>
  <c r="BJ52" i="5"/>
  <c r="BJ53" i="5"/>
  <c r="BJ54" i="5"/>
  <c r="BJ55" i="5"/>
  <c r="BJ56" i="5"/>
  <c r="BJ58" i="5"/>
  <c r="AN20" i="5"/>
  <c r="F20" i="5"/>
  <c r="P20" i="5"/>
  <c r="BJ20" i="5"/>
  <c r="BJ21" i="5"/>
  <c r="BJ60" i="5"/>
  <c r="BJ65" i="5"/>
  <c r="BJ66" i="5"/>
  <c r="BJ67" i="5"/>
  <c r="BJ68" i="5"/>
  <c r="BJ69" i="5"/>
  <c r="AN70" i="5"/>
  <c r="BJ70" i="5"/>
  <c r="BJ73" i="5"/>
  <c r="BJ74" i="5"/>
  <c r="BJ75" i="5"/>
  <c r="BJ76" i="5"/>
  <c r="BJ80" i="5"/>
  <c r="BJ84" i="5"/>
  <c r="BJ85" i="5"/>
  <c r="BJ86" i="5"/>
  <c r="BJ87" i="5"/>
  <c r="BJ88" i="5"/>
  <c r="BJ89" i="5"/>
  <c r="BJ90" i="5"/>
  <c r="BJ91" i="5"/>
  <c r="BJ95" i="5"/>
  <c r="BJ96" i="5"/>
  <c r="BJ97" i="5"/>
  <c r="BJ99" i="5"/>
  <c r="BJ101" i="5"/>
  <c r="BJ103" i="5"/>
  <c r="BJ107" i="5"/>
  <c r="BJ111" i="5"/>
  <c r="BJ114" i="5"/>
  <c r="BJ116" i="5"/>
  <c r="BR118" i="5"/>
  <c r="BN114" i="5"/>
  <c r="BN111" i="5"/>
  <c r="BN107" i="5"/>
  <c r="BL20" i="5"/>
  <c r="BL21" i="5"/>
  <c r="BL10" i="5"/>
  <c r="BN20" i="5"/>
  <c r="BN21" i="5"/>
  <c r="BL24" i="5"/>
  <c r="BN24" i="5"/>
  <c r="BL25" i="5"/>
  <c r="BN25" i="5"/>
  <c r="BL26" i="5"/>
  <c r="BN26" i="5"/>
  <c r="BL27" i="5"/>
  <c r="BN27" i="5"/>
  <c r="BL28" i="5"/>
  <c r="BN28" i="5"/>
  <c r="BL29" i="5"/>
  <c r="BN29" i="5"/>
  <c r="BL30" i="5"/>
  <c r="BN30" i="5"/>
  <c r="BL31" i="5"/>
  <c r="BN31" i="5"/>
  <c r="BL32" i="5"/>
  <c r="BN32" i="5"/>
  <c r="BL33" i="5"/>
  <c r="BN33" i="5"/>
  <c r="BL34" i="5"/>
  <c r="BN34" i="5"/>
  <c r="BL35" i="5"/>
  <c r="BN35" i="5"/>
  <c r="BL36" i="5"/>
  <c r="BN36" i="5"/>
  <c r="BN37" i="5"/>
  <c r="BL40" i="5"/>
  <c r="BN40" i="5"/>
  <c r="BL41" i="5"/>
  <c r="BN41" i="5"/>
  <c r="BL42" i="5"/>
  <c r="BN42" i="5"/>
  <c r="BL43" i="5"/>
  <c r="BN43" i="5"/>
  <c r="BL44" i="5"/>
  <c r="BN44" i="5"/>
  <c r="BL45" i="5"/>
  <c r="BN45" i="5"/>
  <c r="BL46" i="5"/>
  <c r="BN46" i="5"/>
  <c r="BL47" i="5"/>
  <c r="BN47" i="5"/>
  <c r="BL48" i="5"/>
  <c r="BN48" i="5"/>
  <c r="BL49" i="5"/>
  <c r="BN49" i="5"/>
  <c r="BL50" i="5"/>
  <c r="BN50" i="5"/>
  <c r="BL51" i="5"/>
  <c r="BN51" i="5"/>
  <c r="BL52" i="5"/>
  <c r="BN52" i="5"/>
  <c r="BL53" i="5"/>
  <c r="BN53" i="5"/>
  <c r="BL54" i="5"/>
  <c r="BN54" i="5"/>
  <c r="BL55" i="5"/>
  <c r="BN55" i="5"/>
  <c r="BN56" i="5"/>
  <c r="BL95" i="5"/>
  <c r="BN95" i="5"/>
  <c r="BL96" i="5"/>
  <c r="BN96" i="5"/>
  <c r="BN97" i="5"/>
  <c r="BL92" i="5"/>
  <c r="BN92" i="5"/>
  <c r="BL81" i="5"/>
  <c r="BN81" i="5"/>
  <c r="BL77" i="5"/>
  <c r="BN77" i="5"/>
  <c r="BL70" i="5"/>
  <c r="BN70" i="5"/>
  <c r="BN99" i="5"/>
  <c r="BN101" i="5"/>
  <c r="BN118" i="5"/>
  <c r="BL114" i="5"/>
  <c r="BL111" i="5"/>
  <c r="BL107" i="5"/>
  <c r="BL37" i="5"/>
  <c r="BL56" i="5"/>
  <c r="BL97" i="5"/>
  <c r="BL99" i="5"/>
  <c r="BL101" i="5"/>
  <c r="BL118" i="5"/>
  <c r="BJ118" i="5"/>
  <c r="AH105" i="5"/>
  <c r="AH106" i="5"/>
  <c r="AH109" i="5"/>
  <c r="AH110" i="5"/>
  <c r="AH113" i="5"/>
  <c r="J105" i="5"/>
  <c r="J106" i="5"/>
  <c r="J109" i="5"/>
  <c r="J110" i="5"/>
  <c r="J113" i="5"/>
  <c r="BD113" i="5"/>
  <c r="BD114" i="5"/>
  <c r="BD109" i="5"/>
  <c r="BD110" i="5"/>
  <c r="BD111" i="5"/>
  <c r="BD105" i="5"/>
  <c r="BD106" i="5"/>
  <c r="BD107" i="5"/>
  <c r="BD118" i="5"/>
  <c r="BH118" i="5"/>
  <c r="BD10" i="5"/>
  <c r="BF113" i="5"/>
  <c r="BF114" i="5"/>
  <c r="BF109" i="5"/>
  <c r="BF110" i="5"/>
  <c r="BF111" i="5"/>
  <c r="BF105" i="5"/>
  <c r="BF106" i="5"/>
  <c r="BF107" i="5"/>
  <c r="BF20" i="5"/>
  <c r="BF21" i="5"/>
  <c r="BF24" i="5"/>
  <c r="BF25" i="5"/>
  <c r="BF26" i="5"/>
  <c r="BF27" i="5"/>
  <c r="BF28" i="5"/>
  <c r="BF29" i="5"/>
  <c r="BF30" i="5"/>
  <c r="BF31" i="5"/>
  <c r="BF32" i="5"/>
  <c r="BF33" i="5"/>
  <c r="BF34" i="5"/>
  <c r="BF35" i="5"/>
  <c r="BF36" i="5"/>
  <c r="BF37" i="5"/>
  <c r="BF40" i="5"/>
  <c r="BF41" i="5"/>
  <c r="BF42" i="5"/>
  <c r="BF43" i="5"/>
  <c r="BF44" i="5"/>
  <c r="BF45" i="5"/>
  <c r="BF46" i="5"/>
  <c r="BF47" i="5"/>
  <c r="BF48" i="5"/>
  <c r="BF49" i="5"/>
  <c r="BF50" i="5"/>
  <c r="BF51" i="5"/>
  <c r="BF52" i="5"/>
  <c r="BF53" i="5"/>
  <c r="BF54" i="5"/>
  <c r="BF55" i="5"/>
  <c r="BF56" i="5"/>
  <c r="BF84" i="5"/>
  <c r="BF85" i="5"/>
  <c r="BF86" i="5"/>
  <c r="BF87" i="5"/>
  <c r="BF88" i="5"/>
  <c r="BF89" i="5"/>
  <c r="BF90" i="5"/>
  <c r="BF91" i="5"/>
  <c r="BF92" i="5"/>
  <c r="BF80" i="5"/>
  <c r="BF81" i="5"/>
  <c r="BF73" i="5"/>
  <c r="BF74" i="5"/>
  <c r="BF75" i="5"/>
  <c r="BF76" i="5"/>
  <c r="BF77" i="5"/>
  <c r="BF65" i="5"/>
  <c r="BF66" i="5"/>
  <c r="BF67" i="5"/>
  <c r="BF68" i="5"/>
  <c r="BF69" i="5"/>
  <c r="BF70" i="5"/>
  <c r="BF99" i="5"/>
  <c r="BF101" i="5"/>
  <c r="BF118" i="5"/>
  <c r="BB113" i="5"/>
  <c r="BB114" i="5"/>
  <c r="BB109" i="5"/>
  <c r="BB110" i="5"/>
  <c r="BB111" i="5"/>
  <c r="BB105" i="5"/>
  <c r="BB106" i="5"/>
  <c r="BB107" i="5"/>
  <c r="BB24" i="5"/>
  <c r="BB25" i="5"/>
  <c r="BB26" i="5"/>
  <c r="BB27" i="5"/>
  <c r="BB28" i="5"/>
  <c r="BB29" i="5"/>
  <c r="BB30" i="5"/>
  <c r="BB31" i="5"/>
  <c r="BB32" i="5"/>
  <c r="BB33" i="5"/>
  <c r="BB34" i="5"/>
  <c r="BB35" i="5"/>
  <c r="BB36" i="5"/>
  <c r="BB37" i="5"/>
  <c r="BB40" i="5"/>
  <c r="BB41" i="5"/>
  <c r="BB42" i="5"/>
  <c r="BB43" i="5"/>
  <c r="BB44" i="5"/>
  <c r="BB45" i="5"/>
  <c r="BB46" i="5"/>
  <c r="BB47" i="5"/>
  <c r="BB48" i="5"/>
  <c r="BB49" i="5"/>
  <c r="BB50" i="5"/>
  <c r="BB51" i="5"/>
  <c r="BB52" i="5"/>
  <c r="BB53" i="5"/>
  <c r="BB54" i="5"/>
  <c r="BB55" i="5"/>
  <c r="BB56" i="5"/>
  <c r="BB84" i="5"/>
  <c r="BB85" i="5"/>
  <c r="BB86" i="5"/>
  <c r="BB87" i="5"/>
  <c r="BB88" i="5"/>
  <c r="BB89" i="5"/>
  <c r="BB90" i="5"/>
  <c r="BB91" i="5"/>
  <c r="BB92" i="5"/>
  <c r="BB80" i="5"/>
  <c r="BB81" i="5"/>
  <c r="BB73" i="5"/>
  <c r="BB74" i="5"/>
  <c r="BB75" i="5"/>
  <c r="BB76" i="5"/>
  <c r="BB77" i="5"/>
  <c r="BB65" i="5"/>
  <c r="BB66" i="5"/>
  <c r="BB67" i="5"/>
  <c r="BB68" i="5"/>
  <c r="BB69" i="5"/>
  <c r="BB70" i="5"/>
  <c r="BB99" i="5"/>
  <c r="BB101" i="5"/>
  <c r="BB118" i="5"/>
  <c r="AP25" i="5"/>
  <c r="AP26" i="5"/>
  <c r="AP27" i="5"/>
  <c r="AP28" i="5"/>
  <c r="AP29" i="5"/>
  <c r="AP30" i="5"/>
  <c r="AP31" i="5"/>
  <c r="AP32" i="5"/>
  <c r="AP33" i="5"/>
  <c r="AP34" i="5"/>
  <c r="AP35" i="5"/>
  <c r="AP36" i="5"/>
  <c r="AN37" i="5"/>
  <c r="AP40" i="5"/>
  <c r="AP41" i="5"/>
  <c r="AP42" i="5"/>
  <c r="AP43" i="5"/>
  <c r="AP44" i="5"/>
  <c r="AP45" i="5"/>
  <c r="AP46" i="5"/>
  <c r="AP47" i="5"/>
  <c r="AP48" i="5"/>
  <c r="AP49" i="5"/>
  <c r="AP50" i="5"/>
  <c r="AP51" i="5"/>
  <c r="AP52" i="5"/>
  <c r="AP53" i="5"/>
  <c r="AP54" i="5"/>
  <c r="AP55" i="5"/>
  <c r="AN56" i="5"/>
  <c r="AN58" i="5"/>
  <c r="AN21" i="5"/>
  <c r="AN60" i="5"/>
  <c r="AN77" i="5"/>
  <c r="AN81" i="5"/>
  <c r="AN92" i="5"/>
  <c r="AN97" i="5"/>
  <c r="AN99" i="5"/>
  <c r="AN101" i="5"/>
  <c r="AN103" i="5"/>
  <c r="AX118" i="5"/>
  <c r="AH114" i="5"/>
  <c r="AH111" i="5"/>
  <c r="AH107" i="5"/>
  <c r="AH118" i="5"/>
  <c r="AL118" i="5"/>
  <c r="AJ113" i="5"/>
  <c r="AJ114" i="5"/>
  <c r="AJ109" i="5"/>
  <c r="AJ110" i="5"/>
  <c r="AJ111" i="5"/>
  <c r="AJ105" i="5"/>
  <c r="AJ106" i="5"/>
  <c r="AJ107" i="5"/>
  <c r="AJ20" i="5"/>
  <c r="AJ21" i="5"/>
  <c r="AJ24" i="5"/>
  <c r="AJ25" i="5"/>
  <c r="AJ26" i="5"/>
  <c r="AJ27" i="5"/>
  <c r="AJ28" i="5"/>
  <c r="AJ29" i="5"/>
  <c r="AJ30" i="5"/>
  <c r="AJ31" i="5"/>
  <c r="AJ32" i="5"/>
  <c r="AJ33" i="5"/>
  <c r="AJ34" i="5"/>
  <c r="AJ35" i="5"/>
  <c r="AJ36" i="5"/>
  <c r="AJ37" i="5"/>
  <c r="AJ40" i="5"/>
  <c r="AJ41" i="5"/>
  <c r="AJ42" i="5"/>
  <c r="AJ43" i="5"/>
  <c r="AJ44" i="5"/>
  <c r="AJ45" i="5"/>
  <c r="AJ46" i="5"/>
  <c r="AJ47" i="5"/>
  <c r="AJ48" i="5"/>
  <c r="AJ49" i="5"/>
  <c r="AJ50" i="5"/>
  <c r="AJ51" i="5"/>
  <c r="AJ52" i="5"/>
  <c r="AJ53" i="5"/>
  <c r="AJ54" i="5"/>
  <c r="AJ55" i="5"/>
  <c r="AJ56" i="5"/>
  <c r="AJ89" i="5"/>
  <c r="AJ90" i="5"/>
  <c r="AJ91" i="5"/>
  <c r="AJ84" i="5"/>
  <c r="AJ85" i="5"/>
  <c r="AJ86" i="5"/>
  <c r="AJ87" i="5"/>
  <c r="AJ88" i="5"/>
  <c r="AJ92" i="5"/>
  <c r="AJ95" i="5"/>
  <c r="AJ96" i="5"/>
  <c r="AJ97" i="5"/>
  <c r="AJ80" i="5"/>
  <c r="AJ81" i="5"/>
  <c r="AJ73" i="5"/>
  <c r="AJ74" i="5"/>
  <c r="AJ75" i="5"/>
  <c r="AJ76" i="5"/>
  <c r="AJ77" i="5"/>
  <c r="AJ65" i="5"/>
  <c r="AJ66" i="5"/>
  <c r="AJ67" i="5"/>
  <c r="AJ68" i="5"/>
  <c r="AJ69" i="5"/>
  <c r="AJ70" i="5"/>
  <c r="AJ99" i="5"/>
  <c r="AJ101" i="5"/>
  <c r="AJ118" i="5"/>
  <c r="AD114" i="5"/>
  <c r="AD111" i="5"/>
  <c r="AD107" i="5"/>
  <c r="AD37" i="5"/>
  <c r="AD56" i="5"/>
  <c r="AD97" i="5"/>
  <c r="AD92" i="5"/>
  <c r="AD81" i="5"/>
  <c r="AD77" i="5"/>
  <c r="AD70" i="5"/>
  <c r="AD99" i="5"/>
  <c r="AD101" i="5"/>
  <c r="AD118" i="5"/>
  <c r="J111" i="5"/>
  <c r="J107" i="5"/>
  <c r="J118" i="5"/>
  <c r="N118" i="5"/>
  <c r="L113" i="5"/>
  <c r="L114" i="5"/>
  <c r="L109" i="5"/>
  <c r="L110" i="5"/>
  <c r="L111" i="5"/>
  <c r="L105" i="5"/>
  <c r="L106" i="5"/>
  <c r="L107" i="5"/>
  <c r="L20" i="5"/>
  <c r="L21" i="5"/>
  <c r="L24" i="5"/>
  <c r="L25" i="5"/>
  <c r="L26" i="5"/>
  <c r="L27" i="5"/>
  <c r="L28" i="5"/>
  <c r="L29" i="5"/>
  <c r="L30" i="5"/>
  <c r="L31" i="5"/>
  <c r="L32" i="5"/>
  <c r="L33" i="5"/>
  <c r="L34" i="5"/>
  <c r="L35" i="5"/>
  <c r="L36" i="5"/>
  <c r="L37" i="5"/>
  <c r="L50" i="5"/>
  <c r="L51" i="5"/>
  <c r="L52" i="5"/>
  <c r="L53" i="5"/>
  <c r="L54" i="5"/>
  <c r="L55" i="5"/>
  <c r="L56" i="5"/>
  <c r="L84" i="5"/>
  <c r="L85" i="5"/>
  <c r="L86" i="5"/>
  <c r="L87" i="5"/>
  <c r="L88" i="5"/>
  <c r="L89" i="5"/>
  <c r="L90" i="5"/>
  <c r="L91" i="5"/>
  <c r="L92" i="5"/>
  <c r="L80" i="5"/>
  <c r="L81" i="5"/>
  <c r="L73" i="5"/>
  <c r="L74" i="5"/>
  <c r="L75" i="5"/>
  <c r="L76" i="5"/>
  <c r="L77" i="5"/>
  <c r="L65" i="5"/>
  <c r="L66" i="5"/>
  <c r="L67" i="5"/>
  <c r="L68" i="5"/>
  <c r="L69" i="5"/>
  <c r="L70" i="5"/>
  <c r="L99" i="5"/>
  <c r="L101" i="5"/>
  <c r="L118" i="5"/>
  <c r="F114" i="5"/>
  <c r="F111" i="5"/>
  <c r="F107" i="5"/>
  <c r="F21" i="5"/>
  <c r="F37" i="5"/>
  <c r="F56" i="5"/>
  <c r="F97" i="5"/>
  <c r="F92" i="5"/>
  <c r="F81" i="5"/>
  <c r="F77" i="5"/>
  <c r="F70" i="5"/>
  <c r="F99" i="5"/>
  <c r="F101" i="5"/>
  <c r="F118" i="5"/>
  <c r="BR116" i="5"/>
  <c r="BN116" i="5"/>
  <c r="BL116" i="5"/>
  <c r="BD116" i="5"/>
  <c r="BH116" i="5"/>
  <c r="BF116" i="5"/>
  <c r="BB116" i="5"/>
  <c r="AX116" i="5"/>
  <c r="AH116" i="5"/>
  <c r="AL116" i="5"/>
  <c r="AJ116" i="5"/>
  <c r="AD116" i="5"/>
  <c r="J116" i="5"/>
  <c r="N116" i="5"/>
  <c r="L116" i="5"/>
  <c r="BR114" i="5"/>
  <c r="BH114" i="5"/>
  <c r="AX114" i="5"/>
  <c r="AL114" i="5"/>
  <c r="N114" i="5"/>
  <c r="AX113" i="5"/>
  <c r="AF113" i="5"/>
  <c r="H113" i="5"/>
  <c r="BR111" i="5"/>
  <c r="BH111" i="5"/>
  <c r="AX111" i="5"/>
  <c r="AL111" i="5"/>
  <c r="N111" i="5"/>
  <c r="AX110" i="5"/>
  <c r="AF110" i="5"/>
  <c r="H110" i="5"/>
  <c r="AX109" i="5"/>
  <c r="AF109" i="5"/>
  <c r="H109" i="5"/>
  <c r="BR107" i="5"/>
  <c r="BH107" i="5"/>
  <c r="AX107" i="5"/>
  <c r="AL107" i="5"/>
  <c r="N107" i="5"/>
  <c r="AX106" i="5"/>
  <c r="AF106" i="5"/>
  <c r="H106" i="5"/>
  <c r="AX105" i="5"/>
  <c r="AF105" i="5"/>
  <c r="H105" i="5"/>
  <c r="BL103" i="5"/>
  <c r="BD103" i="5"/>
  <c r="BP103" i="5"/>
  <c r="AD20" i="5"/>
  <c r="BB20" i="5"/>
  <c r="BB21" i="5"/>
  <c r="BB103" i="5"/>
  <c r="BR103" i="5"/>
  <c r="BN103" i="5"/>
  <c r="BF103" i="5"/>
  <c r="AX103" i="5"/>
  <c r="AT20" i="5"/>
  <c r="AT21" i="5"/>
  <c r="AT24" i="5"/>
  <c r="AT25" i="5"/>
  <c r="AT26" i="5"/>
  <c r="AT27" i="5"/>
  <c r="AT28" i="5"/>
  <c r="AT29" i="5"/>
  <c r="AT30" i="5"/>
  <c r="AT31" i="5"/>
  <c r="AT32" i="5"/>
  <c r="AT33" i="5"/>
  <c r="AT34" i="5"/>
  <c r="AT35" i="5"/>
  <c r="AT36" i="5"/>
  <c r="AT37" i="5"/>
  <c r="AT40" i="5"/>
  <c r="AT41" i="5"/>
  <c r="AT42" i="5"/>
  <c r="AT43" i="5"/>
  <c r="AT44" i="5"/>
  <c r="AT45" i="5"/>
  <c r="AT46" i="5"/>
  <c r="AT47" i="5"/>
  <c r="AT48" i="5"/>
  <c r="AT49" i="5"/>
  <c r="AT50" i="5"/>
  <c r="AT51" i="5"/>
  <c r="AT52" i="5"/>
  <c r="AT53" i="5"/>
  <c r="AT54" i="5"/>
  <c r="AT55" i="5"/>
  <c r="AT56" i="5"/>
  <c r="AT95" i="5"/>
  <c r="AT96" i="5"/>
  <c r="AT97" i="5"/>
  <c r="AT84" i="5"/>
  <c r="AT85" i="5"/>
  <c r="AT86" i="5"/>
  <c r="AT87" i="5"/>
  <c r="AT88" i="5"/>
  <c r="AT89" i="5"/>
  <c r="AT90" i="5"/>
  <c r="AT91" i="5"/>
  <c r="AT92" i="5"/>
  <c r="AT80" i="5"/>
  <c r="AT81" i="5"/>
  <c r="AT73" i="5"/>
  <c r="AT74" i="5"/>
  <c r="AT75" i="5"/>
  <c r="AT76" i="5"/>
  <c r="AT77" i="5"/>
  <c r="AT65" i="5"/>
  <c r="AT66" i="5"/>
  <c r="AT67" i="5"/>
  <c r="AT68" i="5"/>
  <c r="AT69" i="5"/>
  <c r="AT70" i="5"/>
  <c r="AT99" i="5"/>
  <c r="AT101" i="5"/>
  <c r="AT103" i="5"/>
  <c r="AJ103" i="5"/>
  <c r="AD21" i="5"/>
  <c r="AD103" i="5"/>
  <c r="Z103" i="5"/>
  <c r="V20" i="5"/>
  <c r="V21" i="5"/>
  <c r="V24" i="5"/>
  <c r="V25" i="5"/>
  <c r="V26" i="5"/>
  <c r="V27" i="5"/>
  <c r="V28" i="5"/>
  <c r="V29" i="5"/>
  <c r="V30" i="5"/>
  <c r="V31" i="5"/>
  <c r="V32" i="5"/>
  <c r="V33" i="5"/>
  <c r="V34" i="5"/>
  <c r="V35" i="5"/>
  <c r="V36" i="5"/>
  <c r="V37" i="5"/>
  <c r="V50" i="5"/>
  <c r="V51" i="5"/>
  <c r="V52" i="5"/>
  <c r="V53" i="5"/>
  <c r="V54" i="5"/>
  <c r="V55" i="5"/>
  <c r="V56" i="5"/>
  <c r="V95" i="5"/>
  <c r="V96" i="5"/>
  <c r="V97" i="5"/>
  <c r="V92" i="5"/>
  <c r="V81" i="5"/>
  <c r="V77" i="5"/>
  <c r="V70" i="5"/>
  <c r="V99" i="5"/>
  <c r="V101" i="5"/>
  <c r="V103" i="5"/>
  <c r="P21" i="5"/>
  <c r="P37" i="5"/>
  <c r="P56" i="5"/>
  <c r="P97" i="5"/>
  <c r="P99" i="5"/>
  <c r="P101" i="5"/>
  <c r="P103" i="5"/>
  <c r="L103" i="5"/>
  <c r="F103" i="5"/>
  <c r="BR101" i="5"/>
  <c r="BH101" i="5"/>
  <c r="AV101" i="5"/>
  <c r="AX101" i="5"/>
  <c r="AL101" i="5"/>
  <c r="X101" i="5"/>
  <c r="Z101" i="5"/>
  <c r="N101" i="5"/>
  <c r="BR99" i="5"/>
  <c r="BH99" i="5"/>
  <c r="AV95" i="5"/>
  <c r="AV96" i="5"/>
  <c r="AV97" i="5"/>
  <c r="AV84" i="5"/>
  <c r="AV85" i="5"/>
  <c r="AV86" i="5"/>
  <c r="AV87" i="5"/>
  <c r="AV88" i="5"/>
  <c r="AV89" i="5"/>
  <c r="AV90" i="5"/>
  <c r="AV91" i="5"/>
  <c r="AV92" i="5"/>
  <c r="AV80" i="5"/>
  <c r="AV81" i="5"/>
  <c r="AV73" i="5"/>
  <c r="AV74" i="5"/>
  <c r="AV75" i="5"/>
  <c r="AV76" i="5"/>
  <c r="AV77" i="5"/>
  <c r="AV65" i="5"/>
  <c r="AV66" i="5"/>
  <c r="AV67" i="5"/>
  <c r="AV68" i="5"/>
  <c r="AV69" i="5"/>
  <c r="AV70" i="5"/>
  <c r="AV99" i="5"/>
  <c r="AX99" i="5"/>
  <c r="AL99" i="5"/>
  <c r="X95" i="5"/>
  <c r="X96" i="5"/>
  <c r="X97" i="5"/>
  <c r="X92" i="5"/>
  <c r="X81" i="5"/>
  <c r="X77" i="5"/>
  <c r="X70" i="5"/>
  <c r="X99" i="5"/>
  <c r="Z99" i="5"/>
  <c r="N99" i="5"/>
  <c r="BR95" i="5"/>
  <c r="BR96" i="5"/>
  <c r="BR97" i="5"/>
  <c r="BP97" i="5"/>
  <c r="AX97" i="5"/>
  <c r="Z97" i="5"/>
  <c r="L95" i="5"/>
  <c r="L96" i="5"/>
  <c r="L97" i="5"/>
  <c r="AX96" i="5"/>
  <c r="Z96" i="5"/>
  <c r="AX95" i="5"/>
  <c r="Z95" i="5"/>
  <c r="BR92" i="5"/>
  <c r="BP92" i="5"/>
  <c r="AX92" i="5"/>
  <c r="Z92" i="5"/>
  <c r="BL91" i="5"/>
  <c r="BN91" i="5"/>
  <c r="AX91" i="5"/>
  <c r="BL90" i="5"/>
  <c r="BN90" i="5"/>
  <c r="AX90" i="5"/>
  <c r="BL89" i="5"/>
  <c r="BN89" i="5"/>
  <c r="AX89" i="5"/>
  <c r="BL88" i="5"/>
  <c r="BN88" i="5"/>
  <c r="AX88" i="5"/>
  <c r="BL87" i="5"/>
  <c r="BN87" i="5"/>
  <c r="AX87" i="5"/>
  <c r="BL86" i="5"/>
  <c r="BN86" i="5"/>
  <c r="AX86" i="5"/>
  <c r="BL85" i="5"/>
  <c r="BN85" i="5"/>
  <c r="AX85" i="5"/>
  <c r="BL84" i="5"/>
  <c r="BN84" i="5"/>
  <c r="AX84" i="5"/>
  <c r="BR81" i="5"/>
  <c r="BP81" i="5"/>
  <c r="AX81" i="5"/>
  <c r="Z81" i="5"/>
  <c r="BL80" i="5"/>
  <c r="BN80" i="5"/>
  <c r="AX80" i="5"/>
  <c r="BR77" i="5"/>
  <c r="BP77" i="5"/>
  <c r="AX77" i="5"/>
  <c r="Z77" i="5"/>
  <c r="BL76" i="5"/>
  <c r="BN76" i="5"/>
  <c r="AX76" i="5"/>
  <c r="BL75" i="5"/>
  <c r="BN75" i="5"/>
  <c r="AX75" i="5"/>
  <c r="BL74" i="5"/>
  <c r="BN74" i="5"/>
  <c r="AX74" i="5"/>
  <c r="BL73" i="5"/>
  <c r="BN73" i="5"/>
  <c r="AX73" i="5"/>
  <c r="BR70" i="5"/>
  <c r="BP70" i="5"/>
  <c r="AX70" i="5"/>
  <c r="Z70" i="5"/>
  <c r="BL69" i="5"/>
  <c r="BN69" i="5"/>
  <c r="AX69" i="5"/>
  <c r="BL68" i="5"/>
  <c r="BN68" i="5"/>
  <c r="AX68" i="5"/>
  <c r="BL67" i="5"/>
  <c r="BN67" i="5"/>
  <c r="AX67" i="5"/>
  <c r="BL66" i="5"/>
  <c r="BN66" i="5"/>
  <c r="AX66" i="5"/>
  <c r="BL65" i="5"/>
  <c r="BN65" i="5"/>
  <c r="AX65" i="5"/>
  <c r="BL58" i="5"/>
  <c r="BL60" i="5"/>
  <c r="BD58" i="5"/>
  <c r="BD60" i="5"/>
  <c r="BR60" i="5"/>
  <c r="BP40" i="5"/>
  <c r="BP41" i="5"/>
  <c r="BP42" i="5"/>
  <c r="BP43" i="5"/>
  <c r="BP44" i="5"/>
  <c r="BP45" i="5"/>
  <c r="BP46" i="5"/>
  <c r="BP47" i="5"/>
  <c r="BP48" i="5"/>
  <c r="BP49" i="5"/>
  <c r="BP50" i="5"/>
  <c r="BP51" i="5"/>
  <c r="BP52" i="5"/>
  <c r="BP53" i="5"/>
  <c r="BP54" i="5"/>
  <c r="BP55" i="5"/>
  <c r="BP56" i="5"/>
  <c r="BP24" i="5"/>
  <c r="BP25" i="5"/>
  <c r="BP26" i="5"/>
  <c r="BP27" i="5"/>
  <c r="BP28" i="5"/>
  <c r="BP29" i="5"/>
  <c r="BP30" i="5"/>
  <c r="BP31" i="5"/>
  <c r="BP32" i="5"/>
  <c r="BP33" i="5"/>
  <c r="BP34" i="5"/>
  <c r="BP35" i="5"/>
  <c r="BP36" i="5"/>
  <c r="BP37" i="5"/>
  <c r="BP58" i="5"/>
  <c r="BP20" i="5"/>
  <c r="BP21" i="5"/>
  <c r="BP60" i="5"/>
  <c r="BN58" i="5"/>
  <c r="BN60" i="5"/>
  <c r="BF58" i="5"/>
  <c r="BF60" i="5"/>
  <c r="BB58" i="5"/>
  <c r="BB60" i="5"/>
  <c r="AR58" i="5"/>
  <c r="AR60" i="5"/>
  <c r="AH58" i="5"/>
  <c r="AH60" i="5"/>
  <c r="AX60" i="5"/>
  <c r="AV40" i="5"/>
  <c r="AV41" i="5"/>
  <c r="AV42" i="5"/>
  <c r="AV43" i="5"/>
  <c r="AV44" i="5"/>
  <c r="AV45" i="5"/>
  <c r="AV46" i="5"/>
  <c r="AV47" i="5"/>
  <c r="AV48" i="5"/>
  <c r="AV49" i="5"/>
  <c r="AV50" i="5"/>
  <c r="AV51" i="5"/>
  <c r="AV52" i="5"/>
  <c r="AV53" i="5"/>
  <c r="AV54" i="5"/>
  <c r="AV55" i="5"/>
  <c r="AV56" i="5"/>
  <c r="AV24" i="5"/>
  <c r="AV25" i="5"/>
  <c r="AV26" i="5"/>
  <c r="AV27" i="5"/>
  <c r="AV28" i="5"/>
  <c r="AV29" i="5"/>
  <c r="AV30" i="5"/>
  <c r="AV31" i="5"/>
  <c r="AV32" i="5"/>
  <c r="AV33" i="5"/>
  <c r="AV34" i="5"/>
  <c r="AV35" i="5"/>
  <c r="AV36" i="5"/>
  <c r="AV37" i="5"/>
  <c r="AV58" i="5"/>
  <c r="AV20" i="5"/>
  <c r="AV21" i="5"/>
  <c r="AV60" i="5"/>
  <c r="AT58" i="5"/>
  <c r="AT60" i="5"/>
  <c r="AJ58" i="5"/>
  <c r="AJ60" i="5"/>
  <c r="AD58" i="5"/>
  <c r="AD60" i="5"/>
  <c r="X50" i="5"/>
  <c r="X51" i="5"/>
  <c r="X52" i="5"/>
  <c r="X53" i="5"/>
  <c r="X54" i="5"/>
  <c r="X55" i="5"/>
  <c r="X56" i="5"/>
  <c r="X24" i="5"/>
  <c r="X25" i="5"/>
  <c r="X26" i="5"/>
  <c r="X27" i="5"/>
  <c r="X28" i="5"/>
  <c r="X29" i="5"/>
  <c r="X30" i="5"/>
  <c r="X31" i="5"/>
  <c r="X32" i="5"/>
  <c r="X33" i="5"/>
  <c r="X34" i="5"/>
  <c r="X35" i="5"/>
  <c r="X36" i="5"/>
  <c r="X37" i="5"/>
  <c r="X58" i="5"/>
  <c r="X20" i="5"/>
  <c r="X21" i="5"/>
  <c r="X60" i="5"/>
  <c r="J58" i="5"/>
  <c r="J60" i="5"/>
  <c r="Z60" i="5"/>
  <c r="V58" i="5"/>
  <c r="V60" i="5"/>
  <c r="T58" i="5"/>
  <c r="T60" i="5"/>
  <c r="P58" i="5"/>
  <c r="P60" i="5"/>
  <c r="L58" i="5"/>
  <c r="L60" i="5"/>
  <c r="F58" i="5"/>
  <c r="F60" i="5"/>
  <c r="BR58" i="5"/>
  <c r="AX58" i="5"/>
  <c r="Z58" i="5"/>
  <c r="BR56" i="5"/>
  <c r="BH56" i="5"/>
  <c r="AX56" i="5"/>
  <c r="AL56" i="5"/>
  <c r="Z56" i="5"/>
  <c r="N56" i="5"/>
  <c r="BR55" i="5"/>
  <c r="AX55" i="5"/>
  <c r="Z55" i="5"/>
  <c r="BR54" i="5"/>
  <c r="AX54" i="5"/>
  <c r="Z54" i="5"/>
  <c r="BR53" i="5"/>
  <c r="AX53" i="5"/>
  <c r="Z53" i="5"/>
  <c r="BR52" i="5"/>
  <c r="AX52" i="5"/>
  <c r="Z52" i="5"/>
  <c r="BR51" i="5"/>
  <c r="AX51" i="5"/>
  <c r="Z51" i="5"/>
  <c r="BR50" i="5"/>
  <c r="AX50" i="5"/>
  <c r="Z50" i="5"/>
  <c r="BR49" i="5"/>
  <c r="AX49" i="5"/>
  <c r="BR48" i="5"/>
  <c r="AX48" i="5"/>
  <c r="BR47" i="5"/>
  <c r="AX47" i="5"/>
  <c r="BR46" i="5"/>
  <c r="AX46" i="5"/>
  <c r="BR45" i="5"/>
  <c r="AX45" i="5"/>
  <c r="BR44" i="5"/>
  <c r="AX44" i="5"/>
  <c r="BR43" i="5"/>
  <c r="AX43" i="5"/>
  <c r="BR42" i="5"/>
  <c r="AX42" i="5"/>
  <c r="BR41" i="5"/>
  <c r="AX41" i="5"/>
  <c r="BR40" i="5"/>
  <c r="AX40" i="5"/>
  <c r="BR37" i="5"/>
  <c r="BH37" i="5"/>
  <c r="AX37" i="5"/>
  <c r="AL37" i="5"/>
  <c r="Z37" i="5"/>
  <c r="N37" i="5"/>
  <c r="BR36" i="5"/>
  <c r="AX36" i="5"/>
  <c r="Z36" i="5"/>
  <c r="BR35" i="5"/>
  <c r="AX35" i="5"/>
  <c r="Z35" i="5"/>
  <c r="BR34" i="5"/>
  <c r="AX34" i="5"/>
  <c r="Z34" i="5"/>
  <c r="BR33" i="5"/>
  <c r="AX33" i="5"/>
  <c r="Z33" i="5"/>
  <c r="BR32" i="5"/>
  <c r="AX32" i="5"/>
  <c r="Z32" i="5"/>
  <c r="BR31" i="5"/>
  <c r="AX31" i="5"/>
  <c r="Z31" i="5"/>
  <c r="BR30" i="5"/>
  <c r="AX30" i="5"/>
  <c r="Z30" i="5"/>
  <c r="BR29" i="5"/>
  <c r="AX29" i="5"/>
  <c r="Z29" i="5"/>
  <c r="BR28" i="5"/>
  <c r="AX28" i="5"/>
  <c r="Z28" i="5"/>
  <c r="BR27" i="5"/>
  <c r="AX27" i="5"/>
  <c r="Z27" i="5"/>
  <c r="BR26" i="5"/>
  <c r="AX26" i="5"/>
  <c r="Z26" i="5"/>
  <c r="BR25" i="5"/>
  <c r="AX25" i="5"/>
  <c r="Z25" i="5"/>
  <c r="BR24" i="5"/>
  <c r="AX24" i="5"/>
  <c r="AP24" i="5"/>
  <c r="Z24" i="5"/>
  <c r="BR21" i="5"/>
  <c r="BH21" i="5"/>
  <c r="AX21" i="5"/>
  <c r="AL21" i="5"/>
  <c r="Z20" i="5"/>
  <c r="Z21" i="5"/>
  <c r="N21" i="5"/>
  <c r="BR20" i="5"/>
  <c r="AX20" i="5"/>
  <c r="AF20" i="5"/>
  <c r="H20" i="5"/>
  <c r="BL12" i="5"/>
  <c r="AR12" i="5"/>
  <c r="T12" i="5"/>
  <c r="AR11" i="5"/>
  <c r="T11" i="5"/>
  <c r="BL11" i="5"/>
  <c r="AR4" i="5"/>
  <c r="AR5" i="5"/>
  <c r="AR7" i="5"/>
  <c r="T5" i="5"/>
  <c r="T7" i="5"/>
  <c r="BL7" i="5"/>
  <c r="BL5" i="5"/>
  <c r="BL6" i="5"/>
  <c r="BL4" i="5"/>
  <c r="E8" i="6"/>
  <c r="L11" i="2"/>
  <c r="L12" i="2"/>
  <c r="L13" i="2"/>
  <c r="C6" i="6"/>
  <c r="C8" i="6"/>
  <c r="E9" i="6"/>
  <c r="C9" i="6"/>
  <c r="C10" i="6"/>
  <c r="C12" i="6"/>
  <c r="C17" i="7"/>
  <c r="B17" i="7"/>
  <c r="B14" i="7"/>
  <c r="L10" i="2"/>
  <c r="L9" i="2"/>
  <c r="L8" i="2"/>
  <c r="L7" i="2"/>
  <c r="L6" i="2"/>
  <c r="L5" i="2"/>
  <c r="L4" i="2"/>
</calcChain>
</file>

<file path=xl/comments1.xml><?xml version="1.0" encoding="utf-8"?>
<comments xmlns="http://schemas.openxmlformats.org/spreadsheetml/2006/main">
  <authors>
    <author>Author</author>
  </authors>
  <commentList>
    <comment ref="D4" authorId="0">
      <text>
        <r>
          <rPr>
            <b/>
            <sz val="9"/>
            <color indexed="81"/>
            <rFont val="Calibri"/>
            <family val="2"/>
            <charset val="134"/>
          </rPr>
          <t>Author:</t>
        </r>
        <r>
          <rPr>
            <sz val="9"/>
            <color indexed="81"/>
            <rFont val="Calibri"/>
            <family val="2"/>
            <charset val="134"/>
          </rPr>
          <t xml:space="preserve">
154,230 nets at a cost of $471,944 (http://www.againstmalaria.com/Distributions/Malawi/BalakaDistrict2013, tab Donations, accessed November 19, 2014)</t>
        </r>
      </text>
    </comment>
    <comment ref="E4" authorId="0">
      <text>
        <r>
          <rPr>
            <b/>
            <sz val="9"/>
            <color indexed="81"/>
            <rFont val="Calibri"/>
            <family val="2"/>
            <charset val="134"/>
          </rPr>
          <t>Author:</t>
        </r>
        <r>
          <rPr>
            <sz val="9"/>
            <color indexed="81"/>
            <rFont val="Calibri"/>
            <family val="2"/>
            <charset val="134"/>
          </rPr>
          <t xml:space="preserve">
245,000 nets at $738,800 total cost (http://www.againstmalaria.com/Distributions/Malawi/DedzaDistrict2014, tab Donations, accessed November 19, 2014)</t>
        </r>
      </text>
    </comment>
    <comment ref="F4" authorId="0">
      <text>
        <r>
          <rPr>
            <b/>
            <sz val="9"/>
            <color indexed="81"/>
            <rFont val="Calibri"/>
            <family val="2"/>
            <charset val="134"/>
          </rPr>
          <t>Author:</t>
        </r>
        <r>
          <rPr>
            <sz val="9"/>
            <color indexed="81"/>
            <rFont val="Calibri"/>
            <family val="2"/>
            <charset val="134"/>
          </rPr>
          <t xml:space="preserve">
396,900 nets at $1,107,450 total cost (http://www.againstmalaria.com/Distributions/Malawi/DowaDistrict2015, tab Donations, accessed November 19, 2014)</t>
        </r>
      </text>
    </comment>
    <comment ref="G4" authorId="0">
      <text>
        <r>
          <rPr>
            <b/>
            <sz val="9"/>
            <color indexed="81"/>
            <rFont val="Calibri"/>
            <family val="2"/>
            <charset val="134"/>
          </rPr>
          <t>Author:</t>
        </r>
        <r>
          <rPr>
            <sz val="9"/>
            <color indexed="81"/>
            <rFont val="Calibri"/>
            <family val="2"/>
            <charset val="134"/>
          </rPr>
          <t xml:space="preserve">
676,000 nets at $1,943,850 total cost (http://www.againstmalaria.com/Distributions/DRC/KasaiOcc2014, tab Donations, accessed November 19, 2014)</t>
        </r>
      </text>
    </comment>
    <comment ref="G6" authorId="0">
      <text>
        <r>
          <rPr>
            <b/>
            <sz val="9"/>
            <color indexed="81"/>
            <rFont val="Calibri"/>
            <family val="2"/>
            <charset val="134"/>
          </rPr>
          <t>Author:</t>
        </r>
        <r>
          <rPr>
            <sz val="9"/>
            <color indexed="81"/>
            <rFont val="Calibri"/>
            <family val="2"/>
            <charset val="134"/>
          </rPr>
          <t xml:space="preserve">
We do not have a figure for shipping for this distribution. AMF estimates that it will cost $300,000 to ship 730,000 LLINs to DRC for the Nord Ubangi 2015 distribution (http://www.againstmalaria.com/NonNetCosts.aspx, accessed November 19, 2014)</t>
        </r>
      </text>
    </comment>
    <comment ref="G26" authorId="0">
      <text>
        <r>
          <rPr>
            <b/>
            <sz val="9"/>
            <color indexed="81"/>
            <rFont val="Calibri"/>
            <family val="2"/>
            <charset val="134"/>
          </rPr>
          <t>Author:</t>
        </r>
        <r>
          <rPr>
            <sz val="9"/>
            <color indexed="81"/>
            <rFont val="Calibri"/>
            <family val="2"/>
            <charset val="134"/>
          </rPr>
          <t xml:space="preserve">
Assumed that cost of follow-up surveys is same proportion of total non-net costs as in Balaka, the distribution we have the best information for</t>
        </r>
      </text>
    </comment>
  </commentList>
</comments>
</file>

<file path=xl/comments2.xml><?xml version="1.0" encoding="utf-8"?>
<comments xmlns="http://schemas.openxmlformats.org/spreadsheetml/2006/main">
  <authors>
    <author>Author</author>
  </authors>
  <commentList>
    <comment ref="E13" authorId="0">
      <text>
        <r>
          <rPr>
            <b/>
            <sz val="9"/>
            <color indexed="81"/>
            <rFont val="Calibri"/>
            <family val="2"/>
            <charset val="134"/>
          </rPr>
          <t xml:space="preserve">Author:
</t>
        </r>
      </text>
    </comment>
  </commentList>
</comments>
</file>

<file path=xl/sharedStrings.xml><?xml version="1.0" encoding="utf-8"?>
<sst xmlns="http://schemas.openxmlformats.org/spreadsheetml/2006/main" count="1337" uniqueCount="727">
  <si>
    <t># LLINs</t>
  </si>
  <si>
    <t> Location</t>
  </si>
  <si>
    <t>Country</t>
  </si>
  <si>
    <t>When</t>
  </si>
  <si>
    <t>By whom</t>
  </si>
  <si>
    <t>Status</t>
  </si>
  <si>
    <t>  Dedza District</t>
  </si>
  <si>
    <t>Malawi</t>
  </si>
  <si>
    <t>Sep-Oct 14</t>
  </si>
  <si>
    <t>Concern Universal</t>
  </si>
  <si>
    <t>  Kasaï Occidental</t>
  </si>
  <si>
    <t>Congo (Dem. Rep.)</t>
  </si>
  <si>
    <t>IMA World Health/DFID</t>
  </si>
  <si>
    <t>Senegal</t>
  </si>
  <si>
    <t>  Balaka District</t>
  </si>
  <si>
    <t>  Kampala</t>
  </si>
  <si>
    <t>Uganda</t>
  </si>
  <si>
    <t>ACDT</t>
  </si>
  <si>
    <t>  Ntcheu District</t>
  </si>
  <si>
    <t>Dec 11-Feb 12</t>
  </si>
  <si>
    <t>  Nambuma</t>
  </si>
  <si>
    <t>Nov-Dec 11</t>
  </si>
  <si>
    <t>NICCO</t>
  </si>
  <si>
    <t>  Bugarika, Mwanza</t>
  </si>
  <si>
    <t>Tanzania</t>
  </si>
  <si>
    <t>Kids Aid Tanzania/Lions Club lle...</t>
  </si>
  <si>
    <t>  Busukuma</t>
  </si>
  <si>
    <t>Project Restore</t>
  </si>
  <si>
    <t>  Orissa</t>
  </si>
  <si>
    <t>India</t>
  </si>
  <si>
    <t>Aug-Oct 11</t>
  </si>
  <si>
    <t>SOVA</t>
  </si>
  <si>
    <t>  Boarding Schools, Phase 4</t>
  </si>
  <si>
    <t>Jun-Oct 11</t>
  </si>
  <si>
    <t>Rotary International</t>
  </si>
  <si>
    <t>  Yirimadjo</t>
  </si>
  <si>
    <t>Mali</t>
  </si>
  <si>
    <t>Jul-Sep 11</t>
  </si>
  <si>
    <t>Project Muso</t>
  </si>
  <si>
    <t>  Dedza and Ntcheu Districts</t>
  </si>
  <si>
    <t>Jul-Aug 11</t>
  </si>
  <si>
    <t>  Pesside Nouveau and Kante, Keran</t>
  </si>
  <si>
    <t>Togo</t>
  </si>
  <si>
    <t>Jun-Jul 11</t>
  </si>
  <si>
    <t>PeacePal</t>
  </si>
  <si>
    <t>  Chepsire, Kapsabet, Nandi East d...</t>
  </si>
  <si>
    <t>Kenya</t>
  </si>
  <si>
    <t>All For Children Inc</t>
  </si>
  <si>
    <t>  Hospitals Nationwide</t>
  </si>
  <si>
    <t>Aug 10-Jun 11</t>
  </si>
  <si>
    <t>Red Cross</t>
  </si>
  <si>
    <t>  Choggu-Sub</t>
  </si>
  <si>
    <t>Ghana</t>
  </si>
  <si>
    <t>May-Jun 11</t>
  </si>
  <si>
    <t>  Mbarara</t>
  </si>
  <si>
    <t>Jan-Apr 11</t>
  </si>
  <si>
    <t>Holy Innocents</t>
  </si>
  <si>
    <t>  Humjibre</t>
  </si>
  <si>
    <t>Feb-Mar 11</t>
  </si>
  <si>
    <t>GHEI</t>
  </si>
  <si>
    <t>  Children's Homes/Schools, Wakiso...</t>
  </si>
  <si>
    <t>  Port-au-Prince</t>
  </si>
  <si>
    <t>Haiti</t>
  </si>
  <si>
    <t>Oct 10-Jan 11</t>
  </si>
  <si>
    <t>Partners In Health</t>
  </si>
  <si>
    <t>  Soroti</t>
  </si>
  <si>
    <t>Nov 10-Jan 11</t>
  </si>
  <si>
    <t>International Midwife Assistance</t>
  </si>
  <si>
    <t>  Fairway Childcare Centre</t>
  </si>
  <si>
    <t>Dec 10-Jan 11</t>
  </si>
  <si>
    <t>  Katabi Busambaga - Entebbe</t>
  </si>
  <si>
    <t>  The Wallalan Hamlets</t>
  </si>
  <si>
    <t>Gambia</t>
  </si>
  <si>
    <t>NMCP The Gambia</t>
  </si>
  <si>
    <t>  Mulanje District</t>
  </si>
  <si>
    <t>Nov-Dec 10</t>
  </si>
  <si>
    <t>Save the Children</t>
  </si>
  <si>
    <t>  Kalinde and Nambazo, Phalombe</t>
  </si>
  <si>
    <t>  Singo Village, Nkhatabay District</t>
  </si>
  <si>
    <t>Aug-Nov 10</t>
  </si>
  <si>
    <t>St Nicholas Parish Church</t>
  </si>
  <si>
    <t>  Malosa</t>
  </si>
  <si>
    <t>Oct-Nov 10</t>
  </si>
  <si>
    <t>MACOBO</t>
  </si>
  <si>
    <t>  Chikumbi District</t>
  </si>
  <si>
    <t>Zambia</t>
  </si>
  <si>
    <t>Sep-Nov 10</t>
  </si>
  <si>
    <t>Baraka Community Partnership</t>
  </si>
  <si>
    <t>  Ntungamo</t>
  </si>
  <si>
    <t>Uganda Lodge</t>
  </si>
  <si>
    <t>  Namulonge</t>
  </si>
  <si>
    <t>  Boarding Schools, Countrywide</t>
  </si>
  <si>
    <t>May 08-Oct 10</t>
  </si>
  <si>
    <t>  Central River Division</t>
  </si>
  <si>
    <t>Jun-Oct 10</t>
  </si>
  <si>
    <t>SmileGambia</t>
  </si>
  <si>
    <t>  Guinaw Rail</t>
  </si>
  <si>
    <t>  Phalombe</t>
  </si>
  <si>
    <t>Jul-Oct 10</t>
  </si>
  <si>
    <t>  Kapiri Mposhi</t>
  </si>
  <si>
    <t>Aug-Sep 10</t>
  </si>
  <si>
    <t>Power of Love Foundation</t>
  </si>
  <si>
    <t>  Wuli District</t>
  </si>
  <si>
    <t>Feb-Aug 10</t>
  </si>
  <si>
    <t>PCV</t>
  </si>
  <si>
    <t>  Malen Chiefdom, Pujehun District</t>
  </si>
  <si>
    <t>Sierra Leone</t>
  </si>
  <si>
    <t>Global Minimum (Gmin)</t>
  </si>
  <si>
    <t>  Chikumbi</t>
  </si>
  <si>
    <t>  20 related sub-distributions</t>
  </si>
  <si>
    <t>Jan-Mar 10</t>
  </si>
  <si>
    <t>  Bujako Island</t>
  </si>
  <si>
    <t>  Country-wide</t>
  </si>
  <si>
    <t>Feb-Mar 10</t>
  </si>
  <si>
    <t>World Vision</t>
  </si>
  <si>
    <t>  Sukadana</t>
  </si>
  <si>
    <t>Indonesia</t>
  </si>
  <si>
    <t>Aug 09-Jan 10</t>
  </si>
  <si>
    <t>Health in Harmony</t>
  </si>
  <si>
    <t>  Abau District</t>
  </si>
  <si>
    <t>Papua New Guinea</t>
  </si>
  <si>
    <t>Jun-Dec 09</t>
  </si>
  <si>
    <t>  Barrow Kunda, Wuli District</t>
  </si>
  <si>
    <t>Suto Yediya</t>
  </si>
  <si>
    <t>  9 regions</t>
  </si>
  <si>
    <t>Sep-Dec 09</t>
  </si>
  <si>
    <t>  Kasalu Village, Chikumbi</t>
  </si>
  <si>
    <t>  Kumali District</t>
  </si>
  <si>
    <t>  Rutana Province</t>
  </si>
  <si>
    <t>Burundi</t>
  </si>
  <si>
    <t>  Waterloo Rural District, Freetow...</t>
  </si>
  <si>
    <t>  Karagwe District</t>
  </si>
  <si>
    <t>Oct-Nov 09</t>
  </si>
  <si>
    <t>WILMA</t>
  </si>
  <si>
    <t>  Kenedougou</t>
  </si>
  <si>
    <t>Burkina Faso</t>
  </si>
  <si>
    <t>SOS Enfants BF</t>
  </si>
  <si>
    <t>  Meguet</t>
  </si>
  <si>
    <t>Sep-Oct 09</t>
  </si>
  <si>
    <t>  Kedougou</t>
  </si>
  <si>
    <t>May-Sep 09</t>
  </si>
  <si>
    <t>NetLife / Peace Corps Volunteers</t>
  </si>
  <si>
    <t>  Fatick and Thies region</t>
  </si>
  <si>
    <t>Jun-Aug 09</t>
  </si>
  <si>
    <t>  Diedougou</t>
  </si>
  <si>
    <t>Jul-Aug 09</t>
  </si>
  <si>
    <t>  5 sub-regions</t>
  </si>
  <si>
    <t>  West Nile Region</t>
  </si>
  <si>
    <t>Malaria Consortium</t>
  </si>
  <si>
    <t>  Malen, Pujehun</t>
  </si>
  <si>
    <t>Jun-Jul 09</t>
  </si>
  <si>
    <t>  Tiko Health District, South West...</t>
  </si>
  <si>
    <t>Cameroon</t>
  </si>
  <si>
    <t>Apr-Jun 09</t>
  </si>
  <si>
    <t>Drive Against Malaria</t>
  </si>
  <si>
    <t>  Maracon</t>
  </si>
  <si>
    <t>Peru</t>
  </si>
  <si>
    <t>Feb-Mar 09</t>
  </si>
  <si>
    <t>Amazon Promise</t>
  </si>
  <si>
    <t>  Mutundwe, Kampala</t>
  </si>
  <si>
    <t>African Rural Schools Foundation</t>
  </si>
  <si>
    <t>  Ho</t>
  </si>
  <si>
    <t>Lutheran Church of Hope</t>
  </si>
  <si>
    <t>  Libreville</t>
  </si>
  <si>
    <t>Gabon</t>
  </si>
  <si>
    <t>  Danyi N'Digbe</t>
  </si>
  <si>
    <t>Jan-Dec 08</t>
  </si>
  <si>
    <t>  West Nile</t>
  </si>
  <si>
    <t>Sep-Nov 08</t>
  </si>
  <si>
    <t>  Upper East Region</t>
  </si>
  <si>
    <t>Aug-Sep 08</t>
  </si>
  <si>
    <t>ERD/NetsForLife</t>
  </si>
  <si>
    <t>  Bousse</t>
  </si>
  <si>
    <t>Jul-Aug 08</t>
  </si>
  <si>
    <t>LSHTM</t>
  </si>
  <si>
    <t>  Bancomana</t>
  </si>
  <si>
    <t>  Hohoe</t>
  </si>
  <si>
    <t>Pro-Link Ghana</t>
  </si>
  <si>
    <t>  Neno District</t>
  </si>
  <si>
    <t>  Nkokonjeru, Kampala</t>
  </si>
  <si>
    <t>  Kanyakumari, Tamil Nadu</t>
  </si>
  <si>
    <t>Jun-Jul 08</t>
  </si>
  <si>
    <t>NetLife Africa</t>
  </si>
  <si>
    <t>  Pokuase</t>
  </si>
  <si>
    <t>May-Jun 08</t>
  </si>
  <si>
    <t>WomensTrust</t>
  </si>
  <si>
    <t>  Navro-Pungu and surrounds</t>
  </si>
  <si>
    <t>Navrongo HRC</t>
  </si>
  <si>
    <t>  Kakoro</t>
  </si>
  <si>
    <t>Natiki Health FO</t>
  </si>
  <si>
    <t>  Kalene</t>
  </si>
  <si>
    <t>Kalene Mission Hospital</t>
  </si>
  <si>
    <t>  Maryland, Sinoe</t>
  </si>
  <si>
    <t>Liberia</t>
  </si>
  <si>
    <t>Dec 07-Apr 08</t>
  </si>
  <si>
    <t>Merlin</t>
  </si>
  <si>
    <t>  Benin City</t>
  </si>
  <si>
    <t>Nigeria</t>
  </si>
  <si>
    <t>Feb-Mar 08</t>
  </si>
  <si>
    <t>Vass Medical Foundation</t>
  </si>
  <si>
    <t>  Karamoja</t>
  </si>
  <si>
    <t>FOAG</t>
  </si>
  <si>
    <t>  Various</t>
  </si>
  <si>
    <t>May 07-Jan 08</t>
  </si>
  <si>
    <t>World Vision / RAPIDS</t>
  </si>
  <si>
    <t>  Margibi and others</t>
  </si>
  <si>
    <t>Nov 07-Jan 08</t>
  </si>
  <si>
    <t>Dec 07-Jan 08</t>
  </si>
  <si>
    <t>  Acholi Quarter</t>
  </si>
  <si>
    <t>Project Have Hope</t>
  </si>
  <si>
    <t>  CRD, Sami</t>
  </si>
  <si>
    <t>Nov-Dec 07</t>
  </si>
  <si>
    <t>  Sumbe</t>
  </si>
  <si>
    <t>Oct-Dec 07</t>
  </si>
  <si>
    <t>Individs</t>
  </si>
  <si>
    <t>  Kan</t>
  </si>
  <si>
    <t>Wellspring of Hope</t>
  </si>
  <si>
    <t>  North Bank Region</t>
  </si>
  <si>
    <t>  Kampala West/Pader</t>
  </si>
  <si>
    <t>  Bushenyi</t>
  </si>
  <si>
    <t>  Lower River Region</t>
  </si>
  <si>
    <t>GUSUK/TAYAM</t>
  </si>
  <si>
    <t>  Pallisa</t>
  </si>
  <si>
    <t>  Bafut</t>
  </si>
  <si>
    <t>PSI</t>
  </si>
  <si>
    <t>  Bukavu</t>
  </si>
  <si>
    <t>Apr-Oct 07</t>
  </si>
  <si>
    <t>Malteser Intl</t>
  </si>
  <si>
    <t>  RAAN</t>
  </si>
  <si>
    <t>Nicaragua</t>
  </si>
  <si>
    <t>Sep-Oct 07</t>
  </si>
  <si>
    <t>PCI</t>
  </si>
  <si>
    <t>  Jabulani</t>
  </si>
  <si>
    <t>Zimbabwe</t>
  </si>
  <si>
    <t>Ndebele Arts Project</t>
  </si>
  <si>
    <t>  Soba Al Radi camp</t>
  </si>
  <si>
    <t>Sudan</t>
  </si>
  <si>
    <t>Aug-Sep 07</t>
  </si>
  <si>
    <t>  Adeknino, Dokolo</t>
  </si>
  <si>
    <t>  Bunda district</t>
  </si>
  <si>
    <t>Jul-Aug 07</t>
  </si>
  <si>
    <t>ZDIF</t>
  </si>
  <si>
    <t>  Cibitoke</t>
  </si>
  <si>
    <t>Jun-Jul 07</t>
  </si>
  <si>
    <t>  Bandafassi</t>
  </si>
  <si>
    <t>  Mentawai Islands</t>
  </si>
  <si>
    <t>Apr-Jul 07</t>
  </si>
  <si>
    <t>SurfAid</t>
  </si>
  <si>
    <t>  Kumasi Tamale</t>
  </si>
  <si>
    <t>His Nets</t>
  </si>
  <si>
    <t>  Siem Reap Province</t>
  </si>
  <si>
    <t>Cambodia</t>
  </si>
  <si>
    <t>Jan-Jun 07</t>
  </si>
  <si>
    <t>  Laikipia</t>
  </si>
  <si>
    <t>  Upper West Region</t>
  </si>
  <si>
    <t>May-Jun 07</t>
  </si>
  <si>
    <t>UNICEF</t>
  </si>
  <si>
    <t>  Mayo Farms IDP Camp</t>
  </si>
  <si>
    <t>  Ankesha</t>
  </si>
  <si>
    <t>Ethiopia</t>
  </si>
  <si>
    <t>  Mbita</t>
  </si>
  <si>
    <t>Feb-May 07</t>
  </si>
  <si>
    <t>PMN</t>
  </si>
  <si>
    <t>  Sanaga Valley</t>
  </si>
  <si>
    <t>Apr-May 07</t>
  </si>
  <si>
    <t>YIF</t>
  </si>
  <si>
    <t>  Kanchnapur District</t>
  </si>
  <si>
    <t>Nepal</t>
  </si>
  <si>
    <t>Mar-Apr 07</t>
  </si>
  <si>
    <t>  Bardiya District</t>
  </si>
  <si>
    <t>  Gatumba</t>
  </si>
  <si>
    <t>  Angola</t>
  </si>
  <si>
    <t>Angola</t>
  </si>
  <si>
    <t>Jan-Feb 07</t>
  </si>
  <si>
    <t>  Mentawai</t>
  </si>
  <si>
    <t>  Majunga</t>
  </si>
  <si>
    <t>Madagascar</t>
  </si>
  <si>
    <t>Dec 06-Jan 07</t>
  </si>
  <si>
    <t>  Kibaale</t>
  </si>
  <si>
    <t>Oct-Dec 06</t>
  </si>
  <si>
    <t>  Gai/Itivanzou</t>
  </si>
  <si>
    <t>Nov-Dec 06</t>
  </si>
  <si>
    <t>AMREF/Akamba</t>
  </si>
  <si>
    <t>  6 villages, comp</t>
  </si>
  <si>
    <t>  Malindi</t>
  </si>
  <si>
    <t>Sep-Oct 06</t>
  </si>
  <si>
    <t>BioVision</t>
  </si>
  <si>
    <t>  Lokichogio</t>
  </si>
  <si>
    <t>AMREF</t>
  </si>
  <si>
    <t>  Luapula</t>
  </si>
  <si>
    <t>  Busia</t>
  </si>
  <si>
    <t>  Batouri</t>
  </si>
  <si>
    <t>  Caprivi</t>
  </si>
  <si>
    <t>Namibia</t>
  </si>
  <si>
    <t>  Kavango</t>
  </si>
  <si>
    <t>  Ohangwena</t>
  </si>
  <si>
    <t>  W, SE, C Plat,Nippes</t>
  </si>
  <si>
    <t>  Cau/Lem/Can</t>
  </si>
  <si>
    <t>Sao Tome and Pr...</t>
  </si>
  <si>
    <t>  Khartoum IDP camps</t>
  </si>
  <si>
    <t>  Kasane/Kazungula</t>
  </si>
  <si>
    <t>Botswana</t>
  </si>
  <si>
    <t>May-Jun 06</t>
  </si>
  <si>
    <t>  Amh/Tig/Afar/Som</t>
  </si>
  <si>
    <t>  Mombasa/Siaya</t>
  </si>
  <si>
    <t>  Blan/Mch/Nkh/Nkh</t>
  </si>
  <si>
    <t>  Capr/Kava/Ohang</t>
  </si>
  <si>
    <t>  Kigali</t>
  </si>
  <si>
    <t>Rwanda</t>
  </si>
  <si>
    <t>  Livingstone</t>
  </si>
  <si>
    <t>  Victoria Falls/Mount Darwin</t>
  </si>
  <si>
    <t>Fiscal year</t>
  </si>
  <si>
    <t>Number of LLINs</t>
  </si>
  <si>
    <t>Period Average</t>
  </si>
  <si>
    <t>Period High</t>
  </si>
  <si>
    <t>Period Low</t>
  </si>
  <si>
    <t>USD / GBP</t>
  </si>
  <si>
    <t>Jul 1, 2011 - Jun 30, 2012</t>
  </si>
  <si>
    <t>From http://www.oanda.com/currency/historical-rates/</t>
  </si>
  <si>
    <t>TOTAL</t>
  </si>
  <si>
    <t>per net</t>
  </si>
  <si>
    <t>Cost per net</t>
  </si>
  <si>
    <t>Cost of net</t>
  </si>
  <si>
    <t>Warehousing</t>
  </si>
  <si>
    <t>Distribution</t>
  </si>
  <si>
    <t>Shipping</t>
  </si>
  <si>
    <t>Microplanning</t>
  </si>
  <si>
    <t>Social mobilisation</t>
  </si>
  <si>
    <t>M&amp;E, includes supervision</t>
  </si>
  <si>
    <t>Warehouse hire</t>
  </si>
  <si>
    <t>ADC briefing meetings</t>
  </si>
  <si>
    <t>HSA and VHC briefing meetings</t>
  </si>
  <si>
    <t>Printing registers</t>
  </si>
  <si>
    <t>Binding registers</t>
  </si>
  <si>
    <t>Other stationery</t>
  </si>
  <si>
    <t>Transport support costs</t>
  </si>
  <si>
    <t>Transport for net distribution</t>
  </si>
  <si>
    <t>Fuel for SHSA for distribution</t>
  </si>
  <si>
    <t>Sub total</t>
  </si>
  <si>
    <t>Stationery</t>
  </si>
  <si>
    <t>Briefing meeting with District Executive Committee members</t>
  </si>
  <si>
    <t>Household registration</t>
  </si>
  <si>
    <t>Temporary staff costs (pre-distribution)</t>
  </si>
  <si>
    <t>Balaka District</t>
  </si>
  <si>
    <t>Dedza District</t>
  </si>
  <si>
    <t>Combined</t>
  </si>
  <si>
    <t>NET DISTRIBUTION NON-NET COSTS</t>
  </si>
  <si>
    <t># LLINs:</t>
  </si>
  <si>
    <t>AGREED BUDGET</t>
  </si>
  <si>
    <t>(1)</t>
  </si>
  <si>
    <t>(2)</t>
  </si>
  <si>
    <t>(3)</t>
  </si>
  <si>
    <t>(4)</t>
  </si>
  <si>
    <t>(5)</t>
  </si>
  <si>
    <t>(6)</t>
  </si>
  <si>
    <t>(7)</t>
  </si>
  <si>
    <t>(8)</t>
  </si>
  <si>
    <t>(9)</t>
  </si>
  <si>
    <t>Actual</t>
  </si>
  <si>
    <t>Budget</t>
  </si>
  <si>
    <t>vs Budget</t>
  </si>
  <si>
    <t>(MK)</t>
  </si>
  <si>
    <t>(USD)</t>
  </si>
  <si>
    <t>All Shipping costs and clearing charges</t>
  </si>
  <si>
    <t>Pre-Distribution phase</t>
  </si>
  <si>
    <t xml:space="preserve">Data entry </t>
  </si>
  <si>
    <t xml:space="preserve">Data verification </t>
  </si>
  <si>
    <t>Distribution phase</t>
  </si>
  <si>
    <t>CU vehicle cost- wear &amp; tear</t>
  </si>
  <si>
    <t>Refreshments for VHC and village leaders during distribution</t>
  </si>
  <si>
    <t>Allowances for HSA during distribution</t>
  </si>
  <si>
    <t>Temporary staff costs (distribution)</t>
  </si>
  <si>
    <t>Post distribution follow-up (6 months)</t>
  </si>
  <si>
    <t>Reports writing -for all clusters</t>
  </si>
  <si>
    <t>YEAR 1 SUBTOTAL</t>
  </si>
  <si>
    <t>Post-distribution follow up - 12 months</t>
  </si>
  <si>
    <t>Post-distribution follow up - 18 months</t>
  </si>
  <si>
    <t>YEAR 2 SUBTOTAL</t>
  </si>
  <si>
    <t>Post-distribution follow up - 24 months</t>
  </si>
  <si>
    <t>Post-distribution follow up - 30 months</t>
  </si>
  <si>
    <t>YEAR 3 SUBTOTAL</t>
  </si>
  <si>
    <t>Post-distribution follow up - 36 months</t>
  </si>
  <si>
    <t>YEAR 4 SUBTOTAL</t>
  </si>
  <si>
    <t>Post-distribution sub total</t>
  </si>
  <si>
    <t>First year, excluding shipping</t>
  </si>
  <si>
    <t>Corresponding category in global estimate</t>
  </si>
  <si>
    <t>Added by GiveWell</t>
  </si>
  <si>
    <t>Training</t>
  </si>
  <si>
    <t>Categories used in global estimate</t>
  </si>
  <si>
    <t>AMF-specific M&amp;E</t>
  </si>
  <si>
    <t>6-month follow up survey</t>
  </si>
  <si>
    <t>12-month follow up survey</t>
  </si>
  <si>
    <t>18-month follow up survey</t>
  </si>
  <si>
    <t>24-month follow up survey</t>
  </si>
  <si>
    <t>30-month follow up survey</t>
  </si>
  <si>
    <t>36-month follow up survey</t>
  </si>
  <si>
    <t>Total non-net costs</t>
  </si>
  <si>
    <t>(Not tracked separately)</t>
  </si>
  <si>
    <t>Value of donated services</t>
  </si>
  <si>
    <t>Value of Director's time</t>
  </si>
  <si>
    <t>Per net projected costs in USD</t>
  </si>
  <si>
    <t>Total costs in GBP</t>
  </si>
  <si>
    <t>AMF organization costs (excluding donated services)</t>
  </si>
  <si>
    <t>Jan-Feb 15</t>
  </si>
  <si>
    <t>Notes</t>
  </si>
  <si>
    <t xml:space="preserve">GiveWell has factored in the cost of an annual Director salary, though the founder of AMF, Rob Mather, opts to not receive a salary for his work. We have done this because we want to include all costs in our total estimate, including those for volunteer time. The reason for this decision is that we do not want to incentive charities to "compete" over cost-effectiveness by minimizing the overhead costs, and so we feel that a fair estimate includes salary equivalent costs, even where charity staff opt to work without pay. We have used the figure of $100K, which is our own estimate, roughly in line with non-profit salary surveys for NYC (we do not have surveys for London, but we assume that the two cities have roughly comparable salary amounts: http://www.nonprofitstaffing.com/getdoc/ee6e0c13-3d9a-4d56-aa2a-d250c2637bc5/PNP-SALARY-SURVEY-NY-2011.aspx.    </t>
  </si>
  <si>
    <t>2013-2015</t>
  </si>
  <si>
    <t>Total number of nets per year</t>
  </si>
  <si>
    <t>Total costs in USD</t>
  </si>
  <si>
    <t>Roll Back Malaria harmonization group estimate</t>
  </si>
  <si>
    <t>Ntcheu office overheads (25% of total overheads for 4 months)</t>
  </si>
  <si>
    <t>Costs incurred by government and not charged to the net distribution</t>
  </si>
  <si>
    <t>HSA salaries (431 HSAs + 8 HSA supervisors (there were a total of 14 HSA supervisors byt 6 played a more active role in the project and their costs are captured in the next budget line) each spending an average of 10 FT working days during registration, verification and distribution- average HSA salary per working day is estimated at €3.91- actual amount varies dependent on qualifications and length of tenure- figure is basic salary only and doesn't include allowances)</t>
  </si>
  <si>
    <t>Senior HSA and District staff salaries (those 10 staff engaged in ongoing work throughout distribution- total 40 days FT)</t>
  </si>
  <si>
    <t>Actual costs incurred by CU but not charged to the net distribution</t>
  </si>
  <si>
    <t>In USD</t>
  </si>
  <si>
    <t>Admin salaries (10% of Finance and Admin Manager and Country Director's time for 4 months)</t>
  </si>
  <si>
    <t>Salaries of borehole drilling crew (4 staff x 1 month)</t>
  </si>
  <si>
    <t>Feb 20, 2012 - Feb 26, 2012</t>
  </si>
  <si>
    <t>Feb 13, 2012 - Feb 19, 2012</t>
  </si>
  <si>
    <t>Feb 6, 2012 - Feb 12, 2012</t>
  </si>
  <si>
    <t>EUR / USD</t>
  </si>
  <si>
    <t>Feb 1, 2012 - Feb 29, 2012</t>
  </si>
  <si>
    <t>Budget in Euros as of Feb 2012</t>
  </si>
  <si>
    <t>Number of nets</t>
  </si>
  <si>
    <t>Data from http://www.givewell.org/files/DWDA%202009/AMF/Concern%20Universal%20Costs%20Updated.xls</t>
  </si>
  <si>
    <t>(Not tracked seperately/see below)</t>
  </si>
  <si>
    <t>Source: AMF Global Financial Statements (2014)</t>
  </si>
  <si>
    <t>Source: AMF Global Financial Statements (2013)</t>
  </si>
  <si>
    <t>"Support costs" paid for by "Private funding" in AMF's financial statements (see Pg 16 in 2014 statements). We have used the 2012-2014 average to estimate future costs.</t>
  </si>
  <si>
    <t>Oct-Nov 17</t>
  </si>
  <si>
    <t>U</t>
  </si>
  <si>
    <t>Oct-Nov 15</t>
  </si>
  <si>
    <t>Sep-Oct 15</t>
  </si>
  <si>
    <t>  Nord Ubangi District, Equatéur P...</t>
  </si>
  <si>
    <t>Apr-Jun 15</t>
  </si>
  <si>
    <t>  South Idjwi Island, South Kivu</t>
  </si>
  <si>
    <t>Apr-May 15</t>
  </si>
  <si>
    <t>Amani Global Works</t>
  </si>
  <si>
    <t>  Dowa District</t>
  </si>
  <si>
    <t>  North Idjwi Island, South Kivu</t>
  </si>
  <si>
    <t>Nov-Dec 14</t>
  </si>
  <si>
    <t>Aug-Nov 14</t>
  </si>
  <si>
    <t>Oct-Dec 13</t>
  </si>
  <si>
    <t>From AMF's website as of November 19, 2014</t>
  </si>
  <si>
    <t>"Support costs" paid for by "Donated servide" in AMF's financial statements (see Pg 16 in 2014 statements). We have used the 2012-2014 average to estimate future costs.</t>
  </si>
  <si>
    <t>Jul 1, 2012 - Jun 30, 2014</t>
  </si>
  <si>
    <t>Estimate for AMF's Balaka 2013  (Malawi) distribution</t>
  </si>
  <si>
    <t>Estimate for AMF's Dedza 2014 (Malawi) distribution</t>
  </si>
  <si>
    <t>Estimate for AMF's Kasaï Occidental (DRC) 2014</t>
  </si>
  <si>
    <t>X-Rate (USD: MWK) MWK = Malawi Kwatcha</t>
  </si>
  <si>
    <t>Original LLINs</t>
  </si>
  <si>
    <t>Appplied Aug 2013:</t>
  </si>
  <si>
    <t>Eventual increase (#nets)</t>
  </si>
  <si>
    <t>Applied Nov 2013:</t>
  </si>
  <si>
    <t>Cost/net for increase</t>
  </si>
  <si>
    <t>Estimated future rate:</t>
  </si>
  <si>
    <t>Eventual increase (USD)</t>
  </si>
  <si>
    <t>Total cost of increase</t>
  </si>
  <si>
    <t>Actual (May14)</t>
  </si>
  <si>
    <t>Total cost</t>
  </si>
  <si>
    <t>X-Rate</t>
  </si>
  <si>
    <t>Applied</t>
  </si>
  <si>
    <t>(USD), %</t>
  </si>
  <si>
    <t>Sub total 1 (shipping)</t>
  </si>
  <si>
    <t>Additional Clearingh Charge</t>
  </si>
  <si>
    <t>Sub total 2 (pre-distribution)</t>
  </si>
  <si>
    <t>Sep 2014</t>
  </si>
  <si>
    <t>Sub total 3 (distribution)</t>
  </si>
  <si>
    <t>Sub total 4 (pre-distribution + distribution)</t>
  </si>
  <si>
    <t>Sub total 5 (shipping + pre-distribution + distribution)</t>
  </si>
  <si>
    <t>BRIEFING  PDS TO HSAs</t>
  </si>
  <si>
    <t xml:space="preserve">HSAs </t>
  </si>
  <si>
    <t>Refreshments</t>
  </si>
  <si>
    <t>Supervisors</t>
  </si>
  <si>
    <t>Drivers Allowances</t>
  </si>
  <si>
    <t>Fuel</t>
  </si>
  <si>
    <t>Sub total (a)</t>
  </si>
  <si>
    <t>Data collection</t>
  </si>
  <si>
    <t>HSAs</t>
  </si>
  <si>
    <t>Sub total (b)</t>
  </si>
  <si>
    <t>Data entry</t>
  </si>
  <si>
    <t>Allowances for data clerks</t>
  </si>
  <si>
    <t>Sub total (c)</t>
  </si>
  <si>
    <t>Paper</t>
  </si>
  <si>
    <t>Pencils</t>
  </si>
  <si>
    <t>Clear bags</t>
  </si>
  <si>
    <t>Ink pads</t>
  </si>
  <si>
    <t>Ink</t>
  </si>
  <si>
    <t>Toner</t>
  </si>
  <si>
    <t>Arklever files</t>
  </si>
  <si>
    <t>Pens</t>
  </si>
  <si>
    <t>Sub Total (d)</t>
  </si>
  <si>
    <t>Management</t>
  </si>
  <si>
    <t>CU Staff Costs</t>
  </si>
  <si>
    <t>Sub Total (e)</t>
  </si>
  <si>
    <t>Sub total 6 (post-distribution)</t>
  </si>
  <si>
    <t>YEAR 1 SUBTOTAL - Shipping</t>
  </si>
  <si>
    <t>AMF borne (Actual) USD</t>
  </si>
  <si>
    <t>AMF born (Actual) USD</t>
  </si>
  <si>
    <t>First year, includes shipping</t>
  </si>
  <si>
    <t>CU borne (Actual) USD</t>
  </si>
  <si>
    <t>CU born (Actual) USD</t>
  </si>
  <si>
    <t>Transferred to CU</t>
  </si>
  <si>
    <t>CU expenditure in-country</t>
  </si>
  <si>
    <t>AMF borne</t>
  </si>
  <si>
    <t>CU borne</t>
  </si>
  <si>
    <t>Owed to CU</t>
  </si>
  <si>
    <t>Downloaded from http://www.againstmalaria.com/NonNetCosts.aspx on November 19, 2014</t>
  </si>
  <si>
    <t>2013-2015 distributions (including planned distributions)</t>
  </si>
  <si>
    <t>AMF organizational expenses</t>
  </si>
  <si>
    <t>Total per net</t>
  </si>
  <si>
    <t>Sub-total: AMF follow up costs</t>
  </si>
  <si>
    <t>Sub-total: Pre-distribution and distribution costs</t>
  </si>
  <si>
    <t>Actual costs up through 6-month follow up.The rest is budgeted.</t>
  </si>
  <si>
    <t>Budgeted costs</t>
  </si>
  <si>
    <t>Actual costs except for follow up surveys. Figures for distibution phase are recorded as actual but appear to match budget very closely. Follow up costs are budgeted.</t>
  </si>
  <si>
    <t>Are costs actual or budgeted?</t>
  </si>
  <si>
    <t>Dowa District - Non-Net Costs - Budget and Actual</t>
  </si>
  <si>
    <t>1. May 2014 - Current</t>
  </si>
  <si>
    <t xml:space="preserve">3. Feb 2015 - Forward </t>
  </si>
  <si>
    <t>Estimated Pre-D costs finalising date</t>
  </si>
  <si>
    <t>2. May 2014 - Forward</t>
  </si>
  <si>
    <t xml:space="preserve">4. Sep 2015 - Forward </t>
  </si>
  <si>
    <t>Estimated PDCU-6 costs finalising date</t>
  </si>
  <si>
    <t>Nets Required</t>
  </si>
  <si>
    <t>Budgeted LLINs</t>
  </si>
  <si>
    <t>Actual  LLINs</t>
  </si>
  <si>
    <t>% increase</t>
  </si>
  <si>
    <t>Eventual increase</t>
  </si>
  <si>
    <t>ACTUAL</t>
  </si>
  <si>
    <t>(10)</t>
  </si>
  <si>
    <t>(11)</t>
  </si>
  <si>
    <t>(12)</t>
  </si>
  <si>
    <t>(13)</t>
  </si>
  <si>
    <t>(14)</t>
  </si>
  <si>
    <t>(15)</t>
  </si>
  <si>
    <t>Date</t>
  </si>
  <si>
    <t>Final</t>
  </si>
  <si>
    <t>1. SHIPPING</t>
  </si>
  <si>
    <t>Shipping Sub total</t>
  </si>
  <si>
    <t>2. PRE-DISTRIBUTION PHASE</t>
  </si>
  <si>
    <t>1. Full Pre-Distribution Registration Survey (PDRS)</t>
  </si>
  <si>
    <t>1. Briefing (of health teams)</t>
  </si>
  <si>
    <t>1.1 District Executive Committee</t>
  </si>
  <si>
    <t>District Executive Committee Members (DEC)</t>
  </si>
  <si>
    <t>CU Staff</t>
  </si>
  <si>
    <t>Drivers (Dr)</t>
  </si>
  <si>
    <t>1.2 ADC and VHC</t>
  </si>
  <si>
    <t>Area Development Committee (ADC)</t>
  </si>
  <si>
    <t>Village Health Committee Representatives (VHC)</t>
  </si>
  <si>
    <t>District Health Staff (DHS)</t>
  </si>
  <si>
    <t>1.3 HSAs</t>
  </si>
  <si>
    <t>Health Surveilance Assistants (HAS)</t>
  </si>
  <si>
    <t>Briefing Sub total</t>
  </si>
  <si>
    <t>2. Data Collection</t>
  </si>
  <si>
    <t>i) Personnel</t>
  </si>
  <si>
    <t>Data Collectors (DC)</t>
  </si>
  <si>
    <t>Supervisors (Sp)</t>
  </si>
  <si>
    <t>Personnel Sub Total</t>
  </si>
  <si>
    <t>ii) Stationary</t>
  </si>
  <si>
    <t xml:space="preserve">Pencil Sharpener </t>
  </si>
  <si>
    <t>Ark Lever Files</t>
  </si>
  <si>
    <t>Stationary Sub Total</t>
  </si>
  <si>
    <t>iii) Other costs</t>
  </si>
  <si>
    <t>Printing Registers</t>
  </si>
  <si>
    <t>Binding  Registers</t>
  </si>
  <si>
    <t>Photocopy Forms (Either/or)</t>
  </si>
  <si>
    <t>Mobile phone airtime</t>
  </si>
  <si>
    <t>Other Costs Sub Total</t>
  </si>
  <si>
    <t>Data Collection Sub total</t>
  </si>
  <si>
    <t>3. Data Entry (including error checking and revisions post verification)</t>
  </si>
  <si>
    <t>Data Officer</t>
  </si>
  <si>
    <t>Data Entry Clerks</t>
  </si>
  <si>
    <t>Data entry Sub Total</t>
  </si>
  <si>
    <t>4. Data Verification</t>
  </si>
  <si>
    <t>Temporary field officers for data verification</t>
  </si>
  <si>
    <t>Management Sub Total</t>
  </si>
  <si>
    <t>5. Managemnt of the PDRS</t>
  </si>
  <si>
    <t>Project Coordinator</t>
  </si>
  <si>
    <t>Project Manager</t>
  </si>
  <si>
    <t>Field coordinator</t>
  </si>
  <si>
    <t>Field officers</t>
  </si>
  <si>
    <t>Driver</t>
  </si>
  <si>
    <t>Settlement allowance</t>
  </si>
  <si>
    <t>6. Warehouse hire</t>
  </si>
  <si>
    <t>Warehouse Hire</t>
  </si>
  <si>
    <t>Security Guards</t>
  </si>
  <si>
    <t>Warehouse hire  Sub Total</t>
  </si>
  <si>
    <t>7. Transport support costs</t>
  </si>
  <si>
    <t>Car hire</t>
  </si>
  <si>
    <t>Wear &amp; tear</t>
  </si>
  <si>
    <t>Transport support cost Sub Total</t>
  </si>
  <si>
    <t>Full Pre-Distribution Registration Survey (PDRS) Sub Total</t>
  </si>
  <si>
    <t>3. DISTRIBUTION PHASE</t>
  </si>
  <si>
    <t>i) District Executive Committee</t>
  </si>
  <si>
    <t>ii) ADC and VHC</t>
  </si>
  <si>
    <t>iii) HSAs</t>
  </si>
  <si>
    <t>2. Distribution of nets</t>
  </si>
  <si>
    <t>Health surveilance assistants (HSA)</t>
  </si>
  <si>
    <t>Fuel for SHSA during distribution</t>
  </si>
  <si>
    <t>Distribution of nets Sub total</t>
  </si>
  <si>
    <t>3. Data Entry (including error checking)</t>
  </si>
  <si>
    <t>4. Managemnt of the Distribution</t>
  </si>
  <si>
    <t>Temporary field officers for data verification and distribution</t>
  </si>
  <si>
    <t>5. Warehouse hire</t>
  </si>
  <si>
    <t>Insurance</t>
  </si>
  <si>
    <t>6.Transport support costs</t>
  </si>
  <si>
    <t>Distribution Subtotal</t>
  </si>
  <si>
    <t>4. POST-DISTRIBUTION PHASE</t>
  </si>
  <si>
    <t>SECTION 1</t>
  </si>
  <si>
    <t>HAS's Supervisors (HAS Sp)</t>
  </si>
  <si>
    <t>3. Data Entry</t>
  </si>
  <si>
    <t>4. Managemnt of the PDCU (for the duration of a single PDCU)</t>
  </si>
  <si>
    <t>SINGLE PDCU TOTAL</t>
  </si>
  <si>
    <t>SECTION 2 - Number of PDCUs and Cost increases over three year period</t>
  </si>
  <si>
    <t>PDCU-6</t>
  </si>
  <si>
    <t>PDCU-12</t>
  </si>
  <si>
    <t>Year 1 Sub Total</t>
  </si>
  <si>
    <t>PDCU-18</t>
  </si>
  <si>
    <t>PDCU-24</t>
  </si>
  <si>
    <t>Year 2 Sub Total</t>
  </si>
  <si>
    <t>PDCU-30</t>
  </si>
  <si>
    <t>PDCU-36</t>
  </si>
  <si>
    <t>Year 3 Sub Total</t>
  </si>
  <si>
    <t>MULTI-YEAR PDCU TOTAL</t>
  </si>
  <si>
    <t>SECTION TOTALS</t>
  </si>
  <si>
    <t>PROJECT TOTAL</t>
  </si>
  <si>
    <t>Estimate for AMF's Dowa 2015 (Malawi) distribution</t>
  </si>
  <si>
    <t>Total Cost per Net (4hzs)</t>
  </si>
  <si>
    <t>ODK</t>
  </si>
  <si>
    <t>Total nets (4HZs)</t>
  </si>
  <si>
    <t>Cost/net</t>
  </si>
  <si>
    <t>Financial report for Nyanga, Kitangwa, Banga, Kasala</t>
  </si>
  <si>
    <t>Activity</t>
  </si>
  <si>
    <t>Total All HZ</t>
  </si>
  <si>
    <t>Total 4 HZ</t>
  </si>
  <si>
    <t>Strategy 4.1   Capacity building through training and supervision</t>
  </si>
  <si>
    <t>1 .Briefing of the HZMT and Providers</t>
  </si>
  <si>
    <t>Train of the HZMT</t>
  </si>
  <si>
    <t>Sub-total 1</t>
  </si>
  <si>
    <t>Strategy 4.2   Strengthening  behavior change communicationand social mobilization</t>
  </si>
  <si>
    <t>2. Train RECO</t>
  </si>
  <si>
    <t xml:space="preserve">Nets </t>
  </si>
  <si>
    <t>%</t>
  </si>
  <si>
    <t>Sum of 4HZs</t>
  </si>
  <si>
    <t>3. Support sensibization Total</t>
  </si>
  <si>
    <t>nyanga</t>
  </si>
  <si>
    <t>Achieve the  Key Leaders</t>
  </si>
  <si>
    <t>kitangwa</t>
  </si>
  <si>
    <t>Sensilization of Church BCZ CHIEF(lancement par zone)</t>
  </si>
  <si>
    <t>banga</t>
  </si>
  <si>
    <t>Sensibilisation dans le lieux publics AS</t>
  </si>
  <si>
    <t>kasala</t>
  </si>
  <si>
    <t>Mobilization community</t>
  </si>
  <si>
    <t>kamonia</t>
  </si>
  <si>
    <t>sub-total 2</t>
  </si>
  <si>
    <t>tshikapa</t>
  </si>
  <si>
    <t>Strategy 4.3   Community distribution  based on  hang up strategy</t>
  </si>
  <si>
    <t>kalonda</t>
  </si>
  <si>
    <t>5. Provide  LLINs and other  commodities</t>
  </si>
  <si>
    <t>mutena</t>
  </si>
  <si>
    <t>Acquisition of LLINs</t>
  </si>
  <si>
    <t>kamwesha</t>
  </si>
  <si>
    <t>Transport to the HZ</t>
  </si>
  <si>
    <t>Clearing charges for containers</t>
  </si>
  <si>
    <t>Transport to the HA</t>
  </si>
  <si>
    <t>6. Logistics &amp; Transportation Total Including:</t>
  </si>
  <si>
    <t>Location moto</t>
  </si>
  <si>
    <t>Location velo</t>
  </si>
  <si>
    <t>Location Pironge</t>
  </si>
  <si>
    <t>bateries for megaphones</t>
  </si>
  <si>
    <t>Crain pour enregistrament menage</t>
  </si>
  <si>
    <t>Manutation</t>
  </si>
  <si>
    <t>Sensibilisation conduite par le chefs HH per HH</t>
  </si>
  <si>
    <t>Entreposage BCZ</t>
  </si>
  <si>
    <t>7. Supplies</t>
  </si>
  <si>
    <t>Hammer</t>
  </si>
  <si>
    <t>Nails</t>
  </si>
  <si>
    <t>Ropes</t>
  </si>
  <si>
    <t xml:space="preserve">      Rallonge</t>
  </si>
  <si>
    <t xml:space="preserve">      Craie</t>
  </si>
  <si>
    <t xml:space="preserve">      Banderole</t>
  </si>
  <si>
    <t>8. Provide tools for data collection.</t>
  </si>
  <si>
    <t xml:space="preserve">  Phones</t>
  </si>
  <si>
    <t xml:space="preserve">  Computers</t>
  </si>
  <si>
    <t xml:space="preserve">            Thumb Drives</t>
  </si>
  <si>
    <t xml:space="preserve">            Power strips</t>
  </si>
  <si>
    <t xml:space="preserve">            Micro SD card</t>
  </si>
  <si>
    <t xml:space="preserve">            Laptop security system</t>
  </si>
  <si>
    <t xml:space="preserve">            Waist bag</t>
  </si>
  <si>
    <t xml:space="preserve">            Small inkjet printers</t>
  </si>
  <si>
    <t xml:space="preserve">            ink catridge</t>
  </si>
  <si>
    <t xml:space="preserve">            usb cable for printer</t>
  </si>
  <si>
    <t>computers bag</t>
  </si>
  <si>
    <t>wifi Routers</t>
  </si>
  <si>
    <t>Thumb Drives</t>
  </si>
  <si>
    <t>External Battery for each mobile phone</t>
  </si>
  <si>
    <t>Laptop security system</t>
  </si>
  <si>
    <t>9. Air feight of supplies to Kasai</t>
  </si>
  <si>
    <t>10. Total cost of registration and distribution including:</t>
  </si>
  <si>
    <t>Registration &amp; Distribution conducted by RECO</t>
  </si>
  <si>
    <t>Supervision ECZ Registration &amp; Distribution</t>
  </si>
  <si>
    <t xml:space="preserve">11. Training Trainers </t>
  </si>
  <si>
    <t>14. Supervisors of Hang Up  (indenpendant supervisors from kananga)</t>
  </si>
  <si>
    <t>15. PNLP, National, Provincial, DPS Tshikapa Staff</t>
  </si>
  <si>
    <t>Strategy 4.4   Monitoring and evaluation</t>
  </si>
  <si>
    <t xml:space="preserve">14. LQAS Surveys </t>
  </si>
  <si>
    <t>sub-total 5</t>
  </si>
  <si>
    <t>Others expenses</t>
  </si>
  <si>
    <t>Focal Point Salary and incitives including taxes</t>
  </si>
  <si>
    <t>Crystal</t>
  </si>
  <si>
    <t>Charlotte</t>
  </si>
  <si>
    <t>Andrew</t>
  </si>
  <si>
    <t>sub-total 6</t>
  </si>
  <si>
    <t>Total Ditrect cost</t>
  </si>
  <si>
    <t>Indirect cost</t>
  </si>
  <si>
    <t>Overhead of DRC office</t>
  </si>
  <si>
    <t>Overhead for IMA</t>
  </si>
  <si>
    <t>Total Indirect cost</t>
  </si>
  <si>
    <t xml:space="preserve"> GENERAL TOTAL</t>
  </si>
  <si>
    <t>Clearing charges for the containers</t>
  </si>
  <si>
    <t>This is the summary sheet from IMA World Health Kasaï Occidental financial report (as of November 11, 2014). See original document for formulas and details in other sheets.</t>
  </si>
  <si>
    <t>Estimate of non-monetary partner and local government costs (based on 2012 Ntcheu, Malawi distribution for Malawi distributions)</t>
  </si>
  <si>
    <t>This appears to be actual costs for 4 of 9 sub-locations, covering 28% of LLINs in the distribution. Shipping and follow-up costs are estimated from another distribution.</t>
  </si>
  <si>
    <t>Not enough information to break down costs. Total given below.</t>
  </si>
  <si>
    <t>Average for Malawi - takes average of actual costs (Balaka) and budgeted costs (Dedza and Dowa)</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</si>
</sst>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_-;\-* #,##0.00_-;_-* &quot;-&quot;??_-;_-@_-"/>
    <numFmt numFmtId="164" formatCode="_(* #,##0.00_);_(* \(#,##0.00\);_(* &quot;-&quot;??_);_(@_)"/>
    <numFmt numFmtId="165" formatCode="&quot;$&quot;#,##0"/>
    <numFmt numFmtId="166" formatCode="&quot;$&quot;#,##0.00"/>
    <numFmt numFmtId="167" formatCode="[$£-809]#,##0"/>
    <numFmt numFmtId="168" formatCode="[Red]\+#,##0;[Blue]\-#,##0;[Blue]\+0"/>
    <numFmt numFmtId="169" formatCode="[Red]\+#,##0%;[Blue]\-#,##0%;[Blue]0%"/>
    <numFmt numFmtId="170" formatCode="_(* #,##0_);_(* \(#,##0\);_(* &quot;-&quot;??_);_(@_)"/>
    <numFmt numFmtId="171" formatCode="[$€-2]\ #,##0"/>
    <numFmt numFmtId="172" formatCode="[$€-2]\ #,##0.00"/>
    <numFmt numFmtId="173" formatCode="\$#,##0.00;\-\$#,##0.00"/>
    <numFmt numFmtId="174" formatCode="\$#,##0.000;\-\$#,##0.000"/>
    <numFmt numFmtId="175" formatCode="\$#,##0;\-\$#,##0"/>
    <numFmt numFmtId="176" formatCode="\$#,##0.0;\-\$#,##0.0"/>
    <numFmt numFmtId="177" formatCode="\$#,##0.0"/>
    <numFmt numFmtId="178" formatCode="[Red]\+#,##0%;[Blue]\-#,##0%"/>
    <numFmt numFmtId="179" formatCode="#,##0.000"/>
    <numFmt numFmtId="180" formatCode="_-* #,##0_-;\-* #,##0_-;_-* &quot;-&quot;??_-;_-@_-"/>
    <numFmt numFmtId="181" formatCode="[Red]\+#,##0;[Blue]\-#,##0"/>
    <numFmt numFmtId="182" formatCode="0.000"/>
    <numFmt numFmtId="183" formatCode="_(&quot;$&quot;* #,##0.00_);_(&quot;$&quot;* \(#,##0.00\);_(&quot;$&quot;* &quot;-&quot;??_);_(@_)"/>
    <numFmt numFmtId="184" formatCode="_(&quot;$&quot;* #,##0_);_(&quot;$&quot;* \(#,##0\);_(&quot;$&quot;* &quot;-&quot;_);_(@_)"/>
    <numFmt numFmtId="185" formatCode="_-* #,##0.00\ _€_-;\-* #,##0.00\ _€_-;_-* &quot;-&quot;??\ _€_-;_-@_-"/>
    <numFmt numFmtId="186" formatCode="_-* #,##0.00\ &quot;€&quot;_-;\-* #,##0.00\ &quot;€&quot;_-;_-* &quot;-&quot;??\ &quot;€&quot;_-;_-@_-"/>
  </numFmts>
  <fonts count="57" x14ac:knownFonts="1">
    <font>
      <sz val="12"/>
      <color theme="1"/>
      <name val="Calibri"/>
      <family val="2"/>
      <scheme val="minor"/>
    </font>
    <font>
      <sz val="12"/>
      <color theme="1"/>
      <name val="Calibri"/>
      <family val="2"/>
      <scheme val="minor"/>
    </font>
    <font>
      <sz val="12"/>
      <color theme="1"/>
      <name val="Calibri"/>
      <family val="2"/>
      <charset val="134"/>
      <scheme val="minor"/>
    </font>
    <font>
      <b/>
      <sz val="10"/>
      <name val="Arial"/>
      <family val="2"/>
    </font>
    <font>
      <b/>
      <u/>
      <sz val="10"/>
      <name val="Arial"/>
      <family val="2"/>
    </font>
    <font>
      <u/>
      <sz val="12"/>
      <color theme="10"/>
      <name val="Calibri"/>
      <family val="2"/>
      <charset val="134"/>
      <scheme val="minor"/>
    </font>
    <font>
      <u/>
      <sz val="12"/>
      <color theme="11"/>
      <name val="Calibri"/>
      <family val="2"/>
      <charset val="134"/>
      <scheme val="minor"/>
    </font>
    <font>
      <b/>
      <sz val="15"/>
      <color rgb="FF406B80"/>
      <name val="Calibri"/>
      <scheme val="minor"/>
    </font>
    <font>
      <sz val="10.199999999999999"/>
      <color rgb="FF406B80"/>
      <name val="Calibri"/>
      <scheme val="minor"/>
    </font>
    <font>
      <sz val="9"/>
      <color indexed="81"/>
      <name val="Calibri"/>
      <family val="2"/>
      <charset val="134"/>
    </font>
    <font>
      <b/>
      <sz val="9"/>
      <color indexed="81"/>
      <name val="Calibri"/>
      <family val="2"/>
      <charset val="134"/>
    </font>
    <font>
      <sz val="12"/>
      <color theme="1"/>
      <name val="Calibri"/>
    </font>
    <font>
      <i/>
      <sz val="12"/>
      <color theme="1"/>
      <name val="Calibri"/>
      <scheme val="minor"/>
    </font>
    <font>
      <b/>
      <sz val="11"/>
      <color theme="1"/>
      <name val="Calibri"/>
      <family val="2"/>
      <scheme val="minor"/>
    </font>
    <font>
      <b/>
      <sz val="11"/>
      <color rgb="FF0000FF"/>
      <name val="Calibri"/>
      <family val="2"/>
      <scheme val="minor"/>
    </font>
    <font>
      <b/>
      <u/>
      <sz val="11"/>
      <color theme="1"/>
      <name val="Calibri"/>
      <family val="2"/>
      <scheme val="minor"/>
    </font>
    <font>
      <b/>
      <sz val="11"/>
      <name val="Calibri"/>
      <family val="2"/>
      <scheme val="minor"/>
    </font>
    <font>
      <b/>
      <u/>
      <sz val="11"/>
      <name val="Calibri"/>
      <family val="2"/>
      <scheme val="minor"/>
    </font>
    <font>
      <b/>
      <sz val="11"/>
      <color rgb="FFFF0000"/>
      <name val="Calibri"/>
      <family val="2"/>
      <scheme val="minor"/>
    </font>
    <font>
      <b/>
      <sz val="11"/>
      <color rgb="FF00B050"/>
      <name val="Calibri"/>
      <family val="2"/>
      <scheme val="minor"/>
    </font>
    <font>
      <b/>
      <sz val="11"/>
      <color theme="9" tint="-0.249977111117893"/>
      <name val="Calibri"/>
      <family val="2"/>
      <scheme val="minor"/>
    </font>
    <font>
      <sz val="11"/>
      <color theme="9" tint="-0.249977111117893"/>
      <name val="Calibri"/>
      <family val="2"/>
      <scheme val="minor"/>
    </font>
    <font>
      <u/>
      <sz val="11"/>
      <color theme="1"/>
      <name val="Calibri"/>
      <family val="2"/>
      <scheme val="minor"/>
    </font>
    <font>
      <sz val="11"/>
      <name val="Calibri"/>
      <family val="2"/>
      <scheme val="minor"/>
    </font>
    <font>
      <sz val="12"/>
      <color theme="1"/>
      <name val="Arial"/>
    </font>
    <font>
      <b/>
      <sz val="12"/>
      <color theme="1"/>
      <name val="Calibri"/>
    </font>
    <font>
      <b/>
      <sz val="12"/>
      <name val="Calibri"/>
    </font>
    <font>
      <b/>
      <sz val="12"/>
      <color indexed="8"/>
      <name val="Times New Roman"/>
      <family val="1"/>
    </font>
    <font>
      <b/>
      <sz val="12"/>
      <color indexed="8"/>
      <name val="Calibri"/>
      <family val="2"/>
    </font>
    <font>
      <sz val="12"/>
      <color indexed="8"/>
      <name val="Calibri"/>
      <family val="2"/>
    </font>
    <font>
      <b/>
      <sz val="12"/>
      <color theme="1"/>
      <name val="Calibri"/>
      <family val="2"/>
      <scheme val="minor"/>
    </font>
    <font>
      <i/>
      <sz val="12"/>
      <color theme="1"/>
      <name val="Calibri"/>
    </font>
    <font>
      <sz val="11"/>
      <color theme="1"/>
      <name val="Calibri"/>
      <family val="2"/>
      <scheme val="minor"/>
    </font>
    <font>
      <b/>
      <u/>
      <sz val="11"/>
      <color rgb="FF0000FF"/>
      <name val="Calibri"/>
      <family val="2"/>
      <scheme val="minor"/>
    </font>
    <font>
      <sz val="11"/>
      <color theme="1"/>
      <name val="Times New Roman"/>
      <family val="1"/>
    </font>
    <font>
      <i/>
      <sz val="11"/>
      <color theme="1"/>
      <name val="Calibri"/>
      <scheme val="minor"/>
    </font>
    <font>
      <b/>
      <sz val="11"/>
      <color indexed="8"/>
      <name val="Calibri"/>
      <family val="2"/>
      <scheme val="minor"/>
    </font>
    <font>
      <b/>
      <i/>
      <sz val="11"/>
      <color rgb="FF0000FF"/>
      <name val="Calibri"/>
      <family val="2"/>
      <scheme val="minor"/>
    </font>
    <font>
      <b/>
      <i/>
      <sz val="11"/>
      <name val="Calibri"/>
      <family val="2"/>
      <scheme val="minor"/>
    </font>
    <font>
      <i/>
      <sz val="11"/>
      <name val="Calibri"/>
      <family val="2"/>
      <scheme val="minor"/>
    </font>
    <font>
      <b/>
      <u/>
      <sz val="11"/>
      <color indexed="8"/>
      <name val="Calibri"/>
      <family val="2"/>
      <scheme val="minor"/>
    </font>
    <font>
      <sz val="10"/>
      <color theme="1"/>
      <name val="Calibri"/>
      <family val="2"/>
      <scheme val="minor"/>
    </font>
    <font>
      <b/>
      <sz val="10"/>
      <color theme="1"/>
      <name val="Calibri"/>
      <family val="2"/>
      <scheme val="minor"/>
    </font>
    <font>
      <sz val="18"/>
      <color theme="1"/>
      <name val="Calibri"/>
      <scheme val="minor"/>
    </font>
    <font>
      <b/>
      <sz val="16"/>
      <color theme="1"/>
      <name val="Calibri"/>
      <family val="2"/>
      <scheme val="minor"/>
    </font>
    <font>
      <b/>
      <i/>
      <sz val="10"/>
      <color rgb="FF000000"/>
      <name val="Calibri"/>
      <family val="2"/>
      <scheme val="minor"/>
    </font>
    <font>
      <b/>
      <i/>
      <sz val="10"/>
      <color theme="1"/>
      <name val="Calibri"/>
      <family val="2"/>
      <scheme val="minor"/>
    </font>
    <font>
      <sz val="10"/>
      <color rgb="FFFF0000"/>
      <name val="Calibri"/>
      <family val="2"/>
      <scheme val="minor"/>
    </font>
    <font>
      <b/>
      <sz val="10"/>
      <color rgb="FF000000"/>
      <name val="Calibri"/>
      <family val="2"/>
      <scheme val="minor"/>
    </font>
    <font>
      <sz val="10"/>
      <name val="Arial"/>
      <family val="2"/>
    </font>
    <font>
      <sz val="10"/>
      <color rgb="FF000000"/>
      <name val="Calibri"/>
      <family val="2"/>
      <scheme val="minor"/>
    </font>
    <font>
      <sz val="10"/>
      <name val="Calibri"/>
      <family val="2"/>
      <scheme val="minor"/>
    </font>
    <font>
      <b/>
      <i/>
      <sz val="10"/>
      <color rgb="FFFF0000"/>
      <name val="Calibri"/>
      <scheme val="minor"/>
    </font>
    <font>
      <sz val="10"/>
      <color theme="5"/>
      <name val="Calibri"/>
      <scheme val="minor"/>
    </font>
    <font>
      <sz val="13"/>
      <color rgb="FF222222"/>
      <name val="Arial"/>
      <family val="2"/>
    </font>
    <font>
      <sz val="11"/>
      <color indexed="8"/>
      <name val="Calibri"/>
      <family val="2"/>
    </font>
    <font>
      <i/>
      <sz val="10"/>
      <color theme="1"/>
      <name val="Calibri"/>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00B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8" tint="0.79998168889431442"/>
        <bgColor indexed="64"/>
      </patternFill>
    </fill>
  </fills>
  <borders count="28">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auto="1"/>
      </top>
      <bottom style="thin">
        <color auto="1"/>
      </bottom>
      <diagonal/>
    </border>
    <border>
      <left/>
      <right/>
      <top style="medium">
        <color auto="1"/>
      </top>
      <bottom style="medium">
        <color auto="1"/>
      </bottom>
      <diagonal/>
    </border>
    <border>
      <left style="thin">
        <color theme="0" tint="-0.14996795556505021"/>
      </left>
      <right style="thin">
        <color theme="0" tint="-0.14996795556505021"/>
      </right>
      <top/>
      <bottom/>
      <diagonal/>
    </border>
    <border>
      <left style="thin">
        <color auto="1"/>
      </left>
      <right style="thin">
        <color theme="0" tint="-0.1499679555650502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style="thin">
        <color theme="0" tint="-0.14996795556505021"/>
      </right>
      <top style="thin">
        <color auto="1"/>
      </top>
      <bottom style="medium">
        <color auto="1"/>
      </bottom>
      <diagonal/>
    </border>
    <border>
      <left/>
      <right style="thin">
        <color theme="0" tint="-0.14996795556505021"/>
      </right>
      <top style="thin">
        <color auto="1"/>
      </top>
      <bottom style="medium">
        <color auto="1"/>
      </bottom>
      <diagonal/>
    </border>
    <border>
      <left/>
      <right/>
      <top/>
      <bottom style="medium">
        <color auto="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s>
  <cellStyleXfs count="206">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32" fillId="0" borderId="0" applyFont="0" applyFill="0" applyBorder="0" applyAlignment="0" applyProtection="0"/>
    <xf numFmtId="0" fontId="32" fillId="0" borderId="0"/>
    <xf numFmtId="9" fontId="32" fillId="0" borderId="0" applyFont="0" applyFill="0" applyBorder="0" applyAlignment="0" applyProtection="0"/>
    <xf numFmtId="0" fontId="49" fillId="0" borderId="0"/>
    <xf numFmtId="186" fontId="32" fillId="0" borderId="0" applyFont="0" applyFill="0" applyBorder="0" applyAlignment="0" applyProtection="0"/>
    <xf numFmtId="164" fontId="55" fillId="0" borderId="0" applyFont="0" applyFill="0" applyBorder="0" applyAlignment="0" applyProtection="0"/>
    <xf numFmtId="0" fontId="4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78">
    <xf numFmtId="0" fontId="0" fillId="0" borderId="0" xfId="0"/>
    <xf numFmtId="0" fontId="3" fillId="0" borderId="0" xfId="0" applyFont="1" applyAlignment="1">
      <alignment horizontal="right"/>
    </xf>
    <xf numFmtId="0" fontId="4" fillId="0" borderId="0" xfId="0" applyFont="1"/>
    <xf numFmtId="3" fontId="0" fillId="0" borderId="0" xfId="0" applyNumberFormat="1"/>
    <xf numFmtId="0" fontId="7" fillId="0" borderId="0" xfId="0" applyFont="1"/>
    <xf numFmtId="3" fontId="8" fillId="0" borderId="0" xfId="0" applyNumberFormat="1" applyFont="1"/>
    <xf numFmtId="0" fontId="8" fillId="0" borderId="0" xfId="0" applyFont="1"/>
    <xf numFmtId="0" fontId="5" fillId="0" borderId="0" xfId="24"/>
    <xf numFmtId="16" fontId="8" fillId="0" borderId="0" xfId="0" applyNumberFormat="1" applyFont="1"/>
    <xf numFmtId="3" fontId="8" fillId="0" borderId="0" xfId="0" applyNumberFormat="1" applyFont="1" applyAlignment="1"/>
    <xf numFmtId="0" fontId="5" fillId="0" borderId="0" xfId="24" applyAlignment="1"/>
    <xf numFmtId="0" fontId="8" fillId="0" borderId="0" xfId="0" applyFont="1" applyAlignment="1"/>
    <xf numFmtId="16" fontId="8" fillId="0" borderId="0" xfId="0" applyNumberFormat="1" applyFont="1" applyAlignment="1"/>
    <xf numFmtId="0" fontId="0" fillId="0" borderId="0" xfId="0" applyAlignment="1"/>
    <xf numFmtId="0" fontId="0" fillId="0" borderId="0" xfId="0" applyFont="1"/>
    <xf numFmtId="166" fontId="0" fillId="0" borderId="0" xfId="0" applyNumberFormat="1"/>
    <xf numFmtId="167" fontId="0" fillId="0" borderId="0" xfId="0" applyNumberFormat="1"/>
    <xf numFmtId="17" fontId="0" fillId="0" borderId="0" xfId="0" applyNumberFormat="1"/>
    <xf numFmtId="0" fontId="0" fillId="0" borderId="0" xfId="0" applyAlignment="1">
      <alignment wrapText="1"/>
    </xf>
    <xf numFmtId="0" fontId="13" fillId="0" borderId="0" xfId="0" applyFont="1"/>
    <xf numFmtId="3" fontId="13" fillId="0" borderId="0" xfId="0" applyNumberFormat="1" applyFont="1"/>
    <xf numFmtId="2" fontId="13" fillId="0" borderId="0" xfId="0" applyNumberFormat="1" applyFont="1"/>
    <xf numFmtId="0" fontId="13" fillId="0" borderId="0" xfId="0" applyFont="1" applyBorder="1"/>
    <xf numFmtId="0" fontId="14" fillId="2" borderId="0" xfId="0" applyFont="1" applyFill="1"/>
    <xf numFmtId="0" fontId="13" fillId="2" borderId="0" xfId="0" applyFont="1" applyFill="1"/>
    <xf numFmtId="3" fontId="13" fillId="2" borderId="0" xfId="0" applyNumberFormat="1" applyFont="1" applyFill="1"/>
    <xf numFmtId="2" fontId="13" fillId="2" borderId="0" xfId="0" applyNumberFormat="1" applyFont="1" applyFill="1"/>
    <xf numFmtId="0" fontId="13" fillId="0" borderId="0" xfId="0" applyFont="1" applyFill="1"/>
    <xf numFmtId="0" fontId="15" fillId="0" borderId="0" xfId="0" applyFont="1" applyBorder="1"/>
    <xf numFmtId="0" fontId="13" fillId="0" borderId="0" xfId="0" applyFont="1" applyAlignment="1">
      <alignment horizontal="center"/>
    </xf>
    <xf numFmtId="0" fontId="16" fillId="2" borderId="7" xfId="0" applyFont="1" applyFill="1" applyBorder="1" applyAlignment="1">
      <alignment horizontal="center"/>
    </xf>
    <xf numFmtId="0" fontId="13" fillId="0" borderId="0" xfId="0" applyFont="1" applyFill="1" applyAlignment="1">
      <alignment horizontal="center"/>
    </xf>
    <xf numFmtId="0" fontId="17" fillId="0" borderId="0" xfId="0" applyFont="1" applyBorder="1" applyAlignment="1">
      <alignment horizontal="left"/>
    </xf>
    <xf numFmtId="0" fontId="0" fillId="0" borderId="0" xfId="0" applyFont="1" applyFill="1"/>
    <xf numFmtId="3" fontId="0" fillId="0" borderId="0" xfId="0" applyNumberFormat="1" applyFont="1"/>
    <xf numFmtId="2" fontId="0" fillId="0" borderId="0" xfId="0" applyNumberFormat="1" applyFont="1"/>
    <xf numFmtId="17" fontId="17" fillId="0" borderId="0" xfId="0" applyNumberFormat="1" applyFont="1" applyBorder="1" applyAlignment="1">
      <alignment horizontal="left"/>
    </xf>
    <xf numFmtId="0" fontId="13" fillId="0" borderId="0" xfId="0" applyFont="1" applyAlignment="1">
      <alignment horizontal="right"/>
    </xf>
    <xf numFmtId="3" fontId="16" fillId="2" borderId="7" xfId="0" applyNumberFormat="1" applyFont="1" applyFill="1" applyBorder="1" applyAlignment="1">
      <alignment horizontal="center"/>
    </xf>
    <xf numFmtId="3" fontId="13" fillId="0" borderId="0" xfId="0" applyNumberFormat="1" applyFont="1" applyFill="1" applyAlignment="1">
      <alignment horizontal="center"/>
    </xf>
    <xf numFmtId="3" fontId="13" fillId="2" borderId="7" xfId="0" applyNumberFormat="1" applyFont="1" applyFill="1" applyBorder="1" applyAlignment="1">
      <alignment horizontal="center"/>
    </xf>
    <xf numFmtId="3" fontId="13" fillId="0" borderId="7" xfId="0" applyNumberFormat="1" applyFont="1" applyFill="1" applyBorder="1" applyAlignment="1">
      <alignment horizontal="center"/>
    </xf>
    <xf numFmtId="0" fontId="18" fillId="0" borderId="0" xfId="0" applyFont="1" applyBorder="1" applyAlignment="1">
      <alignment horizontal="center" vertical="center"/>
    </xf>
    <xf numFmtId="0" fontId="16" fillId="0" borderId="0" xfId="0" applyFont="1" applyBorder="1" applyAlignment="1">
      <alignment horizontal="center"/>
    </xf>
    <xf numFmtId="49" fontId="20" fillId="0" borderId="1" xfId="0" applyNumberFormat="1" applyFont="1" applyBorder="1" applyAlignment="1">
      <alignment horizontal="right"/>
    </xf>
    <xf numFmtId="0" fontId="21" fillId="0" borderId="8" xfId="0" applyFont="1" applyBorder="1"/>
    <xf numFmtId="49" fontId="20" fillId="0" borderId="8" xfId="0" applyNumberFormat="1" applyFont="1" applyBorder="1" applyAlignment="1">
      <alignment horizontal="right"/>
    </xf>
    <xf numFmtId="3" fontId="20" fillId="0" borderId="8" xfId="0" applyNumberFormat="1" applyFont="1" applyFill="1" applyBorder="1" applyAlignment="1">
      <alignment horizontal="center"/>
    </xf>
    <xf numFmtId="49" fontId="20" fillId="0" borderId="2" xfId="0" applyNumberFormat="1" applyFont="1" applyBorder="1" applyAlignment="1">
      <alignment horizontal="right"/>
    </xf>
    <xf numFmtId="49" fontId="20" fillId="0" borderId="0" xfId="0" applyNumberFormat="1" applyFont="1" applyAlignment="1">
      <alignment horizontal="right"/>
    </xf>
    <xf numFmtId="0" fontId="21" fillId="0" borderId="0" xfId="0" applyFont="1"/>
    <xf numFmtId="3" fontId="20" fillId="0" borderId="0" xfId="0" applyNumberFormat="1" applyFont="1" applyAlignment="1">
      <alignment horizontal="right"/>
    </xf>
    <xf numFmtId="2" fontId="20" fillId="0" borderId="0" xfId="0" applyNumberFormat="1" applyFont="1" applyAlignment="1">
      <alignment horizontal="right"/>
    </xf>
    <xf numFmtId="0" fontId="16" fillId="0" borderId="3" xfId="0" applyFont="1" applyBorder="1" applyAlignment="1">
      <alignment horizontal="right"/>
    </xf>
    <xf numFmtId="0" fontId="0" fillId="0" borderId="0" xfId="0" applyFont="1" applyBorder="1"/>
    <xf numFmtId="0" fontId="16" fillId="0" borderId="0" xfId="0" applyFont="1" applyBorder="1" applyAlignment="1">
      <alignment horizontal="right"/>
    </xf>
    <xf numFmtId="0" fontId="17" fillId="0" borderId="4" xfId="0" applyFont="1" applyBorder="1" applyAlignment="1">
      <alignment horizontal="right"/>
    </xf>
    <xf numFmtId="0" fontId="17" fillId="0" borderId="0" xfId="0" applyFont="1" applyBorder="1" applyAlignment="1">
      <alignment horizontal="right"/>
    </xf>
    <xf numFmtId="3" fontId="16" fillId="0" borderId="0" xfId="0" applyNumberFormat="1" applyFont="1" applyBorder="1" applyAlignment="1">
      <alignment horizontal="right"/>
    </xf>
    <xf numFmtId="2" fontId="17" fillId="0" borderId="0" xfId="0" applyNumberFormat="1" applyFont="1" applyBorder="1" applyAlignment="1">
      <alignment horizontal="right"/>
    </xf>
    <xf numFmtId="0" fontId="17" fillId="0" borderId="3" xfId="0" applyFont="1" applyBorder="1" applyAlignment="1">
      <alignment horizontal="right"/>
    </xf>
    <xf numFmtId="0" fontId="22" fillId="0" borderId="0" xfId="0" applyFont="1" applyBorder="1"/>
    <xf numFmtId="0" fontId="22" fillId="0" borderId="0" xfId="0" applyFont="1"/>
    <xf numFmtId="3" fontId="17" fillId="0" borderId="0" xfId="0" applyNumberFormat="1" applyFont="1" applyBorder="1" applyAlignment="1">
      <alignment horizontal="right"/>
    </xf>
    <xf numFmtId="0" fontId="16" fillId="0" borderId="4" xfId="0" applyFont="1" applyBorder="1" applyAlignment="1">
      <alignment horizontal="right"/>
    </xf>
    <xf numFmtId="0" fontId="17" fillId="0" borderId="0" xfId="0" applyFont="1" applyFill="1" applyBorder="1" applyAlignment="1">
      <alignment horizontal="right"/>
    </xf>
    <xf numFmtId="0" fontId="0" fillId="0" borderId="0" xfId="0" applyFont="1" applyBorder="1" applyAlignment="1">
      <alignment wrapText="1"/>
    </xf>
    <xf numFmtId="3" fontId="0" fillId="0" borderId="3" xfId="0" applyNumberFormat="1" applyFont="1" applyBorder="1"/>
    <xf numFmtId="4" fontId="0" fillId="0" borderId="0" xfId="0" applyNumberFormat="1" applyFont="1" applyBorder="1"/>
    <xf numFmtId="3" fontId="13" fillId="2" borderId="0" xfId="0" applyNumberFormat="1" applyFont="1" applyFill="1" applyBorder="1"/>
    <xf numFmtId="4" fontId="0" fillId="0" borderId="4" xfId="0" applyNumberFormat="1" applyFont="1" applyBorder="1"/>
    <xf numFmtId="4" fontId="0" fillId="0" borderId="0" xfId="0" applyNumberFormat="1" applyFont="1"/>
    <xf numFmtId="3" fontId="0" fillId="0" borderId="0" xfId="0" applyNumberFormat="1" applyFont="1" applyFill="1"/>
    <xf numFmtId="168" fontId="0" fillId="0" borderId="0" xfId="0" applyNumberFormat="1" applyFont="1"/>
    <xf numFmtId="169" fontId="13" fillId="0" borderId="0" xfId="0" applyNumberFormat="1" applyFont="1"/>
    <xf numFmtId="3" fontId="0" fillId="0" borderId="0" xfId="0" applyNumberFormat="1" applyFont="1" applyBorder="1"/>
    <xf numFmtId="0" fontId="13" fillId="0" borderId="10" xfId="0" applyFont="1" applyFill="1" applyBorder="1" applyAlignment="1">
      <alignment wrapText="1"/>
    </xf>
    <xf numFmtId="3" fontId="13" fillId="0" borderId="11" xfId="0" applyNumberFormat="1" applyFont="1" applyBorder="1"/>
    <xf numFmtId="3" fontId="13" fillId="0" borderId="12" xfId="0" applyNumberFormat="1" applyFont="1" applyBorder="1"/>
    <xf numFmtId="3" fontId="13" fillId="0" borderId="0" xfId="0" applyNumberFormat="1" applyFont="1" applyBorder="1"/>
    <xf numFmtId="4" fontId="13" fillId="0" borderId="13" xfId="0" applyNumberFormat="1" applyFont="1" applyBorder="1"/>
    <xf numFmtId="4" fontId="13" fillId="0" borderId="0" xfId="0" applyNumberFormat="1" applyFont="1" applyBorder="1"/>
    <xf numFmtId="9" fontId="14" fillId="0" borderId="0" xfId="1" applyFont="1" applyBorder="1"/>
    <xf numFmtId="2" fontId="13" fillId="0" borderId="12" xfId="0" applyNumberFormat="1" applyFont="1" applyBorder="1"/>
    <xf numFmtId="168" fontId="13" fillId="0" borderId="12" xfId="0" applyNumberFormat="1" applyFont="1" applyBorder="1"/>
    <xf numFmtId="169" fontId="13" fillId="0" borderId="12" xfId="0" applyNumberFormat="1" applyFont="1" applyBorder="1"/>
    <xf numFmtId="0" fontId="13" fillId="0" borderId="14" xfId="0" applyFont="1" applyFill="1" applyBorder="1" applyAlignment="1">
      <alignment wrapText="1"/>
    </xf>
    <xf numFmtId="4" fontId="13" fillId="0" borderId="3" xfId="0" applyNumberFormat="1" applyFont="1" applyBorder="1"/>
    <xf numFmtId="4" fontId="13" fillId="0" borderId="4" xfId="0" applyNumberFormat="1" applyFont="1" applyBorder="1"/>
    <xf numFmtId="9" fontId="13" fillId="0" borderId="0" xfId="1" applyFont="1" applyBorder="1"/>
    <xf numFmtId="2" fontId="0" fillId="0" borderId="0" xfId="0" applyNumberFormat="1" applyFont="1" applyBorder="1"/>
    <xf numFmtId="169" fontId="0" fillId="0" borderId="0" xfId="0" applyNumberFormat="1" applyFont="1"/>
    <xf numFmtId="0" fontId="15" fillId="3" borderId="15" xfId="0" applyFont="1" applyFill="1" applyBorder="1" applyAlignment="1">
      <alignment wrapText="1"/>
    </xf>
    <xf numFmtId="0" fontId="0" fillId="0" borderId="3" xfId="0" applyFont="1" applyBorder="1"/>
    <xf numFmtId="0" fontId="0" fillId="0" borderId="4" xfId="0" applyFont="1" applyBorder="1"/>
    <xf numFmtId="3" fontId="13" fillId="2" borderId="3" xfId="0" applyNumberFormat="1" applyFont="1" applyFill="1" applyBorder="1"/>
    <xf numFmtId="3" fontId="0" fillId="0" borderId="0" xfId="0" applyNumberFormat="1" applyFont="1" applyFill="1" applyBorder="1"/>
    <xf numFmtId="168" fontId="13" fillId="0" borderId="0" xfId="0" applyNumberFormat="1" applyFont="1"/>
    <xf numFmtId="3" fontId="13" fillId="0" borderId="0" xfId="0" applyNumberFormat="1" applyFont="1" applyFill="1" applyBorder="1"/>
    <xf numFmtId="0" fontId="23" fillId="0" borderId="0" xfId="0" applyFont="1" applyBorder="1" applyAlignment="1">
      <alignment wrapText="1"/>
    </xf>
    <xf numFmtId="3" fontId="13" fillId="0" borderId="12" xfId="0" applyNumberFormat="1" applyFont="1" applyBorder="1" applyAlignment="1">
      <alignment horizontal="right"/>
    </xf>
    <xf numFmtId="2" fontId="13" fillId="0" borderId="12" xfId="0" applyNumberFormat="1" applyFont="1" applyBorder="1" applyAlignment="1">
      <alignment horizontal="right"/>
    </xf>
    <xf numFmtId="3" fontId="13" fillId="0" borderId="12" xfId="0" applyNumberFormat="1" applyFont="1" applyFill="1" applyBorder="1" applyAlignment="1">
      <alignment horizontal="right"/>
    </xf>
    <xf numFmtId="0" fontId="15" fillId="3" borderId="14" xfId="0" applyFont="1" applyFill="1" applyBorder="1" applyAlignment="1">
      <alignment wrapText="1"/>
    </xf>
    <xf numFmtId="0" fontId="0" fillId="0" borderId="3" xfId="0" applyFont="1" applyFill="1" applyBorder="1"/>
    <xf numFmtId="0" fontId="0" fillId="0" borderId="0" xfId="0" applyFont="1" applyFill="1" applyBorder="1"/>
    <xf numFmtId="0" fontId="0" fillId="0" borderId="4" xfId="0" applyFont="1" applyFill="1" applyBorder="1"/>
    <xf numFmtId="2" fontId="0" fillId="0" borderId="0" xfId="0" applyNumberFormat="1" applyFont="1" applyFill="1" applyBorder="1"/>
    <xf numFmtId="168" fontId="0" fillId="0" borderId="0" xfId="0" applyNumberFormat="1" applyFont="1" applyFill="1"/>
    <xf numFmtId="169" fontId="0" fillId="0" borderId="0" xfId="0" applyNumberFormat="1" applyFont="1" applyFill="1"/>
    <xf numFmtId="0" fontId="0" fillId="0" borderId="0" xfId="0" applyFont="1" applyAlignment="1"/>
    <xf numFmtId="0" fontId="0" fillId="0" borderId="0" xfId="0" applyFont="1" applyBorder="1" applyAlignment="1"/>
    <xf numFmtId="3" fontId="13" fillId="2" borderId="0" xfId="0" applyNumberFormat="1" applyFont="1" applyFill="1" applyBorder="1" applyAlignment="1"/>
    <xf numFmtId="3" fontId="13" fillId="0" borderId="0" xfId="0" applyNumberFormat="1" applyFont="1" applyFill="1" applyBorder="1" applyAlignment="1"/>
    <xf numFmtId="3" fontId="13" fillId="0" borderId="12" xfId="0" applyNumberFormat="1" applyFont="1" applyFill="1" applyBorder="1"/>
    <xf numFmtId="0" fontId="13" fillId="0" borderId="0" xfId="0" applyFont="1" applyFill="1" applyBorder="1" applyAlignment="1">
      <alignment wrapText="1"/>
    </xf>
    <xf numFmtId="0" fontId="15" fillId="0" borderId="0" xfId="0" applyFont="1" applyFill="1" applyBorder="1" applyAlignment="1">
      <alignment wrapText="1"/>
    </xf>
    <xf numFmtId="0" fontId="0" fillId="0" borderId="0" xfId="0" applyFont="1" applyFill="1" applyBorder="1" applyAlignment="1">
      <alignment wrapText="1"/>
    </xf>
    <xf numFmtId="0" fontId="13" fillId="0" borderId="16" xfId="0" applyFont="1" applyBorder="1" applyAlignment="1">
      <alignment wrapText="1"/>
    </xf>
    <xf numFmtId="3" fontId="13" fillId="0" borderId="11" xfId="0" applyNumberFormat="1" applyFont="1" applyBorder="1" applyAlignment="1">
      <alignment wrapText="1"/>
    </xf>
    <xf numFmtId="3" fontId="16" fillId="0" borderId="12" xfId="0" applyNumberFormat="1" applyFont="1" applyBorder="1" applyAlignment="1">
      <alignment wrapText="1"/>
    </xf>
    <xf numFmtId="170" fontId="13" fillId="0" borderId="0" xfId="0" applyNumberFormat="1" applyFont="1" applyBorder="1" applyAlignment="1">
      <alignment wrapText="1"/>
    </xf>
    <xf numFmtId="4" fontId="13" fillId="0" borderId="13" xfId="0" applyNumberFormat="1" applyFont="1" applyBorder="1" applyAlignment="1">
      <alignment wrapText="1"/>
    </xf>
    <xf numFmtId="164" fontId="13" fillId="0" borderId="0" xfId="0" applyNumberFormat="1" applyFont="1" applyBorder="1" applyAlignment="1">
      <alignment wrapText="1"/>
    </xf>
    <xf numFmtId="3" fontId="13" fillId="0" borderId="12" xfId="0" applyNumberFormat="1" applyFont="1" applyBorder="1" applyAlignment="1">
      <alignment wrapText="1"/>
    </xf>
    <xf numFmtId="2" fontId="13" fillId="0" borderId="12" xfId="0" applyNumberFormat="1" applyFont="1" applyBorder="1" applyAlignment="1">
      <alignment wrapText="1"/>
    </xf>
    <xf numFmtId="3" fontId="13" fillId="0" borderId="12" xfId="0" applyNumberFormat="1" applyFont="1" applyFill="1" applyBorder="1" applyAlignment="1">
      <alignment wrapText="1"/>
    </xf>
    <xf numFmtId="3" fontId="13" fillId="0" borderId="11" xfId="0" applyNumberFormat="1" applyFont="1" applyFill="1" applyBorder="1" applyAlignment="1">
      <alignment wrapText="1"/>
    </xf>
    <xf numFmtId="3" fontId="13" fillId="0" borderId="0" xfId="0" applyNumberFormat="1" applyFont="1" applyFill="1" applyBorder="1" applyAlignment="1">
      <alignment wrapText="1"/>
    </xf>
    <xf numFmtId="4" fontId="13" fillId="0" borderId="13" xfId="0" applyNumberFormat="1" applyFont="1" applyFill="1" applyBorder="1" applyAlignment="1">
      <alignment wrapText="1"/>
    </xf>
    <xf numFmtId="4" fontId="13" fillId="0" borderId="0" xfId="0" applyNumberFormat="1" applyFont="1" applyFill="1" applyBorder="1" applyAlignment="1">
      <alignment wrapText="1"/>
    </xf>
    <xf numFmtId="2" fontId="13" fillId="0" borderId="12" xfId="0" applyNumberFormat="1" applyFont="1" applyFill="1" applyBorder="1" applyAlignment="1">
      <alignment wrapText="1"/>
    </xf>
    <xf numFmtId="3" fontId="13" fillId="0" borderId="3" xfId="0" applyNumberFormat="1" applyFont="1" applyFill="1" applyBorder="1" applyAlignment="1">
      <alignment wrapText="1"/>
    </xf>
    <xf numFmtId="3" fontId="13" fillId="0" borderId="4" xfId="0" applyNumberFormat="1" applyFont="1" applyFill="1" applyBorder="1" applyAlignment="1">
      <alignment wrapText="1"/>
    </xf>
    <xf numFmtId="0" fontId="13" fillId="0" borderId="0" xfId="0" applyFont="1" applyBorder="1" applyAlignment="1">
      <alignment wrapText="1"/>
    </xf>
    <xf numFmtId="4" fontId="13" fillId="0" borderId="4" xfId="0" applyNumberFormat="1" applyFont="1" applyFill="1" applyBorder="1" applyAlignment="1">
      <alignment wrapText="1"/>
    </xf>
    <xf numFmtId="168" fontId="0" fillId="0" borderId="0" xfId="0" applyNumberFormat="1" applyFont="1" applyFill="1" applyBorder="1"/>
    <xf numFmtId="0" fontId="13" fillId="0" borderId="16" xfId="0" applyFont="1" applyFill="1" applyBorder="1" applyAlignment="1">
      <alignment wrapText="1"/>
    </xf>
    <xf numFmtId="0" fontId="0" fillId="0" borderId="5" xfId="0" applyFont="1" applyBorder="1"/>
    <xf numFmtId="0" fontId="0" fillId="0" borderId="9" xfId="0" applyFont="1" applyBorder="1"/>
    <xf numFmtId="0" fontId="0" fillId="0" borderId="6" xfId="0" applyFont="1" applyBorder="1"/>
    <xf numFmtId="3" fontId="14" fillId="0" borderId="0" xfId="0" applyNumberFormat="1" applyFont="1" applyBorder="1"/>
    <xf numFmtId="0" fontId="14" fillId="0" borderId="0" xfId="0" applyFont="1" applyBorder="1"/>
    <xf numFmtId="3" fontId="18" fillId="0" borderId="0" xfId="0" applyNumberFormat="1" applyFont="1" applyBorder="1"/>
    <xf numFmtId="3" fontId="19" fillId="0" borderId="0" xfId="0" applyNumberFormat="1" applyFont="1" applyBorder="1"/>
    <xf numFmtId="0" fontId="12" fillId="0" borderId="0" xfId="0" applyFont="1" applyBorder="1" applyAlignment="1">
      <alignment wrapText="1"/>
    </xf>
    <xf numFmtId="0" fontId="0" fillId="0" borderId="0" xfId="0" applyAlignment="1">
      <alignment horizontal="center" vertical="center" wrapText="1"/>
    </xf>
    <xf numFmtId="0" fontId="24" fillId="0" borderId="0" xfId="0" applyFont="1"/>
    <xf numFmtId="0" fontId="11" fillId="0" borderId="0" xfId="0" applyFont="1"/>
    <xf numFmtId="0" fontId="26" fillId="0" borderId="0" xfId="0" applyFont="1" applyAlignment="1">
      <alignment horizontal="right"/>
    </xf>
    <xf numFmtId="0" fontId="25" fillId="0" borderId="0" xfId="0" applyFont="1" applyAlignment="1">
      <alignment horizontal="center"/>
    </xf>
    <xf numFmtId="0" fontId="26" fillId="0" borderId="0" xfId="0" applyFont="1" applyAlignment="1">
      <alignment horizontal="center"/>
    </xf>
    <xf numFmtId="3" fontId="11" fillId="0" borderId="0" xfId="0" applyNumberFormat="1" applyFont="1"/>
    <xf numFmtId="0" fontId="11" fillId="0" borderId="0" xfId="0" applyFont="1" applyAlignment="1">
      <alignment wrapText="1"/>
    </xf>
    <xf numFmtId="0" fontId="25" fillId="0" borderId="0" xfId="0" applyFont="1"/>
    <xf numFmtId="165" fontId="11" fillId="0" borderId="0" xfId="0" applyNumberFormat="1" applyFont="1"/>
    <xf numFmtId="166" fontId="11" fillId="0" borderId="0" xfId="0" applyNumberFormat="1" applyFont="1"/>
    <xf numFmtId="0" fontId="26" fillId="0" borderId="9" xfId="0" applyFont="1" applyBorder="1" applyAlignment="1">
      <alignment horizontal="center"/>
    </xf>
    <xf numFmtId="0" fontId="25" fillId="0" borderId="0" xfId="0" applyFont="1" applyAlignment="1">
      <alignment horizontal="center" wrapText="1"/>
    </xf>
    <xf numFmtId="0" fontId="25" fillId="0" borderId="9" xfId="0" applyFont="1" applyBorder="1" applyAlignment="1">
      <alignment horizontal="center"/>
    </xf>
    <xf numFmtId="0" fontId="0" fillId="0" borderId="0" xfId="0" applyAlignment="1">
      <alignment horizontal="left"/>
    </xf>
    <xf numFmtId="166" fontId="25" fillId="0" borderId="0" xfId="0" applyNumberFormat="1" applyFont="1"/>
    <xf numFmtId="0" fontId="27" fillId="0" borderId="0" xfId="0" applyFont="1" applyFill="1" applyBorder="1" applyAlignment="1">
      <alignment wrapText="1"/>
    </xf>
    <xf numFmtId="0" fontId="11" fillId="0" borderId="0" xfId="0" applyFont="1" applyBorder="1"/>
    <xf numFmtId="0" fontId="26" fillId="0" borderId="0" xfId="0" applyFont="1" applyBorder="1" applyAlignment="1">
      <alignment horizontal="center"/>
    </xf>
    <xf numFmtId="0" fontId="28" fillId="0" borderId="0" xfId="0" applyFont="1" applyFill="1" applyBorder="1" applyAlignment="1">
      <alignment wrapText="1"/>
    </xf>
    <xf numFmtId="0" fontId="29" fillId="0" borderId="0" xfId="0" applyFont="1" applyFill="1" applyBorder="1" applyAlignment="1">
      <alignment wrapText="1"/>
    </xf>
    <xf numFmtId="0" fontId="26" fillId="0" borderId="0" xfId="0" applyFont="1" applyBorder="1" applyAlignment="1">
      <alignment horizontal="center" wrapText="1"/>
    </xf>
    <xf numFmtId="171" fontId="28" fillId="0" borderId="0" xfId="0" applyNumberFormat="1" applyFont="1" applyFill="1" applyBorder="1" applyAlignment="1">
      <alignment wrapText="1"/>
    </xf>
    <xf numFmtId="171" fontId="29" fillId="0" borderId="0" xfId="0" applyNumberFormat="1" applyFont="1" applyFill="1" applyBorder="1" applyAlignment="1">
      <alignment wrapText="1"/>
    </xf>
    <xf numFmtId="171" fontId="0" fillId="0" borderId="0" xfId="0" applyNumberFormat="1"/>
    <xf numFmtId="172" fontId="0" fillId="0" borderId="0" xfId="0" applyNumberFormat="1"/>
    <xf numFmtId="0" fontId="25" fillId="0" borderId="0" xfId="0" applyFont="1" applyAlignment="1">
      <alignment horizontal="center" vertical="center"/>
    </xf>
    <xf numFmtId="0" fontId="11" fillId="0" borderId="9" xfId="0" applyFont="1" applyBorder="1"/>
    <xf numFmtId="0" fontId="31" fillId="0" borderId="0" xfId="0" applyFont="1"/>
    <xf numFmtId="0" fontId="11" fillId="0" borderId="0" xfId="0" applyFont="1" applyAlignment="1">
      <alignment vertical="center" wrapText="1"/>
    </xf>
    <xf numFmtId="0" fontId="11" fillId="0" borderId="0" xfId="0" applyFont="1" applyAlignment="1">
      <alignment vertical="center"/>
    </xf>
    <xf numFmtId="0" fontId="13" fillId="0" borderId="0" xfId="0" applyFont="1" applyAlignment="1">
      <alignment horizontal="left"/>
    </xf>
    <xf numFmtId="3" fontId="13" fillId="0" borderId="0" xfId="0" applyNumberFormat="1" applyFont="1" applyAlignment="1">
      <alignment horizontal="right"/>
    </xf>
    <xf numFmtId="3" fontId="14" fillId="2" borderId="7" xfId="0" applyNumberFormat="1" applyFont="1" applyFill="1" applyBorder="1" applyAlignment="1">
      <alignment horizontal="center"/>
    </xf>
    <xf numFmtId="0" fontId="13" fillId="0" borderId="0" xfId="0" applyFont="1" applyFill="1" applyAlignment="1">
      <alignment horizontal="left"/>
    </xf>
    <xf numFmtId="3" fontId="14" fillId="0" borderId="7" xfId="0" applyNumberFormat="1" applyFont="1" applyFill="1" applyBorder="1" applyAlignment="1">
      <alignment horizontal="center"/>
    </xf>
    <xf numFmtId="3" fontId="13" fillId="0" borderId="7" xfId="0" applyNumberFormat="1" applyFont="1" applyBorder="1" applyAlignment="1">
      <alignment horizontal="center"/>
    </xf>
    <xf numFmtId="0" fontId="13" fillId="0" borderId="0" xfId="0" applyFont="1" applyFill="1" applyBorder="1" applyAlignment="1">
      <alignment horizontal="center"/>
    </xf>
    <xf numFmtId="2" fontId="13" fillId="0" borderId="0" xfId="0" applyNumberFormat="1" applyFont="1" applyBorder="1" applyAlignment="1">
      <alignment horizontal="right"/>
    </xf>
    <xf numFmtId="173" fontId="14" fillId="2" borderId="0" xfId="0" applyNumberFormat="1" applyFont="1" applyFill="1" applyBorder="1" applyAlignment="1">
      <alignment horizontal="center"/>
    </xf>
    <xf numFmtId="174" fontId="13" fillId="0" borderId="0" xfId="0" applyNumberFormat="1" applyFont="1" applyAlignment="1">
      <alignment horizontal="center"/>
    </xf>
    <xf numFmtId="173" fontId="13" fillId="0" borderId="0" xfId="0" applyNumberFormat="1" applyFont="1"/>
    <xf numFmtId="175" fontId="13" fillId="0" borderId="0" xfId="0" applyNumberFormat="1" applyFont="1" applyAlignment="1">
      <alignment horizontal="center"/>
    </xf>
    <xf numFmtId="176" fontId="13" fillId="0" borderId="0" xfId="0" applyNumberFormat="1" applyFont="1"/>
    <xf numFmtId="0" fontId="16" fillId="0" borderId="17" xfId="0" applyFont="1" applyFill="1" applyBorder="1" applyAlignment="1">
      <alignment horizontal="center"/>
    </xf>
    <xf numFmtId="2" fontId="15" fillId="0" borderId="0" xfId="0" applyNumberFormat="1" applyFont="1" applyBorder="1" applyAlignment="1">
      <alignment horizontal="center"/>
    </xf>
    <xf numFmtId="0" fontId="13" fillId="0" borderId="0" xfId="0" applyFont="1" applyFill="1" applyAlignment="1">
      <alignment horizontal="right"/>
    </xf>
    <xf numFmtId="0" fontId="18" fillId="0" borderId="0" xfId="0" applyFont="1" applyFill="1" applyBorder="1" applyAlignment="1">
      <alignment horizontal="center" vertical="center"/>
    </xf>
    <xf numFmtId="177" fontId="13" fillId="0" borderId="0" xfId="0" applyNumberFormat="1" applyFont="1"/>
    <xf numFmtId="178" fontId="13" fillId="0" borderId="0" xfId="0" applyNumberFormat="1" applyFont="1"/>
    <xf numFmtId="49" fontId="14" fillId="0" borderId="0" xfId="0" applyNumberFormat="1" applyFont="1" applyFill="1" applyBorder="1" applyAlignment="1"/>
    <xf numFmtId="49" fontId="20" fillId="0" borderId="8" xfId="0" applyNumberFormat="1" applyFont="1" applyFill="1" applyBorder="1" applyAlignment="1">
      <alignment horizontal="right"/>
    </xf>
    <xf numFmtId="0" fontId="16" fillId="0" borderId="0" xfId="0" applyFont="1" applyFill="1" applyBorder="1" applyAlignment="1">
      <alignment horizontal="right"/>
    </xf>
    <xf numFmtId="0" fontId="15" fillId="0" borderId="0" xfId="0" applyFont="1" applyBorder="1" applyAlignment="1">
      <alignment horizontal="right"/>
    </xf>
    <xf numFmtId="0" fontId="13" fillId="0" borderId="10" xfId="0" applyFont="1" applyFill="1" applyBorder="1" applyAlignment="1">
      <alignment vertical="top" wrapText="1"/>
    </xf>
    <xf numFmtId="4" fontId="13" fillId="0" borderId="0" xfId="0" applyNumberFormat="1" applyFont="1" applyFill="1" applyBorder="1"/>
    <xf numFmtId="49" fontId="33" fillId="0" borderId="0" xfId="0" applyNumberFormat="1" applyFont="1" applyBorder="1" applyAlignment="1">
      <alignment horizontal="right"/>
    </xf>
    <xf numFmtId="49" fontId="33" fillId="0" borderId="0" xfId="0" applyNumberFormat="1" applyFont="1" applyFill="1" applyBorder="1" applyAlignment="1">
      <alignment horizontal="right"/>
    </xf>
    <xf numFmtId="3" fontId="16" fillId="2" borderId="0" xfId="0" applyNumberFormat="1" applyFont="1" applyFill="1" applyBorder="1"/>
    <xf numFmtId="3" fontId="16" fillId="0" borderId="0" xfId="0" applyNumberFormat="1" applyFont="1" applyFill="1" applyBorder="1"/>
    <xf numFmtId="3" fontId="13" fillId="0" borderId="0" xfId="0" applyNumberFormat="1" applyFont="1" applyFill="1" applyBorder="1" applyAlignment="1">
      <alignment horizontal="right"/>
    </xf>
    <xf numFmtId="3" fontId="13" fillId="0" borderId="0" xfId="0" applyNumberFormat="1" applyFont="1" applyBorder="1" applyAlignment="1">
      <alignment horizontal="right"/>
    </xf>
    <xf numFmtId="0" fontId="13" fillId="0" borderId="0" xfId="0" applyFont="1" applyFill="1" applyBorder="1"/>
    <xf numFmtId="3" fontId="20" fillId="2" borderId="0" xfId="0" applyNumberFormat="1" applyFont="1" applyFill="1" applyBorder="1"/>
    <xf numFmtId="3" fontId="20" fillId="0" borderId="0" xfId="0" applyNumberFormat="1" applyFont="1" applyFill="1" applyBorder="1"/>
    <xf numFmtId="3" fontId="20" fillId="2" borderId="0" xfId="0" applyNumberFormat="1" applyFont="1" applyFill="1" applyBorder="1" applyAlignment="1"/>
    <xf numFmtId="3" fontId="20" fillId="0" borderId="0" xfId="0" applyNumberFormat="1" applyFont="1" applyFill="1" applyBorder="1" applyAlignment="1"/>
    <xf numFmtId="3" fontId="13" fillId="0" borderId="3" xfId="0" applyNumberFormat="1" applyFont="1" applyBorder="1"/>
    <xf numFmtId="2" fontId="13" fillId="0" borderId="0" xfId="0" applyNumberFormat="1" applyFont="1" applyBorder="1"/>
    <xf numFmtId="168" fontId="13" fillId="0" borderId="0" xfId="0" applyNumberFormat="1" applyFont="1" applyBorder="1"/>
    <xf numFmtId="169" fontId="13" fillId="0" borderId="0" xfId="0" applyNumberFormat="1" applyFont="1" applyBorder="1"/>
    <xf numFmtId="2" fontId="13" fillId="0" borderId="13" xfId="0" applyNumberFormat="1" applyFont="1" applyBorder="1"/>
    <xf numFmtId="4" fontId="13" fillId="0" borderId="12" xfId="0" applyNumberFormat="1" applyFont="1" applyBorder="1"/>
    <xf numFmtId="2" fontId="13" fillId="0" borderId="4" xfId="0" applyNumberFormat="1" applyFont="1" applyBorder="1"/>
    <xf numFmtId="0" fontId="13" fillId="0" borderId="10" xfId="0" applyFont="1" applyFill="1" applyBorder="1" applyAlignment="1">
      <alignment horizontal="left" vertical="top" wrapText="1"/>
    </xf>
    <xf numFmtId="9" fontId="0" fillId="0" borderId="0" xfId="1" applyFont="1" applyFill="1" applyBorder="1"/>
    <xf numFmtId="3" fontId="13" fillId="0" borderId="3" xfId="0" applyNumberFormat="1" applyFont="1" applyFill="1" applyBorder="1"/>
    <xf numFmtId="0" fontId="13" fillId="0" borderId="0" xfId="0" applyFont="1" applyFill="1" applyBorder="1" applyAlignment="1"/>
    <xf numFmtId="0" fontId="0" fillId="0" borderId="0" xfId="0" applyFill="1" applyBorder="1"/>
    <xf numFmtId="3" fontId="13" fillId="2" borderId="3" xfId="151" applyNumberFormat="1" applyFont="1" applyFill="1" applyBorder="1"/>
    <xf numFmtId="179" fontId="0" fillId="0" borderId="4" xfId="0" applyNumberFormat="1" applyFont="1" applyBorder="1"/>
    <xf numFmtId="0" fontId="13" fillId="0" borderId="0" xfId="0" applyFont="1" applyFill="1" applyBorder="1" applyAlignment="1">
      <alignment horizontal="left"/>
    </xf>
    <xf numFmtId="3" fontId="13" fillId="0" borderId="11" xfId="151" applyNumberFormat="1" applyFont="1" applyFill="1" applyBorder="1"/>
    <xf numFmtId="4" fontId="0" fillId="0" borderId="13" xfId="0" applyNumberFormat="1" applyFont="1" applyBorder="1"/>
    <xf numFmtId="3" fontId="13" fillId="2" borderId="12" xfId="0" applyNumberFormat="1" applyFont="1" applyFill="1" applyBorder="1"/>
    <xf numFmtId="3" fontId="13" fillId="0" borderId="0" xfId="151" applyNumberFormat="1" applyFont="1" applyFill="1" applyBorder="1"/>
    <xf numFmtId="3" fontId="0" fillId="0" borderId="12" xfId="0" applyNumberFormat="1" applyFont="1" applyBorder="1"/>
    <xf numFmtId="179" fontId="0" fillId="0" borderId="13" xfId="0" applyNumberFormat="1" applyFont="1" applyBorder="1"/>
    <xf numFmtId="3" fontId="13" fillId="0" borderId="12" xfId="151" applyNumberFormat="1" applyFont="1" applyFill="1" applyBorder="1"/>
    <xf numFmtId="3" fontId="13" fillId="0" borderId="3" xfId="151" applyNumberFormat="1" applyFont="1" applyFill="1" applyBorder="1"/>
    <xf numFmtId="3" fontId="0" fillId="0" borderId="3" xfId="0" applyNumberFormat="1" applyFill="1" applyBorder="1" applyAlignment="1"/>
    <xf numFmtId="3" fontId="0" fillId="0" borderId="0" xfId="0" applyNumberFormat="1" applyFill="1" applyBorder="1" applyAlignment="1"/>
    <xf numFmtId="180" fontId="34" fillId="0" borderId="0" xfId="146" applyNumberFormat="1" applyFont="1" applyFill="1" applyBorder="1" applyAlignment="1">
      <alignment wrapText="1"/>
    </xf>
    <xf numFmtId="3" fontId="13" fillId="0" borderId="11" xfId="0" applyNumberFormat="1" applyFont="1" applyFill="1" applyBorder="1"/>
    <xf numFmtId="4" fontId="13" fillId="0" borderId="12" xfId="0" applyNumberFormat="1" applyFont="1" applyFill="1" applyBorder="1"/>
    <xf numFmtId="179" fontId="13" fillId="0" borderId="12" xfId="0" applyNumberFormat="1" applyFont="1" applyBorder="1"/>
    <xf numFmtId="181" fontId="13" fillId="0" borderId="12" xfId="0" applyNumberFormat="1" applyFont="1" applyBorder="1"/>
    <xf numFmtId="3" fontId="13" fillId="0" borderId="0" xfId="0" applyNumberFormat="1" applyFont="1" applyBorder="1" applyAlignment="1">
      <alignment wrapText="1"/>
    </xf>
    <xf numFmtId="3" fontId="13" fillId="0" borderId="3" xfId="0" applyNumberFormat="1" applyFont="1" applyBorder="1" applyAlignment="1">
      <alignment wrapText="1"/>
    </xf>
    <xf numFmtId="3" fontId="16" fillId="0" borderId="0" xfId="0" applyNumberFormat="1" applyFont="1" applyBorder="1" applyAlignment="1">
      <alignment wrapText="1"/>
    </xf>
    <xf numFmtId="4" fontId="13" fillId="0" borderId="4" xfId="0" applyNumberFormat="1" applyFont="1" applyBorder="1" applyAlignment="1">
      <alignment wrapText="1"/>
    </xf>
    <xf numFmtId="2" fontId="13" fillId="0" borderId="0" xfId="0" applyNumberFormat="1" applyFont="1" applyBorder="1" applyAlignment="1">
      <alignment wrapText="1"/>
    </xf>
    <xf numFmtId="168" fontId="13" fillId="0" borderId="0" xfId="0" applyNumberFormat="1" applyFont="1" applyBorder="1" applyAlignment="1">
      <alignment wrapText="1"/>
    </xf>
    <xf numFmtId="4" fontId="13" fillId="0" borderId="12" xfId="0" applyNumberFormat="1" applyFont="1" applyBorder="1" applyAlignment="1">
      <alignment wrapText="1"/>
    </xf>
    <xf numFmtId="168" fontId="13" fillId="0" borderId="0" xfId="0" applyNumberFormat="1" applyFont="1" applyFill="1" applyBorder="1"/>
    <xf numFmtId="169" fontId="13" fillId="0" borderId="0" xfId="0" applyNumberFormat="1" applyFont="1" applyFill="1" applyBorder="1"/>
    <xf numFmtId="2" fontId="13" fillId="0" borderId="0" xfId="0" applyNumberFormat="1" applyFont="1" applyFill="1" applyBorder="1" applyAlignment="1">
      <alignment wrapText="1"/>
    </xf>
    <xf numFmtId="168" fontId="13" fillId="0" borderId="0" xfId="0" applyNumberFormat="1" applyFont="1" applyFill="1" applyBorder="1" applyAlignment="1">
      <alignment wrapText="1"/>
    </xf>
    <xf numFmtId="169" fontId="0" fillId="0" borderId="0" xfId="0" applyNumberFormat="1" applyFont="1" applyFill="1" applyBorder="1"/>
    <xf numFmtId="2" fontId="13" fillId="0" borderId="0" xfId="0" applyNumberFormat="1" applyFont="1" applyFill="1" applyBorder="1"/>
    <xf numFmtId="0" fontId="0" fillId="0" borderId="9" xfId="0" applyFont="1" applyFill="1" applyBorder="1"/>
    <xf numFmtId="0" fontId="14" fillId="0" borderId="0" xfId="0" applyFont="1" applyBorder="1" applyAlignment="1">
      <alignment horizontal="right"/>
    </xf>
    <xf numFmtId="3" fontId="14" fillId="0" borderId="0" xfId="0" applyNumberFormat="1" applyFont="1"/>
    <xf numFmtId="3" fontId="14" fillId="0" borderId="0" xfId="0" applyNumberFormat="1" applyFont="1" applyBorder="1" applyAlignment="1">
      <alignment horizontal="right"/>
    </xf>
    <xf numFmtId="3" fontId="18" fillId="2" borderId="7" xfId="0" applyNumberFormat="1" applyFont="1" applyFill="1" applyBorder="1"/>
    <xf numFmtId="9" fontId="0" fillId="0" borderId="0" xfId="1" applyFont="1"/>
    <xf numFmtId="15" fontId="13" fillId="2" borderId="0" xfId="0" applyNumberFormat="1" applyFont="1" applyFill="1"/>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35" fillId="0" borderId="0" xfId="0" applyFont="1"/>
    <xf numFmtId="0" fontId="30" fillId="0" borderId="0" xfId="0" applyFont="1"/>
    <xf numFmtId="166" fontId="30" fillId="0" borderId="0" xfId="0" applyNumberFormat="1" applyFont="1"/>
    <xf numFmtId="0" fontId="12" fillId="0" borderId="0" xfId="0" applyFont="1" applyAlignment="1">
      <alignment vertical="center" wrapText="1"/>
    </xf>
    <xf numFmtId="0" fontId="12" fillId="0" borderId="0" xfId="0" applyFont="1" applyAlignment="1">
      <alignment vertical="center"/>
    </xf>
    <xf numFmtId="0" fontId="30" fillId="0" borderId="0" xfId="0" applyFont="1" applyAlignment="1">
      <alignment horizontal="center" vertical="center" wrapText="1"/>
    </xf>
    <xf numFmtId="0" fontId="13" fillId="0" borderId="0" xfId="152" applyFont="1"/>
    <xf numFmtId="3" fontId="13" fillId="0" borderId="0" xfId="152" applyNumberFormat="1" applyFont="1"/>
    <xf numFmtId="3" fontId="13" fillId="0" borderId="0" xfId="152" applyNumberFormat="1" applyFont="1" applyFill="1"/>
    <xf numFmtId="2" fontId="13" fillId="0" borderId="0" xfId="152" applyNumberFormat="1" applyFont="1"/>
    <xf numFmtId="0" fontId="14" fillId="5" borderId="0" xfId="152" applyFont="1" applyFill="1"/>
    <xf numFmtId="0" fontId="13" fillId="5" borderId="0" xfId="152" applyFont="1" applyFill="1"/>
    <xf numFmtId="3" fontId="13" fillId="5" borderId="0" xfId="152" applyNumberFormat="1" applyFont="1" applyFill="1"/>
    <xf numFmtId="2" fontId="13" fillId="5" borderId="0" xfId="152" applyNumberFormat="1" applyFont="1" applyFill="1"/>
    <xf numFmtId="0" fontId="13" fillId="0" borderId="0" xfId="152" applyFont="1" applyFill="1"/>
    <xf numFmtId="0" fontId="15" fillId="0" borderId="0" xfId="152" applyFont="1" applyBorder="1"/>
    <xf numFmtId="0" fontId="13" fillId="0" borderId="0" xfId="152" applyFont="1" applyBorder="1"/>
    <xf numFmtId="0" fontId="13" fillId="0" borderId="0" xfId="152" applyFont="1" applyAlignment="1">
      <alignment horizontal="center"/>
    </xf>
    <xf numFmtId="0" fontId="13" fillId="0" borderId="0" xfId="152" applyFont="1" applyAlignment="1">
      <alignment horizontal="left"/>
    </xf>
    <xf numFmtId="0" fontId="16" fillId="2" borderId="7" xfId="152" applyFont="1" applyFill="1" applyBorder="1" applyAlignment="1">
      <alignment horizontal="center"/>
    </xf>
    <xf numFmtId="3" fontId="13" fillId="0" borderId="0" xfId="152" applyNumberFormat="1" applyFont="1" applyAlignment="1">
      <alignment horizontal="left"/>
    </xf>
    <xf numFmtId="0" fontId="13" fillId="0" borderId="0" xfId="152" applyFont="1" applyFill="1" applyBorder="1"/>
    <xf numFmtId="3" fontId="14" fillId="2" borderId="7" xfId="152" applyNumberFormat="1" applyFont="1" applyFill="1" applyBorder="1" applyAlignment="1">
      <alignment horizontal="center"/>
    </xf>
    <xf numFmtId="0" fontId="16" fillId="0" borderId="0" xfId="152" applyFont="1" applyFill="1" applyBorder="1" applyAlignment="1">
      <alignment horizontal="center"/>
    </xf>
    <xf numFmtId="9" fontId="13" fillId="0" borderId="0" xfId="153" applyFont="1" applyBorder="1" applyAlignment="1">
      <alignment horizontal="center"/>
    </xf>
    <xf numFmtId="3" fontId="16" fillId="0" borderId="0" xfId="152" applyNumberFormat="1" applyFont="1" applyFill="1" applyBorder="1" applyAlignment="1">
      <alignment horizontal="center"/>
    </xf>
    <xf numFmtId="0" fontId="32" fillId="0" borderId="0" xfId="152" applyFont="1"/>
    <xf numFmtId="17" fontId="17" fillId="0" borderId="0" xfId="152" applyNumberFormat="1" applyFont="1" applyBorder="1" applyAlignment="1">
      <alignment horizontal="left"/>
    </xf>
    <xf numFmtId="0" fontId="18" fillId="0" borderId="0" xfId="152" applyFont="1" applyBorder="1" applyAlignment="1">
      <alignment horizontal="center" vertical="center"/>
    </xf>
    <xf numFmtId="3" fontId="13" fillId="0" borderId="0" xfId="152" applyNumberFormat="1" applyFont="1" applyFill="1" applyAlignment="1">
      <alignment horizontal="center"/>
    </xf>
    <xf numFmtId="0" fontId="32" fillId="0" borderId="0" xfId="152" applyFont="1" applyFill="1"/>
    <xf numFmtId="3" fontId="32" fillId="0" borderId="0" xfId="152" applyNumberFormat="1" applyFont="1"/>
    <xf numFmtId="0" fontId="32" fillId="0" borderId="0" xfId="152" applyFont="1" applyFill="1" applyBorder="1"/>
    <xf numFmtId="3" fontId="32" fillId="0" borderId="0" xfId="152" applyNumberFormat="1" applyFont="1" applyFill="1" applyBorder="1"/>
    <xf numFmtId="2" fontId="32" fillId="0" borderId="0" xfId="152" applyNumberFormat="1" applyFont="1" applyFill="1" applyBorder="1"/>
    <xf numFmtId="0" fontId="16" fillId="0" borderId="0" xfId="152" applyFont="1" applyBorder="1" applyAlignment="1">
      <alignment horizontal="center"/>
    </xf>
    <xf numFmtId="3" fontId="32" fillId="0" borderId="0" xfId="152" applyNumberFormat="1" applyFont="1" applyFill="1"/>
    <xf numFmtId="2" fontId="32" fillId="0" borderId="0" xfId="152" applyNumberFormat="1" applyFont="1"/>
    <xf numFmtId="49" fontId="20" fillId="0" borderId="1" xfId="152" applyNumberFormat="1" applyFont="1" applyBorder="1" applyAlignment="1">
      <alignment horizontal="right"/>
    </xf>
    <xf numFmtId="0" fontId="21" fillId="0" borderId="8" xfId="152" applyFont="1" applyBorder="1"/>
    <xf numFmtId="49" fontId="20" fillId="0" borderId="8" xfId="152" applyNumberFormat="1" applyFont="1" applyBorder="1" applyAlignment="1">
      <alignment horizontal="right"/>
    </xf>
    <xf numFmtId="3" fontId="20" fillId="0" borderId="8" xfId="152" applyNumberFormat="1" applyFont="1" applyFill="1" applyBorder="1" applyAlignment="1">
      <alignment horizontal="center"/>
    </xf>
    <xf numFmtId="49" fontId="20" fillId="0" borderId="2" xfId="152" applyNumberFormat="1" applyFont="1" applyBorder="1" applyAlignment="1">
      <alignment horizontal="right"/>
    </xf>
    <xf numFmtId="49" fontId="20" fillId="0" borderId="0" xfId="152" applyNumberFormat="1" applyFont="1" applyAlignment="1">
      <alignment horizontal="right"/>
    </xf>
    <xf numFmtId="0" fontId="21" fillId="0" borderId="0" xfId="152" applyFont="1"/>
    <xf numFmtId="3" fontId="20" fillId="0" borderId="0" xfId="152" applyNumberFormat="1" applyFont="1" applyAlignment="1">
      <alignment horizontal="right"/>
    </xf>
    <xf numFmtId="2" fontId="20" fillId="0" borderId="0" xfId="152" applyNumberFormat="1" applyFont="1" applyAlignment="1">
      <alignment horizontal="right"/>
    </xf>
    <xf numFmtId="0" fontId="16" fillId="0" borderId="3" xfId="152" applyFont="1" applyBorder="1" applyAlignment="1">
      <alignment horizontal="right"/>
    </xf>
    <xf numFmtId="0" fontId="32" fillId="0" borderId="0" xfId="152" applyFont="1" applyBorder="1"/>
    <xf numFmtId="0" fontId="16" fillId="0" borderId="0" xfId="152" applyFont="1" applyBorder="1" applyAlignment="1">
      <alignment horizontal="right"/>
    </xf>
    <xf numFmtId="0" fontId="17" fillId="0" borderId="4" xfId="152" applyFont="1" applyBorder="1" applyAlignment="1">
      <alignment horizontal="right"/>
    </xf>
    <xf numFmtId="0" fontId="17" fillId="0" borderId="0" xfId="152" applyFont="1" applyBorder="1" applyAlignment="1">
      <alignment horizontal="right"/>
    </xf>
    <xf numFmtId="3" fontId="16" fillId="0" borderId="0" xfId="152" applyNumberFormat="1" applyFont="1" applyBorder="1" applyAlignment="1">
      <alignment horizontal="right"/>
    </xf>
    <xf numFmtId="3" fontId="16" fillId="0" borderId="0" xfId="152" applyNumberFormat="1" applyFont="1" applyFill="1" applyBorder="1" applyAlignment="1">
      <alignment horizontal="right"/>
    </xf>
    <xf numFmtId="3" fontId="17" fillId="0" borderId="0" xfId="152" applyNumberFormat="1" applyFont="1" applyBorder="1" applyAlignment="1">
      <alignment horizontal="right"/>
    </xf>
    <xf numFmtId="2" fontId="17" fillId="0" borderId="0" xfId="152" applyNumberFormat="1" applyFont="1" applyBorder="1" applyAlignment="1">
      <alignment horizontal="right"/>
    </xf>
    <xf numFmtId="0" fontId="17" fillId="0" borderId="3" xfId="152" applyFont="1" applyBorder="1" applyAlignment="1">
      <alignment horizontal="right"/>
    </xf>
    <xf numFmtId="0" fontId="22" fillId="0" borderId="0" xfId="152" applyFont="1" applyBorder="1"/>
    <xf numFmtId="0" fontId="15" fillId="0" borderId="0" xfId="152" applyFont="1" applyBorder="1" applyAlignment="1">
      <alignment horizontal="right"/>
    </xf>
    <xf numFmtId="0" fontId="22" fillId="0" borderId="0" xfId="152" applyFont="1"/>
    <xf numFmtId="3" fontId="17" fillId="0" borderId="0" xfId="152" applyNumberFormat="1" applyFont="1" applyFill="1" applyBorder="1" applyAlignment="1">
      <alignment horizontal="right"/>
    </xf>
    <xf numFmtId="0" fontId="13" fillId="0" borderId="18" xfId="152" applyFont="1" applyFill="1" applyBorder="1" applyAlignment="1">
      <alignment wrapText="1"/>
    </xf>
    <xf numFmtId="3" fontId="13" fillId="0" borderId="3" xfId="152" applyNumberFormat="1" applyFont="1" applyBorder="1"/>
    <xf numFmtId="3" fontId="13" fillId="0" borderId="0" xfId="152" applyNumberFormat="1" applyFont="1" applyBorder="1"/>
    <xf numFmtId="4" fontId="13" fillId="0" borderId="4" xfId="152" applyNumberFormat="1" applyFont="1" applyBorder="1"/>
    <xf numFmtId="4" fontId="13" fillId="0" borderId="0" xfId="152" applyNumberFormat="1" applyFont="1" applyBorder="1"/>
    <xf numFmtId="9" fontId="14" fillId="0" borderId="0" xfId="153" applyFont="1" applyBorder="1"/>
    <xf numFmtId="3" fontId="13" fillId="0" borderId="0" xfId="152" applyNumberFormat="1" applyFont="1" applyFill="1" applyBorder="1"/>
    <xf numFmtId="2" fontId="13" fillId="0" borderId="0" xfId="152" applyNumberFormat="1" applyFont="1" applyBorder="1"/>
    <xf numFmtId="168" fontId="13" fillId="0" borderId="0" xfId="152" applyNumberFormat="1" applyFont="1" applyBorder="1"/>
    <xf numFmtId="169" fontId="13" fillId="0" borderId="0" xfId="152" applyNumberFormat="1" applyFont="1" applyBorder="1"/>
    <xf numFmtId="0" fontId="36" fillId="6" borderId="19" xfId="152" applyFont="1" applyFill="1" applyBorder="1" applyAlignment="1">
      <alignment wrapText="1"/>
    </xf>
    <xf numFmtId="0" fontId="32" fillId="6" borderId="16" xfId="152" applyFont="1" applyFill="1" applyBorder="1"/>
    <xf numFmtId="3" fontId="13" fillId="6" borderId="20" xfId="152" applyNumberFormat="1" applyFont="1" applyFill="1" applyBorder="1"/>
    <xf numFmtId="3" fontId="13" fillId="6" borderId="16" xfId="152" applyNumberFormat="1" applyFont="1" applyFill="1" applyBorder="1"/>
    <xf numFmtId="4" fontId="13" fillId="6" borderId="21" xfId="152" applyNumberFormat="1" applyFont="1" applyFill="1" applyBorder="1"/>
    <xf numFmtId="4" fontId="13" fillId="6" borderId="16" xfId="152" applyNumberFormat="1" applyFont="1" applyFill="1" applyBorder="1"/>
    <xf numFmtId="9" fontId="14" fillId="6" borderId="16" xfId="153" applyFont="1" applyFill="1" applyBorder="1"/>
    <xf numFmtId="2" fontId="13" fillId="6" borderId="16" xfId="152" applyNumberFormat="1" applyFont="1" applyFill="1" applyBorder="1"/>
    <xf numFmtId="168" fontId="13" fillId="6" borderId="16" xfId="152" applyNumberFormat="1" applyFont="1" applyFill="1" applyBorder="1"/>
    <xf numFmtId="169" fontId="13" fillId="6" borderId="21" xfId="152" applyNumberFormat="1" applyFont="1" applyFill="1" applyBorder="1"/>
    <xf numFmtId="0" fontId="36" fillId="0" borderId="14" xfId="152" applyFont="1" applyFill="1" applyBorder="1" applyAlignment="1">
      <alignment wrapText="1"/>
    </xf>
    <xf numFmtId="0" fontId="32" fillId="0" borderId="0" xfId="152" applyFont="1" applyBorder="1" applyAlignment="1">
      <alignment wrapText="1"/>
    </xf>
    <xf numFmtId="3" fontId="32" fillId="0" borderId="3" xfId="152" applyNumberFormat="1" applyFont="1" applyBorder="1"/>
    <xf numFmtId="3" fontId="32" fillId="0" borderId="0" xfId="152" applyNumberFormat="1" applyFont="1" applyBorder="1"/>
    <xf numFmtId="182" fontId="32" fillId="0" borderId="4" xfId="152" applyNumberFormat="1" applyFont="1" applyBorder="1"/>
    <xf numFmtId="0" fontId="13" fillId="0" borderId="22" xfId="152" applyFont="1" applyFill="1" applyBorder="1" applyAlignment="1">
      <alignment wrapText="1"/>
    </xf>
    <xf numFmtId="3" fontId="32" fillId="0" borderId="11" xfId="152" applyNumberFormat="1" applyFont="1" applyBorder="1"/>
    <xf numFmtId="3" fontId="32" fillId="0" borderId="12" xfId="152" applyNumberFormat="1" applyFont="1" applyBorder="1"/>
    <xf numFmtId="179" fontId="32" fillId="0" borderId="13" xfId="152" applyNumberFormat="1" applyFont="1" applyBorder="1"/>
    <xf numFmtId="0" fontId="32" fillId="6" borderId="20" xfId="152" applyFont="1" applyFill="1" applyBorder="1"/>
    <xf numFmtId="0" fontId="32" fillId="6" borderId="21" xfId="152" applyFont="1" applyFill="1" applyBorder="1"/>
    <xf numFmtId="49" fontId="33" fillId="6" borderId="16" xfId="152" applyNumberFormat="1" applyFont="1" applyFill="1" applyBorder="1" applyAlignment="1">
      <alignment horizontal="right"/>
    </xf>
    <xf numFmtId="3" fontId="32" fillId="6" borderId="16" xfId="152" applyNumberFormat="1" applyFont="1" applyFill="1" applyBorder="1"/>
    <xf numFmtId="2" fontId="32" fillId="6" borderId="16" xfId="152" applyNumberFormat="1" applyFont="1" applyFill="1" applyBorder="1"/>
    <xf numFmtId="168" fontId="32" fillId="6" borderId="16" xfId="152" applyNumberFormat="1" applyFont="1" applyFill="1" applyBorder="1"/>
    <xf numFmtId="169" fontId="32" fillId="6" borderId="21" xfId="152" applyNumberFormat="1" applyFont="1" applyFill="1" applyBorder="1"/>
    <xf numFmtId="0" fontId="15" fillId="3" borderId="14" xfId="152" applyFont="1" applyFill="1" applyBorder="1" applyAlignment="1">
      <alignment wrapText="1"/>
    </xf>
    <xf numFmtId="0" fontId="32" fillId="0" borderId="3" xfId="152" applyFont="1" applyBorder="1"/>
    <xf numFmtId="0" fontId="32" fillId="0" borderId="4" xfId="152" applyFont="1" applyBorder="1"/>
    <xf numFmtId="49" fontId="33" fillId="0" borderId="0" xfId="152" applyNumberFormat="1" applyFont="1" applyBorder="1" applyAlignment="1">
      <alignment horizontal="right"/>
    </xf>
    <xf numFmtId="49" fontId="33" fillId="0" borderId="0" xfId="152" applyNumberFormat="1" applyFont="1" applyFill="1" applyBorder="1" applyAlignment="1">
      <alignment horizontal="right"/>
    </xf>
    <xf numFmtId="2" fontId="32" fillId="0" borderId="0" xfId="152" applyNumberFormat="1" applyFont="1" applyBorder="1"/>
    <xf numFmtId="168" fontId="32" fillId="0" borderId="0" xfId="152" applyNumberFormat="1" applyFont="1"/>
    <xf numFmtId="169" fontId="32" fillId="0" borderId="0" xfId="152" applyNumberFormat="1" applyFont="1"/>
    <xf numFmtId="0" fontId="15" fillId="7" borderId="0" xfId="152" applyFont="1" applyFill="1" applyBorder="1" applyAlignment="1"/>
    <xf numFmtId="0" fontId="32" fillId="7" borderId="0" xfId="152" applyFont="1" applyFill="1"/>
    <xf numFmtId="0" fontId="32" fillId="7" borderId="3" xfId="152" applyFont="1" applyFill="1" applyBorder="1"/>
    <xf numFmtId="0" fontId="32" fillId="7" borderId="0" xfId="152" applyFont="1" applyFill="1" applyBorder="1"/>
    <xf numFmtId="0" fontId="32" fillId="7" borderId="4" xfId="152" applyFont="1" applyFill="1" applyBorder="1"/>
    <xf numFmtId="49" fontId="33" fillId="7" borderId="0" xfId="152" applyNumberFormat="1" applyFont="1" applyFill="1" applyBorder="1" applyAlignment="1">
      <alignment horizontal="right"/>
    </xf>
    <xf numFmtId="3" fontId="32" fillId="7" borderId="0" xfId="152" applyNumberFormat="1" applyFont="1" applyFill="1" applyBorder="1"/>
    <xf numFmtId="2" fontId="32" fillId="7" borderId="0" xfId="152" applyNumberFormat="1" applyFont="1" applyFill="1" applyBorder="1"/>
    <xf numFmtId="168" fontId="32" fillId="7" borderId="0" xfId="152" applyNumberFormat="1" applyFont="1" applyFill="1"/>
    <xf numFmtId="169" fontId="32" fillId="7" borderId="0" xfId="152" applyNumberFormat="1" applyFont="1" applyFill="1"/>
    <xf numFmtId="0" fontId="37" fillId="0" borderId="0" xfId="152" applyFont="1" applyBorder="1" applyAlignment="1">
      <alignment horizontal="left"/>
    </xf>
    <xf numFmtId="0" fontId="15" fillId="8" borderId="0" xfId="152" applyFont="1" applyFill="1" applyBorder="1" applyAlignment="1"/>
    <xf numFmtId="0" fontId="32" fillId="8" borderId="0" xfId="152" applyFont="1" applyFill="1"/>
    <xf numFmtId="0" fontId="32" fillId="8" borderId="3" xfId="152" applyFont="1" applyFill="1" applyBorder="1"/>
    <xf numFmtId="0" fontId="32" fillId="8" borderId="0" xfId="152" applyFont="1" applyFill="1" applyBorder="1"/>
    <xf numFmtId="0" fontId="32" fillId="8" borderId="4" xfId="152" applyFont="1" applyFill="1" applyBorder="1"/>
    <xf numFmtId="49" fontId="33" fillId="8" borderId="0" xfId="152" applyNumberFormat="1" applyFont="1" applyFill="1" applyBorder="1" applyAlignment="1">
      <alignment horizontal="right"/>
    </xf>
    <xf numFmtId="3" fontId="32" fillId="8" borderId="0" xfId="152" applyNumberFormat="1" applyFont="1" applyFill="1" applyBorder="1"/>
    <xf numFmtId="2" fontId="32" fillId="8" borderId="0" xfId="152" applyNumberFormat="1" applyFont="1" applyFill="1" applyBorder="1"/>
    <xf numFmtId="168" fontId="32" fillId="8" borderId="0" xfId="152" applyNumberFormat="1" applyFont="1" applyFill="1"/>
    <xf numFmtId="169" fontId="32" fillId="8" borderId="0" xfId="152" applyNumberFormat="1" applyFont="1" applyFill="1"/>
    <xf numFmtId="0" fontId="15" fillId="0" borderId="0" xfId="152" applyFont="1" applyFill="1" applyBorder="1" applyAlignment="1"/>
    <xf numFmtId="0" fontId="16" fillId="8" borderId="0" xfId="152" applyFont="1" applyFill="1" applyBorder="1" applyAlignment="1">
      <alignment horizontal="left"/>
    </xf>
    <xf numFmtId="0" fontId="16" fillId="0" borderId="0" xfId="152" applyFont="1" applyBorder="1" applyAlignment="1">
      <alignment horizontal="left"/>
    </xf>
    <xf numFmtId="0" fontId="23" fillId="0" borderId="0" xfId="152" applyFont="1" applyBorder="1"/>
    <xf numFmtId="0" fontId="23" fillId="0" borderId="0" xfId="152" applyFont="1" applyFill="1" applyBorder="1"/>
    <xf numFmtId="0" fontId="16" fillId="0" borderId="23" xfId="152" applyFont="1" applyBorder="1" applyAlignment="1">
      <alignment horizontal="left"/>
    </xf>
    <xf numFmtId="179" fontId="32" fillId="0" borderId="4" xfId="152" applyNumberFormat="1" applyFont="1" applyBorder="1"/>
    <xf numFmtId="179" fontId="32" fillId="8" borderId="4" xfId="152" applyNumberFormat="1" applyFont="1" applyFill="1" applyBorder="1"/>
    <xf numFmtId="0" fontId="38" fillId="0" borderId="0" xfId="152" applyFont="1" applyBorder="1" applyAlignment="1">
      <alignment horizontal="left"/>
    </xf>
    <xf numFmtId="0" fontId="17" fillId="8" borderId="0" xfId="152" applyFont="1" applyFill="1" applyBorder="1" applyAlignment="1"/>
    <xf numFmtId="0" fontId="17" fillId="0" borderId="0" xfId="152" applyFont="1" applyBorder="1" applyAlignment="1">
      <alignment horizontal="left"/>
    </xf>
    <xf numFmtId="0" fontId="16" fillId="0" borderId="23" xfId="152" applyFont="1" applyFill="1" applyBorder="1"/>
    <xf numFmtId="0" fontId="17" fillId="0" borderId="0" xfId="152" applyFont="1" applyFill="1" applyBorder="1"/>
    <xf numFmtId="0" fontId="39" fillId="0" borderId="0" xfId="152" applyFont="1" applyFill="1" applyBorder="1"/>
    <xf numFmtId="0" fontId="23" fillId="3" borderId="0" xfId="152" applyFont="1" applyFill="1" applyBorder="1"/>
    <xf numFmtId="0" fontId="16" fillId="0" borderId="12" xfId="152" applyFont="1" applyFill="1" applyBorder="1"/>
    <xf numFmtId="0" fontId="16" fillId="0" borderId="12" xfId="152" applyFont="1" applyBorder="1" applyAlignment="1">
      <alignment horizontal="left"/>
    </xf>
    <xf numFmtId="0" fontId="17" fillId="8" borderId="0" xfId="152" applyFont="1" applyFill="1" applyBorder="1" applyAlignment="1">
      <alignment horizontal="left"/>
    </xf>
    <xf numFmtId="3" fontId="32" fillId="8" borderId="3" xfId="152" applyNumberFormat="1" applyFont="1" applyFill="1" applyBorder="1"/>
    <xf numFmtId="9" fontId="14" fillId="8" borderId="0" xfId="153" applyFont="1" applyFill="1" applyBorder="1"/>
    <xf numFmtId="0" fontId="16" fillId="4" borderId="22" xfId="152" applyFont="1" applyFill="1" applyBorder="1" applyAlignment="1">
      <alignment wrapText="1"/>
    </xf>
    <xf numFmtId="0" fontId="32" fillId="4" borderId="0" xfId="152" applyFont="1" applyFill="1"/>
    <xf numFmtId="3" fontId="32" fillId="4" borderId="11" xfId="152" applyNumberFormat="1" applyFont="1" applyFill="1" applyBorder="1"/>
    <xf numFmtId="0" fontId="32" fillId="4" borderId="0" xfId="152" applyFont="1" applyFill="1" applyBorder="1"/>
    <xf numFmtId="3" fontId="32" fillId="4" borderId="12" xfId="152" applyNumberFormat="1" applyFont="1" applyFill="1" applyBorder="1"/>
    <xf numFmtId="179" fontId="32" fillId="4" borderId="13" xfId="152" applyNumberFormat="1" applyFont="1" applyFill="1" applyBorder="1"/>
    <xf numFmtId="9" fontId="14" fillId="4" borderId="0" xfId="153" applyFont="1" applyFill="1" applyBorder="1"/>
    <xf numFmtId="49" fontId="33" fillId="4" borderId="0" xfId="152" applyNumberFormat="1" applyFont="1" applyFill="1" applyBorder="1" applyAlignment="1">
      <alignment horizontal="right"/>
    </xf>
    <xf numFmtId="3" fontId="32" fillId="4" borderId="0" xfId="152" applyNumberFormat="1" applyFont="1" applyFill="1" applyBorder="1"/>
    <xf numFmtId="2" fontId="32" fillId="4" borderId="0" xfId="152" applyNumberFormat="1" applyFont="1" applyFill="1" applyBorder="1"/>
    <xf numFmtId="168" fontId="32" fillId="4" borderId="0" xfId="152" applyNumberFormat="1" applyFont="1" applyFill="1"/>
    <xf numFmtId="169" fontId="32" fillId="4" borderId="0" xfId="152" applyNumberFormat="1" applyFont="1" applyFill="1"/>
    <xf numFmtId="0" fontId="15" fillId="0" borderId="0" xfId="152" applyFont="1" applyFill="1" applyBorder="1" applyAlignment="1">
      <alignment wrapText="1"/>
    </xf>
    <xf numFmtId="0" fontId="32" fillId="0" borderId="3" xfId="152" applyFont="1" applyFill="1" applyBorder="1"/>
    <xf numFmtId="0" fontId="32" fillId="0" borderId="4" xfId="152" applyFont="1" applyFill="1" applyBorder="1"/>
    <xf numFmtId="168" fontId="32" fillId="0" borderId="0" xfId="152" applyNumberFormat="1" applyFont="1" applyFill="1"/>
    <xf numFmtId="169" fontId="32" fillId="0" borderId="0" xfId="152" applyNumberFormat="1" applyFont="1" applyFill="1"/>
    <xf numFmtId="0" fontId="17" fillId="0" borderId="0" xfId="152" applyFont="1" applyFill="1" applyBorder="1" applyAlignment="1">
      <alignment horizontal="left"/>
    </xf>
    <xf numFmtId="0" fontId="32" fillId="0" borderId="24" xfId="152" applyFont="1" applyBorder="1"/>
    <xf numFmtId="3" fontId="32" fillId="0" borderId="24" xfId="152" applyNumberFormat="1" applyFont="1" applyBorder="1"/>
    <xf numFmtId="0" fontId="16" fillId="0" borderId="0" xfId="152" applyFont="1" applyFill="1" applyBorder="1"/>
    <xf numFmtId="0" fontId="36" fillId="0" borderId="25" xfId="152" applyFont="1" applyFill="1" applyBorder="1" applyAlignment="1">
      <alignment wrapText="1"/>
    </xf>
    <xf numFmtId="0" fontId="16" fillId="4" borderId="12" xfId="152" applyFont="1" applyFill="1" applyBorder="1" applyAlignment="1">
      <alignment horizontal="left"/>
    </xf>
    <xf numFmtId="0" fontId="16" fillId="9" borderId="0" xfId="152" applyFont="1" applyFill="1" applyBorder="1" applyAlignment="1"/>
    <xf numFmtId="0" fontId="32" fillId="9" borderId="0" xfId="152" applyFont="1" applyFill="1"/>
    <xf numFmtId="0" fontId="32" fillId="9" borderId="3" xfId="152" applyFont="1" applyFill="1" applyBorder="1"/>
    <xf numFmtId="0" fontId="32" fillId="9" borderId="0" xfId="152" applyFont="1" applyFill="1" applyBorder="1"/>
    <xf numFmtId="0" fontId="32" fillId="9" borderId="4" xfId="152" applyFont="1" applyFill="1" applyBorder="1"/>
    <xf numFmtId="49" fontId="33" fillId="9" borderId="0" xfId="152" applyNumberFormat="1" applyFont="1" applyFill="1" applyBorder="1" applyAlignment="1">
      <alignment horizontal="right"/>
    </xf>
    <xf numFmtId="3" fontId="32" fillId="9" borderId="0" xfId="152" applyNumberFormat="1" applyFont="1" applyFill="1" applyBorder="1"/>
    <xf numFmtId="2" fontId="32" fillId="9" borderId="0" xfId="152" applyNumberFormat="1" applyFont="1" applyFill="1" applyBorder="1"/>
    <xf numFmtId="168" fontId="32" fillId="9" borderId="0" xfId="152" applyNumberFormat="1" applyFont="1" applyFill="1"/>
    <xf numFmtId="169" fontId="32" fillId="9" borderId="0" xfId="152" applyNumberFormat="1" applyFont="1" applyFill="1"/>
    <xf numFmtId="0" fontId="40" fillId="0" borderId="0" xfId="152" applyFont="1" applyFill="1" applyBorder="1" applyAlignment="1">
      <alignment wrapText="1"/>
    </xf>
    <xf numFmtId="0" fontId="36" fillId="4" borderId="22" xfId="152" applyFont="1" applyFill="1" applyBorder="1" applyAlignment="1">
      <alignment wrapText="1"/>
    </xf>
    <xf numFmtId="0" fontId="13" fillId="0" borderId="0" xfId="152" applyFont="1" applyBorder="1" applyAlignment="1">
      <alignment horizontal="left"/>
    </xf>
    <xf numFmtId="0" fontId="16" fillId="0" borderId="0" xfId="152" applyFont="1" applyFill="1" applyBorder="1" applyAlignment="1"/>
    <xf numFmtId="0" fontId="16" fillId="0" borderId="12" xfId="152" applyFont="1" applyFill="1" applyBorder="1" applyAlignment="1"/>
    <xf numFmtId="0" fontId="32" fillId="0" borderId="0" xfId="152" applyFill="1"/>
    <xf numFmtId="0" fontId="32" fillId="0" borderId="0" xfId="152" applyFill="1" applyBorder="1"/>
    <xf numFmtId="0" fontId="36" fillId="10" borderId="19" xfId="152" applyFont="1" applyFill="1" applyBorder="1" applyAlignment="1">
      <alignment wrapText="1"/>
    </xf>
    <xf numFmtId="0" fontId="32" fillId="10" borderId="16" xfId="152" applyFont="1" applyFill="1" applyBorder="1"/>
    <xf numFmtId="0" fontId="32" fillId="10" borderId="20" xfId="152" applyFont="1" applyFill="1" applyBorder="1"/>
    <xf numFmtId="0" fontId="32" fillId="10" borderId="21" xfId="152" applyFont="1" applyFill="1" applyBorder="1"/>
    <xf numFmtId="49" fontId="33" fillId="10" borderId="16" xfId="152" applyNumberFormat="1" applyFont="1" applyFill="1" applyBorder="1" applyAlignment="1">
      <alignment horizontal="right"/>
    </xf>
    <xf numFmtId="3" fontId="32" fillId="10" borderId="16" xfId="152" applyNumberFormat="1" applyFont="1" applyFill="1" applyBorder="1"/>
    <xf numFmtId="2" fontId="32" fillId="10" borderId="16" xfId="152" applyNumberFormat="1" applyFont="1" applyFill="1" applyBorder="1"/>
    <xf numFmtId="168" fontId="32" fillId="10" borderId="16" xfId="152" applyNumberFormat="1" applyFont="1" applyFill="1" applyBorder="1"/>
    <xf numFmtId="169" fontId="32" fillId="10" borderId="21" xfId="152" applyNumberFormat="1" applyFont="1" applyFill="1" applyBorder="1"/>
    <xf numFmtId="0" fontId="36" fillId="6" borderId="15" xfId="152" applyFont="1" applyFill="1" applyBorder="1" applyAlignment="1">
      <alignment wrapText="1"/>
    </xf>
    <xf numFmtId="0" fontId="32" fillId="6" borderId="0" xfId="152" applyFont="1" applyFill="1"/>
    <xf numFmtId="3" fontId="13" fillId="6" borderId="3" xfId="152" applyNumberFormat="1" applyFont="1" applyFill="1" applyBorder="1"/>
    <xf numFmtId="0" fontId="13" fillId="6" borderId="0" xfId="152" applyFont="1" applyFill="1" applyBorder="1"/>
    <xf numFmtId="3" fontId="13" fillId="6" borderId="0" xfId="152" applyNumberFormat="1" applyFont="1" applyFill="1" applyBorder="1"/>
    <xf numFmtId="0" fontId="32" fillId="6" borderId="0" xfId="152" applyFont="1" applyFill="1" applyBorder="1"/>
    <xf numFmtId="179" fontId="13" fillId="6" borderId="4" xfId="152" applyNumberFormat="1" applyFont="1" applyFill="1" applyBorder="1"/>
    <xf numFmtId="9" fontId="14" fillId="6" borderId="0" xfId="153" applyFont="1" applyFill="1" applyBorder="1"/>
    <xf numFmtId="49" fontId="33" fillId="6" borderId="0" xfId="152" applyNumberFormat="1" applyFont="1" applyFill="1" applyBorder="1" applyAlignment="1">
      <alignment horizontal="right"/>
    </xf>
    <xf numFmtId="3" fontId="32" fillId="6" borderId="0" xfId="152" applyNumberFormat="1" applyFont="1" applyFill="1" applyBorder="1"/>
    <xf numFmtId="2" fontId="32" fillId="6" borderId="0" xfId="152" applyNumberFormat="1" applyFont="1" applyFill="1" applyBorder="1"/>
    <xf numFmtId="168" fontId="32" fillId="6" borderId="0" xfId="152" applyNumberFormat="1" applyFont="1" applyFill="1"/>
    <xf numFmtId="169" fontId="32" fillId="6" borderId="0" xfId="152" applyNumberFormat="1" applyFont="1" applyFill="1"/>
    <xf numFmtId="0" fontId="13" fillId="0" borderId="3" xfId="152" applyFont="1" applyBorder="1"/>
    <xf numFmtId="179" fontId="13" fillId="0" borderId="4" xfId="152" applyNumberFormat="1" applyFont="1" applyBorder="1"/>
    <xf numFmtId="0" fontId="13" fillId="10" borderId="20" xfId="152" applyFont="1" applyFill="1" applyBorder="1"/>
    <xf numFmtId="3" fontId="13" fillId="10" borderId="20" xfId="152" applyNumberFormat="1" applyFont="1" applyFill="1" applyBorder="1"/>
    <xf numFmtId="0" fontId="13" fillId="10" borderId="16" xfId="152" applyFont="1" applyFill="1" applyBorder="1"/>
    <xf numFmtId="3" fontId="13" fillId="10" borderId="16" xfId="152" applyNumberFormat="1" applyFont="1" applyFill="1" applyBorder="1"/>
    <xf numFmtId="179" fontId="13" fillId="10" borderId="21" xfId="152" applyNumberFormat="1" applyFont="1" applyFill="1" applyBorder="1"/>
    <xf numFmtId="9" fontId="14" fillId="10" borderId="16" xfId="153" applyFont="1" applyFill="1" applyBorder="1"/>
    <xf numFmtId="0" fontId="32" fillId="0" borderId="5" xfId="152" applyFont="1" applyBorder="1"/>
    <xf numFmtId="0" fontId="32" fillId="0" borderId="9" xfId="152" applyFont="1" applyBorder="1"/>
    <xf numFmtId="0" fontId="32" fillId="0" borderId="6" xfId="152" applyFont="1" applyBorder="1"/>
    <xf numFmtId="0" fontId="32" fillId="0" borderId="0" xfId="152"/>
    <xf numFmtId="0" fontId="41" fillId="0" borderId="0" xfId="152" applyFont="1"/>
    <xf numFmtId="0" fontId="41" fillId="0" borderId="26" xfId="152" applyFont="1" applyBorder="1"/>
    <xf numFmtId="0" fontId="42" fillId="11" borderId="5" xfId="152" applyFont="1" applyFill="1" applyBorder="1" applyAlignment="1"/>
    <xf numFmtId="0" fontId="32" fillId="11" borderId="26" xfId="152" applyFill="1" applyBorder="1"/>
    <xf numFmtId="0" fontId="41" fillId="11" borderId="26" xfId="152" applyFont="1" applyFill="1" applyBorder="1"/>
    <xf numFmtId="0" fontId="13" fillId="11" borderId="26" xfId="152" applyFont="1" applyFill="1" applyBorder="1"/>
    <xf numFmtId="0" fontId="42" fillId="11" borderId="26" xfId="152" applyFont="1" applyFill="1" applyBorder="1" applyAlignment="1">
      <alignment horizontal="left" vertical="center"/>
    </xf>
    <xf numFmtId="183" fontId="42" fillId="11" borderId="26" xfId="152" applyNumberFormat="1" applyFont="1" applyFill="1" applyBorder="1" applyAlignment="1">
      <alignment horizontal="left" vertical="center"/>
    </xf>
    <xf numFmtId="0" fontId="42" fillId="0" borderId="0" xfId="152" applyFont="1" applyAlignment="1">
      <alignment horizontal="left" vertical="center"/>
    </xf>
    <xf numFmtId="0" fontId="43" fillId="0" borderId="0" xfId="152" applyFont="1"/>
    <xf numFmtId="0" fontId="43" fillId="0" borderId="26" xfId="152" applyFont="1" applyBorder="1"/>
    <xf numFmtId="0" fontId="44" fillId="12" borderId="27" xfId="152" applyFont="1" applyFill="1" applyBorder="1" applyAlignment="1">
      <alignment horizontal="center" vertical="center"/>
    </xf>
    <xf numFmtId="0" fontId="44" fillId="12" borderId="4" xfId="152" applyFont="1" applyFill="1" applyBorder="1" applyAlignment="1">
      <alignment horizontal="center" vertical="center"/>
    </xf>
    <xf numFmtId="0" fontId="45" fillId="3" borderId="26" xfId="152" applyFont="1" applyFill="1" applyBorder="1" applyAlignment="1">
      <alignment vertical="center"/>
    </xf>
    <xf numFmtId="184" fontId="41" fillId="0" borderId="26" xfId="152" applyNumberFormat="1" applyFont="1" applyBorder="1"/>
    <xf numFmtId="0" fontId="41" fillId="3" borderId="26" xfId="152" applyFont="1" applyFill="1" applyBorder="1" applyAlignment="1">
      <alignment horizontal="left" vertical="center" indent="2"/>
    </xf>
    <xf numFmtId="0" fontId="41" fillId="3" borderId="26" xfId="152" applyFont="1" applyFill="1" applyBorder="1" applyAlignment="1">
      <alignment horizontal="left" vertical="center" indent="4"/>
    </xf>
    <xf numFmtId="0" fontId="46" fillId="0" borderId="0" xfId="152" applyFont="1"/>
    <xf numFmtId="0" fontId="47" fillId="0" borderId="26" xfId="152" applyFont="1" applyFill="1" applyBorder="1" applyAlignment="1">
      <alignment horizontal="left" vertical="center" indent="4"/>
    </xf>
    <xf numFmtId="184" fontId="47" fillId="0" borderId="26" xfId="152" applyNumberFormat="1" applyFont="1" applyFill="1" applyBorder="1"/>
    <xf numFmtId="0" fontId="46" fillId="13" borderId="26" xfId="152" applyFont="1" applyFill="1" applyBorder="1" applyAlignment="1">
      <alignment horizontal="left" vertical="center" wrapText="1" indent="2"/>
    </xf>
    <xf numFmtId="184" fontId="46" fillId="13" borderId="26" xfId="152" applyNumberFormat="1" applyFont="1" applyFill="1" applyBorder="1"/>
    <xf numFmtId="0" fontId="45" fillId="0" borderId="26" xfId="152" applyFont="1" applyBorder="1" applyAlignment="1">
      <alignment vertical="center" wrapText="1"/>
    </xf>
    <xf numFmtId="0" fontId="41" fillId="3" borderId="0" xfId="152" applyFont="1" applyFill="1"/>
    <xf numFmtId="0" fontId="48" fillId="0" borderId="26" xfId="152" applyFont="1" applyBorder="1" applyAlignment="1">
      <alignment horizontal="left" vertical="center" indent="2"/>
    </xf>
    <xf numFmtId="184" fontId="41" fillId="0" borderId="0" xfId="152" applyNumberFormat="1" applyFont="1" applyBorder="1"/>
    <xf numFmtId="0" fontId="48" fillId="0" borderId="26" xfId="152" applyFont="1" applyFill="1" applyBorder="1" applyAlignment="1">
      <alignment horizontal="left" vertical="center" indent="2"/>
    </xf>
    <xf numFmtId="184" fontId="41" fillId="0" borderId="26" xfId="152" applyNumberFormat="1" applyFont="1" applyFill="1" applyBorder="1"/>
    <xf numFmtId="184" fontId="41" fillId="0" borderId="0" xfId="152" applyNumberFormat="1" applyFont="1" applyFill="1" applyBorder="1"/>
    <xf numFmtId="0" fontId="41" fillId="0" borderId="26" xfId="152" applyFont="1" applyBorder="1" applyAlignment="1">
      <alignment horizontal="right"/>
    </xf>
    <xf numFmtId="9" fontId="41" fillId="0" borderId="26" xfId="152" applyNumberFormat="1" applyFont="1" applyBorder="1"/>
    <xf numFmtId="0" fontId="49" fillId="0" borderId="26" xfId="154" applyFont="1" applyFill="1" applyBorder="1" applyAlignment="1" applyProtection="1">
      <alignment horizontal="left" indent="4"/>
      <protection locked="0"/>
    </xf>
    <xf numFmtId="0" fontId="49" fillId="0" borderId="26" xfId="154" applyFont="1" applyFill="1" applyBorder="1" applyProtection="1">
      <protection locked="0"/>
    </xf>
    <xf numFmtId="0" fontId="49" fillId="0" borderId="0" xfId="154" applyFont="1" applyFill="1" applyBorder="1" applyProtection="1">
      <protection locked="0"/>
    </xf>
    <xf numFmtId="0" fontId="50" fillId="0" borderId="26" xfId="152" applyFont="1" applyBorder="1" applyAlignment="1">
      <alignment horizontal="left" vertical="center" indent="4"/>
    </xf>
    <xf numFmtId="184" fontId="46" fillId="13" borderId="0" xfId="152" applyNumberFormat="1" applyFont="1" applyFill="1" applyBorder="1"/>
    <xf numFmtId="0" fontId="45" fillId="0" borderId="26" xfId="152" applyFont="1" applyBorder="1" applyAlignment="1">
      <alignment vertical="center"/>
    </xf>
    <xf numFmtId="0" fontId="50" fillId="0" borderId="26" xfId="152" applyFont="1" applyBorder="1" applyAlignment="1">
      <alignment horizontal="left" vertical="center" indent="2"/>
    </xf>
    <xf numFmtId="0" fontId="41" fillId="0" borderId="0" xfId="152" applyFont="1" applyBorder="1"/>
    <xf numFmtId="184" fontId="51" fillId="0" borderId="26" xfId="152" applyNumberFormat="1" applyFont="1" applyFill="1" applyBorder="1"/>
    <xf numFmtId="183" fontId="41" fillId="0" borderId="26" xfId="152" applyNumberFormat="1" applyFont="1" applyFill="1" applyBorder="1"/>
    <xf numFmtId="183" fontId="41" fillId="0" borderId="0" xfId="152" applyNumberFormat="1" applyFont="1" applyFill="1" applyBorder="1"/>
    <xf numFmtId="0" fontId="41" fillId="0" borderId="0" xfId="152" applyFont="1" applyFill="1"/>
    <xf numFmtId="9" fontId="41" fillId="0" borderId="0" xfId="152" applyNumberFormat="1" applyFont="1" applyFill="1"/>
    <xf numFmtId="3" fontId="50" fillId="0" borderId="26" xfId="152" applyNumberFormat="1" applyFont="1" applyBorder="1" applyAlignment="1">
      <alignment horizontal="left" vertical="center" indent="4"/>
    </xf>
    <xf numFmtId="0" fontId="51" fillId="0" borderId="26" xfId="152" applyFont="1" applyFill="1" applyBorder="1" applyAlignment="1">
      <alignment horizontal="left" vertical="center" indent="4"/>
    </xf>
    <xf numFmtId="183" fontId="51" fillId="0" borderId="26" xfId="152" applyNumberFormat="1" applyFont="1" applyFill="1" applyBorder="1"/>
    <xf numFmtId="0" fontId="50" fillId="0" borderId="26" xfId="152" applyFont="1" applyFill="1" applyBorder="1" applyAlignment="1">
      <alignment horizontal="left" vertical="center" indent="4"/>
    </xf>
    <xf numFmtId="0" fontId="50" fillId="3" borderId="26" xfId="152" applyFont="1" applyFill="1" applyBorder="1" applyAlignment="1">
      <alignment horizontal="left" vertical="center" indent="3"/>
    </xf>
    <xf numFmtId="183" fontId="41" fillId="0" borderId="26" xfId="152" applyNumberFormat="1" applyFont="1" applyBorder="1"/>
    <xf numFmtId="0" fontId="48" fillId="14" borderId="26" xfId="152" applyFont="1" applyFill="1" applyBorder="1" applyAlignment="1">
      <alignment horizontal="left" vertical="center" indent="2"/>
    </xf>
    <xf numFmtId="184" fontId="42" fillId="14" borderId="26" xfId="152" applyNumberFormat="1" applyFont="1" applyFill="1" applyBorder="1"/>
    <xf numFmtId="0" fontId="41" fillId="0" borderId="26" xfId="152" applyFont="1" applyBorder="1" applyAlignment="1">
      <alignment horizontal="left" indent="2"/>
    </xf>
    <xf numFmtId="185" fontId="41" fillId="0" borderId="0" xfId="152" applyNumberFormat="1" applyFont="1"/>
    <xf numFmtId="184" fontId="41" fillId="3" borderId="26" xfId="152" applyNumberFormat="1" applyFont="1" applyFill="1" applyBorder="1"/>
    <xf numFmtId="0" fontId="50" fillId="14" borderId="26" xfId="152" applyFont="1" applyFill="1" applyBorder="1" applyAlignment="1">
      <alignment horizontal="left" vertical="center" indent="4"/>
    </xf>
    <xf numFmtId="0" fontId="50" fillId="3" borderId="26" xfId="152" applyFont="1" applyFill="1" applyBorder="1" applyAlignment="1">
      <alignment horizontal="left" vertical="center" indent="4"/>
    </xf>
    <xf numFmtId="184" fontId="42" fillId="3" borderId="26" xfId="152" applyNumberFormat="1" applyFont="1" applyFill="1" applyBorder="1"/>
    <xf numFmtId="0" fontId="41" fillId="0" borderId="26" xfId="152" applyFont="1" applyFill="1" applyBorder="1" applyAlignment="1">
      <alignment horizontal="left" vertical="center" wrapText="1" indent="2"/>
    </xf>
    <xf numFmtId="0" fontId="51" fillId="0" borderId="0" xfId="152" applyFont="1"/>
    <xf numFmtId="0" fontId="51" fillId="3" borderId="0" xfId="152" applyFont="1" applyFill="1"/>
    <xf numFmtId="0" fontId="41" fillId="0" borderId="26" xfId="152" applyFont="1" applyBorder="1" applyAlignment="1">
      <alignment horizontal="left" vertical="center" wrapText="1" indent="4"/>
    </xf>
    <xf numFmtId="0" fontId="41" fillId="0" borderId="26" xfId="152" applyFont="1" applyBorder="1" applyAlignment="1">
      <alignment horizontal="left" vertical="center" indent="4"/>
    </xf>
    <xf numFmtId="0" fontId="51" fillId="0" borderId="26" xfId="152" applyFont="1" applyFill="1" applyBorder="1" applyAlignment="1">
      <alignment horizontal="left" vertical="center" indent="2"/>
    </xf>
    <xf numFmtId="0" fontId="52" fillId="13" borderId="26" xfId="152" applyFont="1" applyFill="1" applyBorder="1" applyAlignment="1">
      <alignment horizontal="left" vertical="center" wrapText="1" indent="2"/>
    </xf>
    <xf numFmtId="0" fontId="47" fillId="0" borderId="0" xfId="152" applyFont="1" applyFill="1"/>
    <xf numFmtId="0" fontId="41" fillId="0" borderId="26" xfId="152" applyFont="1" applyBorder="1" applyAlignment="1">
      <alignment horizontal="left" vertical="center" indent="5"/>
    </xf>
    <xf numFmtId="0" fontId="41" fillId="0" borderId="26" xfId="152" applyFont="1" applyBorder="1" applyAlignment="1">
      <alignment horizontal="left" vertical="center" indent="6"/>
    </xf>
    <xf numFmtId="0" fontId="51" fillId="0" borderId="26" xfId="152" applyFont="1" applyFill="1" applyBorder="1" applyAlignment="1">
      <alignment horizontal="left" vertical="center" indent="6"/>
    </xf>
    <xf numFmtId="0" fontId="53" fillId="0" borderId="26" xfId="152" applyFont="1" applyFill="1" applyBorder="1" applyAlignment="1">
      <alignment horizontal="left" vertical="center" indent="5"/>
    </xf>
    <xf numFmtId="0" fontId="41" fillId="0" borderId="26" xfId="152" applyFont="1" applyBorder="1" applyAlignment="1">
      <alignment horizontal="left" vertical="center" indent="2"/>
    </xf>
    <xf numFmtId="0" fontId="46" fillId="13" borderId="26" xfId="152" applyFont="1" applyFill="1" applyBorder="1" applyAlignment="1">
      <alignment horizontal="left" vertical="center" wrapText="1"/>
    </xf>
    <xf numFmtId="0" fontId="41" fillId="0" borderId="26" xfId="152" applyFont="1" applyBorder="1" applyAlignment="1">
      <alignment vertical="center"/>
    </xf>
    <xf numFmtId="3" fontId="41" fillId="0" borderId="26" xfId="152" applyNumberFormat="1" applyFont="1" applyBorder="1"/>
    <xf numFmtId="0" fontId="42" fillId="12" borderId="26" xfId="152" applyFont="1" applyFill="1" applyBorder="1" applyAlignment="1">
      <alignment horizontal="left" vertical="center" indent="2"/>
    </xf>
    <xf numFmtId="183" fontId="46" fillId="12" borderId="26" xfId="152" applyNumberFormat="1" applyFont="1" applyFill="1" applyBorder="1"/>
    <xf numFmtId="0" fontId="54" fillId="0" borderId="0" xfId="152" applyFont="1"/>
    <xf numFmtId="0" fontId="56" fillId="0" borderId="0" xfId="152" applyFont="1"/>
    <xf numFmtId="0" fontId="25" fillId="0" borderId="9" xfId="0" applyFont="1" applyBorder="1" applyAlignment="1">
      <alignment horizontal="center"/>
    </xf>
    <xf numFmtId="0" fontId="0" fillId="0" borderId="0" xfId="0" applyAlignment="1">
      <alignment horizontal="center" vertical="center" wrapText="1"/>
    </xf>
    <xf numFmtId="166" fontId="0" fillId="0" borderId="0" xfId="0" applyNumberFormat="1" applyAlignment="1">
      <alignment horizontal="center" vertical="center" wrapText="1"/>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0" borderId="6" xfId="0" applyFont="1" applyBorder="1" applyAlignment="1">
      <alignment horizontal="center" vertical="center"/>
    </xf>
    <xf numFmtId="0" fontId="19" fillId="0" borderId="1" xfId="152" applyFont="1" applyBorder="1" applyAlignment="1">
      <alignment horizontal="center" vertical="center"/>
    </xf>
    <xf numFmtId="0" fontId="19" fillId="0" borderId="8" xfId="152" applyFont="1" applyBorder="1" applyAlignment="1">
      <alignment horizontal="center" vertical="center"/>
    </xf>
    <xf numFmtId="0" fontId="19" fillId="0" borderId="2" xfId="152" applyFont="1" applyBorder="1" applyAlignment="1">
      <alignment horizontal="center" vertical="center"/>
    </xf>
    <xf numFmtId="0" fontId="19" fillId="0" borderId="5" xfId="152" applyFont="1" applyBorder="1" applyAlignment="1">
      <alignment horizontal="center" vertical="center"/>
    </xf>
    <xf numFmtId="0" fontId="19" fillId="0" borderId="9" xfId="152" applyFont="1" applyBorder="1" applyAlignment="1">
      <alignment horizontal="center" vertical="center"/>
    </xf>
    <xf numFmtId="0" fontId="19" fillId="0" borderId="6" xfId="152" applyFont="1" applyBorder="1" applyAlignment="1">
      <alignment horizontal="center" vertical="center"/>
    </xf>
  </cellXfs>
  <cellStyles count="206">
    <cellStyle name="Comma" xfId="146" builtinId="3"/>
    <cellStyle name="Comma 2" xfId="151"/>
    <cellStyle name="Currency 2" xfId="15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cellStyle name="Milliers 2" xfId="156"/>
    <cellStyle name="Normal" xfId="0" builtinId="0"/>
    <cellStyle name="Normal 2" xfId="152"/>
    <cellStyle name="Normal 2 2" xfId="154"/>
    <cellStyle name="Normal 3" xfId="157"/>
    <cellStyle name="Percent" xfId="1" builtinId="5"/>
    <cellStyle name="Percent 2" xfId="15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gif"/><Relationship Id="rId14" Type="http://schemas.openxmlformats.org/officeDocument/2006/relationships/image" Target="../media/image14.gif"/><Relationship Id="rId15" Type="http://schemas.openxmlformats.org/officeDocument/2006/relationships/image" Target="../media/image15.gif"/><Relationship Id="rId16" Type="http://schemas.openxmlformats.org/officeDocument/2006/relationships/image" Target="../media/image16.gif"/><Relationship Id="rId17" Type="http://schemas.openxmlformats.org/officeDocument/2006/relationships/image" Target="../media/image17.jpeg"/><Relationship Id="rId18" Type="http://schemas.openxmlformats.org/officeDocument/2006/relationships/image" Target="../media/image18.gif"/><Relationship Id="rId19" Type="http://schemas.openxmlformats.org/officeDocument/2006/relationships/image" Target="../media/image19.gif"/><Relationship Id="rId63" Type="http://schemas.openxmlformats.org/officeDocument/2006/relationships/image" Target="../media/image63.gif"/><Relationship Id="rId64" Type="http://schemas.openxmlformats.org/officeDocument/2006/relationships/image" Target="../media/image64.gif"/><Relationship Id="rId65" Type="http://schemas.openxmlformats.org/officeDocument/2006/relationships/image" Target="../media/image65.gif"/><Relationship Id="rId66" Type="http://schemas.openxmlformats.org/officeDocument/2006/relationships/image" Target="../media/image66.gif"/><Relationship Id="rId67" Type="http://schemas.openxmlformats.org/officeDocument/2006/relationships/image" Target="../media/image67.gif"/><Relationship Id="rId68" Type="http://schemas.openxmlformats.org/officeDocument/2006/relationships/image" Target="../media/image68.gif"/><Relationship Id="rId69" Type="http://schemas.openxmlformats.org/officeDocument/2006/relationships/image" Target="../media/image69.jpeg"/><Relationship Id="rId50" Type="http://schemas.openxmlformats.org/officeDocument/2006/relationships/image" Target="../media/image50.gif"/><Relationship Id="rId51" Type="http://schemas.openxmlformats.org/officeDocument/2006/relationships/image" Target="../media/image51.gif"/><Relationship Id="rId52" Type="http://schemas.openxmlformats.org/officeDocument/2006/relationships/image" Target="../media/image52.gif"/><Relationship Id="rId53" Type="http://schemas.openxmlformats.org/officeDocument/2006/relationships/image" Target="../media/image53.gif"/><Relationship Id="rId54" Type="http://schemas.openxmlformats.org/officeDocument/2006/relationships/image" Target="../media/image54.gif"/><Relationship Id="rId55" Type="http://schemas.openxmlformats.org/officeDocument/2006/relationships/image" Target="../media/image55.jpeg"/><Relationship Id="rId56" Type="http://schemas.openxmlformats.org/officeDocument/2006/relationships/image" Target="../media/image56.gif"/><Relationship Id="rId57" Type="http://schemas.openxmlformats.org/officeDocument/2006/relationships/image" Target="../media/image57.gif"/><Relationship Id="rId58" Type="http://schemas.openxmlformats.org/officeDocument/2006/relationships/image" Target="../media/image58.gif"/><Relationship Id="rId59" Type="http://schemas.openxmlformats.org/officeDocument/2006/relationships/image" Target="../media/image59.gif"/><Relationship Id="rId40" Type="http://schemas.openxmlformats.org/officeDocument/2006/relationships/image" Target="../media/image40.gif"/><Relationship Id="rId41" Type="http://schemas.openxmlformats.org/officeDocument/2006/relationships/image" Target="../media/image41.gif"/><Relationship Id="rId42" Type="http://schemas.openxmlformats.org/officeDocument/2006/relationships/image" Target="../media/image42.gif"/><Relationship Id="rId43" Type="http://schemas.openxmlformats.org/officeDocument/2006/relationships/image" Target="../media/image43.gif"/><Relationship Id="rId44" Type="http://schemas.openxmlformats.org/officeDocument/2006/relationships/image" Target="../media/image44.gif"/><Relationship Id="rId45" Type="http://schemas.openxmlformats.org/officeDocument/2006/relationships/image" Target="../media/image45.gif"/><Relationship Id="rId46" Type="http://schemas.openxmlformats.org/officeDocument/2006/relationships/image" Target="../media/image46.gif"/><Relationship Id="rId47" Type="http://schemas.openxmlformats.org/officeDocument/2006/relationships/image" Target="../media/image47.gif"/><Relationship Id="rId48" Type="http://schemas.openxmlformats.org/officeDocument/2006/relationships/image" Target="../media/image48.gif"/><Relationship Id="rId49" Type="http://schemas.openxmlformats.org/officeDocument/2006/relationships/image" Target="../media/image49.gif"/><Relationship Id="rId1" Type="http://schemas.openxmlformats.org/officeDocument/2006/relationships/image" Target="../media/image1.gif"/><Relationship Id="rId2" Type="http://schemas.openxmlformats.org/officeDocument/2006/relationships/image" Target="../media/image2.gif"/><Relationship Id="rId3" Type="http://schemas.openxmlformats.org/officeDocument/2006/relationships/image" Target="../media/image3.gif"/><Relationship Id="rId4" Type="http://schemas.openxmlformats.org/officeDocument/2006/relationships/image" Target="../media/image4.jpeg"/><Relationship Id="rId5" Type="http://schemas.openxmlformats.org/officeDocument/2006/relationships/image" Target="../media/image5.gif"/><Relationship Id="rId6" Type="http://schemas.openxmlformats.org/officeDocument/2006/relationships/image" Target="../media/image6.gif"/><Relationship Id="rId7" Type="http://schemas.openxmlformats.org/officeDocument/2006/relationships/image" Target="../media/image7.gif"/><Relationship Id="rId8" Type="http://schemas.openxmlformats.org/officeDocument/2006/relationships/image" Target="../media/image8.gif"/><Relationship Id="rId9" Type="http://schemas.openxmlformats.org/officeDocument/2006/relationships/image" Target="../media/image9.gif"/><Relationship Id="rId30" Type="http://schemas.openxmlformats.org/officeDocument/2006/relationships/image" Target="../media/image30.gif"/><Relationship Id="rId31" Type="http://schemas.openxmlformats.org/officeDocument/2006/relationships/image" Target="../media/image31.gif"/><Relationship Id="rId32" Type="http://schemas.openxmlformats.org/officeDocument/2006/relationships/image" Target="../media/image32.gif"/><Relationship Id="rId33" Type="http://schemas.openxmlformats.org/officeDocument/2006/relationships/image" Target="../media/image33.gif"/><Relationship Id="rId34" Type="http://schemas.openxmlformats.org/officeDocument/2006/relationships/image" Target="../media/image34.gif"/><Relationship Id="rId35" Type="http://schemas.openxmlformats.org/officeDocument/2006/relationships/image" Target="../media/image35.gif"/><Relationship Id="rId36" Type="http://schemas.openxmlformats.org/officeDocument/2006/relationships/image" Target="../media/image36.gif"/><Relationship Id="rId37" Type="http://schemas.openxmlformats.org/officeDocument/2006/relationships/image" Target="../media/image37.gif"/><Relationship Id="rId38" Type="http://schemas.openxmlformats.org/officeDocument/2006/relationships/image" Target="../media/image38.gif"/><Relationship Id="rId39" Type="http://schemas.openxmlformats.org/officeDocument/2006/relationships/image" Target="../media/image39.gif"/><Relationship Id="rId70" Type="http://schemas.openxmlformats.org/officeDocument/2006/relationships/image" Target="../media/image70.jpeg"/><Relationship Id="rId71" Type="http://schemas.openxmlformats.org/officeDocument/2006/relationships/image" Target="../media/image71.gif"/><Relationship Id="rId72" Type="http://schemas.openxmlformats.org/officeDocument/2006/relationships/image" Target="../media/image72.gif"/><Relationship Id="rId20" Type="http://schemas.openxmlformats.org/officeDocument/2006/relationships/image" Target="../media/image20.gif"/><Relationship Id="rId21" Type="http://schemas.openxmlformats.org/officeDocument/2006/relationships/image" Target="../media/image21.gif"/><Relationship Id="rId22" Type="http://schemas.openxmlformats.org/officeDocument/2006/relationships/image" Target="../media/image22.gif"/><Relationship Id="rId23" Type="http://schemas.openxmlformats.org/officeDocument/2006/relationships/image" Target="../media/image23.jpeg"/><Relationship Id="rId24" Type="http://schemas.openxmlformats.org/officeDocument/2006/relationships/image" Target="../media/image24.gif"/><Relationship Id="rId25" Type="http://schemas.openxmlformats.org/officeDocument/2006/relationships/image" Target="../media/image25.jpeg"/><Relationship Id="rId26" Type="http://schemas.openxmlformats.org/officeDocument/2006/relationships/image" Target="../media/image26.gif"/><Relationship Id="rId27" Type="http://schemas.openxmlformats.org/officeDocument/2006/relationships/image" Target="../media/image27.gif"/><Relationship Id="rId28" Type="http://schemas.openxmlformats.org/officeDocument/2006/relationships/image" Target="../media/image28.gif"/><Relationship Id="rId29" Type="http://schemas.openxmlformats.org/officeDocument/2006/relationships/image" Target="../media/image29.gif"/><Relationship Id="rId60" Type="http://schemas.openxmlformats.org/officeDocument/2006/relationships/image" Target="../media/image60.gif"/><Relationship Id="rId61" Type="http://schemas.openxmlformats.org/officeDocument/2006/relationships/image" Target="../media/image61.gif"/><Relationship Id="rId62" Type="http://schemas.openxmlformats.org/officeDocument/2006/relationships/image" Target="../media/image62.gif"/><Relationship Id="rId10" Type="http://schemas.openxmlformats.org/officeDocument/2006/relationships/image" Target="../media/image10.jpeg"/><Relationship Id="rId11" Type="http://schemas.openxmlformats.org/officeDocument/2006/relationships/image" Target="../media/image11.jpeg"/><Relationship Id="rId12" Type="http://schemas.openxmlformats.org/officeDocument/2006/relationships/image" Target="../media/image12.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12700</xdr:colOff>
      <xdr:row>11</xdr:row>
      <xdr:rowOff>12700</xdr:rowOff>
    </xdr:to>
    <xdr:pic>
      <xdr:nvPicPr>
        <xdr:cNvPr id="2049"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12700</xdr:colOff>
      <xdr:row>11</xdr:row>
      <xdr:rowOff>12700</xdr:rowOff>
    </xdr:to>
    <xdr:pic>
      <xdr:nvPicPr>
        <xdr:cNvPr id="2052"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12700</xdr:colOff>
      <xdr:row>11</xdr:row>
      <xdr:rowOff>12700</xdr:rowOff>
    </xdr:to>
    <xdr:pic>
      <xdr:nvPicPr>
        <xdr:cNvPr id="2053"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12700</xdr:colOff>
      <xdr:row>12</xdr:row>
      <xdr:rowOff>12700</xdr:rowOff>
    </xdr:to>
    <xdr:pic>
      <xdr:nvPicPr>
        <xdr:cNvPr id="2054" name="Picture 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12700</xdr:colOff>
      <xdr:row>12</xdr:row>
      <xdr:rowOff>12700</xdr:rowOff>
    </xdr:to>
    <xdr:pic>
      <xdr:nvPicPr>
        <xdr:cNvPr id="2057" name="Picture 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12700</xdr:colOff>
      <xdr:row>12</xdr:row>
      <xdr:rowOff>12700</xdr:rowOff>
    </xdr:to>
    <xdr:pic>
      <xdr:nvPicPr>
        <xdr:cNvPr id="2058" name="Picture 1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12700</xdr:colOff>
      <xdr:row>13</xdr:row>
      <xdr:rowOff>12700</xdr:rowOff>
    </xdr:to>
    <xdr:pic>
      <xdr:nvPicPr>
        <xdr:cNvPr id="2059" name="Picture 1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2062" name="Picture 1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2063" name="Picture 1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12700</xdr:colOff>
      <xdr:row>13</xdr:row>
      <xdr:rowOff>12700</xdr:rowOff>
    </xdr:to>
    <xdr:pic>
      <xdr:nvPicPr>
        <xdr:cNvPr id="2064" name="Picture 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2067" name="Picture 1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2068" name="Picture 2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12700</xdr:colOff>
      <xdr:row>14</xdr:row>
      <xdr:rowOff>12700</xdr:rowOff>
    </xdr:to>
    <xdr:pic>
      <xdr:nvPicPr>
        <xdr:cNvPr id="2069" name="Picture 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12700</xdr:colOff>
      <xdr:row>14</xdr:row>
      <xdr:rowOff>12700</xdr:rowOff>
    </xdr:to>
    <xdr:pic>
      <xdr:nvPicPr>
        <xdr:cNvPr id="2072" name="Picture 2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12700</xdr:colOff>
      <xdr:row>14</xdr:row>
      <xdr:rowOff>12700</xdr:rowOff>
    </xdr:to>
    <xdr:pic>
      <xdr:nvPicPr>
        <xdr:cNvPr id="2073" name="Picture 2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12700</xdr:colOff>
      <xdr:row>14</xdr:row>
      <xdr:rowOff>12700</xdr:rowOff>
    </xdr:to>
    <xdr:pic>
      <xdr:nvPicPr>
        <xdr:cNvPr id="2074" name="Picture 2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xdr:row>
      <xdr:rowOff>0</xdr:rowOff>
    </xdr:from>
    <xdr:to>
      <xdr:col>5</xdr:col>
      <xdr:colOff>508000</xdr:colOff>
      <xdr:row>14</xdr:row>
      <xdr:rowOff>152400</xdr:rowOff>
    </xdr:to>
    <xdr:pic>
      <xdr:nvPicPr>
        <xdr:cNvPr id="2075" name="Picture 2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57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0</xdr:rowOff>
    </xdr:from>
    <xdr:to>
      <xdr:col>7</xdr:col>
      <xdr:colOff>279400</xdr:colOff>
      <xdr:row>14</xdr:row>
      <xdr:rowOff>139700</xdr:rowOff>
    </xdr:to>
    <xdr:pic>
      <xdr:nvPicPr>
        <xdr:cNvPr id="2076" name="Picture 2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7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12700</xdr:colOff>
      <xdr:row>14</xdr:row>
      <xdr:rowOff>12700</xdr:rowOff>
    </xdr:to>
    <xdr:pic>
      <xdr:nvPicPr>
        <xdr:cNvPr id="2077" name="Picture 2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12700</xdr:colOff>
      <xdr:row>14</xdr:row>
      <xdr:rowOff>12700</xdr:rowOff>
    </xdr:to>
    <xdr:pic>
      <xdr:nvPicPr>
        <xdr:cNvPr id="2078" name="Picture 3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12700</xdr:colOff>
      <xdr:row>14</xdr:row>
      <xdr:rowOff>12700</xdr:rowOff>
    </xdr:to>
    <xdr:pic>
      <xdr:nvPicPr>
        <xdr:cNvPr id="2079" name="Picture 31"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12700</xdr:colOff>
      <xdr:row>15</xdr:row>
      <xdr:rowOff>12700</xdr:rowOff>
    </xdr:to>
    <xdr:pic>
      <xdr:nvPicPr>
        <xdr:cNvPr id="2080" name="Picture 3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12700</xdr:colOff>
      <xdr:row>15</xdr:row>
      <xdr:rowOff>12700</xdr:rowOff>
    </xdr:to>
    <xdr:pic>
      <xdr:nvPicPr>
        <xdr:cNvPr id="2081" name="Picture 3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0</xdr:rowOff>
    </xdr:from>
    <xdr:to>
      <xdr:col>2</xdr:col>
      <xdr:colOff>12700</xdr:colOff>
      <xdr:row>15</xdr:row>
      <xdr:rowOff>12700</xdr:rowOff>
    </xdr:to>
    <xdr:pic>
      <xdr:nvPicPr>
        <xdr:cNvPr id="2082" name="Picture 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xdr:row>
      <xdr:rowOff>0</xdr:rowOff>
    </xdr:from>
    <xdr:to>
      <xdr:col>5</xdr:col>
      <xdr:colOff>457200</xdr:colOff>
      <xdr:row>15</xdr:row>
      <xdr:rowOff>152400</xdr:rowOff>
    </xdr:to>
    <xdr:pic>
      <xdr:nvPicPr>
        <xdr:cNvPr id="2083" name="Picture 35" descr="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56100" y="1765300"/>
          <a:ext cx="457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xdr:row>
      <xdr:rowOff>0</xdr:rowOff>
    </xdr:from>
    <xdr:to>
      <xdr:col>7</xdr:col>
      <xdr:colOff>279400</xdr:colOff>
      <xdr:row>15</xdr:row>
      <xdr:rowOff>139700</xdr:rowOff>
    </xdr:to>
    <xdr:pic>
      <xdr:nvPicPr>
        <xdr:cNvPr id="2084" name="Picture 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6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12700</xdr:colOff>
      <xdr:row>15</xdr:row>
      <xdr:rowOff>12700</xdr:rowOff>
    </xdr:to>
    <xdr:pic>
      <xdr:nvPicPr>
        <xdr:cNvPr id="2085" name="Picture 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12700</xdr:colOff>
      <xdr:row>15</xdr:row>
      <xdr:rowOff>12700</xdr:rowOff>
    </xdr:to>
    <xdr:pic>
      <xdr:nvPicPr>
        <xdr:cNvPr id="2086" name="Picture 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12700</xdr:colOff>
      <xdr:row>16</xdr:row>
      <xdr:rowOff>12700</xdr:rowOff>
    </xdr:to>
    <xdr:pic>
      <xdr:nvPicPr>
        <xdr:cNvPr id="2087" name="Picture 3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508000</xdr:colOff>
      <xdr:row>16</xdr:row>
      <xdr:rowOff>152400</xdr:rowOff>
    </xdr:to>
    <xdr:pic>
      <xdr:nvPicPr>
        <xdr:cNvPr id="2088" name="Picture 40" descr="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56100" y="1955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279400</xdr:colOff>
      <xdr:row>16</xdr:row>
      <xdr:rowOff>139700</xdr:rowOff>
    </xdr:to>
    <xdr:pic>
      <xdr:nvPicPr>
        <xdr:cNvPr id="2089" name="Picture 4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5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12700</xdr:colOff>
      <xdr:row>16</xdr:row>
      <xdr:rowOff>12700</xdr:rowOff>
    </xdr:to>
    <xdr:pic>
      <xdr:nvPicPr>
        <xdr:cNvPr id="2090" name="Picture 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12700</xdr:colOff>
      <xdr:row>16</xdr:row>
      <xdr:rowOff>12700</xdr:rowOff>
    </xdr:to>
    <xdr:pic>
      <xdr:nvPicPr>
        <xdr:cNvPr id="2091" name="Picture 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2</xdr:col>
      <xdr:colOff>12700</xdr:colOff>
      <xdr:row>17</xdr:row>
      <xdr:rowOff>12700</xdr:rowOff>
    </xdr:to>
    <xdr:pic>
      <xdr:nvPicPr>
        <xdr:cNvPr id="2092" name="Picture 4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xdr:row>
      <xdr:rowOff>0</xdr:rowOff>
    </xdr:from>
    <xdr:to>
      <xdr:col>5</xdr:col>
      <xdr:colOff>533400</xdr:colOff>
      <xdr:row>17</xdr:row>
      <xdr:rowOff>152400</xdr:rowOff>
    </xdr:to>
    <xdr:pic>
      <xdr:nvPicPr>
        <xdr:cNvPr id="2093" name="Picture 45"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2146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xdr:row>
      <xdr:rowOff>0</xdr:rowOff>
    </xdr:from>
    <xdr:to>
      <xdr:col>7</xdr:col>
      <xdr:colOff>279400</xdr:colOff>
      <xdr:row>17</xdr:row>
      <xdr:rowOff>139700</xdr:rowOff>
    </xdr:to>
    <xdr:pic>
      <xdr:nvPicPr>
        <xdr:cNvPr id="2094" name="Picture 4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4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2095" name="Picture 47"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2096" name="Picture 48"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12700</xdr:colOff>
      <xdr:row>18</xdr:row>
      <xdr:rowOff>12700</xdr:rowOff>
    </xdr:to>
    <xdr:pic>
      <xdr:nvPicPr>
        <xdr:cNvPr id="2097" name="Picture 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xdr:row>
      <xdr:rowOff>0</xdr:rowOff>
    </xdr:from>
    <xdr:to>
      <xdr:col>5</xdr:col>
      <xdr:colOff>495300</xdr:colOff>
      <xdr:row>18</xdr:row>
      <xdr:rowOff>152400</xdr:rowOff>
    </xdr:to>
    <xdr:pic>
      <xdr:nvPicPr>
        <xdr:cNvPr id="2098" name="Picture 50" descr="ogo"/>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56100" y="23368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xdr:row>
      <xdr:rowOff>0</xdr:rowOff>
    </xdr:from>
    <xdr:to>
      <xdr:col>7</xdr:col>
      <xdr:colOff>279400</xdr:colOff>
      <xdr:row>18</xdr:row>
      <xdr:rowOff>139700</xdr:rowOff>
    </xdr:to>
    <xdr:pic>
      <xdr:nvPicPr>
        <xdr:cNvPr id="2099" name="Picture 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3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2100" name="Picture 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2101" name="Picture 53"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xdr:row>
      <xdr:rowOff>0</xdr:rowOff>
    </xdr:from>
    <xdr:to>
      <xdr:col>2</xdr:col>
      <xdr:colOff>12700</xdr:colOff>
      <xdr:row>19</xdr:row>
      <xdr:rowOff>12700</xdr:rowOff>
    </xdr:to>
    <xdr:pic>
      <xdr:nvPicPr>
        <xdr:cNvPr id="2102" name="Picture 5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508000</xdr:colOff>
      <xdr:row>19</xdr:row>
      <xdr:rowOff>152400</xdr:rowOff>
    </xdr:to>
    <xdr:pic>
      <xdr:nvPicPr>
        <xdr:cNvPr id="2103" name="Picture 55"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2527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0</xdr:rowOff>
    </xdr:from>
    <xdr:to>
      <xdr:col>7</xdr:col>
      <xdr:colOff>279400</xdr:colOff>
      <xdr:row>19</xdr:row>
      <xdr:rowOff>139700</xdr:rowOff>
    </xdr:to>
    <xdr:pic>
      <xdr:nvPicPr>
        <xdr:cNvPr id="2104" name="Picture 5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2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2105" name="Picture 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2106" name="Picture 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12700</xdr:colOff>
      <xdr:row>20</xdr:row>
      <xdr:rowOff>12700</xdr:rowOff>
    </xdr:to>
    <xdr:pic>
      <xdr:nvPicPr>
        <xdr:cNvPr id="2107" name="Picture 5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5</xdr:col>
      <xdr:colOff>139700</xdr:colOff>
      <xdr:row>20</xdr:row>
      <xdr:rowOff>152400</xdr:rowOff>
    </xdr:to>
    <xdr:pic>
      <xdr:nvPicPr>
        <xdr:cNvPr id="2108" name="Picture 60" descr="ogo"/>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56100" y="2717800"/>
          <a:ext cx="139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xdr:row>
      <xdr:rowOff>0</xdr:rowOff>
    </xdr:from>
    <xdr:to>
      <xdr:col>7</xdr:col>
      <xdr:colOff>279400</xdr:colOff>
      <xdr:row>20</xdr:row>
      <xdr:rowOff>139700</xdr:rowOff>
    </xdr:to>
    <xdr:pic>
      <xdr:nvPicPr>
        <xdr:cNvPr id="2109" name="Picture 6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1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2110" name="Picture 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2111" name="Picture 6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xdr:row>
      <xdr:rowOff>0</xdr:rowOff>
    </xdr:from>
    <xdr:to>
      <xdr:col>2</xdr:col>
      <xdr:colOff>12700</xdr:colOff>
      <xdr:row>21</xdr:row>
      <xdr:rowOff>12700</xdr:rowOff>
    </xdr:to>
    <xdr:pic>
      <xdr:nvPicPr>
        <xdr:cNvPr id="2112" name="Picture 6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508000</xdr:colOff>
      <xdr:row>21</xdr:row>
      <xdr:rowOff>152400</xdr:rowOff>
    </xdr:to>
    <xdr:pic>
      <xdr:nvPicPr>
        <xdr:cNvPr id="2113" name="Picture 65"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xdr:row>
      <xdr:rowOff>0</xdr:rowOff>
    </xdr:from>
    <xdr:to>
      <xdr:col>7</xdr:col>
      <xdr:colOff>279400</xdr:colOff>
      <xdr:row>21</xdr:row>
      <xdr:rowOff>139700</xdr:rowOff>
    </xdr:to>
    <xdr:pic>
      <xdr:nvPicPr>
        <xdr:cNvPr id="2114" name="Picture 6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90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2115" name="Picture 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2116" name="Picture 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xdr:row>
      <xdr:rowOff>0</xdr:rowOff>
    </xdr:from>
    <xdr:to>
      <xdr:col>2</xdr:col>
      <xdr:colOff>12700</xdr:colOff>
      <xdr:row>22</xdr:row>
      <xdr:rowOff>12700</xdr:rowOff>
    </xdr:to>
    <xdr:pic>
      <xdr:nvPicPr>
        <xdr:cNvPr id="2117" name="Picture 6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381000</xdr:colOff>
      <xdr:row>22</xdr:row>
      <xdr:rowOff>152400</xdr:rowOff>
    </xdr:to>
    <xdr:pic>
      <xdr:nvPicPr>
        <xdr:cNvPr id="2118" name="Picture 70" descr="og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356100" y="3098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279400</xdr:colOff>
      <xdr:row>22</xdr:row>
      <xdr:rowOff>139700</xdr:rowOff>
    </xdr:to>
    <xdr:pic>
      <xdr:nvPicPr>
        <xdr:cNvPr id="2119" name="Picture 7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09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2120" name="Picture 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2121" name="Picture 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2122" name="Picture 7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xdr:row>
      <xdr:rowOff>0</xdr:rowOff>
    </xdr:from>
    <xdr:to>
      <xdr:col>2</xdr:col>
      <xdr:colOff>12700</xdr:colOff>
      <xdr:row>23</xdr:row>
      <xdr:rowOff>12700</xdr:rowOff>
    </xdr:to>
    <xdr:pic>
      <xdr:nvPicPr>
        <xdr:cNvPr id="2123" name="Picture 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381000</xdr:colOff>
      <xdr:row>23</xdr:row>
      <xdr:rowOff>152400</xdr:rowOff>
    </xdr:to>
    <xdr:pic>
      <xdr:nvPicPr>
        <xdr:cNvPr id="2124" name="Picture 76"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3289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0</xdr:rowOff>
    </xdr:from>
    <xdr:to>
      <xdr:col>7</xdr:col>
      <xdr:colOff>279400</xdr:colOff>
      <xdr:row>23</xdr:row>
      <xdr:rowOff>139700</xdr:rowOff>
    </xdr:to>
    <xdr:pic>
      <xdr:nvPicPr>
        <xdr:cNvPr id="2125" name="Picture 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28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2126" name="Picture 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2127" name="Picture 79"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xdr:row>
      <xdr:rowOff>0</xdr:rowOff>
    </xdr:from>
    <xdr:to>
      <xdr:col>2</xdr:col>
      <xdr:colOff>12700</xdr:colOff>
      <xdr:row>24</xdr:row>
      <xdr:rowOff>12700</xdr:rowOff>
    </xdr:to>
    <xdr:pic>
      <xdr:nvPicPr>
        <xdr:cNvPr id="2128" name="Picture 8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5</xdr:col>
      <xdr:colOff>266700</xdr:colOff>
      <xdr:row>24</xdr:row>
      <xdr:rowOff>152400</xdr:rowOff>
    </xdr:to>
    <xdr:pic>
      <xdr:nvPicPr>
        <xdr:cNvPr id="2129" name="Picture 8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3479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xdr:row>
      <xdr:rowOff>0</xdr:rowOff>
    </xdr:from>
    <xdr:to>
      <xdr:col>7</xdr:col>
      <xdr:colOff>279400</xdr:colOff>
      <xdr:row>24</xdr:row>
      <xdr:rowOff>139700</xdr:rowOff>
    </xdr:to>
    <xdr:pic>
      <xdr:nvPicPr>
        <xdr:cNvPr id="2130" name="Picture 8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47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2131" name="Picture 8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2132" name="Picture 8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2133" name="Picture 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2</xdr:col>
      <xdr:colOff>12700</xdr:colOff>
      <xdr:row>25</xdr:row>
      <xdr:rowOff>12700</xdr:rowOff>
    </xdr:to>
    <xdr:pic>
      <xdr:nvPicPr>
        <xdr:cNvPr id="2134" name="Picture 8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381000</xdr:colOff>
      <xdr:row>25</xdr:row>
      <xdr:rowOff>152400</xdr:rowOff>
    </xdr:to>
    <xdr:pic>
      <xdr:nvPicPr>
        <xdr:cNvPr id="2135" name="Picture 87" descr="og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356100" y="3670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279400</xdr:colOff>
      <xdr:row>25</xdr:row>
      <xdr:rowOff>139700</xdr:rowOff>
    </xdr:to>
    <xdr:pic>
      <xdr:nvPicPr>
        <xdr:cNvPr id="2136" name="Picture 8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67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2137" name="Picture 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2138" name="Picture 9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2139" name="Picture 9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12700</xdr:colOff>
      <xdr:row>26</xdr:row>
      <xdr:rowOff>12700</xdr:rowOff>
    </xdr:to>
    <xdr:pic>
      <xdr:nvPicPr>
        <xdr:cNvPr id="2140" name="Picture 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508000</xdr:colOff>
      <xdr:row>26</xdr:row>
      <xdr:rowOff>152400</xdr:rowOff>
    </xdr:to>
    <xdr:pic>
      <xdr:nvPicPr>
        <xdr:cNvPr id="2141" name="Picture 93"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3860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xdr:row>
      <xdr:rowOff>0</xdr:rowOff>
    </xdr:from>
    <xdr:to>
      <xdr:col>7</xdr:col>
      <xdr:colOff>279400</xdr:colOff>
      <xdr:row>26</xdr:row>
      <xdr:rowOff>139700</xdr:rowOff>
    </xdr:to>
    <xdr:pic>
      <xdr:nvPicPr>
        <xdr:cNvPr id="2142" name="Picture 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86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2143" name="Picture 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2144" name="Picture 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xdr:row>
      <xdr:rowOff>0</xdr:rowOff>
    </xdr:from>
    <xdr:to>
      <xdr:col>2</xdr:col>
      <xdr:colOff>12700</xdr:colOff>
      <xdr:row>27</xdr:row>
      <xdr:rowOff>12700</xdr:rowOff>
    </xdr:to>
    <xdr:pic>
      <xdr:nvPicPr>
        <xdr:cNvPr id="2145" name="Picture 9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5</xdr:col>
      <xdr:colOff>609600</xdr:colOff>
      <xdr:row>27</xdr:row>
      <xdr:rowOff>152400</xdr:rowOff>
    </xdr:to>
    <xdr:pic>
      <xdr:nvPicPr>
        <xdr:cNvPr id="2146" name="Picture 98" descr="ogo"/>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356100" y="4051300"/>
          <a:ext cx="609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xdr:row>
      <xdr:rowOff>0</xdr:rowOff>
    </xdr:from>
    <xdr:to>
      <xdr:col>7</xdr:col>
      <xdr:colOff>279400</xdr:colOff>
      <xdr:row>27</xdr:row>
      <xdr:rowOff>139700</xdr:rowOff>
    </xdr:to>
    <xdr:pic>
      <xdr:nvPicPr>
        <xdr:cNvPr id="2147" name="Picture 9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05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2148" name="Picture 1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2149" name="Picture 1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2150" name="Picture 1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2</xdr:col>
      <xdr:colOff>12700</xdr:colOff>
      <xdr:row>28</xdr:row>
      <xdr:rowOff>12700</xdr:rowOff>
    </xdr:to>
    <xdr:pic>
      <xdr:nvPicPr>
        <xdr:cNvPr id="2151" name="Picture 1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xdr:row>
      <xdr:rowOff>0</xdr:rowOff>
    </xdr:from>
    <xdr:to>
      <xdr:col>5</xdr:col>
      <xdr:colOff>508000</xdr:colOff>
      <xdr:row>28</xdr:row>
      <xdr:rowOff>152400</xdr:rowOff>
    </xdr:to>
    <xdr:pic>
      <xdr:nvPicPr>
        <xdr:cNvPr id="2152" name="Picture 104"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4241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xdr:row>
      <xdr:rowOff>0</xdr:rowOff>
    </xdr:from>
    <xdr:to>
      <xdr:col>7</xdr:col>
      <xdr:colOff>279400</xdr:colOff>
      <xdr:row>28</xdr:row>
      <xdr:rowOff>139700</xdr:rowOff>
    </xdr:to>
    <xdr:pic>
      <xdr:nvPicPr>
        <xdr:cNvPr id="2153" name="Picture 1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24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2154" name="Picture 1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2155" name="Picture 10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12700</xdr:colOff>
      <xdr:row>29</xdr:row>
      <xdr:rowOff>12700</xdr:rowOff>
    </xdr:to>
    <xdr:pic>
      <xdr:nvPicPr>
        <xdr:cNvPr id="2156" name="Picture 1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406400</xdr:colOff>
      <xdr:row>29</xdr:row>
      <xdr:rowOff>152400</xdr:rowOff>
    </xdr:to>
    <xdr:pic>
      <xdr:nvPicPr>
        <xdr:cNvPr id="2157" name="Picture 109" descr="ogo"/>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356100" y="4432300"/>
          <a:ext cx="406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xdr:row>
      <xdr:rowOff>0</xdr:rowOff>
    </xdr:from>
    <xdr:to>
      <xdr:col>7</xdr:col>
      <xdr:colOff>279400</xdr:colOff>
      <xdr:row>29</xdr:row>
      <xdr:rowOff>139700</xdr:rowOff>
    </xdr:to>
    <xdr:pic>
      <xdr:nvPicPr>
        <xdr:cNvPr id="2158" name="Picture 1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43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2159" name="Picture 1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2160" name="Picture 1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2161" name="Picture 1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12700</xdr:colOff>
      <xdr:row>30</xdr:row>
      <xdr:rowOff>12700</xdr:rowOff>
    </xdr:to>
    <xdr:pic>
      <xdr:nvPicPr>
        <xdr:cNvPr id="2162" name="Picture 11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xdr:row>
      <xdr:rowOff>0</xdr:rowOff>
    </xdr:from>
    <xdr:to>
      <xdr:col>5</xdr:col>
      <xdr:colOff>381000</xdr:colOff>
      <xdr:row>30</xdr:row>
      <xdr:rowOff>152400</xdr:rowOff>
    </xdr:to>
    <xdr:pic>
      <xdr:nvPicPr>
        <xdr:cNvPr id="2163" name="Picture 115" descr="ogo"/>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356100" y="4622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xdr:row>
      <xdr:rowOff>0</xdr:rowOff>
    </xdr:from>
    <xdr:to>
      <xdr:col>7</xdr:col>
      <xdr:colOff>279400</xdr:colOff>
      <xdr:row>30</xdr:row>
      <xdr:rowOff>139700</xdr:rowOff>
    </xdr:to>
    <xdr:pic>
      <xdr:nvPicPr>
        <xdr:cNvPr id="2164" name="Picture 11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62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2165" name="Picture 1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2166" name="Picture 118"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2167" name="Picture 1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xdr:row>
      <xdr:rowOff>0</xdr:rowOff>
    </xdr:from>
    <xdr:to>
      <xdr:col>2</xdr:col>
      <xdr:colOff>12700</xdr:colOff>
      <xdr:row>31</xdr:row>
      <xdr:rowOff>12700</xdr:rowOff>
    </xdr:to>
    <xdr:pic>
      <xdr:nvPicPr>
        <xdr:cNvPr id="2168" name="Picture 12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xdr:row>
      <xdr:rowOff>0</xdr:rowOff>
    </xdr:from>
    <xdr:to>
      <xdr:col>5</xdr:col>
      <xdr:colOff>508000</xdr:colOff>
      <xdr:row>31</xdr:row>
      <xdr:rowOff>152400</xdr:rowOff>
    </xdr:to>
    <xdr:pic>
      <xdr:nvPicPr>
        <xdr:cNvPr id="2169" name="Picture 121"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481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xdr:row>
      <xdr:rowOff>0</xdr:rowOff>
    </xdr:from>
    <xdr:to>
      <xdr:col>7</xdr:col>
      <xdr:colOff>279400</xdr:colOff>
      <xdr:row>31</xdr:row>
      <xdr:rowOff>139700</xdr:rowOff>
    </xdr:to>
    <xdr:pic>
      <xdr:nvPicPr>
        <xdr:cNvPr id="2170" name="Picture 12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81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2171" name="Picture 12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2172" name="Picture 1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12700</xdr:colOff>
      <xdr:row>32</xdr:row>
      <xdr:rowOff>12700</xdr:rowOff>
    </xdr:to>
    <xdr:pic>
      <xdr:nvPicPr>
        <xdr:cNvPr id="2173" name="Picture 1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508000</xdr:colOff>
      <xdr:row>32</xdr:row>
      <xdr:rowOff>152400</xdr:rowOff>
    </xdr:to>
    <xdr:pic>
      <xdr:nvPicPr>
        <xdr:cNvPr id="2174" name="Picture 126" descr="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56100" y="5003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xdr:row>
      <xdr:rowOff>0</xdr:rowOff>
    </xdr:from>
    <xdr:to>
      <xdr:col>7</xdr:col>
      <xdr:colOff>279400</xdr:colOff>
      <xdr:row>32</xdr:row>
      <xdr:rowOff>139700</xdr:rowOff>
    </xdr:to>
    <xdr:pic>
      <xdr:nvPicPr>
        <xdr:cNvPr id="2175" name="Picture 1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00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2176" name="Picture 1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2177" name="Picture 1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2178" name="Picture 1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xdr:row>
      <xdr:rowOff>0</xdr:rowOff>
    </xdr:from>
    <xdr:to>
      <xdr:col>2</xdr:col>
      <xdr:colOff>12700</xdr:colOff>
      <xdr:row>33</xdr:row>
      <xdr:rowOff>12700</xdr:rowOff>
    </xdr:to>
    <xdr:pic>
      <xdr:nvPicPr>
        <xdr:cNvPr id="2179" name="Picture 1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xdr:row>
      <xdr:rowOff>0</xdr:rowOff>
    </xdr:from>
    <xdr:to>
      <xdr:col>5</xdr:col>
      <xdr:colOff>381000</xdr:colOff>
      <xdr:row>33</xdr:row>
      <xdr:rowOff>152400</xdr:rowOff>
    </xdr:to>
    <xdr:pic>
      <xdr:nvPicPr>
        <xdr:cNvPr id="2180" name="Picture 132"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5194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279400</xdr:colOff>
      <xdr:row>33</xdr:row>
      <xdr:rowOff>139700</xdr:rowOff>
    </xdr:to>
    <xdr:pic>
      <xdr:nvPicPr>
        <xdr:cNvPr id="2181" name="Picture 13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19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182" name="Picture 1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183" name="Picture 13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184" name="Picture 13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12700</xdr:colOff>
      <xdr:row>34</xdr:row>
      <xdr:rowOff>12700</xdr:rowOff>
    </xdr:to>
    <xdr:pic>
      <xdr:nvPicPr>
        <xdr:cNvPr id="2185" name="Picture 13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34</xdr:row>
      <xdr:rowOff>0</xdr:rowOff>
    </xdr:from>
    <xdr:to>
      <xdr:col>5</xdr:col>
      <xdr:colOff>381000</xdr:colOff>
      <xdr:row>34</xdr:row>
      <xdr:rowOff>152400</xdr:rowOff>
    </xdr:to>
    <xdr:pic>
      <xdr:nvPicPr>
        <xdr:cNvPr id="2186" name="Picture 138" descr="ogo"/>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356100" y="5384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xdr:row>
      <xdr:rowOff>0</xdr:rowOff>
    </xdr:from>
    <xdr:to>
      <xdr:col>7</xdr:col>
      <xdr:colOff>279400</xdr:colOff>
      <xdr:row>34</xdr:row>
      <xdr:rowOff>139700</xdr:rowOff>
    </xdr:to>
    <xdr:pic>
      <xdr:nvPicPr>
        <xdr:cNvPr id="2187" name="Picture 1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38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188" name="Picture 14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189" name="Picture 14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190" name="Picture 1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xdr:row>
      <xdr:rowOff>0</xdr:rowOff>
    </xdr:from>
    <xdr:to>
      <xdr:col>2</xdr:col>
      <xdr:colOff>12700</xdr:colOff>
      <xdr:row>35</xdr:row>
      <xdr:rowOff>12700</xdr:rowOff>
    </xdr:to>
    <xdr:pic>
      <xdr:nvPicPr>
        <xdr:cNvPr id="2191" name="Picture 14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35</xdr:row>
      <xdr:rowOff>0</xdr:rowOff>
    </xdr:from>
    <xdr:to>
      <xdr:col>5</xdr:col>
      <xdr:colOff>508000</xdr:colOff>
      <xdr:row>35</xdr:row>
      <xdr:rowOff>152400</xdr:rowOff>
    </xdr:to>
    <xdr:pic>
      <xdr:nvPicPr>
        <xdr:cNvPr id="2192" name="Picture 144" descr="ogo"/>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356100" y="557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35</xdr:row>
      <xdr:rowOff>0</xdr:rowOff>
    </xdr:from>
    <xdr:to>
      <xdr:col>7</xdr:col>
      <xdr:colOff>279400</xdr:colOff>
      <xdr:row>35</xdr:row>
      <xdr:rowOff>139700</xdr:rowOff>
    </xdr:to>
    <xdr:pic>
      <xdr:nvPicPr>
        <xdr:cNvPr id="2193" name="Picture 14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57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194" name="Picture 14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195" name="Picture 14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196" name="Picture 14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2</xdr:col>
      <xdr:colOff>12700</xdr:colOff>
      <xdr:row>36</xdr:row>
      <xdr:rowOff>12700</xdr:rowOff>
    </xdr:to>
    <xdr:pic>
      <xdr:nvPicPr>
        <xdr:cNvPr id="2197" name="Picture 1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5</xdr:col>
      <xdr:colOff>508000</xdr:colOff>
      <xdr:row>36</xdr:row>
      <xdr:rowOff>152400</xdr:rowOff>
    </xdr:to>
    <xdr:pic>
      <xdr:nvPicPr>
        <xdr:cNvPr id="2198" name="Picture 150"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5765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36</xdr:row>
      <xdr:rowOff>0</xdr:rowOff>
    </xdr:from>
    <xdr:to>
      <xdr:col>7</xdr:col>
      <xdr:colOff>279400</xdr:colOff>
      <xdr:row>36</xdr:row>
      <xdr:rowOff>139700</xdr:rowOff>
    </xdr:to>
    <xdr:pic>
      <xdr:nvPicPr>
        <xdr:cNvPr id="2199" name="Picture 1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76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200" name="Picture 1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201" name="Picture 1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202" name="Picture 154"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2</xdr:col>
      <xdr:colOff>12700</xdr:colOff>
      <xdr:row>37</xdr:row>
      <xdr:rowOff>12700</xdr:rowOff>
    </xdr:to>
    <xdr:pic>
      <xdr:nvPicPr>
        <xdr:cNvPr id="2203" name="Picture 15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381000</xdr:colOff>
      <xdr:row>37</xdr:row>
      <xdr:rowOff>152400</xdr:rowOff>
    </xdr:to>
    <xdr:pic>
      <xdr:nvPicPr>
        <xdr:cNvPr id="2204" name="Picture 156" descr="ogo"/>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356100" y="5956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37</xdr:row>
      <xdr:rowOff>0</xdr:rowOff>
    </xdr:from>
    <xdr:to>
      <xdr:col>7</xdr:col>
      <xdr:colOff>279400</xdr:colOff>
      <xdr:row>37</xdr:row>
      <xdr:rowOff>139700</xdr:rowOff>
    </xdr:to>
    <xdr:pic>
      <xdr:nvPicPr>
        <xdr:cNvPr id="2205" name="Picture 15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95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206" name="Picture 15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207" name="Picture 15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208" name="Picture 16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2</xdr:col>
      <xdr:colOff>12700</xdr:colOff>
      <xdr:row>38</xdr:row>
      <xdr:rowOff>12700</xdr:rowOff>
    </xdr:to>
    <xdr:pic>
      <xdr:nvPicPr>
        <xdr:cNvPr id="2209" name="Picture 1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38</xdr:row>
      <xdr:rowOff>0</xdr:rowOff>
    </xdr:from>
    <xdr:to>
      <xdr:col>5</xdr:col>
      <xdr:colOff>508000</xdr:colOff>
      <xdr:row>38</xdr:row>
      <xdr:rowOff>152400</xdr:rowOff>
    </xdr:to>
    <xdr:pic>
      <xdr:nvPicPr>
        <xdr:cNvPr id="2210" name="Picture 162" descr="ogo"/>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356100" y="614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38</xdr:row>
      <xdr:rowOff>0</xdr:rowOff>
    </xdr:from>
    <xdr:to>
      <xdr:col>7</xdr:col>
      <xdr:colOff>279400</xdr:colOff>
      <xdr:row>38</xdr:row>
      <xdr:rowOff>139700</xdr:rowOff>
    </xdr:to>
    <xdr:pic>
      <xdr:nvPicPr>
        <xdr:cNvPr id="2211" name="Picture 1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14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212" name="Picture 1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213" name="Picture 16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xdr:row>
      <xdr:rowOff>0</xdr:rowOff>
    </xdr:from>
    <xdr:to>
      <xdr:col>2</xdr:col>
      <xdr:colOff>12700</xdr:colOff>
      <xdr:row>39</xdr:row>
      <xdr:rowOff>12700</xdr:rowOff>
    </xdr:to>
    <xdr:pic>
      <xdr:nvPicPr>
        <xdr:cNvPr id="2214" name="Picture 1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39</xdr:row>
      <xdr:rowOff>0</xdr:rowOff>
    </xdr:from>
    <xdr:to>
      <xdr:col>5</xdr:col>
      <xdr:colOff>381000</xdr:colOff>
      <xdr:row>39</xdr:row>
      <xdr:rowOff>152400</xdr:rowOff>
    </xdr:to>
    <xdr:pic>
      <xdr:nvPicPr>
        <xdr:cNvPr id="2215" name="Picture 167"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6337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39</xdr:row>
      <xdr:rowOff>0</xdr:rowOff>
    </xdr:from>
    <xdr:to>
      <xdr:col>7</xdr:col>
      <xdr:colOff>279400</xdr:colOff>
      <xdr:row>39</xdr:row>
      <xdr:rowOff>139700</xdr:rowOff>
    </xdr:to>
    <xdr:pic>
      <xdr:nvPicPr>
        <xdr:cNvPr id="2216" name="Picture 1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33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217" name="Picture 1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218" name="Picture 1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219" name="Picture 1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2</xdr:col>
      <xdr:colOff>12700</xdr:colOff>
      <xdr:row>40</xdr:row>
      <xdr:rowOff>12700</xdr:rowOff>
    </xdr:to>
    <xdr:pic>
      <xdr:nvPicPr>
        <xdr:cNvPr id="2220" name="Picture 17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40</xdr:row>
      <xdr:rowOff>0</xdr:rowOff>
    </xdr:from>
    <xdr:to>
      <xdr:col>5</xdr:col>
      <xdr:colOff>457200</xdr:colOff>
      <xdr:row>40</xdr:row>
      <xdr:rowOff>152400</xdr:rowOff>
    </xdr:to>
    <xdr:pic>
      <xdr:nvPicPr>
        <xdr:cNvPr id="2221" name="Picture 173" descr="ogo"/>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356100" y="6527800"/>
          <a:ext cx="457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40</xdr:row>
      <xdr:rowOff>0</xdr:rowOff>
    </xdr:from>
    <xdr:to>
      <xdr:col>7</xdr:col>
      <xdr:colOff>279400</xdr:colOff>
      <xdr:row>40</xdr:row>
      <xdr:rowOff>139700</xdr:rowOff>
    </xdr:to>
    <xdr:pic>
      <xdr:nvPicPr>
        <xdr:cNvPr id="2222" name="Picture 17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52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2223" name="Picture 17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2224" name="Picture 176"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xdr:row>
      <xdr:rowOff>0</xdr:rowOff>
    </xdr:from>
    <xdr:to>
      <xdr:col>2</xdr:col>
      <xdr:colOff>12700</xdr:colOff>
      <xdr:row>41</xdr:row>
      <xdr:rowOff>12700</xdr:rowOff>
    </xdr:to>
    <xdr:pic>
      <xdr:nvPicPr>
        <xdr:cNvPr id="2225" name="Picture 17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41</xdr:row>
      <xdr:rowOff>0</xdr:rowOff>
    </xdr:from>
    <xdr:to>
      <xdr:col>5</xdr:col>
      <xdr:colOff>533400</xdr:colOff>
      <xdr:row>41</xdr:row>
      <xdr:rowOff>152400</xdr:rowOff>
    </xdr:to>
    <xdr:pic>
      <xdr:nvPicPr>
        <xdr:cNvPr id="2226" name="Picture 178"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6718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41</xdr:row>
      <xdr:rowOff>0</xdr:rowOff>
    </xdr:from>
    <xdr:to>
      <xdr:col>7</xdr:col>
      <xdr:colOff>279400</xdr:colOff>
      <xdr:row>41</xdr:row>
      <xdr:rowOff>139700</xdr:rowOff>
    </xdr:to>
    <xdr:pic>
      <xdr:nvPicPr>
        <xdr:cNvPr id="2227" name="Picture 17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71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228" name="Picture 1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229" name="Picture 1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230" name="Picture 18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12700</xdr:colOff>
      <xdr:row>42</xdr:row>
      <xdr:rowOff>12700</xdr:rowOff>
    </xdr:to>
    <xdr:pic>
      <xdr:nvPicPr>
        <xdr:cNvPr id="2231" name="Picture 1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42</xdr:row>
      <xdr:rowOff>0</xdr:rowOff>
    </xdr:from>
    <xdr:to>
      <xdr:col>5</xdr:col>
      <xdr:colOff>508000</xdr:colOff>
      <xdr:row>42</xdr:row>
      <xdr:rowOff>152400</xdr:rowOff>
    </xdr:to>
    <xdr:pic>
      <xdr:nvPicPr>
        <xdr:cNvPr id="2232" name="Picture 184"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6908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42</xdr:row>
      <xdr:rowOff>0</xdr:rowOff>
    </xdr:from>
    <xdr:to>
      <xdr:col>7</xdr:col>
      <xdr:colOff>279400</xdr:colOff>
      <xdr:row>42</xdr:row>
      <xdr:rowOff>139700</xdr:rowOff>
    </xdr:to>
    <xdr:pic>
      <xdr:nvPicPr>
        <xdr:cNvPr id="2233" name="Picture 1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90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234" name="Picture 1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235" name="Picture 18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236" name="Picture 1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237" name="Picture 1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238" name="Picture 1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xdr:row>
      <xdr:rowOff>0</xdr:rowOff>
    </xdr:from>
    <xdr:to>
      <xdr:col>2</xdr:col>
      <xdr:colOff>12700</xdr:colOff>
      <xdr:row>43</xdr:row>
      <xdr:rowOff>12700</xdr:rowOff>
    </xdr:to>
    <xdr:pic>
      <xdr:nvPicPr>
        <xdr:cNvPr id="2239" name="Picture 1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43</xdr:row>
      <xdr:rowOff>0</xdr:rowOff>
    </xdr:from>
    <xdr:to>
      <xdr:col>5</xdr:col>
      <xdr:colOff>355600</xdr:colOff>
      <xdr:row>43</xdr:row>
      <xdr:rowOff>152400</xdr:rowOff>
    </xdr:to>
    <xdr:pic>
      <xdr:nvPicPr>
        <xdr:cNvPr id="2240" name="Picture 192" descr="ogo"/>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56100" y="70993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279400</xdr:colOff>
      <xdr:row>43</xdr:row>
      <xdr:rowOff>139700</xdr:rowOff>
    </xdr:to>
    <xdr:pic>
      <xdr:nvPicPr>
        <xdr:cNvPr id="2241" name="Picture 1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09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242" name="Picture 1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243" name="Picture 1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244" name="Picture 1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xdr:row>
      <xdr:rowOff>0</xdr:rowOff>
    </xdr:from>
    <xdr:to>
      <xdr:col>2</xdr:col>
      <xdr:colOff>12700</xdr:colOff>
      <xdr:row>44</xdr:row>
      <xdr:rowOff>12700</xdr:rowOff>
    </xdr:to>
    <xdr:pic>
      <xdr:nvPicPr>
        <xdr:cNvPr id="2245" name="Picture 19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44</xdr:row>
      <xdr:rowOff>0</xdr:rowOff>
    </xdr:from>
    <xdr:to>
      <xdr:col>5</xdr:col>
      <xdr:colOff>381000</xdr:colOff>
      <xdr:row>44</xdr:row>
      <xdr:rowOff>152400</xdr:rowOff>
    </xdr:to>
    <xdr:pic>
      <xdr:nvPicPr>
        <xdr:cNvPr id="2246" name="Picture 198"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7289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44</xdr:row>
      <xdr:rowOff>0</xdr:rowOff>
    </xdr:from>
    <xdr:to>
      <xdr:col>7</xdr:col>
      <xdr:colOff>279400</xdr:colOff>
      <xdr:row>44</xdr:row>
      <xdr:rowOff>139700</xdr:rowOff>
    </xdr:to>
    <xdr:pic>
      <xdr:nvPicPr>
        <xdr:cNvPr id="2247" name="Picture 19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28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248" name="Picture 2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249" name="Picture 2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250" name="Picture 20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12700</xdr:colOff>
      <xdr:row>45</xdr:row>
      <xdr:rowOff>12700</xdr:rowOff>
    </xdr:to>
    <xdr:pic>
      <xdr:nvPicPr>
        <xdr:cNvPr id="2251" name="Picture 2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508000</xdr:colOff>
      <xdr:row>45</xdr:row>
      <xdr:rowOff>152400</xdr:rowOff>
    </xdr:to>
    <xdr:pic>
      <xdr:nvPicPr>
        <xdr:cNvPr id="2252" name="Picture 204"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7480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45</xdr:row>
      <xdr:rowOff>0</xdr:rowOff>
    </xdr:from>
    <xdr:to>
      <xdr:col>7</xdr:col>
      <xdr:colOff>279400</xdr:colOff>
      <xdr:row>45</xdr:row>
      <xdr:rowOff>139700</xdr:rowOff>
    </xdr:to>
    <xdr:pic>
      <xdr:nvPicPr>
        <xdr:cNvPr id="2253" name="Picture 2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48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254" name="Picture 2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255" name="Picture 20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12700</xdr:colOff>
      <xdr:row>46</xdr:row>
      <xdr:rowOff>12700</xdr:rowOff>
    </xdr:to>
    <xdr:pic>
      <xdr:nvPicPr>
        <xdr:cNvPr id="2256" name="Picture 2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xdr:row>
      <xdr:rowOff>0</xdr:rowOff>
    </xdr:from>
    <xdr:to>
      <xdr:col>5</xdr:col>
      <xdr:colOff>381000</xdr:colOff>
      <xdr:row>46</xdr:row>
      <xdr:rowOff>152400</xdr:rowOff>
    </xdr:to>
    <xdr:pic>
      <xdr:nvPicPr>
        <xdr:cNvPr id="2257" name="Picture 209" descr="ogo"/>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356100" y="7670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46</xdr:row>
      <xdr:rowOff>0</xdr:rowOff>
    </xdr:from>
    <xdr:to>
      <xdr:col>7</xdr:col>
      <xdr:colOff>279400</xdr:colOff>
      <xdr:row>46</xdr:row>
      <xdr:rowOff>139700</xdr:rowOff>
    </xdr:to>
    <xdr:pic>
      <xdr:nvPicPr>
        <xdr:cNvPr id="2258" name="Picture 2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67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259" name="Picture 2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260" name="Picture 2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261" name="Picture 21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47</xdr:row>
      <xdr:rowOff>0</xdr:rowOff>
    </xdr:from>
    <xdr:to>
      <xdr:col>2</xdr:col>
      <xdr:colOff>12700</xdr:colOff>
      <xdr:row>47</xdr:row>
      <xdr:rowOff>12700</xdr:rowOff>
    </xdr:to>
    <xdr:pic>
      <xdr:nvPicPr>
        <xdr:cNvPr id="2262" name="Picture 21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47</xdr:row>
      <xdr:rowOff>0</xdr:rowOff>
    </xdr:from>
    <xdr:to>
      <xdr:col>5</xdr:col>
      <xdr:colOff>381000</xdr:colOff>
      <xdr:row>47</xdr:row>
      <xdr:rowOff>152400</xdr:rowOff>
    </xdr:to>
    <xdr:pic>
      <xdr:nvPicPr>
        <xdr:cNvPr id="2263" name="Picture 215"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7861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47</xdr:row>
      <xdr:rowOff>0</xdr:rowOff>
    </xdr:from>
    <xdr:to>
      <xdr:col>7</xdr:col>
      <xdr:colOff>279400</xdr:colOff>
      <xdr:row>47</xdr:row>
      <xdr:rowOff>139700</xdr:rowOff>
    </xdr:to>
    <xdr:pic>
      <xdr:nvPicPr>
        <xdr:cNvPr id="2264" name="Picture 21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86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265" name="Picture 2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266" name="Picture 2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48</xdr:row>
      <xdr:rowOff>0</xdr:rowOff>
    </xdr:from>
    <xdr:to>
      <xdr:col>2</xdr:col>
      <xdr:colOff>12700</xdr:colOff>
      <xdr:row>48</xdr:row>
      <xdr:rowOff>12700</xdr:rowOff>
    </xdr:to>
    <xdr:pic>
      <xdr:nvPicPr>
        <xdr:cNvPr id="2267" name="Picture 21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48</xdr:row>
      <xdr:rowOff>0</xdr:rowOff>
    </xdr:from>
    <xdr:to>
      <xdr:col>5</xdr:col>
      <xdr:colOff>368300</xdr:colOff>
      <xdr:row>48</xdr:row>
      <xdr:rowOff>152400</xdr:rowOff>
    </xdr:to>
    <xdr:pic>
      <xdr:nvPicPr>
        <xdr:cNvPr id="2268" name="Picture 220" descr="ogo"/>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356100" y="8051800"/>
          <a:ext cx="368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48</xdr:row>
      <xdr:rowOff>0</xdr:rowOff>
    </xdr:from>
    <xdr:to>
      <xdr:col>7</xdr:col>
      <xdr:colOff>279400</xdr:colOff>
      <xdr:row>48</xdr:row>
      <xdr:rowOff>139700</xdr:rowOff>
    </xdr:to>
    <xdr:pic>
      <xdr:nvPicPr>
        <xdr:cNvPr id="2269" name="Picture 22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05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270" name="Picture 2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271" name="Picture 2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272" name="Picture 224"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12700</xdr:colOff>
      <xdr:row>49</xdr:row>
      <xdr:rowOff>12700</xdr:rowOff>
    </xdr:to>
    <xdr:pic>
      <xdr:nvPicPr>
        <xdr:cNvPr id="2273" name="Picture 2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381000</xdr:colOff>
      <xdr:row>49</xdr:row>
      <xdr:rowOff>152400</xdr:rowOff>
    </xdr:to>
    <xdr:pic>
      <xdr:nvPicPr>
        <xdr:cNvPr id="2274" name="Picture 226"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8242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49</xdr:row>
      <xdr:rowOff>0</xdr:rowOff>
    </xdr:from>
    <xdr:to>
      <xdr:col>7</xdr:col>
      <xdr:colOff>279400</xdr:colOff>
      <xdr:row>49</xdr:row>
      <xdr:rowOff>139700</xdr:rowOff>
    </xdr:to>
    <xdr:pic>
      <xdr:nvPicPr>
        <xdr:cNvPr id="2275" name="Picture 2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24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2276" name="Picture 2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2277" name="Picture 2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2278" name="Picture 2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50</xdr:row>
      <xdr:rowOff>0</xdr:rowOff>
    </xdr:from>
    <xdr:to>
      <xdr:col>2</xdr:col>
      <xdr:colOff>12700</xdr:colOff>
      <xdr:row>50</xdr:row>
      <xdr:rowOff>12700</xdr:rowOff>
    </xdr:to>
    <xdr:pic>
      <xdr:nvPicPr>
        <xdr:cNvPr id="2279" name="Picture 2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50</xdr:row>
      <xdr:rowOff>0</xdr:rowOff>
    </xdr:from>
    <xdr:to>
      <xdr:col>5</xdr:col>
      <xdr:colOff>381000</xdr:colOff>
      <xdr:row>50</xdr:row>
      <xdr:rowOff>152400</xdr:rowOff>
    </xdr:to>
    <xdr:pic>
      <xdr:nvPicPr>
        <xdr:cNvPr id="2280" name="Picture 232"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8432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1</xdr:col>
      <xdr:colOff>12700</xdr:colOff>
      <xdr:row>50</xdr:row>
      <xdr:rowOff>12700</xdr:rowOff>
    </xdr:to>
    <xdr:pic>
      <xdr:nvPicPr>
        <xdr:cNvPr id="2282" name="Picture 2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50</xdr:row>
      <xdr:rowOff>0</xdr:rowOff>
    </xdr:from>
    <xdr:to>
      <xdr:col>3</xdr:col>
      <xdr:colOff>12700</xdr:colOff>
      <xdr:row>50</xdr:row>
      <xdr:rowOff>12700</xdr:rowOff>
    </xdr:to>
    <xdr:pic>
      <xdr:nvPicPr>
        <xdr:cNvPr id="2283" name="Picture 2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51</xdr:row>
      <xdr:rowOff>0</xdr:rowOff>
    </xdr:from>
    <xdr:to>
      <xdr:col>2</xdr:col>
      <xdr:colOff>12700</xdr:colOff>
      <xdr:row>51</xdr:row>
      <xdr:rowOff>12700</xdr:rowOff>
    </xdr:to>
    <xdr:pic>
      <xdr:nvPicPr>
        <xdr:cNvPr id="2284" name="Picture 2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51</xdr:row>
      <xdr:rowOff>0</xdr:rowOff>
    </xdr:from>
    <xdr:to>
      <xdr:col>5</xdr:col>
      <xdr:colOff>508000</xdr:colOff>
      <xdr:row>51</xdr:row>
      <xdr:rowOff>152400</xdr:rowOff>
    </xdr:to>
    <xdr:pic>
      <xdr:nvPicPr>
        <xdr:cNvPr id="2285" name="Picture 237"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862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51</xdr:row>
      <xdr:rowOff>0</xdr:rowOff>
    </xdr:from>
    <xdr:to>
      <xdr:col>7</xdr:col>
      <xdr:colOff>279400</xdr:colOff>
      <xdr:row>51</xdr:row>
      <xdr:rowOff>139700</xdr:rowOff>
    </xdr:to>
    <xdr:pic>
      <xdr:nvPicPr>
        <xdr:cNvPr id="2286" name="Picture 23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62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287" name="Picture 2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288" name="Picture 24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289" name="Picture 241"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2290" name="Picture 2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52</xdr:row>
      <xdr:rowOff>0</xdr:rowOff>
    </xdr:from>
    <xdr:to>
      <xdr:col>5</xdr:col>
      <xdr:colOff>381000</xdr:colOff>
      <xdr:row>52</xdr:row>
      <xdr:rowOff>152400</xdr:rowOff>
    </xdr:to>
    <xdr:pic>
      <xdr:nvPicPr>
        <xdr:cNvPr id="2291" name="Picture 243"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8813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52</xdr:row>
      <xdr:rowOff>0</xdr:rowOff>
    </xdr:from>
    <xdr:to>
      <xdr:col>7</xdr:col>
      <xdr:colOff>279400</xdr:colOff>
      <xdr:row>52</xdr:row>
      <xdr:rowOff>139700</xdr:rowOff>
    </xdr:to>
    <xdr:pic>
      <xdr:nvPicPr>
        <xdr:cNvPr id="2292" name="Picture 24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81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293" name="Picture 2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294" name="Picture 2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295" name="Picture 2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296" name="Picture 2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53</xdr:row>
      <xdr:rowOff>0</xdr:rowOff>
    </xdr:from>
    <xdr:to>
      <xdr:col>2</xdr:col>
      <xdr:colOff>12700</xdr:colOff>
      <xdr:row>53</xdr:row>
      <xdr:rowOff>12700</xdr:rowOff>
    </xdr:to>
    <xdr:pic>
      <xdr:nvPicPr>
        <xdr:cNvPr id="2297" name="Picture 2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152400</xdr:colOff>
      <xdr:row>53</xdr:row>
      <xdr:rowOff>152400</xdr:rowOff>
    </xdr:to>
    <xdr:pic>
      <xdr:nvPicPr>
        <xdr:cNvPr id="2298" name="Picture 250" descr="ogo"/>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356100" y="900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53</xdr:row>
      <xdr:rowOff>0</xdr:rowOff>
    </xdr:from>
    <xdr:to>
      <xdr:col>7</xdr:col>
      <xdr:colOff>279400</xdr:colOff>
      <xdr:row>53</xdr:row>
      <xdr:rowOff>139700</xdr:rowOff>
    </xdr:to>
    <xdr:pic>
      <xdr:nvPicPr>
        <xdr:cNvPr id="2299" name="Picture 2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00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300" name="Picture 2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301" name="Picture 2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302" name="Picture 25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303" name="Picture 2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2</xdr:col>
      <xdr:colOff>12700</xdr:colOff>
      <xdr:row>54</xdr:row>
      <xdr:rowOff>12700</xdr:rowOff>
    </xdr:to>
    <xdr:pic>
      <xdr:nvPicPr>
        <xdr:cNvPr id="2304" name="Picture 25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508000</xdr:colOff>
      <xdr:row>54</xdr:row>
      <xdr:rowOff>152400</xdr:rowOff>
    </xdr:to>
    <xdr:pic>
      <xdr:nvPicPr>
        <xdr:cNvPr id="2305" name="Picture 257"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919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54</xdr:row>
      <xdr:rowOff>0</xdr:rowOff>
    </xdr:from>
    <xdr:to>
      <xdr:col>7</xdr:col>
      <xdr:colOff>279400</xdr:colOff>
      <xdr:row>54</xdr:row>
      <xdr:rowOff>139700</xdr:rowOff>
    </xdr:to>
    <xdr:pic>
      <xdr:nvPicPr>
        <xdr:cNvPr id="2306" name="Picture 25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19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307" name="Picture 2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308" name="Picture 26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309" name="Picture 2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310" name="Picture 2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55</xdr:row>
      <xdr:rowOff>0</xdr:rowOff>
    </xdr:from>
    <xdr:to>
      <xdr:col>2</xdr:col>
      <xdr:colOff>12700</xdr:colOff>
      <xdr:row>55</xdr:row>
      <xdr:rowOff>12700</xdr:rowOff>
    </xdr:to>
    <xdr:pic>
      <xdr:nvPicPr>
        <xdr:cNvPr id="2311" name="Picture 26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55</xdr:row>
      <xdr:rowOff>0</xdr:rowOff>
    </xdr:from>
    <xdr:to>
      <xdr:col>5</xdr:col>
      <xdr:colOff>266700</xdr:colOff>
      <xdr:row>55</xdr:row>
      <xdr:rowOff>152400</xdr:rowOff>
    </xdr:to>
    <xdr:pic>
      <xdr:nvPicPr>
        <xdr:cNvPr id="2312" name="Picture 264" descr="ogo"/>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356100" y="9385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55</xdr:row>
      <xdr:rowOff>0</xdr:rowOff>
    </xdr:from>
    <xdr:to>
      <xdr:col>7</xdr:col>
      <xdr:colOff>279400</xdr:colOff>
      <xdr:row>55</xdr:row>
      <xdr:rowOff>139700</xdr:rowOff>
    </xdr:to>
    <xdr:pic>
      <xdr:nvPicPr>
        <xdr:cNvPr id="2313" name="Picture 26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38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314" name="Picture 26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315" name="Picture 26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316" name="Picture 2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317" name="Picture 2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56</xdr:row>
      <xdr:rowOff>0</xdr:rowOff>
    </xdr:from>
    <xdr:to>
      <xdr:col>2</xdr:col>
      <xdr:colOff>12700</xdr:colOff>
      <xdr:row>56</xdr:row>
      <xdr:rowOff>12700</xdr:rowOff>
    </xdr:to>
    <xdr:pic>
      <xdr:nvPicPr>
        <xdr:cNvPr id="2318" name="Picture 27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56</xdr:row>
      <xdr:rowOff>0</xdr:rowOff>
    </xdr:from>
    <xdr:to>
      <xdr:col>5</xdr:col>
      <xdr:colOff>381000</xdr:colOff>
      <xdr:row>56</xdr:row>
      <xdr:rowOff>152400</xdr:rowOff>
    </xdr:to>
    <xdr:pic>
      <xdr:nvPicPr>
        <xdr:cNvPr id="2319" name="Picture 271"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9575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56</xdr:row>
      <xdr:rowOff>0</xdr:rowOff>
    </xdr:from>
    <xdr:to>
      <xdr:col>7</xdr:col>
      <xdr:colOff>279400</xdr:colOff>
      <xdr:row>56</xdr:row>
      <xdr:rowOff>139700</xdr:rowOff>
    </xdr:to>
    <xdr:pic>
      <xdr:nvPicPr>
        <xdr:cNvPr id="2320" name="Picture 27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57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321" name="Picture 27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322" name="Picture 27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323" name="Picture 2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324" name="Picture 2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57</xdr:row>
      <xdr:rowOff>0</xdr:rowOff>
    </xdr:from>
    <xdr:to>
      <xdr:col>2</xdr:col>
      <xdr:colOff>12700</xdr:colOff>
      <xdr:row>57</xdr:row>
      <xdr:rowOff>12700</xdr:rowOff>
    </xdr:to>
    <xdr:pic>
      <xdr:nvPicPr>
        <xdr:cNvPr id="2325" name="Picture 27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57</xdr:row>
      <xdr:rowOff>0</xdr:rowOff>
    </xdr:from>
    <xdr:to>
      <xdr:col>5</xdr:col>
      <xdr:colOff>381000</xdr:colOff>
      <xdr:row>57</xdr:row>
      <xdr:rowOff>152400</xdr:rowOff>
    </xdr:to>
    <xdr:pic>
      <xdr:nvPicPr>
        <xdr:cNvPr id="2326" name="Picture 278"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9766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57</xdr:row>
      <xdr:rowOff>0</xdr:rowOff>
    </xdr:from>
    <xdr:to>
      <xdr:col>7</xdr:col>
      <xdr:colOff>279400</xdr:colOff>
      <xdr:row>57</xdr:row>
      <xdr:rowOff>139700</xdr:rowOff>
    </xdr:to>
    <xdr:pic>
      <xdr:nvPicPr>
        <xdr:cNvPr id="2327" name="Picture 27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76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328" name="Picture 2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329" name="Picture 2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330" name="Picture 2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331" name="Picture 2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58</xdr:row>
      <xdr:rowOff>0</xdr:rowOff>
    </xdr:from>
    <xdr:to>
      <xdr:col>2</xdr:col>
      <xdr:colOff>12700</xdr:colOff>
      <xdr:row>58</xdr:row>
      <xdr:rowOff>12700</xdr:rowOff>
    </xdr:to>
    <xdr:pic>
      <xdr:nvPicPr>
        <xdr:cNvPr id="2332" name="Picture 2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58</xdr:row>
      <xdr:rowOff>0</xdr:rowOff>
    </xdr:from>
    <xdr:to>
      <xdr:col>5</xdr:col>
      <xdr:colOff>508000</xdr:colOff>
      <xdr:row>58</xdr:row>
      <xdr:rowOff>152400</xdr:rowOff>
    </xdr:to>
    <xdr:pic>
      <xdr:nvPicPr>
        <xdr:cNvPr id="2333" name="Picture 285"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995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58</xdr:row>
      <xdr:rowOff>0</xdr:rowOff>
    </xdr:from>
    <xdr:to>
      <xdr:col>7</xdr:col>
      <xdr:colOff>279400</xdr:colOff>
      <xdr:row>58</xdr:row>
      <xdr:rowOff>139700</xdr:rowOff>
    </xdr:to>
    <xdr:pic>
      <xdr:nvPicPr>
        <xdr:cNvPr id="2334" name="Picture 2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95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335" name="Picture 28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336" name="Picture 2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59</xdr:row>
      <xdr:rowOff>0</xdr:rowOff>
    </xdr:from>
    <xdr:to>
      <xdr:col>2</xdr:col>
      <xdr:colOff>12700</xdr:colOff>
      <xdr:row>59</xdr:row>
      <xdr:rowOff>12700</xdr:rowOff>
    </xdr:to>
    <xdr:pic>
      <xdr:nvPicPr>
        <xdr:cNvPr id="2337" name="Picture 28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59</xdr:row>
      <xdr:rowOff>0</xdr:rowOff>
    </xdr:from>
    <xdr:to>
      <xdr:col>5</xdr:col>
      <xdr:colOff>266700</xdr:colOff>
      <xdr:row>59</xdr:row>
      <xdr:rowOff>152400</xdr:rowOff>
    </xdr:to>
    <xdr:pic>
      <xdr:nvPicPr>
        <xdr:cNvPr id="2338" name="Picture 29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0147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59</xdr:row>
      <xdr:rowOff>0</xdr:rowOff>
    </xdr:from>
    <xdr:to>
      <xdr:col>7</xdr:col>
      <xdr:colOff>279400</xdr:colOff>
      <xdr:row>59</xdr:row>
      <xdr:rowOff>139700</xdr:rowOff>
    </xdr:to>
    <xdr:pic>
      <xdr:nvPicPr>
        <xdr:cNvPr id="2339" name="Picture 29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14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340" name="Picture 2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341" name="Picture 2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342" name="Picture 2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343" name="Picture 295"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60</xdr:row>
      <xdr:rowOff>0</xdr:rowOff>
    </xdr:from>
    <xdr:to>
      <xdr:col>2</xdr:col>
      <xdr:colOff>12700</xdr:colOff>
      <xdr:row>60</xdr:row>
      <xdr:rowOff>12700</xdr:rowOff>
    </xdr:to>
    <xdr:pic>
      <xdr:nvPicPr>
        <xdr:cNvPr id="2344" name="Picture 29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60</xdr:row>
      <xdr:rowOff>0</xdr:rowOff>
    </xdr:from>
    <xdr:to>
      <xdr:col>5</xdr:col>
      <xdr:colOff>266700</xdr:colOff>
      <xdr:row>60</xdr:row>
      <xdr:rowOff>152400</xdr:rowOff>
    </xdr:to>
    <xdr:pic>
      <xdr:nvPicPr>
        <xdr:cNvPr id="2345" name="Picture 29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0337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60</xdr:row>
      <xdr:rowOff>0</xdr:rowOff>
    </xdr:from>
    <xdr:to>
      <xdr:col>7</xdr:col>
      <xdr:colOff>279400</xdr:colOff>
      <xdr:row>60</xdr:row>
      <xdr:rowOff>139700</xdr:rowOff>
    </xdr:to>
    <xdr:pic>
      <xdr:nvPicPr>
        <xdr:cNvPr id="2346" name="Picture 29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33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347" name="Picture 2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348" name="Picture 30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349" name="Picture 301"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350" name="Picture 302"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61</xdr:row>
      <xdr:rowOff>0</xdr:rowOff>
    </xdr:from>
    <xdr:to>
      <xdr:col>2</xdr:col>
      <xdr:colOff>12700</xdr:colOff>
      <xdr:row>61</xdr:row>
      <xdr:rowOff>12700</xdr:rowOff>
    </xdr:to>
    <xdr:pic>
      <xdr:nvPicPr>
        <xdr:cNvPr id="2351" name="Picture 3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61</xdr:row>
      <xdr:rowOff>0</xdr:rowOff>
    </xdr:from>
    <xdr:to>
      <xdr:col>5</xdr:col>
      <xdr:colOff>622300</xdr:colOff>
      <xdr:row>61</xdr:row>
      <xdr:rowOff>152400</xdr:rowOff>
    </xdr:to>
    <xdr:pic>
      <xdr:nvPicPr>
        <xdr:cNvPr id="2352" name="Picture 304" descr="ogo"/>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356100" y="10528300"/>
          <a:ext cx="622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61</xdr:row>
      <xdr:rowOff>0</xdr:rowOff>
    </xdr:from>
    <xdr:to>
      <xdr:col>7</xdr:col>
      <xdr:colOff>279400</xdr:colOff>
      <xdr:row>61</xdr:row>
      <xdr:rowOff>139700</xdr:rowOff>
    </xdr:to>
    <xdr:pic>
      <xdr:nvPicPr>
        <xdr:cNvPr id="2353" name="Picture 3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52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354" name="Picture 3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355" name="Picture 30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356" name="Picture 3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357" name="Picture 3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62</xdr:row>
      <xdr:rowOff>0</xdr:rowOff>
    </xdr:from>
    <xdr:to>
      <xdr:col>2</xdr:col>
      <xdr:colOff>12700</xdr:colOff>
      <xdr:row>62</xdr:row>
      <xdr:rowOff>12700</xdr:rowOff>
    </xdr:to>
    <xdr:pic>
      <xdr:nvPicPr>
        <xdr:cNvPr id="2358" name="Picture 3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xdr:row>
      <xdr:rowOff>0</xdr:rowOff>
    </xdr:from>
    <xdr:to>
      <xdr:col>5</xdr:col>
      <xdr:colOff>533400</xdr:colOff>
      <xdr:row>62</xdr:row>
      <xdr:rowOff>152400</xdr:rowOff>
    </xdr:to>
    <xdr:pic>
      <xdr:nvPicPr>
        <xdr:cNvPr id="2359" name="Picture 311"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07188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62</xdr:row>
      <xdr:rowOff>0</xdr:rowOff>
    </xdr:from>
    <xdr:to>
      <xdr:col>7</xdr:col>
      <xdr:colOff>279400</xdr:colOff>
      <xdr:row>62</xdr:row>
      <xdr:rowOff>139700</xdr:rowOff>
    </xdr:to>
    <xdr:pic>
      <xdr:nvPicPr>
        <xdr:cNvPr id="2360" name="Picture 3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71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361" name="Picture 3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362" name="Picture 31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363" name="Picture 3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364" name="Picture 316"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xdr:row>
      <xdr:rowOff>0</xdr:rowOff>
    </xdr:from>
    <xdr:to>
      <xdr:col>2</xdr:col>
      <xdr:colOff>12700</xdr:colOff>
      <xdr:row>63</xdr:row>
      <xdr:rowOff>12700</xdr:rowOff>
    </xdr:to>
    <xdr:pic>
      <xdr:nvPicPr>
        <xdr:cNvPr id="2365" name="Picture 31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63</xdr:row>
      <xdr:rowOff>0</xdr:rowOff>
    </xdr:from>
    <xdr:to>
      <xdr:col>5</xdr:col>
      <xdr:colOff>533400</xdr:colOff>
      <xdr:row>63</xdr:row>
      <xdr:rowOff>152400</xdr:rowOff>
    </xdr:to>
    <xdr:pic>
      <xdr:nvPicPr>
        <xdr:cNvPr id="2366" name="Picture 318" descr="ogo"/>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356100" y="10909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63</xdr:row>
      <xdr:rowOff>0</xdr:rowOff>
    </xdr:from>
    <xdr:to>
      <xdr:col>7</xdr:col>
      <xdr:colOff>279400</xdr:colOff>
      <xdr:row>63</xdr:row>
      <xdr:rowOff>139700</xdr:rowOff>
    </xdr:to>
    <xdr:pic>
      <xdr:nvPicPr>
        <xdr:cNvPr id="2367" name="Picture 31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90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368" name="Picture 32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369" name="Picture 32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370" name="Picture 3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371" name="Picture 3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64</xdr:row>
      <xdr:rowOff>0</xdr:rowOff>
    </xdr:from>
    <xdr:to>
      <xdr:col>2</xdr:col>
      <xdr:colOff>12700</xdr:colOff>
      <xdr:row>64</xdr:row>
      <xdr:rowOff>12700</xdr:rowOff>
    </xdr:to>
    <xdr:pic>
      <xdr:nvPicPr>
        <xdr:cNvPr id="2372" name="Picture 32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64</xdr:row>
      <xdr:rowOff>0</xdr:rowOff>
    </xdr:from>
    <xdr:to>
      <xdr:col>5</xdr:col>
      <xdr:colOff>381000</xdr:colOff>
      <xdr:row>64</xdr:row>
      <xdr:rowOff>152400</xdr:rowOff>
    </xdr:to>
    <xdr:pic>
      <xdr:nvPicPr>
        <xdr:cNvPr id="2373" name="Picture 325"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1099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64</xdr:row>
      <xdr:rowOff>0</xdr:rowOff>
    </xdr:from>
    <xdr:to>
      <xdr:col>7</xdr:col>
      <xdr:colOff>279400</xdr:colOff>
      <xdr:row>64</xdr:row>
      <xdr:rowOff>139700</xdr:rowOff>
    </xdr:to>
    <xdr:pic>
      <xdr:nvPicPr>
        <xdr:cNvPr id="2374" name="Picture 32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09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375" name="Picture 3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376" name="Picture 3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377" name="Picture 3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378" name="Picture 3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65</xdr:row>
      <xdr:rowOff>0</xdr:rowOff>
    </xdr:from>
    <xdr:to>
      <xdr:col>2</xdr:col>
      <xdr:colOff>12700</xdr:colOff>
      <xdr:row>65</xdr:row>
      <xdr:rowOff>12700</xdr:rowOff>
    </xdr:to>
    <xdr:pic>
      <xdr:nvPicPr>
        <xdr:cNvPr id="2379" name="Picture 3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65</xdr:row>
      <xdr:rowOff>0</xdr:rowOff>
    </xdr:from>
    <xdr:to>
      <xdr:col>5</xdr:col>
      <xdr:colOff>520700</xdr:colOff>
      <xdr:row>65</xdr:row>
      <xdr:rowOff>139700</xdr:rowOff>
    </xdr:to>
    <xdr:pic>
      <xdr:nvPicPr>
        <xdr:cNvPr id="2380" name="Picture 332" descr="ogo"/>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356100" y="11290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65</xdr:row>
      <xdr:rowOff>0</xdr:rowOff>
    </xdr:from>
    <xdr:to>
      <xdr:col>7</xdr:col>
      <xdr:colOff>279400</xdr:colOff>
      <xdr:row>65</xdr:row>
      <xdr:rowOff>139700</xdr:rowOff>
    </xdr:to>
    <xdr:pic>
      <xdr:nvPicPr>
        <xdr:cNvPr id="2381" name="Picture 33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29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382" name="Picture 3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383" name="Picture 33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384" name="Picture 3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385" name="Picture 3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66</xdr:row>
      <xdr:rowOff>0</xdr:rowOff>
    </xdr:from>
    <xdr:to>
      <xdr:col>2</xdr:col>
      <xdr:colOff>12700</xdr:colOff>
      <xdr:row>66</xdr:row>
      <xdr:rowOff>12700</xdr:rowOff>
    </xdr:to>
    <xdr:pic>
      <xdr:nvPicPr>
        <xdr:cNvPr id="2386" name="Picture 33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66</xdr:row>
      <xdr:rowOff>0</xdr:rowOff>
    </xdr:from>
    <xdr:to>
      <xdr:col>5</xdr:col>
      <xdr:colOff>266700</xdr:colOff>
      <xdr:row>66</xdr:row>
      <xdr:rowOff>152400</xdr:rowOff>
    </xdr:to>
    <xdr:pic>
      <xdr:nvPicPr>
        <xdr:cNvPr id="2387" name="Picture 339"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148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66</xdr:row>
      <xdr:rowOff>0</xdr:rowOff>
    </xdr:from>
    <xdr:to>
      <xdr:col>7</xdr:col>
      <xdr:colOff>279400</xdr:colOff>
      <xdr:row>66</xdr:row>
      <xdr:rowOff>139700</xdr:rowOff>
    </xdr:to>
    <xdr:pic>
      <xdr:nvPicPr>
        <xdr:cNvPr id="2388" name="Picture 34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48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389" name="Picture 3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390" name="Picture 34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391" name="Picture 343"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392" name="Picture 3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12700</xdr:colOff>
      <xdr:row>67</xdr:row>
      <xdr:rowOff>12700</xdr:rowOff>
    </xdr:to>
    <xdr:pic>
      <xdr:nvPicPr>
        <xdr:cNvPr id="2393" name="Picture 3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67</xdr:row>
      <xdr:rowOff>0</xdr:rowOff>
    </xdr:from>
    <xdr:to>
      <xdr:col>5</xdr:col>
      <xdr:colOff>266700</xdr:colOff>
      <xdr:row>67</xdr:row>
      <xdr:rowOff>152400</xdr:rowOff>
    </xdr:to>
    <xdr:pic>
      <xdr:nvPicPr>
        <xdr:cNvPr id="2394" name="Picture 34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1671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67</xdr:row>
      <xdr:rowOff>0</xdr:rowOff>
    </xdr:from>
    <xdr:to>
      <xdr:col>7</xdr:col>
      <xdr:colOff>279400</xdr:colOff>
      <xdr:row>67</xdr:row>
      <xdr:rowOff>139700</xdr:rowOff>
    </xdr:to>
    <xdr:pic>
      <xdr:nvPicPr>
        <xdr:cNvPr id="2395" name="Picture 3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67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396" name="Picture 3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397" name="Picture 3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398" name="Picture 350"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399" name="Picture 3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68</xdr:row>
      <xdr:rowOff>0</xdr:rowOff>
    </xdr:from>
    <xdr:to>
      <xdr:col>2</xdr:col>
      <xdr:colOff>12700</xdr:colOff>
      <xdr:row>68</xdr:row>
      <xdr:rowOff>12700</xdr:rowOff>
    </xdr:to>
    <xdr:pic>
      <xdr:nvPicPr>
        <xdr:cNvPr id="2400" name="Picture 35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381000</xdr:colOff>
      <xdr:row>68</xdr:row>
      <xdr:rowOff>152400</xdr:rowOff>
    </xdr:to>
    <xdr:pic>
      <xdr:nvPicPr>
        <xdr:cNvPr id="2401" name="Picture 353"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1861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68</xdr:row>
      <xdr:rowOff>0</xdr:rowOff>
    </xdr:from>
    <xdr:to>
      <xdr:col>7</xdr:col>
      <xdr:colOff>279400</xdr:colOff>
      <xdr:row>68</xdr:row>
      <xdr:rowOff>139700</xdr:rowOff>
    </xdr:to>
    <xdr:pic>
      <xdr:nvPicPr>
        <xdr:cNvPr id="2402" name="Picture 35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86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403" name="Picture 35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404" name="Picture 3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405" name="Picture 3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12700</xdr:colOff>
      <xdr:row>69</xdr:row>
      <xdr:rowOff>12700</xdr:rowOff>
    </xdr:to>
    <xdr:pic>
      <xdr:nvPicPr>
        <xdr:cNvPr id="2406" name="Picture 35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69</xdr:row>
      <xdr:rowOff>0</xdr:rowOff>
    </xdr:from>
    <xdr:to>
      <xdr:col>5</xdr:col>
      <xdr:colOff>533400</xdr:colOff>
      <xdr:row>69</xdr:row>
      <xdr:rowOff>152400</xdr:rowOff>
    </xdr:to>
    <xdr:pic>
      <xdr:nvPicPr>
        <xdr:cNvPr id="2407" name="Picture 359"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2052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69</xdr:row>
      <xdr:rowOff>0</xdr:rowOff>
    </xdr:from>
    <xdr:to>
      <xdr:col>7</xdr:col>
      <xdr:colOff>279400</xdr:colOff>
      <xdr:row>69</xdr:row>
      <xdr:rowOff>139700</xdr:rowOff>
    </xdr:to>
    <xdr:pic>
      <xdr:nvPicPr>
        <xdr:cNvPr id="2408" name="Picture 36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05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409" name="Picture 36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410" name="Picture 36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411" name="Picture 36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70</xdr:row>
      <xdr:rowOff>0</xdr:rowOff>
    </xdr:from>
    <xdr:to>
      <xdr:col>2</xdr:col>
      <xdr:colOff>12700</xdr:colOff>
      <xdr:row>70</xdr:row>
      <xdr:rowOff>12700</xdr:rowOff>
    </xdr:to>
    <xdr:pic>
      <xdr:nvPicPr>
        <xdr:cNvPr id="2412" name="Picture 36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70</xdr:row>
      <xdr:rowOff>0</xdr:rowOff>
    </xdr:from>
    <xdr:to>
      <xdr:col>5</xdr:col>
      <xdr:colOff>330200</xdr:colOff>
      <xdr:row>70</xdr:row>
      <xdr:rowOff>152400</xdr:rowOff>
    </xdr:to>
    <xdr:pic>
      <xdr:nvPicPr>
        <xdr:cNvPr id="2413" name="Picture 36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12242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70</xdr:row>
      <xdr:rowOff>0</xdr:rowOff>
    </xdr:from>
    <xdr:to>
      <xdr:col>7</xdr:col>
      <xdr:colOff>279400</xdr:colOff>
      <xdr:row>70</xdr:row>
      <xdr:rowOff>139700</xdr:rowOff>
    </xdr:to>
    <xdr:pic>
      <xdr:nvPicPr>
        <xdr:cNvPr id="2414" name="Picture 36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24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415" name="Picture 3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416" name="Picture 3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417" name="Picture 3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418" name="Picture 3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12700</xdr:colOff>
      <xdr:row>71</xdr:row>
      <xdr:rowOff>12700</xdr:rowOff>
    </xdr:to>
    <xdr:pic>
      <xdr:nvPicPr>
        <xdr:cNvPr id="2419" name="Picture 37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71</xdr:row>
      <xdr:rowOff>0</xdr:rowOff>
    </xdr:from>
    <xdr:to>
      <xdr:col>5</xdr:col>
      <xdr:colOff>368300</xdr:colOff>
      <xdr:row>71</xdr:row>
      <xdr:rowOff>152400</xdr:rowOff>
    </xdr:to>
    <xdr:pic>
      <xdr:nvPicPr>
        <xdr:cNvPr id="2420" name="Picture 372" descr="ogo"/>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356100" y="12433300"/>
          <a:ext cx="368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71</xdr:row>
      <xdr:rowOff>0</xdr:rowOff>
    </xdr:from>
    <xdr:to>
      <xdr:col>7</xdr:col>
      <xdr:colOff>279400</xdr:colOff>
      <xdr:row>71</xdr:row>
      <xdr:rowOff>139700</xdr:rowOff>
    </xdr:to>
    <xdr:pic>
      <xdr:nvPicPr>
        <xdr:cNvPr id="2421" name="Picture 37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43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422" name="Picture 3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423" name="Picture 37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424" name="Picture 37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425" name="Picture 37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72</xdr:row>
      <xdr:rowOff>0</xdr:rowOff>
    </xdr:from>
    <xdr:to>
      <xdr:col>2</xdr:col>
      <xdr:colOff>12700</xdr:colOff>
      <xdr:row>72</xdr:row>
      <xdr:rowOff>12700</xdr:rowOff>
    </xdr:to>
    <xdr:pic>
      <xdr:nvPicPr>
        <xdr:cNvPr id="2426" name="Picture 37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72</xdr:row>
      <xdr:rowOff>0</xdr:rowOff>
    </xdr:from>
    <xdr:to>
      <xdr:col>5</xdr:col>
      <xdr:colOff>444500</xdr:colOff>
      <xdr:row>72</xdr:row>
      <xdr:rowOff>152400</xdr:rowOff>
    </xdr:to>
    <xdr:pic>
      <xdr:nvPicPr>
        <xdr:cNvPr id="2427" name="Picture 379" descr="ogo"/>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356100" y="12623800"/>
          <a:ext cx="444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72</xdr:row>
      <xdr:rowOff>0</xdr:rowOff>
    </xdr:from>
    <xdr:to>
      <xdr:col>7</xdr:col>
      <xdr:colOff>279400</xdr:colOff>
      <xdr:row>72</xdr:row>
      <xdr:rowOff>139700</xdr:rowOff>
    </xdr:to>
    <xdr:pic>
      <xdr:nvPicPr>
        <xdr:cNvPr id="2428" name="Picture 38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62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429" name="Picture 3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430" name="Picture 3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431" name="Picture 3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12700</xdr:colOff>
      <xdr:row>73</xdr:row>
      <xdr:rowOff>12700</xdr:rowOff>
    </xdr:to>
    <xdr:pic>
      <xdr:nvPicPr>
        <xdr:cNvPr id="2432" name="Picture 3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508000</xdr:colOff>
      <xdr:row>73</xdr:row>
      <xdr:rowOff>152400</xdr:rowOff>
    </xdr:to>
    <xdr:pic>
      <xdr:nvPicPr>
        <xdr:cNvPr id="2433" name="Picture 385" descr="ogo"/>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356100" y="1281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73</xdr:row>
      <xdr:rowOff>0</xdr:rowOff>
    </xdr:from>
    <xdr:to>
      <xdr:col>7</xdr:col>
      <xdr:colOff>279400</xdr:colOff>
      <xdr:row>73</xdr:row>
      <xdr:rowOff>139700</xdr:rowOff>
    </xdr:to>
    <xdr:pic>
      <xdr:nvPicPr>
        <xdr:cNvPr id="2434" name="Picture 3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81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435" name="Picture 3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436" name="Picture 3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437" name="Picture 3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38" name="Picture 3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39" name="Picture 3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74</xdr:row>
      <xdr:rowOff>0</xdr:rowOff>
    </xdr:from>
    <xdr:to>
      <xdr:col>2</xdr:col>
      <xdr:colOff>12700</xdr:colOff>
      <xdr:row>74</xdr:row>
      <xdr:rowOff>12700</xdr:rowOff>
    </xdr:to>
    <xdr:pic>
      <xdr:nvPicPr>
        <xdr:cNvPr id="2440" name="Picture 3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74</xdr:row>
      <xdr:rowOff>0</xdr:rowOff>
    </xdr:from>
    <xdr:to>
      <xdr:col>5</xdr:col>
      <xdr:colOff>254000</xdr:colOff>
      <xdr:row>74</xdr:row>
      <xdr:rowOff>152400</xdr:rowOff>
    </xdr:to>
    <xdr:pic>
      <xdr:nvPicPr>
        <xdr:cNvPr id="2441" name="Picture 393" descr="ogo"/>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356100" y="13004800"/>
          <a:ext cx="254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74</xdr:row>
      <xdr:rowOff>0</xdr:rowOff>
    </xdr:from>
    <xdr:to>
      <xdr:col>7</xdr:col>
      <xdr:colOff>279400</xdr:colOff>
      <xdr:row>74</xdr:row>
      <xdr:rowOff>139700</xdr:rowOff>
    </xdr:to>
    <xdr:pic>
      <xdr:nvPicPr>
        <xdr:cNvPr id="2442" name="Picture 3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00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43" name="Picture 3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44" name="Picture 3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45" name="Picture 3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46" name="Picture 3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47" name="Picture 3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12700</xdr:colOff>
      <xdr:row>75</xdr:row>
      <xdr:rowOff>12700</xdr:rowOff>
    </xdr:to>
    <xdr:pic>
      <xdr:nvPicPr>
        <xdr:cNvPr id="2448" name="Picture 40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508000</xdr:colOff>
      <xdr:row>75</xdr:row>
      <xdr:rowOff>152400</xdr:rowOff>
    </xdr:to>
    <xdr:pic>
      <xdr:nvPicPr>
        <xdr:cNvPr id="2449" name="Picture 401"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1319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75</xdr:row>
      <xdr:rowOff>0</xdr:rowOff>
    </xdr:from>
    <xdr:to>
      <xdr:col>7</xdr:col>
      <xdr:colOff>279400</xdr:colOff>
      <xdr:row>75</xdr:row>
      <xdr:rowOff>139700</xdr:rowOff>
    </xdr:to>
    <xdr:pic>
      <xdr:nvPicPr>
        <xdr:cNvPr id="2450" name="Picture 40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19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51" name="Picture 40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52" name="Picture 40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53" name="Picture 40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454" name="Picture 4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455" name="Picture 4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76</xdr:row>
      <xdr:rowOff>0</xdr:rowOff>
    </xdr:from>
    <xdr:to>
      <xdr:col>2</xdr:col>
      <xdr:colOff>12700</xdr:colOff>
      <xdr:row>76</xdr:row>
      <xdr:rowOff>12700</xdr:rowOff>
    </xdr:to>
    <xdr:pic>
      <xdr:nvPicPr>
        <xdr:cNvPr id="2456" name="Picture 4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76</xdr:row>
      <xdr:rowOff>0</xdr:rowOff>
    </xdr:from>
    <xdr:to>
      <xdr:col>5</xdr:col>
      <xdr:colOff>431800</xdr:colOff>
      <xdr:row>76</xdr:row>
      <xdr:rowOff>152400</xdr:rowOff>
    </xdr:to>
    <xdr:pic>
      <xdr:nvPicPr>
        <xdr:cNvPr id="2457" name="Picture 409" descr="ogo"/>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356100" y="13385800"/>
          <a:ext cx="431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76</xdr:row>
      <xdr:rowOff>0</xdr:rowOff>
    </xdr:from>
    <xdr:to>
      <xdr:col>7</xdr:col>
      <xdr:colOff>279400</xdr:colOff>
      <xdr:row>76</xdr:row>
      <xdr:rowOff>139700</xdr:rowOff>
    </xdr:to>
    <xdr:pic>
      <xdr:nvPicPr>
        <xdr:cNvPr id="2458" name="Picture 4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38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459" name="Picture 4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460" name="Picture 4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461" name="Picture 41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462" name="Picture 4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12700</xdr:colOff>
      <xdr:row>77</xdr:row>
      <xdr:rowOff>12700</xdr:rowOff>
    </xdr:to>
    <xdr:pic>
      <xdr:nvPicPr>
        <xdr:cNvPr id="2463" name="Picture 41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77</xdr:row>
      <xdr:rowOff>0</xdr:rowOff>
    </xdr:from>
    <xdr:to>
      <xdr:col>5</xdr:col>
      <xdr:colOff>508000</xdr:colOff>
      <xdr:row>77</xdr:row>
      <xdr:rowOff>152400</xdr:rowOff>
    </xdr:to>
    <xdr:pic>
      <xdr:nvPicPr>
        <xdr:cNvPr id="2464" name="Picture 416"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13576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77</xdr:row>
      <xdr:rowOff>0</xdr:rowOff>
    </xdr:from>
    <xdr:to>
      <xdr:col>7</xdr:col>
      <xdr:colOff>279400</xdr:colOff>
      <xdr:row>77</xdr:row>
      <xdr:rowOff>139700</xdr:rowOff>
    </xdr:to>
    <xdr:pic>
      <xdr:nvPicPr>
        <xdr:cNvPr id="2465" name="Picture 41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57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466" name="Picture 41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467" name="Picture 4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468" name="Picture 4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78</xdr:row>
      <xdr:rowOff>0</xdr:rowOff>
    </xdr:from>
    <xdr:to>
      <xdr:col>2</xdr:col>
      <xdr:colOff>12700</xdr:colOff>
      <xdr:row>78</xdr:row>
      <xdr:rowOff>12700</xdr:rowOff>
    </xdr:to>
    <xdr:pic>
      <xdr:nvPicPr>
        <xdr:cNvPr id="2469" name="Picture 4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78</xdr:row>
      <xdr:rowOff>0</xdr:rowOff>
    </xdr:from>
    <xdr:to>
      <xdr:col>5</xdr:col>
      <xdr:colOff>584200</xdr:colOff>
      <xdr:row>78</xdr:row>
      <xdr:rowOff>152400</xdr:rowOff>
    </xdr:to>
    <xdr:pic>
      <xdr:nvPicPr>
        <xdr:cNvPr id="2470" name="Picture 422" descr="ogo"/>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356100" y="13766800"/>
          <a:ext cx="584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78</xdr:row>
      <xdr:rowOff>0</xdr:rowOff>
    </xdr:from>
    <xdr:to>
      <xdr:col>6</xdr:col>
      <xdr:colOff>279400</xdr:colOff>
      <xdr:row>78</xdr:row>
      <xdr:rowOff>139700</xdr:rowOff>
    </xdr:to>
    <xdr:pic>
      <xdr:nvPicPr>
        <xdr:cNvPr id="2471" name="Picture 42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2900" y="1376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78</xdr:row>
      <xdr:rowOff>0</xdr:rowOff>
    </xdr:from>
    <xdr:to>
      <xdr:col>7</xdr:col>
      <xdr:colOff>12700</xdr:colOff>
      <xdr:row>78</xdr:row>
      <xdr:rowOff>12700</xdr:rowOff>
    </xdr:to>
    <xdr:pic>
      <xdr:nvPicPr>
        <xdr:cNvPr id="2472" name="Picture 4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473" name="Picture 42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474" name="Picture 4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75" name="Picture 4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76" name="Picture 4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77" name="Picture 4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12700</xdr:colOff>
      <xdr:row>79</xdr:row>
      <xdr:rowOff>12700</xdr:rowOff>
    </xdr:to>
    <xdr:pic>
      <xdr:nvPicPr>
        <xdr:cNvPr id="2478" name="Picture 43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79</xdr:row>
      <xdr:rowOff>0</xdr:rowOff>
    </xdr:from>
    <xdr:to>
      <xdr:col>5</xdr:col>
      <xdr:colOff>330200</xdr:colOff>
      <xdr:row>79</xdr:row>
      <xdr:rowOff>152400</xdr:rowOff>
    </xdr:to>
    <xdr:pic>
      <xdr:nvPicPr>
        <xdr:cNvPr id="2479" name="Picture 431"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13957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79</xdr:row>
      <xdr:rowOff>0</xdr:rowOff>
    </xdr:from>
    <xdr:to>
      <xdr:col>7</xdr:col>
      <xdr:colOff>279400</xdr:colOff>
      <xdr:row>79</xdr:row>
      <xdr:rowOff>139700</xdr:rowOff>
    </xdr:to>
    <xdr:pic>
      <xdr:nvPicPr>
        <xdr:cNvPr id="2480" name="Picture 43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95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81" name="Picture 4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82" name="Picture 4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83" name="Picture 43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484" name="Picture 4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80</xdr:row>
      <xdr:rowOff>0</xdr:rowOff>
    </xdr:from>
    <xdr:to>
      <xdr:col>2</xdr:col>
      <xdr:colOff>12700</xdr:colOff>
      <xdr:row>80</xdr:row>
      <xdr:rowOff>12700</xdr:rowOff>
    </xdr:to>
    <xdr:pic>
      <xdr:nvPicPr>
        <xdr:cNvPr id="2485" name="Picture 43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80</xdr:row>
      <xdr:rowOff>0</xdr:rowOff>
    </xdr:from>
    <xdr:to>
      <xdr:col>5</xdr:col>
      <xdr:colOff>533400</xdr:colOff>
      <xdr:row>80</xdr:row>
      <xdr:rowOff>152400</xdr:rowOff>
    </xdr:to>
    <xdr:pic>
      <xdr:nvPicPr>
        <xdr:cNvPr id="2486" name="Picture 438"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41478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80</xdr:row>
      <xdr:rowOff>0</xdr:rowOff>
    </xdr:from>
    <xdr:to>
      <xdr:col>7</xdr:col>
      <xdr:colOff>279400</xdr:colOff>
      <xdr:row>80</xdr:row>
      <xdr:rowOff>139700</xdr:rowOff>
    </xdr:to>
    <xdr:pic>
      <xdr:nvPicPr>
        <xdr:cNvPr id="2487" name="Picture 4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14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488" name="Picture 44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489" name="Picture 44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490" name="Picture 44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491" name="Picture 4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492" name="Picture 44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12700</xdr:colOff>
      <xdr:row>81</xdr:row>
      <xdr:rowOff>12700</xdr:rowOff>
    </xdr:to>
    <xdr:pic>
      <xdr:nvPicPr>
        <xdr:cNvPr id="2493" name="Picture 4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81</xdr:row>
      <xdr:rowOff>0</xdr:rowOff>
    </xdr:from>
    <xdr:to>
      <xdr:col>5</xdr:col>
      <xdr:colOff>508000</xdr:colOff>
      <xdr:row>81</xdr:row>
      <xdr:rowOff>152400</xdr:rowOff>
    </xdr:to>
    <xdr:pic>
      <xdr:nvPicPr>
        <xdr:cNvPr id="2494" name="Picture 446"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1433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81</xdr:row>
      <xdr:rowOff>0</xdr:rowOff>
    </xdr:from>
    <xdr:to>
      <xdr:col>7</xdr:col>
      <xdr:colOff>279400</xdr:colOff>
      <xdr:row>81</xdr:row>
      <xdr:rowOff>139700</xdr:rowOff>
    </xdr:to>
    <xdr:pic>
      <xdr:nvPicPr>
        <xdr:cNvPr id="2495" name="Picture 4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33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496" name="Picture 4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497" name="Picture 4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498" name="Picture 4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499" name="Picture 4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500" name="Picture 4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82</xdr:row>
      <xdr:rowOff>0</xdr:rowOff>
    </xdr:from>
    <xdr:to>
      <xdr:col>2</xdr:col>
      <xdr:colOff>12700</xdr:colOff>
      <xdr:row>82</xdr:row>
      <xdr:rowOff>12700</xdr:rowOff>
    </xdr:to>
    <xdr:pic>
      <xdr:nvPicPr>
        <xdr:cNvPr id="2501" name="Picture 4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82</xdr:row>
      <xdr:rowOff>0</xdr:rowOff>
    </xdr:from>
    <xdr:to>
      <xdr:col>5</xdr:col>
      <xdr:colOff>571500</xdr:colOff>
      <xdr:row>82</xdr:row>
      <xdr:rowOff>152400</xdr:rowOff>
    </xdr:to>
    <xdr:pic>
      <xdr:nvPicPr>
        <xdr:cNvPr id="2502" name="Picture 454" descr="ogo"/>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356100" y="14528800"/>
          <a:ext cx="571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82</xdr:row>
      <xdr:rowOff>0</xdr:rowOff>
    </xdr:from>
    <xdr:to>
      <xdr:col>7</xdr:col>
      <xdr:colOff>279400</xdr:colOff>
      <xdr:row>82</xdr:row>
      <xdr:rowOff>139700</xdr:rowOff>
    </xdr:to>
    <xdr:pic>
      <xdr:nvPicPr>
        <xdr:cNvPr id="2503" name="Picture 4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52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504" name="Picture 4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505" name="Picture 45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506" name="Picture 4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507" name="Picture 4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508" name="Picture 4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12700</xdr:colOff>
      <xdr:row>83</xdr:row>
      <xdr:rowOff>12700</xdr:rowOff>
    </xdr:to>
    <xdr:pic>
      <xdr:nvPicPr>
        <xdr:cNvPr id="2509" name="Picture 4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83</xdr:row>
      <xdr:rowOff>0</xdr:rowOff>
    </xdr:from>
    <xdr:to>
      <xdr:col>5</xdr:col>
      <xdr:colOff>152400</xdr:colOff>
      <xdr:row>83</xdr:row>
      <xdr:rowOff>152400</xdr:rowOff>
    </xdr:to>
    <xdr:pic>
      <xdr:nvPicPr>
        <xdr:cNvPr id="2510" name="Picture 462" descr="ogo"/>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356100" y="147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83</xdr:row>
      <xdr:rowOff>0</xdr:rowOff>
    </xdr:from>
    <xdr:to>
      <xdr:col>7</xdr:col>
      <xdr:colOff>279400</xdr:colOff>
      <xdr:row>83</xdr:row>
      <xdr:rowOff>139700</xdr:rowOff>
    </xdr:to>
    <xdr:pic>
      <xdr:nvPicPr>
        <xdr:cNvPr id="2511" name="Picture 4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71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512" name="Picture 4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513" name="Picture 4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514" name="Picture 4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515" name="Picture 4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84</xdr:row>
      <xdr:rowOff>0</xdr:rowOff>
    </xdr:from>
    <xdr:to>
      <xdr:col>2</xdr:col>
      <xdr:colOff>12700</xdr:colOff>
      <xdr:row>84</xdr:row>
      <xdr:rowOff>12700</xdr:rowOff>
    </xdr:to>
    <xdr:pic>
      <xdr:nvPicPr>
        <xdr:cNvPr id="2516" name="Picture 46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152400</xdr:colOff>
      <xdr:row>84</xdr:row>
      <xdr:rowOff>152400</xdr:rowOff>
    </xdr:to>
    <xdr:pic>
      <xdr:nvPicPr>
        <xdr:cNvPr id="2517" name="Picture 469" descr="ogo"/>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356100" y="1490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84</xdr:row>
      <xdr:rowOff>0</xdr:rowOff>
    </xdr:from>
    <xdr:to>
      <xdr:col>7</xdr:col>
      <xdr:colOff>279400</xdr:colOff>
      <xdr:row>84</xdr:row>
      <xdr:rowOff>139700</xdr:rowOff>
    </xdr:to>
    <xdr:pic>
      <xdr:nvPicPr>
        <xdr:cNvPr id="2518" name="Picture 47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90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519" name="Picture 47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520" name="Picture 4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21" name="Picture 4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22" name="Picture 4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12700</xdr:colOff>
      <xdr:row>85</xdr:row>
      <xdr:rowOff>12700</xdr:rowOff>
    </xdr:to>
    <xdr:pic>
      <xdr:nvPicPr>
        <xdr:cNvPr id="2523" name="Picture 4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85</xdr:row>
      <xdr:rowOff>0</xdr:rowOff>
    </xdr:from>
    <xdr:to>
      <xdr:col>5</xdr:col>
      <xdr:colOff>508000</xdr:colOff>
      <xdr:row>85</xdr:row>
      <xdr:rowOff>152400</xdr:rowOff>
    </xdr:to>
    <xdr:pic>
      <xdr:nvPicPr>
        <xdr:cNvPr id="2524" name="Picture 476" descr="ogo"/>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356100" y="15100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85</xdr:row>
      <xdr:rowOff>0</xdr:rowOff>
    </xdr:from>
    <xdr:to>
      <xdr:col>7</xdr:col>
      <xdr:colOff>279400</xdr:colOff>
      <xdr:row>85</xdr:row>
      <xdr:rowOff>139700</xdr:rowOff>
    </xdr:to>
    <xdr:pic>
      <xdr:nvPicPr>
        <xdr:cNvPr id="2525" name="Picture 4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10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26" name="Picture 4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27" name="Picture 4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28" name="Picture 4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29" name="Picture 4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30" name="Picture 4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86</xdr:row>
      <xdr:rowOff>0</xdr:rowOff>
    </xdr:from>
    <xdr:to>
      <xdr:col>2</xdr:col>
      <xdr:colOff>12700</xdr:colOff>
      <xdr:row>86</xdr:row>
      <xdr:rowOff>12700</xdr:rowOff>
    </xdr:to>
    <xdr:pic>
      <xdr:nvPicPr>
        <xdr:cNvPr id="2531" name="Picture 4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86</xdr:row>
      <xdr:rowOff>0</xdr:rowOff>
    </xdr:from>
    <xdr:to>
      <xdr:col>5</xdr:col>
      <xdr:colOff>406400</xdr:colOff>
      <xdr:row>86</xdr:row>
      <xdr:rowOff>152400</xdr:rowOff>
    </xdr:to>
    <xdr:pic>
      <xdr:nvPicPr>
        <xdr:cNvPr id="2532" name="Picture 484" descr="ogo"/>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356100" y="15290800"/>
          <a:ext cx="406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86</xdr:row>
      <xdr:rowOff>0</xdr:rowOff>
    </xdr:from>
    <xdr:to>
      <xdr:col>7</xdr:col>
      <xdr:colOff>279400</xdr:colOff>
      <xdr:row>86</xdr:row>
      <xdr:rowOff>139700</xdr:rowOff>
    </xdr:to>
    <xdr:pic>
      <xdr:nvPicPr>
        <xdr:cNvPr id="2533" name="Picture 4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29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34" name="Picture 4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35" name="Picture 48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36" name="Picture 4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37" name="Picture 4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38" name="Picture 4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12700</xdr:colOff>
      <xdr:row>87</xdr:row>
      <xdr:rowOff>12700</xdr:rowOff>
    </xdr:to>
    <xdr:pic>
      <xdr:nvPicPr>
        <xdr:cNvPr id="2539" name="Picture 4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87</xdr:row>
      <xdr:rowOff>0</xdr:rowOff>
    </xdr:from>
    <xdr:to>
      <xdr:col>5</xdr:col>
      <xdr:colOff>381000</xdr:colOff>
      <xdr:row>87</xdr:row>
      <xdr:rowOff>152400</xdr:rowOff>
    </xdr:to>
    <xdr:pic>
      <xdr:nvPicPr>
        <xdr:cNvPr id="2540" name="Picture 492"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5481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87</xdr:row>
      <xdr:rowOff>0</xdr:rowOff>
    </xdr:from>
    <xdr:to>
      <xdr:col>7</xdr:col>
      <xdr:colOff>279400</xdr:colOff>
      <xdr:row>87</xdr:row>
      <xdr:rowOff>139700</xdr:rowOff>
    </xdr:to>
    <xdr:pic>
      <xdr:nvPicPr>
        <xdr:cNvPr id="2541" name="Picture 4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48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42" name="Picture 4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43" name="Picture 4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44" name="Picture 4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545" name="Picture 4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546" name="Picture 4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2</xdr:col>
      <xdr:colOff>12700</xdr:colOff>
      <xdr:row>88</xdr:row>
      <xdr:rowOff>12700</xdr:rowOff>
    </xdr:to>
    <xdr:pic>
      <xdr:nvPicPr>
        <xdr:cNvPr id="2547" name="Picture 49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266700</xdr:colOff>
      <xdr:row>88</xdr:row>
      <xdr:rowOff>152400</xdr:rowOff>
    </xdr:to>
    <xdr:pic>
      <xdr:nvPicPr>
        <xdr:cNvPr id="2548" name="Picture 50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5671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88</xdr:row>
      <xdr:rowOff>0</xdr:rowOff>
    </xdr:from>
    <xdr:to>
      <xdr:col>7</xdr:col>
      <xdr:colOff>279400</xdr:colOff>
      <xdr:row>88</xdr:row>
      <xdr:rowOff>139700</xdr:rowOff>
    </xdr:to>
    <xdr:pic>
      <xdr:nvPicPr>
        <xdr:cNvPr id="2549" name="Picture 50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67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550" name="Picture 5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551" name="Picture 5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552" name="Picture 5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553" name="Picture 5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554" name="Picture 5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12700</xdr:colOff>
      <xdr:row>89</xdr:row>
      <xdr:rowOff>12700</xdr:rowOff>
    </xdr:to>
    <xdr:pic>
      <xdr:nvPicPr>
        <xdr:cNvPr id="2555" name="Picture 50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89</xdr:row>
      <xdr:rowOff>0</xdr:rowOff>
    </xdr:from>
    <xdr:to>
      <xdr:col>5</xdr:col>
      <xdr:colOff>520700</xdr:colOff>
      <xdr:row>89</xdr:row>
      <xdr:rowOff>139700</xdr:rowOff>
    </xdr:to>
    <xdr:pic>
      <xdr:nvPicPr>
        <xdr:cNvPr id="2556" name="Picture 508" descr="ogo"/>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356100" y="15862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89</xdr:row>
      <xdr:rowOff>0</xdr:rowOff>
    </xdr:from>
    <xdr:to>
      <xdr:col>7</xdr:col>
      <xdr:colOff>279400</xdr:colOff>
      <xdr:row>89</xdr:row>
      <xdr:rowOff>139700</xdr:rowOff>
    </xdr:to>
    <xdr:pic>
      <xdr:nvPicPr>
        <xdr:cNvPr id="2557" name="Picture 50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86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558" name="Picture 5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59" name="Picture 5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60" name="Picture 5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90</xdr:row>
      <xdr:rowOff>0</xdr:rowOff>
    </xdr:from>
    <xdr:to>
      <xdr:col>2</xdr:col>
      <xdr:colOff>12700</xdr:colOff>
      <xdr:row>90</xdr:row>
      <xdr:rowOff>12700</xdr:rowOff>
    </xdr:to>
    <xdr:pic>
      <xdr:nvPicPr>
        <xdr:cNvPr id="2561" name="Picture 51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279400</xdr:colOff>
      <xdr:row>90</xdr:row>
      <xdr:rowOff>152400</xdr:rowOff>
    </xdr:to>
    <xdr:pic>
      <xdr:nvPicPr>
        <xdr:cNvPr id="2562" name="Picture 514" descr="ogo"/>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356100" y="16052800"/>
          <a:ext cx="279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90</xdr:row>
      <xdr:rowOff>0</xdr:rowOff>
    </xdr:from>
    <xdr:to>
      <xdr:col>7</xdr:col>
      <xdr:colOff>279400</xdr:colOff>
      <xdr:row>90</xdr:row>
      <xdr:rowOff>139700</xdr:rowOff>
    </xdr:to>
    <xdr:pic>
      <xdr:nvPicPr>
        <xdr:cNvPr id="2563" name="Picture 51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05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64" name="Picture 51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65" name="Picture 51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66" name="Picture 518"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67" name="Picture 5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68" name="Picture 5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69" name="Picture 5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12700</xdr:colOff>
      <xdr:row>91</xdr:row>
      <xdr:rowOff>12700</xdr:rowOff>
    </xdr:to>
    <xdr:pic>
      <xdr:nvPicPr>
        <xdr:cNvPr id="2570" name="Picture 52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91</xdr:row>
      <xdr:rowOff>0</xdr:rowOff>
    </xdr:from>
    <xdr:to>
      <xdr:col>5</xdr:col>
      <xdr:colOff>508000</xdr:colOff>
      <xdr:row>91</xdr:row>
      <xdr:rowOff>152400</xdr:rowOff>
    </xdr:to>
    <xdr:pic>
      <xdr:nvPicPr>
        <xdr:cNvPr id="2571" name="Picture 523" descr="ogo"/>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356100" y="1624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91</xdr:row>
      <xdr:rowOff>0</xdr:rowOff>
    </xdr:from>
    <xdr:to>
      <xdr:col>7</xdr:col>
      <xdr:colOff>279400</xdr:colOff>
      <xdr:row>91</xdr:row>
      <xdr:rowOff>139700</xdr:rowOff>
    </xdr:to>
    <xdr:pic>
      <xdr:nvPicPr>
        <xdr:cNvPr id="2572" name="Picture 52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24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73" name="Picture 52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74" name="Picture 52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75" name="Picture 5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576" name="Picture 5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577" name="Picture 5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92</xdr:row>
      <xdr:rowOff>0</xdr:rowOff>
    </xdr:from>
    <xdr:to>
      <xdr:col>2</xdr:col>
      <xdr:colOff>12700</xdr:colOff>
      <xdr:row>92</xdr:row>
      <xdr:rowOff>12700</xdr:rowOff>
    </xdr:to>
    <xdr:pic>
      <xdr:nvPicPr>
        <xdr:cNvPr id="2578" name="Picture 53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92</xdr:row>
      <xdr:rowOff>0</xdr:rowOff>
    </xdr:from>
    <xdr:to>
      <xdr:col>5</xdr:col>
      <xdr:colOff>520700</xdr:colOff>
      <xdr:row>92</xdr:row>
      <xdr:rowOff>139700</xdr:rowOff>
    </xdr:to>
    <xdr:pic>
      <xdr:nvPicPr>
        <xdr:cNvPr id="2579" name="Picture 531" descr="ogo"/>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356100" y="164338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92</xdr:row>
      <xdr:rowOff>0</xdr:rowOff>
    </xdr:from>
    <xdr:to>
      <xdr:col>7</xdr:col>
      <xdr:colOff>279400</xdr:colOff>
      <xdr:row>92</xdr:row>
      <xdr:rowOff>139700</xdr:rowOff>
    </xdr:to>
    <xdr:pic>
      <xdr:nvPicPr>
        <xdr:cNvPr id="2580" name="Picture 53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43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581" name="Picture 5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582" name="Picture 5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583" name="Picture 5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584" name="Picture 536"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585" name="Picture 5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12700</xdr:colOff>
      <xdr:row>93</xdr:row>
      <xdr:rowOff>12700</xdr:rowOff>
    </xdr:to>
    <xdr:pic>
      <xdr:nvPicPr>
        <xdr:cNvPr id="2586" name="Picture 53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93</xdr:row>
      <xdr:rowOff>0</xdr:rowOff>
    </xdr:from>
    <xdr:to>
      <xdr:col>5</xdr:col>
      <xdr:colOff>508000</xdr:colOff>
      <xdr:row>93</xdr:row>
      <xdr:rowOff>152400</xdr:rowOff>
    </xdr:to>
    <xdr:pic>
      <xdr:nvPicPr>
        <xdr:cNvPr id="2587" name="Picture 539" descr="ogo"/>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56100" y="1662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93</xdr:row>
      <xdr:rowOff>0</xdr:rowOff>
    </xdr:from>
    <xdr:to>
      <xdr:col>7</xdr:col>
      <xdr:colOff>279400</xdr:colOff>
      <xdr:row>93</xdr:row>
      <xdr:rowOff>139700</xdr:rowOff>
    </xdr:to>
    <xdr:pic>
      <xdr:nvPicPr>
        <xdr:cNvPr id="2588" name="Picture 54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62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589" name="Picture 5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590" name="Picture 5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591" name="Picture 5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592" name="Picture 5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94</xdr:row>
      <xdr:rowOff>0</xdr:rowOff>
    </xdr:from>
    <xdr:to>
      <xdr:col>2</xdr:col>
      <xdr:colOff>12700</xdr:colOff>
      <xdr:row>94</xdr:row>
      <xdr:rowOff>12700</xdr:rowOff>
    </xdr:to>
    <xdr:pic>
      <xdr:nvPicPr>
        <xdr:cNvPr id="2593" name="Picture 5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94</xdr:row>
      <xdr:rowOff>0</xdr:rowOff>
    </xdr:from>
    <xdr:to>
      <xdr:col>5</xdr:col>
      <xdr:colOff>330200</xdr:colOff>
      <xdr:row>94</xdr:row>
      <xdr:rowOff>139700</xdr:rowOff>
    </xdr:to>
    <xdr:pic>
      <xdr:nvPicPr>
        <xdr:cNvPr id="2594" name="Picture 546" descr="ogo"/>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356100" y="16814800"/>
          <a:ext cx="3302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94</xdr:row>
      <xdr:rowOff>0</xdr:rowOff>
    </xdr:from>
    <xdr:to>
      <xdr:col>7</xdr:col>
      <xdr:colOff>279400</xdr:colOff>
      <xdr:row>94</xdr:row>
      <xdr:rowOff>139700</xdr:rowOff>
    </xdr:to>
    <xdr:pic>
      <xdr:nvPicPr>
        <xdr:cNvPr id="2595" name="Picture 5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81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596" name="Picture 5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597" name="Picture 5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598" name="Picture 5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599" name="Picture 5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600" name="Picture 55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601" name="Picture 5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12700</xdr:colOff>
      <xdr:row>95</xdr:row>
      <xdr:rowOff>12700</xdr:rowOff>
    </xdr:to>
    <xdr:pic>
      <xdr:nvPicPr>
        <xdr:cNvPr id="2602" name="Picture 55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95</xdr:row>
      <xdr:rowOff>0</xdr:rowOff>
    </xdr:from>
    <xdr:to>
      <xdr:col>5</xdr:col>
      <xdr:colOff>584200</xdr:colOff>
      <xdr:row>95</xdr:row>
      <xdr:rowOff>152400</xdr:rowOff>
    </xdr:to>
    <xdr:pic>
      <xdr:nvPicPr>
        <xdr:cNvPr id="2603" name="Picture 555" descr="ogo"/>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356100" y="17005300"/>
          <a:ext cx="584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95</xdr:row>
      <xdr:rowOff>0</xdr:rowOff>
    </xdr:from>
    <xdr:to>
      <xdr:col>7</xdr:col>
      <xdr:colOff>279400</xdr:colOff>
      <xdr:row>95</xdr:row>
      <xdr:rowOff>139700</xdr:rowOff>
    </xdr:to>
    <xdr:pic>
      <xdr:nvPicPr>
        <xdr:cNvPr id="2604" name="Picture 55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00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605" name="Picture 5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606" name="Picture 5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607" name="Picture 5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608" name="Picture 5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609" name="Picture 5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96</xdr:row>
      <xdr:rowOff>0</xdr:rowOff>
    </xdr:from>
    <xdr:to>
      <xdr:col>2</xdr:col>
      <xdr:colOff>12700</xdr:colOff>
      <xdr:row>96</xdr:row>
      <xdr:rowOff>12700</xdr:rowOff>
    </xdr:to>
    <xdr:pic>
      <xdr:nvPicPr>
        <xdr:cNvPr id="2610" name="Picture 56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96</xdr:row>
      <xdr:rowOff>0</xdr:rowOff>
    </xdr:from>
    <xdr:to>
      <xdr:col>2</xdr:col>
      <xdr:colOff>279400</xdr:colOff>
      <xdr:row>96</xdr:row>
      <xdr:rowOff>139700</xdr:rowOff>
    </xdr:to>
    <xdr:pic>
      <xdr:nvPicPr>
        <xdr:cNvPr id="2612" name="Picture 56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1000" y="1719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96</xdr:row>
      <xdr:rowOff>0</xdr:rowOff>
    </xdr:from>
    <xdr:to>
      <xdr:col>3</xdr:col>
      <xdr:colOff>12700</xdr:colOff>
      <xdr:row>96</xdr:row>
      <xdr:rowOff>12700</xdr:rowOff>
    </xdr:to>
    <xdr:pic>
      <xdr:nvPicPr>
        <xdr:cNvPr id="2613" name="Picture 56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xdr:row>
      <xdr:rowOff>0</xdr:rowOff>
    </xdr:from>
    <xdr:to>
      <xdr:col>4</xdr:col>
      <xdr:colOff>12700</xdr:colOff>
      <xdr:row>96</xdr:row>
      <xdr:rowOff>12700</xdr:rowOff>
    </xdr:to>
    <xdr:pic>
      <xdr:nvPicPr>
        <xdr:cNvPr id="2614" name="Picture 56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12700</xdr:colOff>
      <xdr:row>96</xdr:row>
      <xdr:rowOff>12700</xdr:rowOff>
    </xdr:to>
    <xdr:pic>
      <xdr:nvPicPr>
        <xdr:cNvPr id="2615" name="Picture 5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97</xdr:row>
      <xdr:rowOff>0</xdr:rowOff>
    </xdr:from>
    <xdr:to>
      <xdr:col>5</xdr:col>
      <xdr:colOff>12700</xdr:colOff>
      <xdr:row>97</xdr:row>
      <xdr:rowOff>12700</xdr:rowOff>
    </xdr:to>
    <xdr:pic>
      <xdr:nvPicPr>
        <xdr:cNvPr id="2616" name="Picture 5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97</xdr:row>
      <xdr:rowOff>0</xdr:rowOff>
    </xdr:from>
    <xdr:to>
      <xdr:col>5</xdr:col>
      <xdr:colOff>12700</xdr:colOff>
      <xdr:row>97</xdr:row>
      <xdr:rowOff>12700</xdr:rowOff>
    </xdr:to>
    <xdr:pic>
      <xdr:nvPicPr>
        <xdr:cNvPr id="2617" name="Picture 5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12700</xdr:colOff>
      <xdr:row>97</xdr:row>
      <xdr:rowOff>12700</xdr:rowOff>
    </xdr:to>
    <xdr:pic>
      <xdr:nvPicPr>
        <xdr:cNvPr id="2618" name="Picture 57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97</xdr:row>
      <xdr:rowOff>0</xdr:rowOff>
    </xdr:from>
    <xdr:to>
      <xdr:col>5</xdr:col>
      <xdr:colOff>558800</xdr:colOff>
      <xdr:row>97</xdr:row>
      <xdr:rowOff>152400</xdr:rowOff>
    </xdr:to>
    <xdr:pic>
      <xdr:nvPicPr>
        <xdr:cNvPr id="2619" name="Picture 571" descr="ogo"/>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356100" y="17386300"/>
          <a:ext cx="558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97</xdr:row>
      <xdr:rowOff>0</xdr:rowOff>
    </xdr:from>
    <xdr:to>
      <xdr:col>7</xdr:col>
      <xdr:colOff>279400</xdr:colOff>
      <xdr:row>97</xdr:row>
      <xdr:rowOff>139700</xdr:rowOff>
    </xdr:to>
    <xdr:pic>
      <xdr:nvPicPr>
        <xdr:cNvPr id="2620" name="Picture 57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38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621" name="Picture 57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622" name="Picture 57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623" name="Picture 5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624" name="Picture 5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625" name="Picture 5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98</xdr:row>
      <xdr:rowOff>0</xdr:rowOff>
    </xdr:from>
    <xdr:to>
      <xdr:col>2</xdr:col>
      <xdr:colOff>12700</xdr:colOff>
      <xdr:row>98</xdr:row>
      <xdr:rowOff>12700</xdr:rowOff>
    </xdr:to>
    <xdr:pic>
      <xdr:nvPicPr>
        <xdr:cNvPr id="2626" name="Picture 57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98</xdr:row>
      <xdr:rowOff>0</xdr:rowOff>
    </xdr:from>
    <xdr:to>
      <xdr:col>5</xdr:col>
      <xdr:colOff>381000</xdr:colOff>
      <xdr:row>98</xdr:row>
      <xdr:rowOff>152400</xdr:rowOff>
    </xdr:to>
    <xdr:pic>
      <xdr:nvPicPr>
        <xdr:cNvPr id="2627" name="Picture 579"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17576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98</xdr:row>
      <xdr:rowOff>0</xdr:rowOff>
    </xdr:from>
    <xdr:to>
      <xdr:col>7</xdr:col>
      <xdr:colOff>279400</xdr:colOff>
      <xdr:row>98</xdr:row>
      <xdr:rowOff>139700</xdr:rowOff>
    </xdr:to>
    <xdr:pic>
      <xdr:nvPicPr>
        <xdr:cNvPr id="2628" name="Picture 58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57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629" name="Picture 5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630" name="Picture 5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31" name="Picture 5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32" name="Picture 58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33" name="Picture 5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12700</xdr:colOff>
      <xdr:row>99</xdr:row>
      <xdr:rowOff>12700</xdr:rowOff>
    </xdr:to>
    <xdr:pic>
      <xdr:nvPicPr>
        <xdr:cNvPr id="2634" name="Picture 58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99</xdr:row>
      <xdr:rowOff>0</xdr:rowOff>
    </xdr:from>
    <xdr:to>
      <xdr:col>5</xdr:col>
      <xdr:colOff>266700</xdr:colOff>
      <xdr:row>99</xdr:row>
      <xdr:rowOff>152400</xdr:rowOff>
    </xdr:to>
    <xdr:pic>
      <xdr:nvPicPr>
        <xdr:cNvPr id="2635" name="Picture 58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7767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99</xdr:row>
      <xdr:rowOff>0</xdr:rowOff>
    </xdr:from>
    <xdr:to>
      <xdr:col>7</xdr:col>
      <xdr:colOff>279400</xdr:colOff>
      <xdr:row>99</xdr:row>
      <xdr:rowOff>139700</xdr:rowOff>
    </xdr:to>
    <xdr:pic>
      <xdr:nvPicPr>
        <xdr:cNvPr id="2636" name="Picture 58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76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37" name="Picture 5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38" name="Picture 5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639" name="Picture 5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640" name="Picture 5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641" name="Picture 59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100</xdr:row>
      <xdr:rowOff>0</xdr:rowOff>
    </xdr:from>
    <xdr:to>
      <xdr:col>2</xdr:col>
      <xdr:colOff>12700</xdr:colOff>
      <xdr:row>100</xdr:row>
      <xdr:rowOff>12700</xdr:rowOff>
    </xdr:to>
    <xdr:pic>
      <xdr:nvPicPr>
        <xdr:cNvPr id="2642" name="Picture 59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508000</xdr:colOff>
      <xdr:row>100</xdr:row>
      <xdr:rowOff>152400</xdr:rowOff>
    </xdr:to>
    <xdr:pic>
      <xdr:nvPicPr>
        <xdr:cNvPr id="2643" name="Picture 595"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17957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100</xdr:row>
      <xdr:rowOff>0</xdr:rowOff>
    </xdr:from>
    <xdr:to>
      <xdr:col>7</xdr:col>
      <xdr:colOff>279400</xdr:colOff>
      <xdr:row>100</xdr:row>
      <xdr:rowOff>139700</xdr:rowOff>
    </xdr:to>
    <xdr:pic>
      <xdr:nvPicPr>
        <xdr:cNvPr id="2644" name="Picture 59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95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645" name="Picture 5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646" name="Picture 5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47" name="Picture 5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48" name="Picture 60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12700</xdr:colOff>
      <xdr:row>101</xdr:row>
      <xdr:rowOff>12700</xdr:rowOff>
    </xdr:to>
    <xdr:pic>
      <xdr:nvPicPr>
        <xdr:cNvPr id="2649" name="Picture 6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444500</xdr:colOff>
      <xdr:row>101</xdr:row>
      <xdr:rowOff>152400</xdr:rowOff>
    </xdr:to>
    <xdr:pic>
      <xdr:nvPicPr>
        <xdr:cNvPr id="2650" name="Picture 602" descr="ogo"/>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356100" y="18148300"/>
          <a:ext cx="444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101</xdr:row>
      <xdr:rowOff>0</xdr:rowOff>
    </xdr:from>
    <xdr:to>
      <xdr:col>7</xdr:col>
      <xdr:colOff>279400</xdr:colOff>
      <xdr:row>101</xdr:row>
      <xdr:rowOff>139700</xdr:rowOff>
    </xdr:to>
    <xdr:pic>
      <xdr:nvPicPr>
        <xdr:cNvPr id="2651" name="Picture 6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14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52" name="Picture 6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53" name="Picture 6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54" name="Picture 6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55" name="Picture 6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56" name="Picture 6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102</xdr:row>
      <xdr:rowOff>0</xdr:rowOff>
    </xdr:from>
    <xdr:to>
      <xdr:col>2</xdr:col>
      <xdr:colOff>12700</xdr:colOff>
      <xdr:row>102</xdr:row>
      <xdr:rowOff>12700</xdr:rowOff>
    </xdr:to>
    <xdr:pic>
      <xdr:nvPicPr>
        <xdr:cNvPr id="2657" name="Picture 60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102</xdr:row>
      <xdr:rowOff>0</xdr:rowOff>
    </xdr:from>
    <xdr:to>
      <xdr:col>5</xdr:col>
      <xdr:colOff>355600</xdr:colOff>
      <xdr:row>102</xdr:row>
      <xdr:rowOff>152400</xdr:rowOff>
    </xdr:to>
    <xdr:pic>
      <xdr:nvPicPr>
        <xdr:cNvPr id="2658" name="Picture 610" descr="ogo"/>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56100" y="183388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102</xdr:row>
      <xdr:rowOff>0</xdr:rowOff>
    </xdr:from>
    <xdr:to>
      <xdr:col>7</xdr:col>
      <xdr:colOff>279400</xdr:colOff>
      <xdr:row>102</xdr:row>
      <xdr:rowOff>139700</xdr:rowOff>
    </xdr:to>
    <xdr:pic>
      <xdr:nvPicPr>
        <xdr:cNvPr id="2659" name="Picture 61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33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60" name="Picture 6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61" name="Picture 6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62" name="Picture 6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663" name="Picture 6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664" name="Picture 6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665" name="Picture 6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12700</xdr:colOff>
      <xdr:row>103</xdr:row>
      <xdr:rowOff>12700</xdr:rowOff>
    </xdr:to>
    <xdr:pic>
      <xdr:nvPicPr>
        <xdr:cNvPr id="2666" name="Picture 61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103</xdr:row>
      <xdr:rowOff>0</xdr:rowOff>
    </xdr:from>
    <xdr:to>
      <xdr:col>5</xdr:col>
      <xdr:colOff>508000</xdr:colOff>
      <xdr:row>103</xdr:row>
      <xdr:rowOff>152400</xdr:rowOff>
    </xdr:to>
    <xdr:pic>
      <xdr:nvPicPr>
        <xdr:cNvPr id="2667" name="Picture 619" descr="ogo"/>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356100" y="18529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103</xdr:row>
      <xdr:rowOff>0</xdr:rowOff>
    </xdr:from>
    <xdr:to>
      <xdr:col>7</xdr:col>
      <xdr:colOff>279400</xdr:colOff>
      <xdr:row>103</xdr:row>
      <xdr:rowOff>139700</xdr:rowOff>
    </xdr:to>
    <xdr:pic>
      <xdr:nvPicPr>
        <xdr:cNvPr id="2668" name="Picture 62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52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669" name="Picture 6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670" name="Picture 6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671" name="Picture 6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672" name="Picture 6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104</xdr:row>
      <xdr:rowOff>0</xdr:rowOff>
    </xdr:from>
    <xdr:to>
      <xdr:col>2</xdr:col>
      <xdr:colOff>12700</xdr:colOff>
      <xdr:row>104</xdr:row>
      <xdr:rowOff>12700</xdr:rowOff>
    </xdr:to>
    <xdr:pic>
      <xdr:nvPicPr>
        <xdr:cNvPr id="2673" name="Picture 6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104</xdr:row>
      <xdr:rowOff>0</xdr:rowOff>
    </xdr:from>
    <xdr:to>
      <xdr:col>5</xdr:col>
      <xdr:colOff>279400</xdr:colOff>
      <xdr:row>104</xdr:row>
      <xdr:rowOff>152400</xdr:rowOff>
    </xdr:to>
    <xdr:pic>
      <xdr:nvPicPr>
        <xdr:cNvPr id="2674" name="Picture 626" descr="ogo"/>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356100" y="18719800"/>
          <a:ext cx="279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104</xdr:row>
      <xdr:rowOff>0</xdr:rowOff>
    </xdr:from>
    <xdr:to>
      <xdr:col>7</xdr:col>
      <xdr:colOff>279400</xdr:colOff>
      <xdr:row>104</xdr:row>
      <xdr:rowOff>139700</xdr:rowOff>
    </xdr:to>
    <xdr:pic>
      <xdr:nvPicPr>
        <xdr:cNvPr id="2675" name="Picture 6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71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676" name="Picture 6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677" name="Picture 6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678" name="Picture 6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679" name="Picture 6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12700</xdr:colOff>
      <xdr:row>105</xdr:row>
      <xdr:rowOff>12700</xdr:rowOff>
    </xdr:to>
    <xdr:pic>
      <xdr:nvPicPr>
        <xdr:cNvPr id="2680" name="Picture 63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105</xdr:row>
      <xdr:rowOff>0</xdr:rowOff>
    </xdr:from>
    <xdr:to>
      <xdr:col>5</xdr:col>
      <xdr:colOff>266700</xdr:colOff>
      <xdr:row>105</xdr:row>
      <xdr:rowOff>152400</xdr:rowOff>
    </xdr:to>
    <xdr:pic>
      <xdr:nvPicPr>
        <xdr:cNvPr id="2681" name="Picture 633"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8910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105</xdr:row>
      <xdr:rowOff>0</xdr:rowOff>
    </xdr:from>
    <xdr:to>
      <xdr:col>7</xdr:col>
      <xdr:colOff>279400</xdr:colOff>
      <xdr:row>105</xdr:row>
      <xdr:rowOff>139700</xdr:rowOff>
    </xdr:to>
    <xdr:pic>
      <xdr:nvPicPr>
        <xdr:cNvPr id="2682" name="Picture 63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91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683" name="Picture 63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684" name="Picture 6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685" name="Picture 6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686" name="Picture 6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687" name="Picture 6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106</xdr:row>
      <xdr:rowOff>0</xdr:rowOff>
    </xdr:from>
    <xdr:to>
      <xdr:col>2</xdr:col>
      <xdr:colOff>12700</xdr:colOff>
      <xdr:row>106</xdr:row>
      <xdr:rowOff>12700</xdr:rowOff>
    </xdr:to>
    <xdr:pic>
      <xdr:nvPicPr>
        <xdr:cNvPr id="2688" name="Picture 64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106</xdr:row>
      <xdr:rowOff>0</xdr:rowOff>
    </xdr:from>
    <xdr:to>
      <xdr:col>5</xdr:col>
      <xdr:colOff>266700</xdr:colOff>
      <xdr:row>106</xdr:row>
      <xdr:rowOff>152400</xdr:rowOff>
    </xdr:to>
    <xdr:pic>
      <xdr:nvPicPr>
        <xdr:cNvPr id="2689" name="Picture 64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910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106</xdr:row>
      <xdr:rowOff>0</xdr:rowOff>
    </xdr:from>
    <xdr:to>
      <xdr:col>7</xdr:col>
      <xdr:colOff>279400</xdr:colOff>
      <xdr:row>106</xdr:row>
      <xdr:rowOff>139700</xdr:rowOff>
    </xdr:to>
    <xdr:pic>
      <xdr:nvPicPr>
        <xdr:cNvPr id="2690" name="Picture 64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10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691" name="Picture 6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692" name="Picture 6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12700</xdr:colOff>
      <xdr:row>2</xdr:row>
      <xdr:rowOff>12700</xdr:rowOff>
    </xdr:to>
    <xdr:pic>
      <xdr:nvPicPr>
        <xdr:cNvPr id="2693" name="Picture 6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12700</xdr:colOff>
      <xdr:row>11</xdr:row>
      <xdr:rowOff>12700</xdr:rowOff>
    </xdr:to>
    <xdr:pic>
      <xdr:nvPicPr>
        <xdr:cNvPr id="2694" name="Picture 6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12700</xdr:colOff>
      <xdr:row>12</xdr:row>
      <xdr:rowOff>12700</xdr:rowOff>
    </xdr:to>
    <xdr:pic>
      <xdr:nvPicPr>
        <xdr:cNvPr id="2695" name="Picture 6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12700</xdr:colOff>
      <xdr:row>107</xdr:row>
      <xdr:rowOff>12700</xdr:rowOff>
    </xdr:to>
    <xdr:pic>
      <xdr:nvPicPr>
        <xdr:cNvPr id="2696" name="Picture 64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107</xdr:row>
      <xdr:rowOff>0</xdr:rowOff>
    </xdr:from>
    <xdr:to>
      <xdr:col>5</xdr:col>
      <xdr:colOff>266700</xdr:colOff>
      <xdr:row>107</xdr:row>
      <xdr:rowOff>152400</xdr:rowOff>
    </xdr:to>
    <xdr:pic>
      <xdr:nvPicPr>
        <xdr:cNvPr id="2697" name="Picture 649"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9291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107</xdr:row>
      <xdr:rowOff>0</xdr:rowOff>
    </xdr:from>
    <xdr:to>
      <xdr:col>7</xdr:col>
      <xdr:colOff>279400</xdr:colOff>
      <xdr:row>107</xdr:row>
      <xdr:rowOff>139700</xdr:rowOff>
    </xdr:to>
    <xdr:pic>
      <xdr:nvPicPr>
        <xdr:cNvPr id="2698" name="Picture 65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29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699" name="Picture 65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700" name="Picture 65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701" name="Picture 6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02" name="Picture 6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03" name="Picture 6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04" name="Picture 6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108</xdr:row>
      <xdr:rowOff>0</xdr:rowOff>
    </xdr:from>
    <xdr:to>
      <xdr:col>2</xdr:col>
      <xdr:colOff>12700</xdr:colOff>
      <xdr:row>108</xdr:row>
      <xdr:rowOff>12700</xdr:rowOff>
    </xdr:to>
    <xdr:pic>
      <xdr:nvPicPr>
        <xdr:cNvPr id="2705" name="Picture 65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108</xdr:row>
      <xdr:rowOff>0</xdr:rowOff>
    </xdr:from>
    <xdr:to>
      <xdr:col>5</xdr:col>
      <xdr:colOff>228600</xdr:colOff>
      <xdr:row>108</xdr:row>
      <xdr:rowOff>152400</xdr:rowOff>
    </xdr:to>
    <xdr:pic>
      <xdr:nvPicPr>
        <xdr:cNvPr id="2706" name="Picture 658" descr="ogo"/>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356100" y="19481800"/>
          <a:ext cx="228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108</xdr:row>
      <xdr:rowOff>0</xdr:rowOff>
    </xdr:from>
    <xdr:to>
      <xdr:col>7</xdr:col>
      <xdr:colOff>279400</xdr:colOff>
      <xdr:row>108</xdr:row>
      <xdr:rowOff>139700</xdr:rowOff>
    </xdr:to>
    <xdr:pic>
      <xdr:nvPicPr>
        <xdr:cNvPr id="2707" name="Picture 65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48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08" name="Picture 6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09" name="Picture 6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10" name="Picture 6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11" name="Picture 6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12" name="Picture 6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13" name="Picture 6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12700</xdr:colOff>
      <xdr:row>109</xdr:row>
      <xdr:rowOff>12700</xdr:rowOff>
    </xdr:to>
    <xdr:pic>
      <xdr:nvPicPr>
        <xdr:cNvPr id="2714" name="Picture 6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109</xdr:row>
      <xdr:rowOff>0</xdr:rowOff>
    </xdr:from>
    <xdr:to>
      <xdr:col>5</xdr:col>
      <xdr:colOff>520700</xdr:colOff>
      <xdr:row>109</xdr:row>
      <xdr:rowOff>139700</xdr:rowOff>
    </xdr:to>
    <xdr:pic>
      <xdr:nvPicPr>
        <xdr:cNvPr id="2715" name="Picture 667" descr="ogo"/>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356100" y="19672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109</xdr:row>
      <xdr:rowOff>0</xdr:rowOff>
    </xdr:from>
    <xdr:to>
      <xdr:col>7</xdr:col>
      <xdr:colOff>279400</xdr:colOff>
      <xdr:row>109</xdr:row>
      <xdr:rowOff>139700</xdr:rowOff>
    </xdr:to>
    <xdr:pic>
      <xdr:nvPicPr>
        <xdr:cNvPr id="2716" name="Picture 6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67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17" name="Picture 6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18" name="Picture 6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19" name="Picture 6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20" name="Picture 6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21" name="Picture 6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22" name="Picture 674"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110</xdr:row>
      <xdr:rowOff>0</xdr:rowOff>
    </xdr:from>
    <xdr:to>
      <xdr:col>2</xdr:col>
      <xdr:colOff>12700</xdr:colOff>
      <xdr:row>110</xdr:row>
      <xdr:rowOff>12700</xdr:rowOff>
    </xdr:to>
    <xdr:pic>
      <xdr:nvPicPr>
        <xdr:cNvPr id="2723" name="Picture 6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110</xdr:row>
      <xdr:rowOff>0</xdr:rowOff>
    </xdr:from>
    <xdr:to>
      <xdr:col>5</xdr:col>
      <xdr:colOff>190500</xdr:colOff>
      <xdr:row>110</xdr:row>
      <xdr:rowOff>152400</xdr:rowOff>
    </xdr:to>
    <xdr:pic>
      <xdr:nvPicPr>
        <xdr:cNvPr id="2724" name="Picture 676"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19862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110</xdr:row>
      <xdr:rowOff>0</xdr:rowOff>
    </xdr:from>
    <xdr:to>
      <xdr:col>7</xdr:col>
      <xdr:colOff>279400</xdr:colOff>
      <xdr:row>110</xdr:row>
      <xdr:rowOff>139700</xdr:rowOff>
    </xdr:to>
    <xdr:pic>
      <xdr:nvPicPr>
        <xdr:cNvPr id="2725" name="Picture 6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86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26" name="Picture 6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27" name="Picture 6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28" name="Picture 6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29" name="Picture 6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30" name="Picture 6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111</xdr:row>
      <xdr:rowOff>0</xdr:rowOff>
    </xdr:from>
    <xdr:to>
      <xdr:col>2</xdr:col>
      <xdr:colOff>12700</xdr:colOff>
      <xdr:row>111</xdr:row>
      <xdr:rowOff>12700</xdr:rowOff>
    </xdr:to>
    <xdr:pic>
      <xdr:nvPicPr>
        <xdr:cNvPr id="2731" name="Picture 6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111</xdr:row>
      <xdr:rowOff>0</xdr:rowOff>
    </xdr:from>
    <xdr:to>
      <xdr:col>5</xdr:col>
      <xdr:colOff>139700</xdr:colOff>
      <xdr:row>111</xdr:row>
      <xdr:rowOff>152400</xdr:rowOff>
    </xdr:to>
    <xdr:pic>
      <xdr:nvPicPr>
        <xdr:cNvPr id="2732" name="Picture 684" descr="ogo"/>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356100" y="20053300"/>
          <a:ext cx="139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111</xdr:row>
      <xdr:rowOff>0</xdr:rowOff>
    </xdr:from>
    <xdr:to>
      <xdr:col>7</xdr:col>
      <xdr:colOff>279400</xdr:colOff>
      <xdr:row>111</xdr:row>
      <xdr:rowOff>139700</xdr:rowOff>
    </xdr:to>
    <xdr:pic>
      <xdr:nvPicPr>
        <xdr:cNvPr id="2733" name="Picture 6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05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34" name="Picture 6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35" name="Picture 6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36" name="Picture 6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37" name="Picture 6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38" name="Picture 6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12700</xdr:colOff>
      <xdr:row>112</xdr:row>
      <xdr:rowOff>12700</xdr:rowOff>
    </xdr:to>
    <xdr:pic>
      <xdr:nvPicPr>
        <xdr:cNvPr id="2739" name="Picture 6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112</xdr:row>
      <xdr:rowOff>0</xdr:rowOff>
    </xdr:from>
    <xdr:to>
      <xdr:col>5</xdr:col>
      <xdr:colOff>520700</xdr:colOff>
      <xdr:row>112</xdr:row>
      <xdr:rowOff>177800</xdr:rowOff>
    </xdr:to>
    <xdr:pic>
      <xdr:nvPicPr>
        <xdr:cNvPr id="2740" name="Picture 692" descr="ogo"/>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356100" y="20243800"/>
          <a:ext cx="5207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112</xdr:row>
      <xdr:rowOff>0</xdr:rowOff>
    </xdr:from>
    <xdr:to>
      <xdr:col>7</xdr:col>
      <xdr:colOff>279400</xdr:colOff>
      <xdr:row>112</xdr:row>
      <xdr:rowOff>139700</xdr:rowOff>
    </xdr:to>
    <xdr:pic>
      <xdr:nvPicPr>
        <xdr:cNvPr id="2741" name="Picture 6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24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42" name="Picture 6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43" name="Picture 6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44" name="Picture 6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45" name="Picture 6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46" name="Picture 6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47" name="Picture 6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113</xdr:row>
      <xdr:rowOff>0</xdr:rowOff>
    </xdr:from>
    <xdr:to>
      <xdr:col>2</xdr:col>
      <xdr:colOff>12700</xdr:colOff>
      <xdr:row>113</xdr:row>
      <xdr:rowOff>12700</xdr:rowOff>
    </xdr:to>
    <xdr:pic>
      <xdr:nvPicPr>
        <xdr:cNvPr id="2748" name="Picture 70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113</xdr:row>
      <xdr:rowOff>0</xdr:rowOff>
    </xdr:from>
    <xdr:to>
      <xdr:col>5</xdr:col>
      <xdr:colOff>381000</xdr:colOff>
      <xdr:row>113</xdr:row>
      <xdr:rowOff>152400</xdr:rowOff>
    </xdr:to>
    <xdr:pic>
      <xdr:nvPicPr>
        <xdr:cNvPr id="2749" name="Picture 701" descr="ogo"/>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356100" y="20434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113</xdr:row>
      <xdr:rowOff>0</xdr:rowOff>
    </xdr:from>
    <xdr:to>
      <xdr:col>7</xdr:col>
      <xdr:colOff>279400</xdr:colOff>
      <xdr:row>113</xdr:row>
      <xdr:rowOff>139700</xdr:rowOff>
    </xdr:to>
    <xdr:pic>
      <xdr:nvPicPr>
        <xdr:cNvPr id="2750" name="Picture 70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43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51" name="Picture 70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52" name="Picture 7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53" name="Picture 7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54" name="Picture 7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114</xdr:row>
      <xdr:rowOff>0</xdr:rowOff>
    </xdr:from>
    <xdr:to>
      <xdr:col>2</xdr:col>
      <xdr:colOff>12700</xdr:colOff>
      <xdr:row>114</xdr:row>
      <xdr:rowOff>12700</xdr:rowOff>
    </xdr:to>
    <xdr:pic>
      <xdr:nvPicPr>
        <xdr:cNvPr id="2755" name="Picture 70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114</xdr:row>
      <xdr:rowOff>0</xdr:rowOff>
    </xdr:from>
    <xdr:to>
      <xdr:col>5</xdr:col>
      <xdr:colOff>330200</xdr:colOff>
      <xdr:row>114</xdr:row>
      <xdr:rowOff>152400</xdr:rowOff>
    </xdr:to>
    <xdr:pic>
      <xdr:nvPicPr>
        <xdr:cNvPr id="2756" name="Picture 708"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0624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114</xdr:row>
      <xdr:rowOff>0</xdr:rowOff>
    </xdr:from>
    <xdr:to>
      <xdr:col>7</xdr:col>
      <xdr:colOff>279400</xdr:colOff>
      <xdr:row>114</xdr:row>
      <xdr:rowOff>139700</xdr:rowOff>
    </xdr:to>
    <xdr:pic>
      <xdr:nvPicPr>
        <xdr:cNvPr id="2757" name="Picture 70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62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58" name="Picture 71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59" name="Picture 71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60" name="Picture 7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61" name="Picture 7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62" name="Picture 7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63" name="Picture 7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115</xdr:row>
      <xdr:rowOff>0</xdr:rowOff>
    </xdr:from>
    <xdr:to>
      <xdr:col>2</xdr:col>
      <xdr:colOff>12700</xdr:colOff>
      <xdr:row>115</xdr:row>
      <xdr:rowOff>12700</xdr:rowOff>
    </xdr:to>
    <xdr:pic>
      <xdr:nvPicPr>
        <xdr:cNvPr id="2764" name="Picture 7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115</xdr:row>
      <xdr:rowOff>0</xdr:rowOff>
    </xdr:from>
    <xdr:to>
      <xdr:col>5</xdr:col>
      <xdr:colOff>330200</xdr:colOff>
      <xdr:row>115</xdr:row>
      <xdr:rowOff>152400</xdr:rowOff>
    </xdr:to>
    <xdr:pic>
      <xdr:nvPicPr>
        <xdr:cNvPr id="2765" name="Picture 717"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0815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115</xdr:row>
      <xdr:rowOff>0</xdr:rowOff>
    </xdr:from>
    <xdr:to>
      <xdr:col>7</xdr:col>
      <xdr:colOff>279400</xdr:colOff>
      <xdr:row>115</xdr:row>
      <xdr:rowOff>139700</xdr:rowOff>
    </xdr:to>
    <xdr:pic>
      <xdr:nvPicPr>
        <xdr:cNvPr id="2766" name="Picture 71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81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67" name="Picture 71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68" name="Picture 72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69" name="Picture 7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70" name="Picture 7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71" name="Picture 7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72" name="Picture 7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116</xdr:row>
      <xdr:rowOff>0</xdr:rowOff>
    </xdr:from>
    <xdr:to>
      <xdr:col>2</xdr:col>
      <xdr:colOff>12700</xdr:colOff>
      <xdr:row>116</xdr:row>
      <xdr:rowOff>12700</xdr:rowOff>
    </xdr:to>
    <xdr:pic>
      <xdr:nvPicPr>
        <xdr:cNvPr id="2773" name="Picture 7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116</xdr:row>
      <xdr:rowOff>0</xdr:rowOff>
    </xdr:from>
    <xdr:to>
      <xdr:col>5</xdr:col>
      <xdr:colOff>457200</xdr:colOff>
      <xdr:row>116</xdr:row>
      <xdr:rowOff>177800</xdr:rowOff>
    </xdr:to>
    <xdr:pic>
      <xdr:nvPicPr>
        <xdr:cNvPr id="2774" name="Picture 726" descr="ogo"/>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6100" y="21005800"/>
          <a:ext cx="4572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116</xdr:row>
      <xdr:rowOff>0</xdr:rowOff>
    </xdr:from>
    <xdr:to>
      <xdr:col>7</xdr:col>
      <xdr:colOff>279400</xdr:colOff>
      <xdr:row>116</xdr:row>
      <xdr:rowOff>139700</xdr:rowOff>
    </xdr:to>
    <xdr:pic>
      <xdr:nvPicPr>
        <xdr:cNvPr id="2775" name="Picture 7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00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76" name="Picture 7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77" name="Picture 7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78" name="Picture 7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79" name="Picture 7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80" name="Picture 7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12700</xdr:colOff>
      <xdr:row>2</xdr:row>
      <xdr:rowOff>12700</xdr:rowOff>
    </xdr:to>
    <xdr:pic>
      <xdr:nvPicPr>
        <xdr:cNvPr id="2781" name="Picture 73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12700</xdr:colOff>
      <xdr:row>117</xdr:row>
      <xdr:rowOff>12700</xdr:rowOff>
    </xdr:to>
    <xdr:pic>
      <xdr:nvPicPr>
        <xdr:cNvPr id="2782" name="Picture 7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117</xdr:row>
      <xdr:rowOff>0</xdr:rowOff>
    </xdr:from>
    <xdr:to>
      <xdr:col>5</xdr:col>
      <xdr:colOff>266700</xdr:colOff>
      <xdr:row>117</xdr:row>
      <xdr:rowOff>152400</xdr:rowOff>
    </xdr:to>
    <xdr:pic>
      <xdr:nvPicPr>
        <xdr:cNvPr id="2783" name="Picture 735"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1196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117</xdr:row>
      <xdr:rowOff>0</xdr:rowOff>
    </xdr:from>
    <xdr:to>
      <xdr:col>7</xdr:col>
      <xdr:colOff>279400</xdr:colOff>
      <xdr:row>117</xdr:row>
      <xdr:rowOff>139700</xdr:rowOff>
    </xdr:to>
    <xdr:pic>
      <xdr:nvPicPr>
        <xdr:cNvPr id="2784" name="Picture 7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19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85" name="Picture 7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86" name="Picture 7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787" name="Picture 7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788" name="Picture 7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789" name="Picture 7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118</xdr:row>
      <xdr:rowOff>0</xdr:rowOff>
    </xdr:from>
    <xdr:to>
      <xdr:col>2</xdr:col>
      <xdr:colOff>12700</xdr:colOff>
      <xdr:row>118</xdr:row>
      <xdr:rowOff>12700</xdr:rowOff>
    </xdr:to>
    <xdr:pic>
      <xdr:nvPicPr>
        <xdr:cNvPr id="2790" name="Picture 7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118</xdr:row>
      <xdr:rowOff>0</xdr:rowOff>
    </xdr:from>
    <xdr:to>
      <xdr:col>5</xdr:col>
      <xdr:colOff>520700</xdr:colOff>
      <xdr:row>118</xdr:row>
      <xdr:rowOff>139700</xdr:rowOff>
    </xdr:to>
    <xdr:pic>
      <xdr:nvPicPr>
        <xdr:cNvPr id="2791" name="Picture 743" descr="ogo"/>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356100" y="213868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118</xdr:row>
      <xdr:rowOff>0</xdr:rowOff>
    </xdr:from>
    <xdr:to>
      <xdr:col>7</xdr:col>
      <xdr:colOff>279400</xdr:colOff>
      <xdr:row>118</xdr:row>
      <xdr:rowOff>139700</xdr:rowOff>
    </xdr:to>
    <xdr:pic>
      <xdr:nvPicPr>
        <xdr:cNvPr id="2792" name="Picture 74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38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793" name="Picture 7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794" name="Picture 7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795" name="Picture 7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796" name="Picture 7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797" name="Picture 7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798" name="Picture 7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119</xdr:row>
      <xdr:rowOff>0</xdr:rowOff>
    </xdr:from>
    <xdr:to>
      <xdr:col>2</xdr:col>
      <xdr:colOff>12700</xdr:colOff>
      <xdr:row>119</xdr:row>
      <xdr:rowOff>12700</xdr:rowOff>
    </xdr:to>
    <xdr:pic>
      <xdr:nvPicPr>
        <xdr:cNvPr id="2799" name="Picture 75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119</xdr:row>
      <xdr:rowOff>0</xdr:rowOff>
    </xdr:from>
    <xdr:to>
      <xdr:col>5</xdr:col>
      <xdr:colOff>520700</xdr:colOff>
      <xdr:row>119</xdr:row>
      <xdr:rowOff>152400</xdr:rowOff>
    </xdr:to>
    <xdr:pic>
      <xdr:nvPicPr>
        <xdr:cNvPr id="2800" name="Picture 752" descr="ogo"/>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356100" y="215773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119</xdr:row>
      <xdr:rowOff>0</xdr:rowOff>
    </xdr:from>
    <xdr:to>
      <xdr:col>7</xdr:col>
      <xdr:colOff>279400</xdr:colOff>
      <xdr:row>119</xdr:row>
      <xdr:rowOff>139700</xdr:rowOff>
    </xdr:to>
    <xdr:pic>
      <xdr:nvPicPr>
        <xdr:cNvPr id="2801" name="Picture 75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57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802" name="Picture 7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03" name="Picture 7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04" name="Picture 7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05" name="Picture 7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120</xdr:row>
      <xdr:rowOff>0</xdr:rowOff>
    </xdr:from>
    <xdr:to>
      <xdr:col>2</xdr:col>
      <xdr:colOff>12700</xdr:colOff>
      <xdr:row>120</xdr:row>
      <xdr:rowOff>12700</xdr:rowOff>
    </xdr:to>
    <xdr:pic>
      <xdr:nvPicPr>
        <xdr:cNvPr id="2806" name="Picture 75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120</xdr:row>
      <xdr:rowOff>0</xdr:rowOff>
    </xdr:from>
    <xdr:to>
      <xdr:col>5</xdr:col>
      <xdr:colOff>381000</xdr:colOff>
      <xdr:row>120</xdr:row>
      <xdr:rowOff>152400</xdr:rowOff>
    </xdr:to>
    <xdr:pic>
      <xdr:nvPicPr>
        <xdr:cNvPr id="2807" name="Picture 759" descr="ogo"/>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356100" y="21767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120</xdr:row>
      <xdr:rowOff>0</xdr:rowOff>
    </xdr:from>
    <xdr:to>
      <xdr:col>7</xdr:col>
      <xdr:colOff>279400</xdr:colOff>
      <xdr:row>120</xdr:row>
      <xdr:rowOff>139700</xdr:rowOff>
    </xdr:to>
    <xdr:pic>
      <xdr:nvPicPr>
        <xdr:cNvPr id="2808" name="Picture 76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76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09" name="Picture 76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10" name="Picture 7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11" name="Picture 7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12" name="Picture 7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13" name="Picture 7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121</xdr:row>
      <xdr:rowOff>0</xdr:rowOff>
    </xdr:from>
    <xdr:to>
      <xdr:col>2</xdr:col>
      <xdr:colOff>12700</xdr:colOff>
      <xdr:row>121</xdr:row>
      <xdr:rowOff>12700</xdr:rowOff>
    </xdr:to>
    <xdr:pic>
      <xdr:nvPicPr>
        <xdr:cNvPr id="2814" name="Picture 7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121</xdr:row>
      <xdr:rowOff>0</xdr:rowOff>
    </xdr:from>
    <xdr:to>
      <xdr:col>5</xdr:col>
      <xdr:colOff>266700</xdr:colOff>
      <xdr:row>121</xdr:row>
      <xdr:rowOff>152400</xdr:rowOff>
    </xdr:to>
    <xdr:pic>
      <xdr:nvPicPr>
        <xdr:cNvPr id="2815" name="Picture 76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1958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121</xdr:row>
      <xdr:rowOff>0</xdr:rowOff>
    </xdr:from>
    <xdr:to>
      <xdr:col>7</xdr:col>
      <xdr:colOff>279400</xdr:colOff>
      <xdr:row>121</xdr:row>
      <xdr:rowOff>139700</xdr:rowOff>
    </xdr:to>
    <xdr:pic>
      <xdr:nvPicPr>
        <xdr:cNvPr id="2816" name="Picture 7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95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17" name="Picture 7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18" name="Picture 7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19" name="Picture 7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20" name="Picture 7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21" name="Picture 7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22" name="Picture 7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122</xdr:row>
      <xdr:rowOff>0</xdr:rowOff>
    </xdr:from>
    <xdr:to>
      <xdr:col>2</xdr:col>
      <xdr:colOff>12700</xdr:colOff>
      <xdr:row>122</xdr:row>
      <xdr:rowOff>12700</xdr:rowOff>
    </xdr:to>
    <xdr:pic>
      <xdr:nvPicPr>
        <xdr:cNvPr id="2823" name="Picture 7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122</xdr:row>
      <xdr:rowOff>0</xdr:rowOff>
    </xdr:from>
    <xdr:to>
      <xdr:col>5</xdr:col>
      <xdr:colOff>381000</xdr:colOff>
      <xdr:row>122</xdr:row>
      <xdr:rowOff>152400</xdr:rowOff>
    </xdr:to>
    <xdr:pic>
      <xdr:nvPicPr>
        <xdr:cNvPr id="2824" name="Picture 776" descr="ogo"/>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356100" y="22148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122</xdr:row>
      <xdr:rowOff>0</xdr:rowOff>
    </xdr:from>
    <xdr:to>
      <xdr:col>7</xdr:col>
      <xdr:colOff>279400</xdr:colOff>
      <xdr:row>122</xdr:row>
      <xdr:rowOff>139700</xdr:rowOff>
    </xdr:to>
    <xdr:pic>
      <xdr:nvPicPr>
        <xdr:cNvPr id="2825" name="Picture 7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14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26" name="Picture 7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27" name="Picture 7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28" name="Picture 7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29" name="Picture 7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30" name="Picture 7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31" name="Picture 7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123</xdr:row>
      <xdr:rowOff>0</xdr:rowOff>
    </xdr:from>
    <xdr:to>
      <xdr:col>2</xdr:col>
      <xdr:colOff>12700</xdr:colOff>
      <xdr:row>123</xdr:row>
      <xdr:rowOff>12700</xdr:rowOff>
    </xdr:to>
    <xdr:pic>
      <xdr:nvPicPr>
        <xdr:cNvPr id="2832" name="Picture 7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123</xdr:row>
      <xdr:rowOff>0</xdr:rowOff>
    </xdr:from>
    <xdr:to>
      <xdr:col>5</xdr:col>
      <xdr:colOff>393700</xdr:colOff>
      <xdr:row>123</xdr:row>
      <xdr:rowOff>152400</xdr:rowOff>
    </xdr:to>
    <xdr:pic>
      <xdr:nvPicPr>
        <xdr:cNvPr id="2833" name="Picture 785"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2339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123</xdr:row>
      <xdr:rowOff>0</xdr:rowOff>
    </xdr:from>
    <xdr:to>
      <xdr:col>7</xdr:col>
      <xdr:colOff>279400</xdr:colOff>
      <xdr:row>123</xdr:row>
      <xdr:rowOff>139700</xdr:rowOff>
    </xdr:to>
    <xdr:pic>
      <xdr:nvPicPr>
        <xdr:cNvPr id="2834" name="Picture 7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33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35" name="Picture 7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36" name="Picture 7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37" name="Picture 7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38" name="Picture 7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39" name="Picture 7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124</xdr:row>
      <xdr:rowOff>0</xdr:rowOff>
    </xdr:from>
    <xdr:to>
      <xdr:col>2</xdr:col>
      <xdr:colOff>12700</xdr:colOff>
      <xdr:row>124</xdr:row>
      <xdr:rowOff>12700</xdr:rowOff>
    </xdr:to>
    <xdr:pic>
      <xdr:nvPicPr>
        <xdr:cNvPr id="2840" name="Picture 7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124</xdr:row>
      <xdr:rowOff>0</xdr:rowOff>
    </xdr:from>
    <xdr:to>
      <xdr:col>5</xdr:col>
      <xdr:colOff>330200</xdr:colOff>
      <xdr:row>124</xdr:row>
      <xdr:rowOff>152400</xdr:rowOff>
    </xdr:to>
    <xdr:pic>
      <xdr:nvPicPr>
        <xdr:cNvPr id="2841" name="Picture 793"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2529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124</xdr:row>
      <xdr:rowOff>0</xdr:rowOff>
    </xdr:from>
    <xdr:to>
      <xdr:col>7</xdr:col>
      <xdr:colOff>279400</xdr:colOff>
      <xdr:row>124</xdr:row>
      <xdr:rowOff>139700</xdr:rowOff>
    </xdr:to>
    <xdr:pic>
      <xdr:nvPicPr>
        <xdr:cNvPr id="2842" name="Picture 7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52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43" name="Picture 7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44" name="Picture 7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45" name="Picture 7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46" name="Picture 7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47" name="Picture 7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48" name="Picture 800"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125</xdr:row>
      <xdr:rowOff>0</xdr:rowOff>
    </xdr:from>
    <xdr:to>
      <xdr:col>2</xdr:col>
      <xdr:colOff>12700</xdr:colOff>
      <xdr:row>125</xdr:row>
      <xdr:rowOff>12700</xdr:rowOff>
    </xdr:to>
    <xdr:pic>
      <xdr:nvPicPr>
        <xdr:cNvPr id="2849" name="Picture 8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125</xdr:row>
      <xdr:rowOff>0</xdr:rowOff>
    </xdr:from>
    <xdr:to>
      <xdr:col>5</xdr:col>
      <xdr:colOff>393700</xdr:colOff>
      <xdr:row>125</xdr:row>
      <xdr:rowOff>152400</xdr:rowOff>
    </xdr:to>
    <xdr:pic>
      <xdr:nvPicPr>
        <xdr:cNvPr id="2850" name="Picture 802"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2720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125</xdr:row>
      <xdr:rowOff>0</xdr:rowOff>
    </xdr:from>
    <xdr:to>
      <xdr:col>7</xdr:col>
      <xdr:colOff>279400</xdr:colOff>
      <xdr:row>125</xdr:row>
      <xdr:rowOff>139700</xdr:rowOff>
    </xdr:to>
    <xdr:pic>
      <xdr:nvPicPr>
        <xdr:cNvPr id="2851" name="Picture 8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72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52" name="Picture 8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53" name="Picture 80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54" name="Picture 8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55" name="Picture 8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56" name="Picture 8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57" name="Picture 8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126</xdr:row>
      <xdr:rowOff>0</xdr:rowOff>
    </xdr:from>
    <xdr:to>
      <xdr:col>2</xdr:col>
      <xdr:colOff>12700</xdr:colOff>
      <xdr:row>126</xdr:row>
      <xdr:rowOff>12700</xdr:rowOff>
    </xdr:to>
    <xdr:pic>
      <xdr:nvPicPr>
        <xdr:cNvPr id="2858" name="Picture 8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126</xdr:row>
      <xdr:rowOff>0</xdr:rowOff>
    </xdr:from>
    <xdr:to>
      <xdr:col>5</xdr:col>
      <xdr:colOff>495300</xdr:colOff>
      <xdr:row>126</xdr:row>
      <xdr:rowOff>152400</xdr:rowOff>
    </xdr:to>
    <xdr:pic>
      <xdr:nvPicPr>
        <xdr:cNvPr id="2859" name="Picture 811" descr="ogo"/>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356100" y="229108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126</xdr:row>
      <xdr:rowOff>0</xdr:rowOff>
    </xdr:from>
    <xdr:to>
      <xdr:col>7</xdr:col>
      <xdr:colOff>279400</xdr:colOff>
      <xdr:row>126</xdr:row>
      <xdr:rowOff>139700</xdr:rowOff>
    </xdr:to>
    <xdr:pic>
      <xdr:nvPicPr>
        <xdr:cNvPr id="2860" name="Picture 8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91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61" name="Picture 8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62" name="Picture 8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863" name="Picture 8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864" name="Picture 8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865" name="Picture 8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127</xdr:row>
      <xdr:rowOff>0</xdr:rowOff>
    </xdr:from>
    <xdr:to>
      <xdr:col>2</xdr:col>
      <xdr:colOff>12700</xdr:colOff>
      <xdr:row>127</xdr:row>
      <xdr:rowOff>12700</xdr:rowOff>
    </xdr:to>
    <xdr:pic>
      <xdr:nvPicPr>
        <xdr:cNvPr id="2866" name="Picture 81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127</xdr:row>
      <xdr:rowOff>0</xdr:rowOff>
    </xdr:from>
    <xdr:to>
      <xdr:col>5</xdr:col>
      <xdr:colOff>304800</xdr:colOff>
      <xdr:row>127</xdr:row>
      <xdr:rowOff>139700</xdr:rowOff>
    </xdr:to>
    <xdr:pic>
      <xdr:nvPicPr>
        <xdr:cNvPr id="2867" name="Picture 819" descr="ogo"/>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356100" y="23101300"/>
          <a:ext cx="3048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127</xdr:row>
      <xdr:rowOff>0</xdr:rowOff>
    </xdr:from>
    <xdr:to>
      <xdr:col>7</xdr:col>
      <xdr:colOff>279400</xdr:colOff>
      <xdr:row>127</xdr:row>
      <xdr:rowOff>139700</xdr:rowOff>
    </xdr:to>
    <xdr:pic>
      <xdr:nvPicPr>
        <xdr:cNvPr id="2868" name="Picture 82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10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869" name="Picture 8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870" name="Picture 82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871" name="Picture 8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872" name="Picture 8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128</xdr:row>
      <xdr:rowOff>0</xdr:rowOff>
    </xdr:from>
    <xdr:to>
      <xdr:col>2</xdr:col>
      <xdr:colOff>12700</xdr:colOff>
      <xdr:row>128</xdr:row>
      <xdr:rowOff>12700</xdr:rowOff>
    </xdr:to>
    <xdr:pic>
      <xdr:nvPicPr>
        <xdr:cNvPr id="2873" name="Picture 8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128</xdr:row>
      <xdr:rowOff>0</xdr:rowOff>
    </xdr:from>
    <xdr:to>
      <xdr:col>5</xdr:col>
      <xdr:colOff>190500</xdr:colOff>
      <xdr:row>128</xdr:row>
      <xdr:rowOff>152400</xdr:rowOff>
    </xdr:to>
    <xdr:pic>
      <xdr:nvPicPr>
        <xdr:cNvPr id="2874" name="Picture 826"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3291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128</xdr:row>
      <xdr:rowOff>0</xdr:rowOff>
    </xdr:from>
    <xdr:to>
      <xdr:col>7</xdr:col>
      <xdr:colOff>279400</xdr:colOff>
      <xdr:row>128</xdr:row>
      <xdr:rowOff>139700</xdr:rowOff>
    </xdr:to>
    <xdr:pic>
      <xdr:nvPicPr>
        <xdr:cNvPr id="2875" name="Picture 8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29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876" name="Picture 8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877" name="Picture 8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78" name="Picture 8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79" name="Picture 8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80" name="Picture 8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129</xdr:row>
      <xdr:rowOff>0</xdr:rowOff>
    </xdr:from>
    <xdr:to>
      <xdr:col>2</xdr:col>
      <xdr:colOff>12700</xdr:colOff>
      <xdr:row>129</xdr:row>
      <xdr:rowOff>12700</xdr:rowOff>
    </xdr:to>
    <xdr:pic>
      <xdr:nvPicPr>
        <xdr:cNvPr id="2881" name="Picture 83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129</xdr:row>
      <xdr:rowOff>0</xdr:rowOff>
    </xdr:from>
    <xdr:to>
      <xdr:col>5</xdr:col>
      <xdr:colOff>190500</xdr:colOff>
      <xdr:row>129</xdr:row>
      <xdr:rowOff>152400</xdr:rowOff>
    </xdr:to>
    <xdr:pic>
      <xdr:nvPicPr>
        <xdr:cNvPr id="2882" name="Picture 834"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3482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129</xdr:row>
      <xdr:rowOff>0</xdr:rowOff>
    </xdr:from>
    <xdr:to>
      <xdr:col>7</xdr:col>
      <xdr:colOff>279400</xdr:colOff>
      <xdr:row>129</xdr:row>
      <xdr:rowOff>139700</xdr:rowOff>
    </xdr:to>
    <xdr:pic>
      <xdr:nvPicPr>
        <xdr:cNvPr id="2883" name="Picture 83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48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84" name="Picture 83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85" name="Picture 8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886" name="Picture 8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887" name="Picture 8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12700</xdr:colOff>
      <xdr:row>130</xdr:row>
      <xdr:rowOff>12700</xdr:rowOff>
    </xdr:to>
    <xdr:pic>
      <xdr:nvPicPr>
        <xdr:cNvPr id="2888" name="Picture 84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130</xdr:row>
      <xdr:rowOff>0</xdr:rowOff>
    </xdr:from>
    <xdr:to>
      <xdr:col>5</xdr:col>
      <xdr:colOff>393700</xdr:colOff>
      <xdr:row>130</xdr:row>
      <xdr:rowOff>152400</xdr:rowOff>
    </xdr:to>
    <xdr:pic>
      <xdr:nvPicPr>
        <xdr:cNvPr id="2889" name="Picture 841"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36728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130</xdr:row>
      <xdr:rowOff>0</xdr:rowOff>
    </xdr:from>
    <xdr:to>
      <xdr:col>7</xdr:col>
      <xdr:colOff>279400</xdr:colOff>
      <xdr:row>130</xdr:row>
      <xdr:rowOff>139700</xdr:rowOff>
    </xdr:to>
    <xdr:pic>
      <xdr:nvPicPr>
        <xdr:cNvPr id="2890" name="Picture 84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67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891" name="Picture 84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892" name="Picture 84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893" name="Picture 8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894" name="Picture 8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895" name="Picture 8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896" name="Picture 8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12700</xdr:colOff>
      <xdr:row>131</xdr:row>
      <xdr:rowOff>12700</xdr:rowOff>
    </xdr:to>
    <xdr:pic>
      <xdr:nvPicPr>
        <xdr:cNvPr id="2897" name="Picture 8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131</xdr:row>
      <xdr:rowOff>0</xdr:rowOff>
    </xdr:from>
    <xdr:to>
      <xdr:col>5</xdr:col>
      <xdr:colOff>393700</xdr:colOff>
      <xdr:row>131</xdr:row>
      <xdr:rowOff>152400</xdr:rowOff>
    </xdr:to>
    <xdr:pic>
      <xdr:nvPicPr>
        <xdr:cNvPr id="2898" name="Picture 850"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3863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131</xdr:row>
      <xdr:rowOff>0</xdr:rowOff>
    </xdr:from>
    <xdr:to>
      <xdr:col>7</xdr:col>
      <xdr:colOff>279400</xdr:colOff>
      <xdr:row>131</xdr:row>
      <xdr:rowOff>139700</xdr:rowOff>
    </xdr:to>
    <xdr:pic>
      <xdr:nvPicPr>
        <xdr:cNvPr id="2899" name="Picture 8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86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900" name="Picture 8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901" name="Picture 8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902" name="Picture 8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903" name="Picture 8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904" name="Picture 8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132</xdr:row>
      <xdr:rowOff>0</xdr:rowOff>
    </xdr:from>
    <xdr:to>
      <xdr:col>2</xdr:col>
      <xdr:colOff>12700</xdr:colOff>
      <xdr:row>132</xdr:row>
      <xdr:rowOff>12700</xdr:rowOff>
    </xdr:to>
    <xdr:pic>
      <xdr:nvPicPr>
        <xdr:cNvPr id="2905" name="Picture 85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132</xdr:row>
      <xdr:rowOff>0</xdr:rowOff>
    </xdr:from>
    <xdr:to>
      <xdr:col>5</xdr:col>
      <xdr:colOff>520700</xdr:colOff>
      <xdr:row>132</xdr:row>
      <xdr:rowOff>152400</xdr:rowOff>
    </xdr:to>
    <xdr:pic>
      <xdr:nvPicPr>
        <xdr:cNvPr id="2906" name="Picture 858" descr="ogo"/>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356100" y="240538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132</xdr:row>
      <xdr:rowOff>0</xdr:rowOff>
    </xdr:from>
    <xdr:to>
      <xdr:col>7</xdr:col>
      <xdr:colOff>279400</xdr:colOff>
      <xdr:row>132</xdr:row>
      <xdr:rowOff>139700</xdr:rowOff>
    </xdr:to>
    <xdr:pic>
      <xdr:nvPicPr>
        <xdr:cNvPr id="2907" name="Picture 85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05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908" name="Picture 8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909" name="Picture 8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910" name="Picture 8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911" name="Picture 8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912" name="Picture 8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913" name="Picture 8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133</xdr:row>
      <xdr:rowOff>0</xdr:rowOff>
    </xdr:from>
    <xdr:to>
      <xdr:col>2</xdr:col>
      <xdr:colOff>12700</xdr:colOff>
      <xdr:row>133</xdr:row>
      <xdr:rowOff>12700</xdr:rowOff>
    </xdr:to>
    <xdr:pic>
      <xdr:nvPicPr>
        <xdr:cNvPr id="2914" name="Picture 8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133</xdr:row>
      <xdr:rowOff>0</xdr:rowOff>
    </xdr:from>
    <xdr:to>
      <xdr:col>5</xdr:col>
      <xdr:colOff>190500</xdr:colOff>
      <xdr:row>133</xdr:row>
      <xdr:rowOff>152400</xdr:rowOff>
    </xdr:to>
    <xdr:pic>
      <xdr:nvPicPr>
        <xdr:cNvPr id="2915" name="Picture 867"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4244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133</xdr:row>
      <xdr:rowOff>0</xdr:rowOff>
    </xdr:from>
    <xdr:to>
      <xdr:col>7</xdr:col>
      <xdr:colOff>279400</xdr:colOff>
      <xdr:row>133</xdr:row>
      <xdr:rowOff>139700</xdr:rowOff>
    </xdr:to>
    <xdr:pic>
      <xdr:nvPicPr>
        <xdr:cNvPr id="2916" name="Picture 8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24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12700</xdr:colOff>
      <xdr:row>2</xdr:row>
      <xdr:rowOff>12700</xdr:rowOff>
    </xdr:to>
    <xdr:pic>
      <xdr:nvPicPr>
        <xdr:cNvPr id="2917" name="Picture 8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133</xdr:row>
      <xdr:rowOff>0</xdr:rowOff>
    </xdr:from>
    <xdr:to>
      <xdr:col>2</xdr:col>
      <xdr:colOff>12700</xdr:colOff>
      <xdr:row>133</xdr:row>
      <xdr:rowOff>12700</xdr:rowOff>
    </xdr:to>
    <xdr:pic>
      <xdr:nvPicPr>
        <xdr:cNvPr id="2918" name="Picture 8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134</xdr:row>
      <xdr:rowOff>0</xdr:rowOff>
    </xdr:from>
    <xdr:to>
      <xdr:col>2</xdr:col>
      <xdr:colOff>12700</xdr:colOff>
      <xdr:row>134</xdr:row>
      <xdr:rowOff>12700</xdr:rowOff>
    </xdr:to>
    <xdr:pic>
      <xdr:nvPicPr>
        <xdr:cNvPr id="2919" name="Picture 8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134</xdr:row>
      <xdr:rowOff>0</xdr:rowOff>
    </xdr:from>
    <xdr:to>
      <xdr:col>2</xdr:col>
      <xdr:colOff>12700</xdr:colOff>
      <xdr:row>134</xdr:row>
      <xdr:rowOff>12700</xdr:rowOff>
    </xdr:to>
    <xdr:pic>
      <xdr:nvPicPr>
        <xdr:cNvPr id="2920" name="Picture 8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134</xdr:row>
      <xdr:rowOff>0</xdr:rowOff>
    </xdr:from>
    <xdr:to>
      <xdr:col>2</xdr:col>
      <xdr:colOff>12700</xdr:colOff>
      <xdr:row>134</xdr:row>
      <xdr:rowOff>12700</xdr:rowOff>
    </xdr:to>
    <xdr:pic>
      <xdr:nvPicPr>
        <xdr:cNvPr id="2921" name="Picture 8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134</xdr:row>
      <xdr:rowOff>0</xdr:rowOff>
    </xdr:from>
    <xdr:to>
      <xdr:col>2</xdr:col>
      <xdr:colOff>12700</xdr:colOff>
      <xdr:row>134</xdr:row>
      <xdr:rowOff>12700</xdr:rowOff>
    </xdr:to>
    <xdr:pic>
      <xdr:nvPicPr>
        <xdr:cNvPr id="2922" name="Picture 87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134</xdr:row>
      <xdr:rowOff>0</xdr:rowOff>
    </xdr:from>
    <xdr:to>
      <xdr:col>5</xdr:col>
      <xdr:colOff>330200</xdr:colOff>
      <xdr:row>134</xdr:row>
      <xdr:rowOff>152400</xdr:rowOff>
    </xdr:to>
    <xdr:pic>
      <xdr:nvPicPr>
        <xdr:cNvPr id="2923" name="Picture 87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4434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134</xdr:row>
      <xdr:rowOff>0</xdr:rowOff>
    </xdr:from>
    <xdr:to>
      <xdr:col>7</xdr:col>
      <xdr:colOff>279400</xdr:colOff>
      <xdr:row>134</xdr:row>
      <xdr:rowOff>139700</xdr:rowOff>
    </xdr:to>
    <xdr:pic>
      <xdr:nvPicPr>
        <xdr:cNvPr id="2924" name="Picture 87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43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925" name="Picture 8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926" name="Picture 8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27" name="Picture 87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28" name="Picture 8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29" name="Picture 8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135</xdr:row>
      <xdr:rowOff>0</xdr:rowOff>
    </xdr:from>
    <xdr:to>
      <xdr:col>2</xdr:col>
      <xdr:colOff>12700</xdr:colOff>
      <xdr:row>135</xdr:row>
      <xdr:rowOff>12700</xdr:rowOff>
    </xdr:to>
    <xdr:pic>
      <xdr:nvPicPr>
        <xdr:cNvPr id="2930" name="Picture 88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135</xdr:row>
      <xdr:rowOff>0</xdr:rowOff>
    </xdr:from>
    <xdr:to>
      <xdr:col>5</xdr:col>
      <xdr:colOff>495300</xdr:colOff>
      <xdr:row>135</xdr:row>
      <xdr:rowOff>152400</xdr:rowOff>
    </xdr:to>
    <xdr:pic>
      <xdr:nvPicPr>
        <xdr:cNvPr id="2931" name="Picture 883" descr="ogo"/>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356100" y="246253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135</xdr:row>
      <xdr:rowOff>0</xdr:rowOff>
    </xdr:from>
    <xdr:to>
      <xdr:col>7</xdr:col>
      <xdr:colOff>279400</xdr:colOff>
      <xdr:row>135</xdr:row>
      <xdr:rowOff>139700</xdr:rowOff>
    </xdr:to>
    <xdr:pic>
      <xdr:nvPicPr>
        <xdr:cNvPr id="2932" name="Picture 88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62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33" name="Picture 88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34" name="Picture 88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35" name="Picture 8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36" name="Picture 8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37" name="Picture 8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38" name="Picture 8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136</xdr:row>
      <xdr:rowOff>0</xdr:rowOff>
    </xdr:from>
    <xdr:to>
      <xdr:col>2</xdr:col>
      <xdr:colOff>12700</xdr:colOff>
      <xdr:row>136</xdr:row>
      <xdr:rowOff>12700</xdr:rowOff>
    </xdr:to>
    <xdr:pic>
      <xdr:nvPicPr>
        <xdr:cNvPr id="2939" name="Picture 8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136</xdr:row>
      <xdr:rowOff>0</xdr:rowOff>
    </xdr:from>
    <xdr:to>
      <xdr:col>5</xdr:col>
      <xdr:colOff>190500</xdr:colOff>
      <xdr:row>136</xdr:row>
      <xdr:rowOff>152400</xdr:rowOff>
    </xdr:to>
    <xdr:pic>
      <xdr:nvPicPr>
        <xdr:cNvPr id="2940" name="Picture 892"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4815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136</xdr:row>
      <xdr:rowOff>0</xdr:rowOff>
    </xdr:from>
    <xdr:to>
      <xdr:col>7</xdr:col>
      <xdr:colOff>279400</xdr:colOff>
      <xdr:row>136</xdr:row>
      <xdr:rowOff>139700</xdr:rowOff>
    </xdr:to>
    <xdr:pic>
      <xdr:nvPicPr>
        <xdr:cNvPr id="2941" name="Picture 8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81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42" name="Picture 8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43" name="Picture 8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44" name="Picture 8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45" name="Picture 8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46" name="Picture 8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137</xdr:row>
      <xdr:rowOff>0</xdr:rowOff>
    </xdr:from>
    <xdr:to>
      <xdr:col>2</xdr:col>
      <xdr:colOff>12700</xdr:colOff>
      <xdr:row>137</xdr:row>
      <xdr:rowOff>12700</xdr:rowOff>
    </xdr:to>
    <xdr:pic>
      <xdr:nvPicPr>
        <xdr:cNvPr id="2947" name="Picture 89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137</xdr:row>
      <xdr:rowOff>0</xdr:rowOff>
    </xdr:from>
    <xdr:to>
      <xdr:col>5</xdr:col>
      <xdr:colOff>355600</xdr:colOff>
      <xdr:row>137</xdr:row>
      <xdr:rowOff>152400</xdr:rowOff>
    </xdr:to>
    <xdr:pic>
      <xdr:nvPicPr>
        <xdr:cNvPr id="2948" name="Picture 900" descr="ogo"/>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356100" y="250063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137</xdr:row>
      <xdr:rowOff>0</xdr:rowOff>
    </xdr:from>
    <xdr:to>
      <xdr:col>7</xdr:col>
      <xdr:colOff>279400</xdr:colOff>
      <xdr:row>137</xdr:row>
      <xdr:rowOff>139700</xdr:rowOff>
    </xdr:to>
    <xdr:pic>
      <xdr:nvPicPr>
        <xdr:cNvPr id="2949" name="Picture 90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00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50" name="Picture 9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51" name="Picture 9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52" name="Picture 9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53" name="Picture 9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54" name="Picture 9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55" name="Picture 9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138</xdr:row>
      <xdr:rowOff>0</xdr:rowOff>
    </xdr:from>
    <xdr:to>
      <xdr:col>2</xdr:col>
      <xdr:colOff>12700</xdr:colOff>
      <xdr:row>138</xdr:row>
      <xdr:rowOff>12700</xdr:rowOff>
    </xdr:to>
    <xdr:pic>
      <xdr:nvPicPr>
        <xdr:cNvPr id="2956" name="Picture 9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138</xdr:row>
      <xdr:rowOff>0</xdr:rowOff>
    </xdr:from>
    <xdr:to>
      <xdr:col>5</xdr:col>
      <xdr:colOff>304800</xdr:colOff>
      <xdr:row>138</xdr:row>
      <xdr:rowOff>152400</xdr:rowOff>
    </xdr:to>
    <xdr:pic>
      <xdr:nvPicPr>
        <xdr:cNvPr id="2957" name="Picture 909" descr="ogo"/>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356100" y="251968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138</xdr:row>
      <xdr:rowOff>0</xdr:rowOff>
    </xdr:from>
    <xdr:to>
      <xdr:col>7</xdr:col>
      <xdr:colOff>279400</xdr:colOff>
      <xdr:row>138</xdr:row>
      <xdr:rowOff>139700</xdr:rowOff>
    </xdr:to>
    <xdr:pic>
      <xdr:nvPicPr>
        <xdr:cNvPr id="2958" name="Picture 9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19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59" name="Picture 9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60" name="Picture 9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61" name="Picture 9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62" name="Picture 9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63" name="Picture 9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64" name="Picture 9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139</xdr:row>
      <xdr:rowOff>0</xdr:rowOff>
    </xdr:from>
    <xdr:to>
      <xdr:col>2</xdr:col>
      <xdr:colOff>12700</xdr:colOff>
      <xdr:row>139</xdr:row>
      <xdr:rowOff>12700</xdr:rowOff>
    </xdr:to>
    <xdr:pic>
      <xdr:nvPicPr>
        <xdr:cNvPr id="2965" name="Picture 91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139</xdr:row>
      <xdr:rowOff>0</xdr:rowOff>
    </xdr:from>
    <xdr:to>
      <xdr:col>5</xdr:col>
      <xdr:colOff>190500</xdr:colOff>
      <xdr:row>139</xdr:row>
      <xdr:rowOff>152400</xdr:rowOff>
    </xdr:to>
    <xdr:pic>
      <xdr:nvPicPr>
        <xdr:cNvPr id="2966" name="Picture 918"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387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139</xdr:row>
      <xdr:rowOff>0</xdr:rowOff>
    </xdr:from>
    <xdr:to>
      <xdr:col>7</xdr:col>
      <xdr:colOff>279400</xdr:colOff>
      <xdr:row>139</xdr:row>
      <xdr:rowOff>139700</xdr:rowOff>
    </xdr:to>
    <xdr:pic>
      <xdr:nvPicPr>
        <xdr:cNvPr id="2967" name="Picture 91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38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68" name="Picture 92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69" name="Picture 9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70" name="Picture 9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71" name="Picture 9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72" name="Picture 9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140</xdr:row>
      <xdr:rowOff>0</xdr:rowOff>
    </xdr:from>
    <xdr:to>
      <xdr:col>2</xdr:col>
      <xdr:colOff>12700</xdr:colOff>
      <xdr:row>140</xdr:row>
      <xdr:rowOff>12700</xdr:rowOff>
    </xdr:to>
    <xdr:pic>
      <xdr:nvPicPr>
        <xdr:cNvPr id="2973" name="Picture 9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140</xdr:row>
      <xdr:rowOff>0</xdr:rowOff>
    </xdr:from>
    <xdr:to>
      <xdr:col>5</xdr:col>
      <xdr:colOff>304800</xdr:colOff>
      <xdr:row>140</xdr:row>
      <xdr:rowOff>152400</xdr:rowOff>
    </xdr:to>
    <xdr:pic>
      <xdr:nvPicPr>
        <xdr:cNvPr id="2974" name="Picture 926" descr="ogo"/>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356100" y="255778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140</xdr:row>
      <xdr:rowOff>0</xdr:rowOff>
    </xdr:from>
    <xdr:to>
      <xdr:col>7</xdr:col>
      <xdr:colOff>279400</xdr:colOff>
      <xdr:row>140</xdr:row>
      <xdr:rowOff>139700</xdr:rowOff>
    </xdr:to>
    <xdr:pic>
      <xdr:nvPicPr>
        <xdr:cNvPr id="2975" name="Picture 9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57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76" name="Picture 9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77" name="Picture 9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78" name="Picture 9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79" name="Picture 9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80" name="Picture 9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81" name="Picture 9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141</xdr:row>
      <xdr:rowOff>0</xdr:rowOff>
    </xdr:from>
    <xdr:to>
      <xdr:col>2</xdr:col>
      <xdr:colOff>12700</xdr:colOff>
      <xdr:row>141</xdr:row>
      <xdr:rowOff>12700</xdr:rowOff>
    </xdr:to>
    <xdr:pic>
      <xdr:nvPicPr>
        <xdr:cNvPr id="2982" name="Picture 9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141</xdr:row>
      <xdr:rowOff>0</xdr:rowOff>
    </xdr:from>
    <xdr:to>
      <xdr:col>5</xdr:col>
      <xdr:colOff>190500</xdr:colOff>
      <xdr:row>141</xdr:row>
      <xdr:rowOff>152400</xdr:rowOff>
    </xdr:to>
    <xdr:pic>
      <xdr:nvPicPr>
        <xdr:cNvPr id="2983" name="Picture 935"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768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141</xdr:row>
      <xdr:rowOff>0</xdr:rowOff>
    </xdr:from>
    <xdr:to>
      <xdr:col>7</xdr:col>
      <xdr:colOff>279400</xdr:colOff>
      <xdr:row>141</xdr:row>
      <xdr:rowOff>139700</xdr:rowOff>
    </xdr:to>
    <xdr:pic>
      <xdr:nvPicPr>
        <xdr:cNvPr id="2984" name="Picture 9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76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85" name="Picture 9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86" name="Picture 9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87" name="Picture 9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988" name="Picture 9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989" name="Picture 9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990" name="Picture 9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142</xdr:row>
      <xdr:rowOff>0</xdr:rowOff>
    </xdr:from>
    <xdr:to>
      <xdr:col>2</xdr:col>
      <xdr:colOff>12700</xdr:colOff>
      <xdr:row>142</xdr:row>
      <xdr:rowOff>12700</xdr:rowOff>
    </xdr:to>
    <xdr:pic>
      <xdr:nvPicPr>
        <xdr:cNvPr id="2991" name="Picture 94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142</xdr:row>
      <xdr:rowOff>0</xdr:rowOff>
    </xdr:from>
    <xdr:to>
      <xdr:col>5</xdr:col>
      <xdr:colOff>190500</xdr:colOff>
      <xdr:row>142</xdr:row>
      <xdr:rowOff>152400</xdr:rowOff>
    </xdr:to>
    <xdr:pic>
      <xdr:nvPicPr>
        <xdr:cNvPr id="2992" name="Picture 944"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958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142</xdr:row>
      <xdr:rowOff>0</xdr:rowOff>
    </xdr:from>
    <xdr:to>
      <xdr:col>7</xdr:col>
      <xdr:colOff>279400</xdr:colOff>
      <xdr:row>142</xdr:row>
      <xdr:rowOff>139700</xdr:rowOff>
    </xdr:to>
    <xdr:pic>
      <xdr:nvPicPr>
        <xdr:cNvPr id="2993" name="Picture 94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95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994" name="Picture 94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995" name="Picture 9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996" name="Picture 9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997" name="Picture 9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998" name="Picture 9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143</xdr:row>
      <xdr:rowOff>0</xdr:rowOff>
    </xdr:from>
    <xdr:to>
      <xdr:col>2</xdr:col>
      <xdr:colOff>12700</xdr:colOff>
      <xdr:row>143</xdr:row>
      <xdr:rowOff>12700</xdr:rowOff>
    </xdr:to>
    <xdr:pic>
      <xdr:nvPicPr>
        <xdr:cNvPr id="2999" name="Picture 95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143</xdr:row>
      <xdr:rowOff>0</xdr:rowOff>
    </xdr:from>
    <xdr:to>
      <xdr:col>5</xdr:col>
      <xdr:colOff>190500</xdr:colOff>
      <xdr:row>143</xdr:row>
      <xdr:rowOff>152400</xdr:rowOff>
    </xdr:to>
    <xdr:pic>
      <xdr:nvPicPr>
        <xdr:cNvPr id="3000" name="Picture 952"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6149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143</xdr:row>
      <xdr:rowOff>0</xdr:rowOff>
    </xdr:from>
    <xdr:to>
      <xdr:col>7</xdr:col>
      <xdr:colOff>279400</xdr:colOff>
      <xdr:row>143</xdr:row>
      <xdr:rowOff>139700</xdr:rowOff>
    </xdr:to>
    <xdr:pic>
      <xdr:nvPicPr>
        <xdr:cNvPr id="3001" name="Picture 95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14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002" name="Picture 9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003" name="Picture 9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04" name="Picture 9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05" name="Picture 9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06" name="Picture 9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144</xdr:row>
      <xdr:rowOff>0</xdr:rowOff>
    </xdr:from>
    <xdr:to>
      <xdr:col>2</xdr:col>
      <xdr:colOff>12700</xdr:colOff>
      <xdr:row>144</xdr:row>
      <xdr:rowOff>12700</xdr:rowOff>
    </xdr:to>
    <xdr:pic>
      <xdr:nvPicPr>
        <xdr:cNvPr id="3007" name="Picture 95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144</xdr:row>
      <xdr:rowOff>0</xdr:rowOff>
    </xdr:from>
    <xdr:to>
      <xdr:col>5</xdr:col>
      <xdr:colOff>190500</xdr:colOff>
      <xdr:row>144</xdr:row>
      <xdr:rowOff>152400</xdr:rowOff>
    </xdr:to>
    <xdr:pic>
      <xdr:nvPicPr>
        <xdr:cNvPr id="3008" name="Picture 960"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6339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144</xdr:row>
      <xdr:rowOff>0</xdr:rowOff>
    </xdr:from>
    <xdr:to>
      <xdr:col>7</xdr:col>
      <xdr:colOff>279400</xdr:colOff>
      <xdr:row>144</xdr:row>
      <xdr:rowOff>139700</xdr:rowOff>
    </xdr:to>
    <xdr:pic>
      <xdr:nvPicPr>
        <xdr:cNvPr id="3009" name="Picture 96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33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10" name="Picture 9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11" name="Picture 9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12" name="Picture 9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13" name="Picture 9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14" name="Picture 9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145</xdr:row>
      <xdr:rowOff>0</xdr:rowOff>
    </xdr:from>
    <xdr:to>
      <xdr:col>2</xdr:col>
      <xdr:colOff>12700</xdr:colOff>
      <xdr:row>145</xdr:row>
      <xdr:rowOff>12700</xdr:rowOff>
    </xdr:to>
    <xdr:pic>
      <xdr:nvPicPr>
        <xdr:cNvPr id="3015" name="Picture 96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145</xdr:row>
      <xdr:rowOff>0</xdr:rowOff>
    </xdr:from>
    <xdr:to>
      <xdr:col>5</xdr:col>
      <xdr:colOff>266700</xdr:colOff>
      <xdr:row>145</xdr:row>
      <xdr:rowOff>152400</xdr:rowOff>
    </xdr:to>
    <xdr:pic>
      <xdr:nvPicPr>
        <xdr:cNvPr id="3016" name="Picture 968"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6530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145</xdr:row>
      <xdr:rowOff>0</xdr:rowOff>
    </xdr:from>
    <xdr:to>
      <xdr:col>7</xdr:col>
      <xdr:colOff>279400</xdr:colOff>
      <xdr:row>145</xdr:row>
      <xdr:rowOff>139700</xdr:rowOff>
    </xdr:to>
    <xdr:pic>
      <xdr:nvPicPr>
        <xdr:cNvPr id="3017" name="Picture 96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53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18" name="Picture 97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19" name="Picture 9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20" name="Picture 9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21" name="Picture 9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22" name="Picture 9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12700</xdr:colOff>
      <xdr:row>146</xdr:row>
      <xdr:rowOff>12700</xdr:rowOff>
    </xdr:to>
    <xdr:pic>
      <xdr:nvPicPr>
        <xdr:cNvPr id="3023" name="Picture 9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146</xdr:row>
      <xdr:rowOff>0</xdr:rowOff>
    </xdr:from>
    <xdr:to>
      <xdr:col>5</xdr:col>
      <xdr:colOff>266700</xdr:colOff>
      <xdr:row>146</xdr:row>
      <xdr:rowOff>152400</xdr:rowOff>
    </xdr:to>
    <xdr:pic>
      <xdr:nvPicPr>
        <xdr:cNvPr id="3024" name="Picture 97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672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146</xdr:row>
      <xdr:rowOff>0</xdr:rowOff>
    </xdr:from>
    <xdr:to>
      <xdr:col>7</xdr:col>
      <xdr:colOff>279400</xdr:colOff>
      <xdr:row>146</xdr:row>
      <xdr:rowOff>139700</xdr:rowOff>
    </xdr:to>
    <xdr:pic>
      <xdr:nvPicPr>
        <xdr:cNvPr id="3025" name="Picture 9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72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26" name="Picture 9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27" name="Picture 9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28" name="Picture 9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29" name="Picture 9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30" name="Picture 9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31" name="Picture 9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147</xdr:row>
      <xdr:rowOff>0</xdr:rowOff>
    </xdr:from>
    <xdr:to>
      <xdr:col>2</xdr:col>
      <xdr:colOff>12700</xdr:colOff>
      <xdr:row>147</xdr:row>
      <xdr:rowOff>12700</xdr:rowOff>
    </xdr:to>
    <xdr:pic>
      <xdr:nvPicPr>
        <xdr:cNvPr id="3032" name="Picture 9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147</xdr:row>
      <xdr:rowOff>0</xdr:rowOff>
    </xdr:from>
    <xdr:to>
      <xdr:col>5</xdr:col>
      <xdr:colOff>330200</xdr:colOff>
      <xdr:row>147</xdr:row>
      <xdr:rowOff>152400</xdr:rowOff>
    </xdr:to>
    <xdr:pic>
      <xdr:nvPicPr>
        <xdr:cNvPr id="3033" name="Picture 98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6911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147</xdr:row>
      <xdr:rowOff>0</xdr:rowOff>
    </xdr:from>
    <xdr:to>
      <xdr:col>7</xdr:col>
      <xdr:colOff>279400</xdr:colOff>
      <xdr:row>147</xdr:row>
      <xdr:rowOff>139700</xdr:rowOff>
    </xdr:to>
    <xdr:pic>
      <xdr:nvPicPr>
        <xdr:cNvPr id="3034" name="Picture 9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91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35" name="Picture 9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36" name="Picture 9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37" name="Picture 9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38" name="Picture 9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39" name="Picture 9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40" name="Picture 99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148</xdr:row>
      <xdr:rowOff>0</xdr:rowOff>
    </xdr:from>
    <xdr:to>
      <xdr:col>2</xdr:col>
      <xdr:colOff>12700</xdr:colOff>
      <xdr:row>148</xdr:row>
      <xdr:rowOff>12700</xdr:rowOff>
    </xdr:to>
    <xdr:pic>
      <xdr:nvPicPr>
        <xdr:cNvPr id="3041" name="Picture 99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148</xdr:row>
      <xdr:rowOff>0</xdr:rowOff>
    </xdr:from>
    <xdr:to>
      <xdr:col>5</xdr:col>
      <xdr:colOff>266700</xdr:colOff>
      <xdr:row>148</xdr:row>
      <xdr:rowOff>152400</xdr:rowOff>
    </xdr:to>
    <xdr:pic>
      <xdr:nvPicPr>
        <xdr:cNvPr id="3042" name="Picture 994"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101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148</xdr:row>
      <xdr:rowOff>0</xdr:rowOff>
    </xdr:from>
    <xdr:to>
      <xdr:col>7</xdr:col>
      <xdr:colOff>279400</xdr:colOff>
      <xdr:row>148</xdr:row>
      <xdr:rowOff>139700</xdr:rowOff>
    </xdr:to>
    <xdr:pic>
      <xdr:nvPicPr>
        <xdr:cNvPr id="3043" name="Picture 99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10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44" name="Picture 99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45" name="Picture 9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46" name="Picture 9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47" name="Picture 9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48" name="Picture 10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149</xdr:row>
      <xdr:rowOff>0</xdr:rowOff>
    </xdr:from>
    <xdr:to>
      <xdr:col>2</xdr:col>
      <xdr:colOff>12700</xdr:colOff>
      <xdr:row>149</xdr:row>
      <xdr:rowOff>12700</xdr:rowOff>
    </xdr:to>
    <xdr:pic>
      <xdr:nvPicPr>
        <xdr:cNvPr id="3049" name="Picture 10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149</xdr:row>
      <xdr:rowOff>0</xdr:rowOff>
    </xdr:from>
    <xdr:to>
      <xdr:col>5</xdr:col>
      <xdr:colOff>266700</xdr:colOff>
      <xdr:row>149</xdr:row>
      <xdr:rowOff>152400</xdr:rowOff>
    </xdr:to>
    <xdr:pic>
      <xdr:nvPicPr>
        <xdr:cNvPr id="3050" name="Picture 1002"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292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149</xdr:row>
      <xdr:rowOff>0</xdr:rowOff>
    </xdr:from>
    <xdr:to>
      <xdr:col>7</xdr:col>
      <xdr:colOff>279400</xdr:colOff>
      <xdr:row>149</xdr:row>
      <xdr:rowOff>139700</xdr:rowOff>
    </xdr:to>
    <xdr:pic>
      <xdr:nvPicPr>
        <xdr:cNvPr id="3051" name="Picture 10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29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52" name="Picture 10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53" name="Picture 100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54" name="Picture 10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55" name="Picture 10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56" name="Picture 10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57" name="Picture 10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150</xdr:row>
      <xdr:rowOff>0</xdr:rowOff>
    </xdr:from>
    <xdr:to>
      <xdr:col>2</xdr:col>
      <xdr:colOff>12700</xdr:colOff>
      <xdr:row>150</xdr:row>
      <xdr:rowOff>12700</xdr:rowOff>
    </xdr:to>
    <xdr:pic>
      <xdr:nvPicPr>
        <xdr:cNvPr id="3058" name="Picture 10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150</xdr:row>
      <xdr:rowOff>0</xdr:rowOff>
    </xdr:from>
    <xdr:to>
      <xdr:col>5</xdr:col>
      <xdr:colOff>266700</xdr:colOff>
      <xdr:row>150</xdr:row>
      <xdr:rowOff>152400</xdr:rowOff>
    </xdr:to>
    <xdr:pic>
      <xdr:nvPicPr>
        <xdr:cNvPr id="3059" name="Picture 101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482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150</xdr:row>
      <xdr:rowOff>0</xdr:rowOff>
    </xdr:from>
    <xdr:to>
      <xdr:col>7</xdr:col>
      <xdr:colOff>279400</xdr:colOff>
      <xdr:row>150</xdr:row>
      <xdr:rowOff>139700</xdr:rowOff>
    </xdr:to>
    <xdr:pic>
      <xdr:nvPicPr>
        <xdr:cNvPr id="3060" name="Picture 10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48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61" name="Picture 10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62" name="Picture 101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63" name="Picture 10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64" name="Picture 10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65" name="Picture 10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66" name="Picture 10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151</xdr:row>
      <xdr:rowOff>0</xdr:rowOff>
    </xdr:from>
    <xdr:to>
      <xdr:col>2</xdr:col>
      <xdr:colOff>12700</xdr:colOff>
      <xdr:row>151</xdr:row>
      <xdr:rowOff>12700</xdr:rowOff>
    </xdr:to>
    <xdr:pic>
      <xdr:nvPicPr>
        <xdr:cNvPr id="3067" name="Picture 101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266700</xdr:colOff>
      <xdr:row>151</xdr:row>
      <xdr:rowOff>152400</xdr:rowOff>
    </xdr:to>
    <xdr:pic>
      <xdr:nvPicPr>
        <xdr:cNvPr id="3068" name="Picture 102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673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151</xdr:row>
      <xdr:rowOff>0</xdr:rowOff>
    </xdr:from>
    <xdr:to>
      <xdr:col>7</xdr:col>
      <xdr:colOff>279400</xdr:colOff>
      <xdr:row>151</xdr:row>
      <xdr:rowOff>139700</xdr:rowOff>
    </xdr:to>
    <xdr:pic>
      <xdr:nvPicPr>
        <xdr:cNvPr id="3069" name="Picture 102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67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70" name="Picture 10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71" name="Picture 10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72" name="Picture 10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73" name="Picture 10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74" name="Picture 10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152</xdr:row>
      <xdr:rowOff>0</xdr:rowOff>
    </xdr:from>
    <xdr:to>
      <xdr:col>2</xdr:col>
      <xdr:colOff>12700</xdr:colOff>
      <xdr:row>152</xdr:row>
      <xdr:rowOff>12700</xdr:rowOff>
    </xdr:to>
    <xdr:pic>
      <xdr:nvPicPr>
        <xdr:cNvPr id="3075" name="Picture 102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152</xdr:row>
      <xdr:rowOff>0</xdr:rowOff>
    </xdr:from>
    <xdr:to>
      <xdr:col>5</xdr:col>
      <xdr:colOff>266700</xdr:colOff>
      <xdr:row>152</xdr:row>
      <xdr:rowOff>152400</xdr:rowOff>
    </xdr:to>
    <xdr:pic>
      <xdr:nvPicPr>
        <xdr:cNvPr id="3076" name="Picture 1028"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863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152</xdr:row>
      <xdr:rowOff>0</xdr:rowOff>
    </xdr:from>
    <xdr:to>
      <xdr:col>7</xdr:col>
      <xdr:colOff>279400</xdr:colOff>
      <xdr:row>152</xdr:row>
      <xdr:rowOff>139700</xdr:rowOff>
    </xdr:to>
    <xdr:pic>
      <xdr:nvPicPr>
        <xdr:cNvPr id="3077" name="Picture 102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86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78" name="Picture 103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79" name="Picture 10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80" name="Picture 10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81" name="Picture 10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82" name="Picture 103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12700</xdr:colOff>
      <xdr:row>153</xdr:row>
      <xdr:rowOff>12700</xdr:rowOff>
    </xdr:to>
    <xdr:pic>
      <xdr:nvPicPr>
        <xdr:cNvPr id="3083" name="Picture 103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153</xdr:row>
      <xdr:rowOff>0</xdr:rowOff>
    </xdr:from>
    <xdr:to>
      <xdr:col>5</xdr:col>
      <xdr:colOff>266700</xdr:colOff>
      <xdr:row>153</xdr:row>
      <xdr:rowOff>152400</xdr:rowOff>
    </xdr:to>
    <xdr:pic>
      <xdr:nvPicPr>
        <xdr:cNvPr id="3084" name="Picture 103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054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153</xdr:row>
      <xdr:rowOff>0</xdr:rowOff>
    </xdr:from>
    <xdr:to>
      <xdr:col>7</xdr:col>
      <xdr:colOff>279400</xdr:colOff>
      <xdr:row>153</xdr:row>
      <xdr:rowOff>139700</xdr:rowOff>
    </xdr:to>
    <xdr:pic>
      <xdr:nvPicPr>
        <xdr:cNvPr id="3085" name="Picture 103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05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86" name="Picture 103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87" name="Picture 103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88" name="Picture 10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089" name="Picture 10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090" name="Picture 10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091" name="Picture 10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154</xdr:row>
      <xdr:rowOff>0</xdr:rowOff>
    </xdr:from>
    <xdr:to>
      <xdr:col>2</xdr:col>
      <xdr:colOff>12700</xdr:colOff>
      <xdr:row>154</xdr:row>
      <xdr:rowOff>12700</xdr:rowOff>
    </xdr:to>
    <xdr:pic>
      <xdr:nvPicPr>
        <xdr:cNvPr id="3092" name="Picture 104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154</xdr:row>
      <xdr:rowOff>0</xdr:rowOff>
    </xdr:from>
    <xdr:to>
      <xdr:col>5</xdr:col>
      <xdr:colOff>266700</xdr:colOff>
      <xdr:row>154</xdr:row>
      <xdr:rowOff>152400</xdr:rowOff>
    </xdr:to>
    <xdr:pic>
      <xdr:nvPicPr>
        <xdr:cNvPr id="3093" name="Picture 1045"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244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154</xdr:row>
      <xdr:rowOff>0</xdr:rowOff>
    </xdr:from>
    <xdr:to>
      <xdr:col>7</xdr:col>
      <xdr:colOff>279400</xdr:colOff>
      <xdr:row>154</xdr:row>
      <xdr:rowOff>139700</xdr:rowOff>
    </xdr:to>
    <xdr:pic>
      <xdr:nvPicPr>
        <xdr:cNvPr id="3094" name="Picture 104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24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095" name="Picture 10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096" name="Picture 104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097" name="Picture 10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098" name="Picture 10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099" name="Picture 10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100" name="Picture 10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12700</xdr:colOff>
      <xdr:row>155</xdr:row>
      <xdr:rowOff>12700</xdr:rowOff>
    </xdr:to>
    <xdr:pic>
      <xdr:nvPicPr>
        <xdr:cNvPr id="3101" name="Picture 10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155</xdr:row>
      <xdr:rowOff>0</xdr:rowOff>
    </xdr:from>
    <xdr:to>
      <xdr:col>5</xdr:col>
      <xdr:colOff>266700</xdr:colOff>
      <xdr:row>155</xdr:row>
      <xdr:rowOff>152400</xdr:rowOff>
    </xdr:to>
    <xdr:pic>
      <xdr:nvPicPr>
        <xdr:cNvPr id="3102" name="Picture 1054"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435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155</xdr:row>
      <xdr:rowOff>0</xdr:rowOff>
    </xdr:from>
    <xdr:to>
      <xdr:col>7</xdr:col>
      <xdr:colOff>279400</xdr:colOff>
      <xdr:row>155</xdr:row>
      <xdr:rowOff>139700</xdr:rowOff>
    </xdr:to>
    <xdr:pic>
      <xdr:nvPicPr>
        <xdr:cNvPr id="3103" name="Picture 10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43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104" name="Picture 10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105" name="Picture 10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106" name="Picture 10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107" name="Picture 10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108" name="Picture 10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156</xdr:row>
      <xdr:rowOff>0</xdr:rowOff>
    </xdr:from>
    <xdr:to>
      <xdr:col>2</xdr:col>
      <xdr:colOff>12700</xdr:colOff>
      <xdr:row>156</xdr:row>
      <xdr:rowOff>12700</xdr:rowOff>
    </xdr:to>
    <xdr:pic>
      <xdr:nvPicPr>
        <xdr:cNvPr id="3109" name="Picture 10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156</xdr:row>
      <xdr:rowOff>0</xdr:rowOff>
    </xdr:from>
    <xdr:to>
      <xdr:col>5</xdr:col>
      <xdr:colOff>266700</xdr:colOff>
      <xdr:row>156</xdr:row>
      <xdr:rowOff>152400</xdr:rowOff>
    </xdr:to>
    <xdr:pic>
      <xdr:nvPicPr>
        <xdr:cNvPr id="3110" name="Picture 1062"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625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156</xdr:row>
      <xdr:rowOff>0</xdr:rowOff>
    </xdr:from>
    <xdr:to>
      <xdr:col>7</xdr:col>
      <xdr:colOff>279400</xdr:colOff>
      <xdr:row>156</xdr:row>
      <xdr:rowOff>139700</xdr:rowOff>
    </xdr:to>
    <xdr:pic>
      <xdr:nvPicPr>
        <xdr:cNvPr id="3111" name="Picture 10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62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112" name="Picture 10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113" name="Picture 106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3114" name="Picture 106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3115" name="Picture 106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3116" name="Picture 106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3117" name="Picture 106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3118" name="Picture 107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3119" name="Picture 107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3120" name="Picture 10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3121" name="Picture 10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3122" name="Picture 107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3123" name="Picture 107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3124" name="Picture 107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3125" name="Picture 107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3126" name="Picture 1078"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3127" name="Picture 1079"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3128" name="Picture 10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3129" name="Picture 10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3130" name="Picture 1082"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3131" name="Picture 1083"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3132" name="Picture 10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3133" name="Picture 108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34" name="Picture 108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35" name="Picture 108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36" name="Picture 108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37" name="Picture 108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3138" name="Picture 109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3139" name="Picture 109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3140" name="Picture 109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3141" name="Picture 1093"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3142" name="Picture 1094"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3143" name="Picture 10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3144" name="Picture 10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3145" name="Picture 10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3146" name="Picture 10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3147" name="Picture 10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3148" name="Picture 11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3149" name="Picture 11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3150" name="Picture 11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3151" name="Picture 110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3152" name="Picture 110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3153" name="Picture 11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3154" name="Picture 11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3155" name="Picture 110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3156" name="Picture 11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3157" name="Picture 11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3158" name="Picture 111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3159" name="Picture 11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3160" name="Picture 11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3161" name="Picture 11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3162" name="Picture 11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3163" name="Picture 111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3164" name="Picture 111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3165" name="Picture 11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3166" name="Picture 111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3167" name="Picture 111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3168" name="Picture 11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3169" name="Picture 11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3170" name="Picture 112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3171" name="Picture 11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3172" name="Picture 11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3173" name="Picture 112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3174" name="Picture 11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3175" name="Picture 11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3176" name="Picture 11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3177" name="Picture 11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3178" name="Picture 113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3179" name="Picture 113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3180" name="Picture 11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81" name="Picture 11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82" name="Picture 11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83" name="Picture 11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84" name="Picture 113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85" name="Picture 113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86" name="Picture 11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87" name="Picture 11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88" name="Picture 114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89" name="Picture 11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90" name="Picture 11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91" name="Picture 11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92" name="Picture 11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3193" name="Picture 11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3194" name="Picture 11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3195" name="Picture 11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96" name="Picture 11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97" name="Picture 11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98" name="Picture 11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199" name="Picture 115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200" name="Picture 115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201" name="Picture 11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202" name="Picture 11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203" name="Picture 115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204" name="Picture 11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205" name="Picture 11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206" name="Picture 11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207" name="Picture 11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208" name="Picture 11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209" name="Picture 11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210" name="Picture 11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3211" name="Picture 116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3212" name="Picture 116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3213" name="Picture 11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214" name="Picture 116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215" name="Picture 116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216" name="Picture 11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217" name="Picture 11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218" name="Picture 11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219" name="Picture 11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0" name="Picture 11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1" name="Picture 11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2" name="Picture 11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23" name="Picture 117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24" name="Picture 117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25" name="Picture 11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26" name="Picture 11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27" name="Picture 11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28" name="Picture 11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29" name="Picture 11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30" name="Picture 118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31" name="Picture 11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32" name="Picture 11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33" name="Picture 118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34" name="Picture 11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35" name="Picture 11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36" name="Picture 11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37" name="Picture 11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38" name="Picture 119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39" name="Picture 119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0" name="Picture 11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1" name="Picture 119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2" name="Picture 119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3" name="Picture 11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44" name="Picture 119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45" name="Picture 119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46" name="Picture 11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47" name="Picture 11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48" name="Picture 120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49" name="Picture 12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250" name="Picture 12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251" name="Picture 12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252" name="Picture 12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253" name="Picture 120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254" name="Picture 120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255" name="Picture 12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256" name="Picture 12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257" name="Picture 120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258" name="Picture 12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259" name="Picture 121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260" name="Picture 12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261" name="Picture 121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3262" name="Picture 12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3263" name="Picture 12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264" name="Picture 12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265" name="Picture 121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266" name="Picture 12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267" name="Picture 121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268" name="Picture 12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269" name="Picture 122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3270" name="Picture 12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3271" name="Picture 122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272" name="Picture 12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273" name="Picture 122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274" name="Picture 12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275" name="Picture 122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3276" name="Picture 12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3277" name="Picture 122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78" name="Picture 12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79" name="Picture 123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3280" name="Picture 12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3281" name="Picture 123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82" name="Picture 123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83" name="Picture 123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84" name="Picture 12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85" name="Picture 123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86" name="Picture 123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87" name="Picture 12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88" name="Picture 124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89" name="Picture 12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90" name="Picture 12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91" name="Picture 124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92" name="Picture 12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93" name="Picture 12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94" name="Picture 124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95" name="Picture 12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96" name="Picture 12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297" name="Picture 1249"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298" name="Picture 125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299" name="Picture 12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300" name="Picture 125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301" name="Picture 125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302" name="Picture 12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303" name="Picture 125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304" name="Picture 12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305" name="Picture 12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306" name="Picture 1258"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307" name="Picture 12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308" name="Picture 12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3309" name="Picture 1261"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3310" name="Picture 12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3311" name="Picture 12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312" name="Picture 126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313" name="Picture 126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314" name="Picture 12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315" name="Picture 126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316" name="Picture 126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317" name="Picture 12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318" name="Picture 127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319" name="Picture 127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320" name="Picture 12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321" name="Picture 127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322" name="Picture 12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323" name="Picture 12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324" name="Picture 127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325" name="Picture 12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326" name="Picture 12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327" name="Picture 1279"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328" name="Picture 12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329" name="Picture 12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3330" name="Picture 128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3331" name="Picture 128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3332" name="Picture 128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33" name="Picture 12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34" name="Picture 12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35" name="Picture 12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36" name="Picture 12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37" name="Picture 128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38" name="Picture 12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39" name="Picture 12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40" name="Picture 12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41" name="Picture 12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42" name="Picture 12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43" name="Picture 12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44" name="Picture 12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45" name="Picture 12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46" name="Picture 12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47" name="Picture 129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48" name="Picture 13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49" name="Picture 13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50" name="Picture 13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51" name="Picture 13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52" name="Picture 130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53" name="Picture 13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54" name="Picture 13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55" name="Picture 130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56" name="Picture 130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57" name="Picture 130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58" name="Picture 13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59" name="Picture 13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60" name="Picture 13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61" name="Picture 13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62" name="Picture 131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63" name="Picture 13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64" name="Picture 13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65" name="Picture 13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66" name="Picture 131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67" name="Picture 131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68" name="Picture 13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69" name="Picture 13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70" name="Picture 13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71" name="Picture 13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72" name="Picture 132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73" name="Picture 13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74" name="Picture 13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75" name="Picture 13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76" name="Picture 13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77" name="Picture 132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78" name="Picture 13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79" name="Picture 13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80" name="Picture 133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81" name="Picture 133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82" name="Picture 133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83" name="Picture 13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84" name="Picture 13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85" name="Picture 13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86" name="Picture 13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87" name="Picture 133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88" name="Picture 13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89" name="Picture 13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90" name="Picture 13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91" name="Picture 13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92" name="Picture 134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93" name="Picture 13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94" name="Picture 13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95" name="Picture 13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96" name="Picture 134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97" name="Picture 134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398" name="Picture 13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399" name="Picture 13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400" name="Picture 13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401" name="Picture 13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402" name="Picture 135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03" name="Picture 13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04" name="Picture 13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05" name="Picture 13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06" name="Picture 13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07" name="Picture 135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08" name="Picture 13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09" name="Picture 13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10" name="Picture 13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11" name="Picture 136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12" name="Picture 136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13" name="Picture 13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14" name="Picture 13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15" name="Picture 13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16" name="Picture 13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17" name="Picture 136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18" name="Picture 13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19" name="Picture 13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20" name="Picture 13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21" name="Picture 13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22" name="Picture 137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23" name="Picture 13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24" name="Picture 13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25" name="Picture 13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26" name="Picture 137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27" name="Picture 137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28" name="Picture 13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29" name="Picture 13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30" name="Picture 138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31" name="Picture 138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32" name="Picture 138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33" name="Picture 13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34" name="Picture 13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35" name="Picture 13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36" name="Picture 13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37" name="Picture 138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38" name="Picture 13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39" name="Picture 13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40" name="Picture 13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41" name="Picture 13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42" name="Picture 13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43" name="Picture 13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44" name="Picture 13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45" name="Picture 13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46" name="Picture 13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47" name="Picture 139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48" name="Picture 14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49" name="Picture 14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50" name="Picture 14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51" name="Picture 14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52" name="Picture 140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53" name="Picture 14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54" name="Picture 14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55" name="Picture 140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56" name="Picture 140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57" name="Picture 140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58" name="Picture 14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59" name="Picture 14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60" name="Picture 14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61" name="Picture 14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62" name="Picture 141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63" name="Picture 14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64" name="Picture 14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65" name="Picture 14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66" name="Picture 141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67" name="Picture 141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68" name="Picture 14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69" name="Picture 14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0" name="Picture 14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1" name="Picture 14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2" name="Picture 142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73" name="Picture 14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74" name="Picture 14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75" name="Picture 14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76" name="Picture 14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77" name="Picture 14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78" name="Picture 14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79" name="Picture 14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80" name="Picture 14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81" name="Picture 14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82" name="Picture 14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483" name="Picture 1435"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84" name="Picture 14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85" name="Picture 14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86" name="Picture 14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87" name="Picture 14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88" name="Picture 14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89" name="Picture 14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90" name="Picture 14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91" name="Picture 14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92" name="Picture 14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93" name="Picture 14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494" name="Picture 14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495" name="Picture 14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496" name="Picture 14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497" name="Picture 144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498" name="Picture 14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499" name="Picture 14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500" name="Picture 14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501" name="Picture 14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502" name="Picture 14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503" name="Picture 14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04" name="Picture 14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05" name="Picture 14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06" name="Picture 14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07" name="Picture 14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08" name="Picture 14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09" name="Picture 14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10" name="Picture 14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11" name="Picture 14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12" name="Picture 14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13" name="Picture 14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14" name="Picture 14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15" name="Picture 14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16" name="Picture 14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17" name="Picture 14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18" name="Picture 14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19" name="Picture 14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20" name="Picture 14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21" name="Picture 14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22" name="Picture 14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23" name="Picture 14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24" name="Picture 14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25" name="Picture 14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26" name="Picture 14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27" name="Picture 147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28" name="Picture 14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29" name="Picture 14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30" name="Picture 14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31" name="Picture 14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32" name="Picture 14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33" name="Picture 14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34" name="Picture 14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35" name="Picture 14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36" name="Picture 14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37" name="Picture 14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38" name="Picture 14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39" name="Picture 14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40" name="Picture 14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41" name="Picture 149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42" name="Picture 14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43" name="Picture 14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44" name="Picture 14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45" name="Picture 14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46" name="Picture 14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47" name="Picture 14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48" name="Picture 15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49" name="Picture 15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50" name="Picture 15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51" name="Picture 150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52" name="Picture 15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53" name="Picture 15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54" name="Picture 15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55" name="Picture 15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56" name="Picture 15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57" name="Picture 15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58" name="Picture 15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59" name="Picture 15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60" name="Picture 15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61" name="Picture 15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62" name="Picture 151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63" name="Picture 15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64" name="Picture 15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65" name="Picture 15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66" name="Picture 15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67" name="Picture 151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68" name="Picture 15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69" name="Picture 15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70" name="Picture 15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71" name="Picture 15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72" name="Picture 15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73" name="Picture 15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74" name="Picture 15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75" name="Picture 15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76" name="Picture 15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77" name="Picture 152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78" name="Picture 15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79" name="Picture 15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80" name="Picture 15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81" name="Picture 15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82" name="Picture 15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83" name="Picture 15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84" name="Picture 15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85" name="Picture 15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86" name="Picture 15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87" name="Picture 15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88" name="Picture 15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89" name="Picture 15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90" name="Picture 15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91" name="Picture 15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92" name="Picture 15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93" name="Picture 15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594" name="Picture 15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595" name="Picture 15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596" name="Picture 15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597" name="Picture 154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598" name="Picture 15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599" name="Picture 15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600" name="Picture 15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601" name="Picture 15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602" name="Picture 15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603" name="Picture 15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04" name="Picture 15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05" name="Picture 15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06" name="Picture 15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07" name="Picture 15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08" name="Picture 15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09" name="Picture 15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10" name="Picture 15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11" name="Picture 15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12" name="Picture 15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13" name="Picture 15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614" name="Picture 15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615" name="Picture 15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616" name="Picture 15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617" name="Picture 15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618" name="Picture 15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19" name="Picture 15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20" name="Picture 15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21" name="Picture 157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22" name="Picture 15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23" name="Picture 15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24" name="Picture 15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25" name="Picture 15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26" name="Picture 157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27" name="Picture 157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28" name="Picture 15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29" name="Picture 15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30" name="Picture 15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31" name="Picture 158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32" name="Picture 15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33" name="Picture 15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34" name="Picture 15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35" name="Picture 15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36" name="Picture 158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37" name="Picture 15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38" name="Picture 15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39" name="Picture 15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40" name="Picture 15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41" name="Picture 159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42" name="Picture 15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43" name="Picture 15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44" name="Picture 15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45" name="Picture 15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46" name="Picture 159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47" name="Picture 15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48" name="Picture 16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49" name="Picture 16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50" name="Picture 16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51" name="Picture 160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52" name="Picture 16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53" name="Picture 16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654" name="Picture 16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655" name="Picture 16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656" name="Picture 160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657" name="Picture 16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658" name="Picture 16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12700</xdr:colOff>
      <xdr:row>10</xdr:row>
      <xdr:rowOff>12700</xdr:rowOff>
    </xdr:to>
    <xdr:pic>
      <xdr:nvPicPr>
        <xdr:cNvPr id="1610"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12700</xdr:colOff>
      <xdr:row>10</xdr:row>
      <xdr:rowOff>12700</xdr:rowOff>
    </xdr:to>
    <xdr:pic>
      <xdr:nvPicPr>
        <xdr:cNvPr id="1611"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0</xdr:rowOff>
    </xdr:from>
    <xdr:to>
      <xdr:col>2</xdr:col>
      <xdr:colOff>12700</xdr:colOff>
      <xdr:row>3</xdr:row>
      <xdr:rowOff>12700</xdr:rowOff>
    </xdr:to>
    <xdr:pic>
      <xdr:nvPicPr>
        <xdr:cNvPr id="1025"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5</xdr:col>
      <xdr:colOff>508000</xdr:colOff>
      <xdr:row>3</xdr:row>
      <xdr:rowOff>152400</xdr:rowOff>
    </xdr:to>
    <xdr:pic>
      <xdr:nvPicPr>
        <xdr:cNvPr id="1026"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622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7</xdr:col>
      <xdr:colOff>279400</xdr:colOff>
      <xdr:row>3</xdr:row>
      <xdr:rowOff>165100</xdr:rowOff>
    </xdr:to>
    <xdr:pic>
      <xdr:nvPicPr>
        <xdr:cNvPr id="1027" name="Picture 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622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8</xdr:col>
      <xdr:colOff>12700</xdr:colOff>
      <xdr:row>3</xdr:row>
      <xdr:rowOff>12700</xdr:rowOff>
    </xdr:to>
    <xdr:pic>
      <xdr:nvPicPr>
        <xdr:cNvPr id="1028"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12700</xdr:colOff>
      <xdr:row>3</xdr:row>
      <xdr:rowOff>12700</xdr:rowOff>
    </xdr:to>
    <xdr:pic>
      <xdr:nvPicPr>
        <xdr:cNvPr id="1029"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12700</xdr:colOff>
      <xdr:row>4</xdr:row>
      <xdr:rowOff>12700</xdr:rowOff>
    </xdr:to>
    <xdr:pic>
      <xdr:nvPicPr>
        <xdr:cNvPr id="1030" name="Picture 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xdr:row>
      <xdr:rowOff>0</xdr:rowOff>
    </xdr:from>
    <xdr:to>
      <xdr:col>5</xdr:col>
      <xdr:colOff>508000</xdr:colOff>
      <xdr:row>4</xdr:row>
      <xdr:rowOff>152400</xdr:rowOff>
    </xdr:to>
    <xdr:pic>
      <xdr:nvPicPr>
        <xdr:cNvPr id="1031" name="Picture 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812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xdr:row>
      <xdr:rowOff>0</xdr:rowOff>
    </xdr:from>
    <xdr:to>
      <xdr:col>7</xdr:col>
      <xdr:colOff>279400</xdr:colOff>
      <xdr:row>4</xdr:row>
      <xdr:rowOff>165100</xdr:rowOff>
    </xdr:to>
    <xdr:pic>
      <xdr:nvPicPr>
        <xdr:cNvPr id="1032" name="Picture 8"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8128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xdr:row>
      <xdr:rowOff>0</xdr:rowOff>
    </xdr:from>
    <xdr:to>
      <xdr:col>8</xdr:col>
      <xdr:colOff>12700</xdr:colOff>
      <xdr:row>4</xdr:row>
      <xdr:rowOff>12700</xdr:rowOff>
    </xdr:to>
    <xdr:pic>
      <xdr:nvPicPr>
        <xdr:cNvPr id="1033" name="Picture 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xdr:row>
      <xdr:rowOff>0</xdr:rowOff>
    </xdr:from>
    <xdr:to>
      <xdr:col>9</xdr:col>
      <xdr:colOff>12700</xdr:colOff>
      <xdr:row>4</xdr:row>
      <xdr:rowOff>12700</xdr:rowOff>
    </xdr:to>
    <xdr:pic>
      <xdr:nvPicPr>
        <xdr:cNvPr id="1034" name="Picture 1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xdr:row>
      <xdr:rowOff>0</xdr:rowOff>
    </xdr:from>
    <xdr:to>
      <xdr:col>2</xdr:col>
      <xdr:colOff>12700</xdr:colOff>
      <xdr:row>5</xdr:row>
      <xdr:rowOff>12700</xdr:rowOff>
    </xdr:to>
    <xdr:pic>
      <xdr:nvPicPr>
        <xdr:cNvPr id="1035" name="Picture 1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xdr:row>
      <xdr:rowOff>0</xdr:rowOff>
    </xdr:from>
    <xdr:to>
      <xdr:col>5</xdr:col>
      <xdr:colOff>508000</xdr:colOff>
      <xdr:row>5</xdr:row>
      <xdr:rowOff>152400</xdr:rowOff>
    </xdr:to>
    <xdr:pic>
      <xdr:nvPicPr>
        <xdr:cNvPr id="1036" name="Picture 1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00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xdr:row>
      <xdr:rowOff>0</xdr:rowOff>
    </xdr:from>
    <xdr:to>
      <xdr:col>7</xdr:col>
      <xdr:colOff>279400</xdr:colOff>
      <xdr:row>5</xdr:row>
      <xdr:rowOff>165100</xdr:rowOff>
    </xdr:to>
    <xdr:pic>
      <xdr:nvPicPr>
        <xdr:cNvPr id="1037" name="Picture 1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1003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xdr:row>
      <xdr:rowOff>0</xdr:rowOff>
    </xdr:from>
    <xdr:to>
      <xdr:col>8</xdr:col>
      <xdr:colOff>12700</xdr:colOff>
      <xdr:row>5</xdr:row>
      <xdr:rowOff>12700</xdr:rowOff>
    </xdr:to>
    <xdr:pic>
      <xdr:nvPicPr>
        <xdr:cNvPr id="1038" name="Picture 1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5</xdr:row>
      <xdr:rowOff>0</xdr:rowOff>
    </xdr:from>
    <xdr:to>
      <xdr:col>9</xdr:col>
      <xdr:colOff>12700</xdr:colOff>
      <xdr:row>5</xdr:row>
      <xdr:rowOff>12700</xdr:rowOff>
    </xdr:to>
    <xdr:pic>
      <xdr:nvPicPr>
        <xdr:cNvPr id="1039" name="Picture 1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xdr:row>
      <xdr:rowOff>0</xdr:rowOff>
    </xdr:from>
    <xdr:to>
      <xdr:col>2</xdr:col>
      <xdr:colOff>12700</xdr:colOff>
      <xdr:row>6</xdr:row>
      <xdr:rowOff>12700</xdr:rowOff>
    </xdr:to>
    <xdr:pic>
      <xdr:nvPicPr>
        <xdr:cNvPr id="1040" name="Picture 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5</xdr:col>
      <xdr:colOff>508000</xdr:colOff>
      <xdr:row>6</xdr:row>
      <xdr:rowOff>139700</xdr:rowOff>
    </xdr:to>
    <xdr:pic>
      <xdr:nvPicPr>
        <xdr:cNvPr id="1041" name="Picture 17" descr="ogo"/>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356100" y="1193800"/>
          <a:ext cx="5080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xdr:row>
      <xdr:rowOff>0</xdr:rowOff>
    </xdr:from>
    <xdr:to>
      <xdr:col>7</xdr:col>
      <xdr:colOff>279400</xdr:colOff>
      <xdr:row>6</xdr:row>
      <xdr:rowOff>165100</xdr:rowOff>
    </xdr:to>
    <xdr:pic>
      <xdr:nvPicPr>
        <xdr:cNvPr id="1042" name="Picture 18"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11938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12700</xdr:colOff>
      <xdr:row>6</xdr:row>
      <xdr:rowOff>12700</xdr:rowOff>
    </xdr:to>
    <xdr:pic>
      <xdr:nvPicPr>
        <xdr:cNvPr id="1043" name="Picture 1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6</xdr:row>
      <xdr:rowOff>0</xdr:rowOff>
    </xdr:from>
    <xdr:to>
      <xdr:col>9</xdr:col>
      <xdr:colOff>12700</xdr:colOff>
      <xdr:row>6</xdr:row>
      <xdr:rowOff>12700</xdr:rowOff>
    </xdr:to>
    <xdr:pic>
      <xdr:nvPicPr>
        <xdr:cNvPr id="1044" name="Picture 2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12700</xdr:colOff>
      <xdr:row>7</xdr:row>
      <xdr:rowOff>12700</xdr:rowOff>
    </xdr:to>
    <xdr:pic>
      <xdr:nvPicPr>
        <xdr:cNvPr id="1045" name="Picture 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5</xdr:col>
      <xdr:colOff>508000</xdr:colOff>
      <xdr:row>7</xdr:row>
      <xdr:rowOff>152400</xdr:rowOff>
    </xdr:to>
    <xdr:pic>
      <xdr:nvPicPr>
        <xdr:cNvPr id="1046" name="Picture 22" descr="ogo"/>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356100" y="138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279400</xdr:colOff>
      <xdr:row>7</xdr:row>
      <xdr:rowOff>165100</xdr:rowOff>
    </xdr:to>
    <xdr:pic>
      <xdr:nvPicPr>
        <xdr:cNvPr id="1047" name="Picture 2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1384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12700</xdr:colOff>
      <xdr:row>7</xdr:row>
      <xdr:rowOff>12700</xdr:rowOff>
    </xdr:to>
    <xdr:pic>
      <xdr:nvPicPr>
        <xdr:cNvPr id="1048" name="Picture 2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12700</xdr:colOff>
      <xdr:row>7</xdr:row>
      <xdr:rowOff>12700</xdr:rowOff>
    </xdr:to>
    <xdr:pic>
      <xdr:nvPicPr>
        <xdr:cNvPr id="1049" name="Picture 2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12700</xdr:colOff>
      <xdr:row>8</xdr:row>
      <xdr:rowOff>12700</xdr:rowOff>
    </xdr:to>
    <xdr:pic>
      <xdr:nvPicPr>
        <xdr:cNvPr id="1050" name="Picture 2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508000</xdr:colOff>
      <xdr:row>8</xdr:row>
      <xdr:rowOff>152400</xdr:rowOff>
    </xdr:to>
    <xdr:pic>
      <xdr:nvPicPr>
        <xdr:cNvPr id="1051" name="Picture 2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57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279400</xdr:colOff>
      <xdr:row>8</xdr:row>
      <xdr:rowOff>165100</xdr:rowOff>
    </xdr:to>
    <xdr:pic>
      <xdr:nvPicPr>
        <xdr:cNvPr id="1052" name="Picture 28" descr="tatus"/>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934200" y="15748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12700</xdr:colOff>
      <xdr:row>8</xdr:row>
      <xdr:rowOff>12700</xdr:rowOff>
    </xdr:to>
    <xdr:pic>
      <xdr:nvPicPr>
        <xdr:cNvPr id="1053" name="Picture 2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12700</xdr:colOff>
      <xdr:row>8</xdr:row>
      <xdr:rowOff>12700</xdr:rowOff>
    </xdr:to>
    <xdr:pic>
      <xdr:nvPicPr>
        <xdr:cNvPr id="1054" name="Picture 3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12700</xdr:colOff>
      <xdr:row>9</xdr:row>
      <xdr:rowOff>12700</xdr:rowOff>
    </xdr:to>
    <xdr:pic>
      <xdr:nvPicPr>
        <xdr:cNvPr id="1055" name="Picture 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508000</xdr:colOff>
      <xdr:row>9</xdr:row>
      <xdr:rowOff>152400</xdr:rowOff>
    </xdr:to>
    <xdr:pic>
      <xdr:nvPicPr>
        <xdr:cNvPr id="1056" name="Picture 32" descr="ogo"/>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356100" y="176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279400</xdr:colOff>
      <xdr:row>9</xdr:row>
      <xdr:rowOff>165100</xdr:rowOff>
    </xdr:to>
    <xdr:pic>
      <xdr:nvPicPr>
        <xdr:cNvPr id="1057" name="Picture 3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1765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12700</xdr:colOff>
      <xdr:row>9</xdr:row>
      <xdr:rowOff>12700</xdr:rowOff>
    </xdr:to>
    <xdr:pic>
      <xdr:nvPicPr>
        <xdr:cNvPr id="1058" name="Picture 3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12700</xdr:colOff>
      <xdr:row>9</xdr:row>
      <xdr:rowOff>12700</xdr:rowOff>
    </xdr:to>
    <xdr:pic>
      <xdr:nvPicPr>
        <xdr:cNvPr id="1059" name="Picture 3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12700</xdr:colOff>
      <xdr:row>10</xdr:row>
      <xdr:rowOff>12700</xdr:rowOff>
    </xdr:to>
    <xdr:pic>
      <xdr:nvPicPr>
        <xdr:cNvPr id="1060" name="Picture 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508000</xdr:colOff>
      <xdr:row>10</xdr:row>
      <xdr:rowOff>139700</xdr:rowOff>
    </xdr:to>
    <xdr:pic>
      <xdr:nvPicPr>
        <xdr:cNvPr id="1061" name="Picture 37" descr="ogo"/>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356100" y="1955800"/>
          <a:ext cx="5080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279400</xdr:colOff>
      <xdr:row>10</xdr:row>
      <xdr:rowOff>165100</xdr:rowOff>
    </xdr:to>
    <xdr:pic>
      <xdr:nvPicPr>
        <xdr:cNvPr id="1062" name="Picture 38" descr="tatus"/>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6934200" y="19558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292100</xdr:colOff>
      <xdr:row>10</xdr:row>
      <xdr:rowOff>0</xdr:rowOff>
    </xdr:from>
    <xdr:to>
      <xdr:col>7</xdr:col>
      <xdr:colOff>571500</xdr:colOff>
      <xdr:row>10</xdr:row>
      <xdr:rowOff>139700</xdr:rowOff>
    </xdr:to>
    <xdr:pic>
      <xdr:nvPicPr>
        <xdr:cNvPr id="1063" name="Picture 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26300" y="195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12700</xdr:colOff>
      <xdr:row>10</xdr:row>
      <xdr:rowOff>12700</xdr:rowOff>
    </xdr:to>
    <xdr:pic>
      <xdr:nvPicPr>
        <xdr:cNvPr id="1064" name="Picture 4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10</xdr:row>
      <xdr:rowOff>0</xdr:rowOff>
    </xdr:from>
    <xdr:to>
      <xdr:col>9</xdr:col>
      <xdr:colOff>12700</xdr:colOff>
      <xdr:row>10</xdr:row>
      <xdr:rowOff>12700</xdr:rowOff>
    </xdr:to>
    <xdr:pic>
      <xdr:nvPicPr>
        <xdr:cNvPr id="1065" name="Picture 4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12700</xdr:colOff>
      <xdr:row>11</xdr:row>
      <xdr:rowOff>12700</xdr:rowOff>
    </xdr:to>
    <xdr:pic>
      <xdr:nvPicPr>
        <xdr:cNvPr id="1066" name="Picture 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508000</xdr:colOff>
      <xdr:row>11</xdr:row>
      <xdr:rowOff>152400</xdr:rowOff>
    </xdr:to>
    <xdr:pic>
      <xdr:nvPicPr>
        <xdr:cNvPr id="1067" name="Picture 43"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146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xdr:row>
      <xdr:rowOff>0</xdr:rowOff>
    </xdr:from>
    <xdr:to>
      <xdr:col>7</xdr:col>
      <xdr:colOff>279400</xdr:colOff>
      <xdr:row>11</xdr:row>
      <xdr:rowOff>165100</xdr:rowOff>
    </xdr:to>
    <xdr:pic>
      <xdr:nvPicPr>
        <xdr:cNvPr id="1068" name="Picture 44" descr="tatus"/>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6934200" y="2146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12700</xdr:colOff>
      <xdr:row>11</xdr:row>
      <xdr:rowOff>12700</xdr:rowOff>
    </xdr:to>
    <xdr:pic>
      <xdr:nvPicPr>
        <xdr:cNvPr id="1069" name="Picture 45"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11</xdr:row>
      <xdr:rowOff>0</xdr:rowOff>
    </xdr:from>
    <xdr:to>
      <xdr:col>9</xdr:col>
      <xdr:colOff>12700</xdr:colOff>
      <xdr:row>11</xdr:row>
      <xdr:rowOff>12700</xdr:rowOff>
    </xdr:to>
    <xdr:pic>
      <xdr:nvPicPr>
        <xdr:cNvPr id="1070" name="Picture 46"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12700</xdr:colOff>
      <xdr:row>12</xdr:row>
      <xdr:rowOff>12700</xdr:rowOff>
    </xdr:to>
    <xdr:pic>
      <xdr:nvPicPr>
        <xdr:cNvPr id="1071" name="Picture 4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508000</xdr:colOff>
      <xdr:row>12</xdr:row>
      <xdr:rowOff>152400</xdr:rowOff>
    </xdr:to>
    <xdr:pic>
      <xdr:nvPicPr>
        <xdr:cNvPr id="1072" name="Picture 48"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33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279400</xdr:colOff>
      <xdr:row>12</xdr:row>
      <xdr:rowOff>139700</xdr:rowOff>
    </xdr:to>
    <xdr:pic>
      <xdr:nvPicPr>
        <xdr:cNvPr id="1073" name="Picture 4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3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12700</xdr:colOff>
      <xdr:row>12</xdr:row>
      <xdr:rowOff>12700</xdr:rowOff>
    </xdr:to>
    <xdr:pic>
      <xdr:nvPicPr>
        <xdr:cNvPr id="1074" name="Picture 5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0</xdr:rowOff>
    </xdr:from>
    <xdr:to>
      <xdr:col>9</xdr:col>
      <xdr:colOff>12700</xdr:colOff>
      <xdr:row>12</xdr:row>
      <xdr:rowOff>12700</xdr:rowOff>
    </xdr:to>
    <xdr:pic>
      <xdr:nvPicPr>
        <xdr:cNvPr id="1075" name="Picture 5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12</xdr:row>
      <xdr:rowOff>0</xdr:rowOff>
    </xdr:from>
    <xdr:to>
      <xdr:col>10</xdr:col>
      <xdr:colOff>12700</xdr:colOff>
      <xdr:row>12</xdr:row>
      <xdr:rowOff>12700</xdr:rowOff>
    </xdr:to>
    <xdr:pic>
      <xdr:nvPicPr>
        <xdr:cNvPr id="1076" name="Picture 5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5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12700</xdr:colOff>
      <xdr:row>13</xdr:row>
      <xdr:rowOff>12700</xdr:rowOff>
    </xdr:to>
    <xdr:pic>
      <xdr:nvPicPr>
        <xdr:cNvPr id="1077" name="Picture 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508000</xdr:colOff>
      <xdr:row>13</xdr:row>
      <xdr:rowOff>152400</xdr:rowOff>
    </xdr:to>
    <xdr:pic>
      <xdr:nvPicPr>
        <xdr:cNvPr id="1078" name="Picture 54"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2527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279400</xdr:colOff>
      <xdr:row>13</xdr:row>
      <xdr:rowOff>139700</xdr:rowOff>
    </xdr:to>
    <xdr:pic>
      <xdr:nvPicPr>
        <xdr:cNvPr id="1079" name="Picture 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2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1080" name="Picture 5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xdr:row>
      <xdr:rowOff>0</xdr:rowOff>
    </xdr:from>
    <xdr:to>
      <xdr:col>9</xdr:col>
      <xdr:colOff>12700</xdr:colOff>
      <xdr:row>13</xdr:row>
      <xdr:rowOff>12700</xdr:rowOff>
    </xdr:to>
    <xdr:pic>
      <xdr:nvPicPr>
        <xdr:cNvPr id="1081" name="Picture 5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12700</xdr:colOff>
      <xdr:row>10</xdr:row>
      <xdr:rowOff>12700</xdr:rowOff>
    </xdr:to>
    <xdr:pic>
      <xdr:nvPicPr>
        <xdr:cNvPr id="1084" name="Picture 6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12700</xdr:colOff>
      <xdr:row>8</xdr:row>
      <xdr:rowOff>12700</xdr:rowOff>
    </xdr:to>
    <xdr:pic>
      <xdr:nvPicPr>
        <xdr:cNvPr id="1085" name="Picture 61"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12700</xdr:colOff>
      <xdr:row>7</xdr:row>
      <xdr:rowOff>12700</xdr:rowOff>
    </xdr:to>
    <xdr:pic>
      <xdr:nvPicPr>
        <xdr:cNvPr id="1086" name="Picture 62"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12700</xdr:colOff>
      <xdr:row>6</xdr:row>
      <xdr:rowOff>12700</xdr:rowOff>
    </xdr:to>
    <xdr:pic>
      <xdr:nvPicPr>
        <xdr:cNvPr id="1087" name="Picture 63"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xdr:row>
      <xdr:rowOff>0</xdr:rowOff>
    </xdr:from>
    <xdr:to>
      <xdr:col>8</xdr:col>
      <xdr:colOff>12700</xdr:colOff>
      <xdr:row>4</xdr:row>
      <xdr:rowOff>12700</xdr:rowOff>
    </xdr:to>
    <xdr:pic>
      <xdr:nvPicPr>
        <xdr:cNvPr id="1088" name="Picture 6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0" Type="http://schemas.openxmlformats.org/officeDocument/2006/relationships/hyperlink" Target="http://www.againstmalaria.com/Distribution.aspx?ProposalID=181" TargetMode="External"/><Relationship Id="rId11" Type="http://schemas.openxmlformats.org/officeDocument/2006/relationships/hyperlink" Target="http://www.againstmalaria.com/Distribution.aspx?ProposalID=151" TargetMode="External"/><Relationship Id="rId12" Type="http://schemas.openxmlformats.org/officeDocument/2006/relationships/hyperlink" Target="http://www.againstmalaria.com/Distribution.aspx?ProposalID=173" TargetMode="External"/><Relationship Id="rId13" Type="http://schemas.openxmlformats.org/officeDocument/2006/relationships/hyperlink" Target="http://www.againstmalaria.com/Distribution.aspx?ProposalID=161" TargetMode="External"/><Relationship Id="rId14" Type="http://schemas.openxmlformats.org/officeDocument/2006/relationships/hyperlink" Target="http://www.againstmalaria.com/Distribution.aspx?ProposalID=166" TargetMode="External"/><Relationship Id="rId15" Type="http://schemas.openxmlformats.org/officeDocument/2006/relationships/hyperlink" Target="http://www.againstmalaria.com/Distribution.aspx?ProposalID=176" TargetMode="External"/><Relationship Id="rId16" Type="http://schemas.openxmlformats.org/officeDocument/2006/relationships/hyperlink" Target="http://www.againstmalaria.com/Distribution.aspx?ProposalID=152" TargetMode="External"/><Relationship Id="rId17" Type="http://schemas.openxmlformats.org/officeDocument/2006/relationships/hyperlink" Target="http://www.againstmalaria.com/Distribution.aspx?ProposalID=154" TargetMode="External"/><Relationship Id="rId18" Type="http://schemas.openxmlformats.org/officeDocument/2006/relationships/hyperlink" Target="http://www.againstmalaria.com/Distribution.aspx?ProposalID=157" TargetMode="External"/><Relationship Id="rId19" Type="http://schemas.openxmlformats.org/officeDocument/2006/relationships/hyperlink" Target="http://www.againstmalaria.com/Distribution.aspx?ProposalID=159" TargetMode="External"/><Relationship Id="rId60" Type="http://schemas.openxmlformats.org/officeDocument/2006/relationships/hyperlink" Target="http://www.againstmalaria.com/Distribution.aspx?ProposalID=116" TargetMode="External"/><Relationship Id="rId61" Type="http://schemas.openxmlformats.org/officeDocument/2006/relationships/hyperlink" Target="http://www.againstmalaria.com/Distribution.aspx?ProposalID=120" TargetMode="External"/><Relationship Id="rId62" Type="http://schemas.openxmlformats.org/officeDocument/2006/relationships/hyperlink" Target="http://www.againstmalaria.com/Distribution.aspx?ProposalID=122" TargetMode="External"/><Relationship Id="rId63" Type="http://schemas.openxmlformats.org/officeDocument/2006/relationships/hyperlink" Target="http://www.againstmalaria.com/Distribution.aspx?ProposalID=137" TargetMode="External"/><Relationship Id="rId64" Type="http://schemas.openxmlformats.org/officeDocument/2006/relationships/hyperlink" Target="http://www.againstmalaria.com/Distribution.aspx?ProposalID=86" TargetMode="External"/><Relationship Id="rId65" Type="http://schemas.openxmlformats.org/officeDocument/2006/relationships/hyperlink" Target="http://www.againstmalaria.com/Distribution.aspx?ProposalID=110" TargetMode="External"/><Relationship Id="rId66" Type="http://schemas.openxmlformats.org/officeDocument/2006/relationships/hyperlink" Target="http://www.againstmalaria.com/Distribution.aspx?ProposalID=117" TargetMode="External"/><Relationship Id="rId67" Type="http://schemas.openxmlformats.org/officeDocument/2006/relationships/hyperlink" Target="http://www.againstmalaria.com/Distribution.aspx?ProposalID=88" TargetMode="External"/><Relationship Id="rId68" Type="http://schemas.openxmlformats.org/officeDocument/2006/relationships/hyperlink" Target="http://www.againstmalaria.com/Distribution.aspx?ProposalID=90" TargetMode="External"/><Relationship Id="rId69" Type="http://schemas.openxmlformats.org/officeDocument/2006/relationships/hyperlink" Target="http://www.againstmalaria.com/Distribution.aspx?ProposalID=92" TargetMode="External"/><Relationship Id="rId120" Type="http://schemas.openxmlformats.org/officeDocument/2006/relationships/hyperlink" Target="http://www.againstmalaria.com/Distribution.aspx?ProposalID=31" TargetMode="External"/><Relationship Id="rId121" Type="http://schemas.openxmlformats.org/officeDocument/2006/relationships/hyperlink" Target="http://www.againstmalaria.com/Distribution.aspx?ProposalID=32" TargetMode="External"/><Relationship Id="rId122" Type="http://schemas.openxmlformats.org/officeDocument/2006/relationships/hyperlink" Target="http://www.againstmalaria.com/Distribution.aspx?ProposalID=37" TargetMode="External"/><Relationship Id="rId123" Type="http://schemas.openxmlformats.org/officeDocument/2006/relationships/hyperlink" Target="http://www.againstmalaria.com/Distribution.aspx?ProposalID=19" TargetMode="External"/><Relationship Id="rId124" Type="http://schemas.openxmlformats.org/officeDocument/2006/relationships/hyperlink" Target="http://www.againstmalaria.com/Distribution.aspx?ProposalID=21" TargetMode="External"/><Relationship Id="rId125" Type="http://schemas.openxmlformats.org/officeDocument/2006/relationships/hyperlink" Target="http://www.againstmalaria.com/Distribution.aspx?ProposalID=22" TargetMode="External"/><Relationship Id="rId126" Type="http://schemas.openxmlformats.org/officeDocument/2006/relationships/hyperlink" Target="http://www.againstmalaria.com/Distribution.aspx?ProposalID=23" TargetMode="External"/><Relationship Id="rId127" Type="http://schemas.openxmlformats.org/officeDocument/2006/relationships/hyperlink" Target="http://www.againstmalaria.com/Distribution.aspx?ProposalID=24" TargetMode="External"/><Relationship Id="rId128" Type="http://schemas.openxmlformats.org/officeDocument/2006/relationships/hyperlink" Target="http://www.againstmalaria.com/Distribution.aspx?ProposalID=25" TargetMode="External"/><Relationship Id="rId129" Type="http://schemas.openxmlformats.org/officeDocument/2006/relationships/hyperlink" Target="http://www.againstmalaria.com/Distribution.aspx?ProposalID=26" TargetMode="External"/><Relationship Id="rId40" Type="http://schemas.openxmlformats.org/officeDocument/2006/relationships/hyperlink" Target="http://www.againstmalaria.com/Distribution.aspx?ProposalID=89" TargetMode="External"/><Relationship Id="rId41" Type="http://schemas.openxmlformats.org/officeDocument/2006/relationships/hyperlink" Target="http://www.againstmalaria.com/Distribution.aspx?ProposalID=115" TargetMode="External"/><Relationship Id="rId42" Type="http://schemas.openxmlformats.org/officeDocument/2006/relationships/hyperlink" Target="http://www.againstmalaria.com/Distribution.aspx?ProposalID=130" TargetMode="External"/><Relationship Id="rId90" Type="http://schemas.openxmlformats.org/officeDocument/2006/relationships/hyperlink" Target="http://www.againstmalaria.com/Distribution.aspx?ProposalID=54" TargetMode="External"/><Relationship Id="rId91" Type="http://schemas.openxmlformats.org/officeDocument/2006/relationships/hyperlink" Target="http://www.againstmalaria.com/Distribution.aspx?ProposalID=56" TargetMode="External"/><Relationship Id="rId92" Type="http://schemas.openxmlformats.org/officeDocument/2006/relationships/hyperlink" Target="http://www.againstmalaria.com/Distribution.aspx?ProposalID=59" TargetMode="External"/><Relationship Id="rId93" Type="http://schemas.openxmlformats.org/officeDocument/2006/relationships/hyperlink" Target="http://www.againstmalaria.com/Distribution.aspx?ProposalID=62" TargetMode="External"/><Relationship Id="rId94" Type="http://schemas.openxmlformats.org/officeDocument/2006/relationships/hyperlink" Target="http://www.againstmalaria.com/Distribution.aspx?ProposalID=65" TargetMode="External"/><Relationship Id="rId95" Type="http://schemas.openxmlformats.org/officeDocument/2006/relationships/hyperlink" Target="http://www.againstmalaria.com/Distribution.aspx?ProposalID=68" TargetMode="External"/><Relationship Id="rId96" Type="http://schemas.openxmlformats.org/officeDocument/2006/relationships/hyperlink" Target="http://www.againstmalaria.com/Distribution.aspx?ProposalID=73" TargetMode="External"/><Relationship Id="rId101" Type="http://schemas.openxmlformats.org/officeDocument/2006/relationships/hyperlink" Target="http://www.againstmalaria.com/Distribution.aspx?ProposalID=69" TargetMode="External"/><Relationship Id="rId102" Type="http://schemas.openxmlformats.org/officeDocument/2006/relationships/hyperlink" Target="http://www.againstmalaria.com/Distribution.aspx?ProposalID=66" TargetMode="External"/><Relationship Id="rId103" Type="http://schemas.openxmlformats.org/officeDocument/2006/relationships/hyperlink" Target="http://www.againstmalaria.com/Distribution.aspx?ProposalID=33" TargetMode="External"/><Relationship Id="rId104" Type="http://schemas.openxmlformats.org/officeDocument/2006/relationships/hyperlink" Target="http://www.againstmalaria.com/Distribution.aspx?ProposalID=71" TargetMode="External"/><Relationship Id="rId105" Type="http://schemas.openxmlformats.org/officeDocument/2006/relationships/hyperlink" Target="http://www.againstmalaria.com/Distribution.aspx?ProposalID=82" TargetMode="External"/><Relationship Id="rId106" Type="http://schemas.openxmlformats.org/officeDocument/2006/relationships/hyperlink" Target="http://www.againstmalaria.com/Distribution.aspx?ProposalID=42" TargetMode="External"/><Relationship Id="rId107" Type="http://schemas.openxmlformats.org/officeDocument/2006/relationships/hyperlink" Target="http://www.againstmalaria.com/Distribution.aspx?ProposalID=46" TargetMode="External"/><Relationship Id="rId108" Type="http://schemas.openxmlformats.org/officeDocument/2006/relationships/hyperlink" Target="http://www.againstmalaria.com/Distribution.aspx?ProposalID=52" TargetMode="External"/><Relationship Id="rId109" Type="http://schemas.openxmlformats.org/officeDocument/2006/relationships/hyperlink" Target="http://www.againstmalaria.com/Distribution.aspx?ProposalID=55" TargetMode="External"/><Relationship Id="rId97" Type="http://schemas.openxmlformats.org/officeDocument/2006/relationships/hyperlink" Target="http://www.againstmalaria.com/Distribution.aspx?ProposalID=49" TargetMode="External"/><Relationship Id="rId98" Type="http://schemas.openxmlformats.org/officeDocument/2006/relationships/hyperlink" Target="http://www.againstmalaria.com/Distribution.aspx?ProposalID=74" TargetMode="External"/><Relationship Id="rId99" Type="http://schemas.openxmlformats.org/officeDocument/2006/relationships/hyperlink" Target="http://www.againstmalaria.com/Distribution.aspx?ProposalID=77" TargetMode="External"/><Relationship Id="rId43" Type="http://schemas.openxmlformats.org/officeDocument/2006/relationships/hyperlink" Target="http://www.againstmalaria.com/Distribution.aspx?ProposalID=134" TargetMode="External"/><Relationship Id="rId44" Type="http://schemas.openxmlformats.org/officeDocument/2006/relationships/hyperlink" Target="http://www.againstmalaria.com/Distribution.aspx?ProposalID=138" TargetMode="External"/><Relationship Id="rId45" Type="http://schemas.openxmlformats.org/officeDocument/2006/relationships/hyperlink" Target="http://www.againstmalaria.com/Distribution.aspx?ProposalID=127" TargetMode="External"/><Relationship Id="rId46" Type="http://schemas.openxmlformats.org/officeDocument/2006/relationships/hyperlink" Target="http://www.againstmalaria.com/Distribution.aspx?ProposalID=128" TargetMode="External"/><Relationship Id="rId47" Type="http://schemas.openxmlformats.org/officeDocument/2006/relationships/hyperlink" Target="http://www.againstmalaria.com/Distribution.aspx?ProposalID=139" TargetMode="External"/><Relationship Id="rId48" Type="http://schemas.openxmlformats.org/officeDocument/2006/relationships/hyperlink" Target="http://www.againstmalaria.com/Distribution.aspx?ProposalID=144" TargetMode="External"/><Relationship Id="rId49" Type="http://schemas.openxmlformats.org/officeDocument/2006/relationships/hyperlink" Target="http://www.againstmalaria.com/Distribution.aspx?ProposalID=106" TargetMode="External"/><Relationship Id="rId100" Type="http://schemas.openxmlformats.org/officeDocument/2006/relationships/hyperlink" Target="http://www.againstmalaria.com/Distribution.aspx?ProposalID=64" TargetMode="External"/><Relationship Id="rId150" Type="http://schemas.openxmlformats.org/officeDocument/2006/relationships/hyperlink" Target="http://www.againstmalaria.com/Distribution.aspx?ProposalID=193" TargetMode="External"/><Relationship Id="rId151" Type="http://schemas.openxmlformats.org/officeDocument/2006/relationships/hyperlink" Target="http://www.againstmalaria.com/Distribution.aspx?ProposalID=194" TargetMode="External"/><Relationship Id="rId152" Type="http://schemas.openxmlformats.org/officeDocument/2006/relationships/hyperlink" Target="http://www.againstmalaria.com/Distribution.aspx?ProposalID=188" TargetMode="External"/><Relationship Id="rId153" Type="http://schemas.openxmlformats.org/officeDocument/2006/relationships/hyperlink" Target="http://www.againstmalaria.com/Distribution.aspx?ProposalID=187" TargetMode="External"/><Relationship Id="rId154" Type="http://schemas.openxmlformats.org/officeDocument/2006/relationships/hyperlink" Target="http://www.againstmalaria.com/Distribution.aspx?ProposalID=192" TargetMode="External"/><Relationship Id="rId155" Type="http://schemas.openxmlformats.org/officeDocument/2006/relationships/drawing" Target="../drawings/drawing1.xml"/><Relationship Id="rId20" Type="http://schemas.openxmlformats.org/officeDocument/2006/relationships/hyperlink" Target="http://www.againstmalaria.com/Distribution.aspx?ProposalID=164" TargetMode="External"/><Relationship Id="rId21" Type="http://schemas.openxmlformats.org/officeDocument/2006/relationships/hyperlink" Target="http://www.againstmalaria.com/Distribution.aspx?ProposalID=142" TargetMode="External"/><Relationship Id="rId22" Type="http://schemas.openxmlformats.org/officeDocument/2006/relationships/hyperlink" Target="http://www.againstmalaria.com/Distribution.aspx?ProposalID=163" TargetMode="External"/><Relationship Id="rId70" Type="http://schemas.openxmlformats.org/officeDocument/2006/relationships/hyperlink" Target="http://www.againstmalaria.com/Distribution.aspx?ProposalID=93" TargetMode="External"/><Relationship Id="rId71" Type="http://schemas.openxmlformats.org/officeDocument/2006/relationships/hyperlink" Target="http://www.againstmalaria.com/Distribution.aspx?ProposalID=101" TargetMode="External"/><Relationship Id="rId72" Type="http://schemas.openxmlformats.org/officeDocument/2006/relationships/hyperlink" Target="http://www.againstmalaria.com/Distribution.aspx?ProposalID=108" TargetMode="External"/><Relationship Id="rId73" Type="http://schemas.openxmlformats.org/officeDocument/2006/relationships/hyperlink" Target="http://www.againstmalaria.com/Distribution.aspx?ProposalID=109" TargetMode="External"/><Relationship Id="rId74" Type="http://schemas.openxmlformats.org/officeDocument/2006/relationships/hyperlink" Target="http://www.againstmalaria.com/Distribution.aspx?ProposalID=84" TargetMode="External"/><Relationship Id="rId75" Type="http://schemas.openxmlformats.org/officeDocument/2006/relationships/hyperlink" Target="http://www.againstmalaria.com/Distribution.aspx?ProposalID=104" TargetMode="External"/><Relationship Id="rId76" Type="http://schemas.openxmlformats.org/officeDocument/2006/relationships/hyperlink" Target="http://www.againstmalaria.com/Distribution.aspx?ProposalID=95" TargetMode="External"/><Relationship Id="rId77" Type="http://schemas.openxmlformats.org/officeDocument/2006/relationships/hyperlink" Target="http://www.againstmalaria.com/Distribution.aspx?ProposalID=99" TargetMode="External"/><Relationship Id="rId78" Type="http://schemas.openxmlformats.org/officeDocument/2006/relationships/hyperlink" Target="http://www.againstmalaria.com/Distribution.aspx?ProposalID=107" TargetMode="External"/><Relationship Id="rId79" Type="http://schemas.openxmlformats.org/officeDocument/2006/relationships/hyperlink" Target="http://www.againstmalaria.com/Distribution.aspx?ProposalID=96" TargetMode="External"/><Relationship Id="rId23" Type="http://schemas.openxmlformats.org/officeDocument/2006/relationships/hyperlink" Target="http://www.againstmalaria.com/Distribution.aspx?ProposalID=175" TargetMode="External"/><Relationship Id="rId24" Type="http://schemas.openxmlformats.org/officeDocument/2006/relationships/hyperlink" Target="http://www.againstmalaria.com/Distribution.aspx?ProposalID=141" TargetMode="External"/><Relationship Id="rId25" Type="http://schemas.openxmlformats.org/officeDocument/2006/relationships/hyperlink" Target="http://www.againstmalaria.com/Distribution.aspx?ProposalID=145" TargetMode="External"/><Relationship Id="rId26" Type="http://schemas.openxmlformats.org/officeDocument/2006/relationships/hyperlink" Target="http://www.againstmalaria.com/Distribution.aspx?ProposalID=158" TargetMode="External"/><Relationship Id="rId27" Type="http://schemas.openxmlformats.org/officeDocument/2006/relationships/hyperlink" Target="http://www.againstmalaria.com/Distribution.aspx?ProposalID=169" TargetMode="External"/><Relationship Id="rId28" Type="http://schemas.openxmlformats.org/officeDocument/2006/relationships/hyperlink" Target="http://www.againstmalaria.com/Distribution.aspx?ProposalID=171" TargetMode="External"/><Relationship Id="rId29" Type="http://schemas.openxmlformats.org/officeDocument/2006/relationships/hyperlink" Target="http://www.againstmalaria.com/Distribution.aspx?ProposalID=105" TargetMode="External"/><Relationship Id="rId130" Type="http://schemas.openxmlformats.org/officeDocument/2006/relationships/hyperlink" Target="http://www.againstmalaria.com/Distribution.aspx?ProposalID=27" TargetMode="External"/><Relationship Id="rId131" Type="http://schemas.openxmlformats.org/officeDocument/2006/relationships/hyperlink" Target="http://www.againstmalaria.com/Distribution.aspx?ProposalID=34" TargetMode="External"/><Relationship Id="rId132" Type="http://schemas.openxmlformats.org/officeDocument/2006/relationships/hyperlink" Target="http://www.againstmalaria.com/Distribution.aspx?ProposalID=35" TargetMode="External"/><Relationship Id="rId133" Type="http://schemas.openxmlformats.org/officeDocument/2006/relationships/hyperlink" Target="http://www.againstmalaria.com/Distribution.aspx?ProposalID=30" TargetMode="External"/><Relationship Id="rId134" Type="http://schemas.openxmlformats.org/officeDocument/2006/relationships/hyperlink" Target="http://www.againstmalaria.com/Distribution.aspx?ProposalID=1" TargetMode="External"/><Relationship Id="rId135" Type="http://schemas.openxmlformats.org/officeDocument/2006/relationships/hyperlink" Target="http://www.againstmalaria.com/Distribution.aspx?ProposalID=2" TargetMode="External"/><Relationship Id="rId136" Type="http://schemas.openxmlformats.org/officeDocument/2006/relationships/hyperlink" Target="http://www.againstmalaria.com/Distribution.aspx?ProposalID=3" TargetMode="External"/><Relationship Id="rId137" Type="http://schemas.openxmlformats.org/officeDocument/2006/relationships/hyperlink" Target="http://www.againstmalaria.com/Distribution.aspx?ProposalID=4" TargetMode="External"/><Relationship Id="rId138" Type="http://schemas.openxmlformats.org/officeDocument/2006/relationships/hyperlink" Target="http://www.againstmalaria.com/Distribution.aspx?ProposalID=5" TargetMode="External"/><Relationship Id="rId139" Type="http://schemas.openxmlformats.org/officeDocument/2006/relationships/hyperlink" Target="http://www.againstmalaria.com/Distribution.aspx?ProposalID=6" TargetMode="External"/><Relationship Id="rId1" Type="http://schemas.openxmlformats.org/officeDocument/2006/relationships/hyperlink" Target="http://www.againstmalaria.com/Distribution.aspx?ProposalID=184" TargetMode="External"/><Relationship Id="rId2" Type="http://schemas.openxmlformats.org/officeDocument/2006/relationships/hyperlink" Target="http://www.againstmalaria.com/Distribution.aspx?ProposalID=172" TargetMode="External"/><Relationship Id="rId3" Type="http://schemas.openxmlformats.org/officeDocument/2006/relationships/hyperlink" Target="http://www.againstmalaria.com/Distribution.aspx?ProposalID=179" TargetMode="External"/><Relationship Id="rId4" Type="http://schemas.openxmlformats.org/officeDocument/2006/relationships/hyperlink" Target="http://www.againstmalaria.com/Distribution.aspx?ProposalID=185" TargetMode="External"/><Relationship Id="rId5" Type="http://schemas.openxmlformats.org/officeDocument/2006/relationships/hyperlink" Target="http://www.againstmalaria.com/Distribution.aspx?ProposalID=140" TargetMode="External"/><Relationship Id="rId6" Type="http://schemas.openxmlformats.org/officeDocument/2006/relationships/hyperlink" Target="http://www.againstmalaria.com/Distribution.aspx?ProposalID=183" TargetMode="External"/><Relationship Id="rId7" Type="http://schemas.openxmlformats.org/officeDocument/2006/relationships/hyperlink" Target="http://www.againstmalaria.com/Distribution.aspx?ProposalID=178" TargetMode="External"/><Relationship Id="rId8" Type="http://schemas.openxmlformats.org/officeDocument/2006/relationships/hyperlink" Target="http://www.againstmalaria.com/Distribution.aspx?ProposalID=177" TargetMode="External"/><Relationship Id="rId9" Type="http://schemas.openxmlformats.org/officeDocument/2006/relationships/hyperlink" Target="http://www.againstmalaria.com/Distribution.aspx?ProposalID=174" TargetMode="External"/><Relationship Id="rId50" Type="http://schemas.openxmlformats.org/officeDocument/2006/relationships/hyperlink" Target="http://www.againstmalaria.com/Distribution.aspx?ProposalID=118" TargetMode="External"/><Relationship Id="rId51" Type="http://schemas.openxmlformats.org/officeDocument/2006/relationships/hyperlink" Target="http://www.againstmalaria.com/Distribution.aspx?ProposalID=124" TargetMode="External"/><Relationship Id="rId52" Type="http://schemas.openxmlformats.org/officeDocument/2006/relationships/hyperlink" Target="http://www.againstmalaria.com/Distribution.aspx?ProposalID=123" TargetMode="External"/><Relationship Id="rId53" Type="http://schemas.openxmlformats.org/officeDocument/2006/relationships/hyperlink" Target="http://www.againstmalaria.com/Distribution.aspx?ProposalID=129" TargetMode="External"/><Relationship Id="rId54" Type="http://schemas.openxmlformats.org/officeDocument/2006/relationships/hyperlink" Target="http://www.againstmalaria.com/Distribution.aspx?ProposalID=131" TargetMode="External"/><Relationship Id="rId55" Type="http://schemas.openxmlformats.org/officeDocument/2006/relationships/hyperlink" Target="http://www.againstmalaria.com/Distribution.aspx?ProposalID=135" TargetMode="External"/><Relationship Id="rId56" Type="http://schemas.openxmlformats.org/officeDocument/2006/relationships/hyperlink" Target="http://www.againstmalaria.com/Distribution.aspx?ProposalID=113" TargetMode="External"/><Relationship Id="rId57" Type="http://schemas.openxmlformats.org/officeDocument/2006/relationships/hyperlink" Target="http://www.againstmalaria.com/Distribution.aspx?ProposalID=125" TargetMode="External"/><Relationship Id="rId58" Type="http://schemas.openxmlformats.org/officeDocument/2006/relationships/hyperlink" Target="http://www.againstmalaria.com/Distribution.aspx?ProposalID=111" TargetMode="External"/><Relationship Id="rId59" Type="http://schemas.openxmlformats.org/officeDocument/2006/relationships/hyperlink" Target="http://www.againstmalaria.com/Distribution.aspx?ProposalID=100" TargetMode="External"/><Relationship Id="rId110" Type="http://schemas.openxmlformats.org/officeDocument/2006/relationships/hyperlink" Target="http://www.againstmalaria.com/Distribution.aspx?ProposalID=63" TargetMode="External"/><Relationship Id="rId111" Type="http://schemas.openxmlformats.org/officeDocument/2006/relationships/hyperlink" Target="http://www.againstmalaria.com/Distribution.aspx?ProposalID=13" TargetMode="External"/><Relationship Id="rId112" Type="http://schemas.openxmlformats.org/officeDocument/2006/relationships/hyperlink" Target="http://www.againstmalaria.com/Distribution.aspx?ProposalID=43" TargetMode="External"/><Relationship Id="rId113" Type="http://schemas.openxmlformats.org/officeDocument/2006/relationships/hyperlink" Target="http://www.againstmalaria.com/Distribution.aspx?ProposalID=51" TargetMode="External"/><Relationship Id="rId114" Type="http://schemas.openxmlformats.org/officeDocument/2006/relationships/hyperlink" Target="http://www.againstmalaria.com/Distribution.aspx?ProposalID=39" TargetMode="External"/><Relationship Id="rId115" Type="http://schemas.openxmlformats.org/officeDocument/2006/relationships/hyperlink" Target="http://www.againstmalaria.com/Distribution.aspx?ProposalID=40" TargetMode="External"/><Relationship Id="rId116" Type="http://schemas.openxmlformats.org/officeDocument/2006/relationships/hyperlink" Target="http://www.againstmalaria.com/Distribution.aspx?ProposalID=38" TargetMode="External"/><Relationship Id="rId117" Type="http://schemas.openxmlformats.org/officeDocument/2006/relationships/hyperlink" Target="http://www.againstmalaria.com/Distribution.aspx?ProposalID=12" TargetMode="External"/><Relationship Id="rId118" Type="http://schemas.openxmlformats.org/officeDocument/2006/relationships/hyperlink" Target="http://www.againstmalaria.com/Distribution.aspx?ProposalID=20" TargetMode="External"/><Relationship Id="rId119" Type="http://schemas.openxmlformats.org/officeDocument/2006/relationships/hyperlink" Target="http://www.againstmalaria.com/Distribution.aspx?ProposalID=36" TargetMode="External"/><Relationship Id="rId30" Type="http://schemas.openxmlformats.org/officeDocument/2006/relationships/hyperlink" Target="http://www.againstmalaria.com/Distribution.aspx?ProposalID=155" TargetMode="External"/><Relationship Id="rId31" Type="http://schemas.openxmlformats.org/officeDocument/2006/relationships/hyperlink" Target="http://www.againstmalaria.com/Distribution.aspx?ProposalID=156" TargetMode="External"/><Relationship Id="rId32" Type="http://schemas.openxmlformats.org/officeDocument/2006/relationships/hyperlink" Target="http://www.againstmalaria.com/Distribution.aspx?ProposalID=162" TargetMode="External"/><Relationship Id="rId33" Type="http://schemas.openxmlformats.org/officeDocument/2006/relationships/hyperlink" Target="http://www.againstmalaria.com/Distribution.aspx?ProposalID=165" TargetMode="External"/><Relationship Id="rId34" Type="http://schemas.openxmlformats.org/officeDocument/2006/relationships/hyperlink" Target="http://www.againstmalaria.com/Distribution.aspx?ProposalID=133" TargetMode="External"/><Relationship Id="rId35" Type="http://schemas.openxmlformats.org/officeDocument/2006/relationships/hyperlink" Target="http://www.againstmalaria.com/Distribution.aspx?ProposalID=149" TargetMode="External"/><Relationship Id="rId36" Type="http://schemas.openxmlformats.org/officeDocument/2006/relationships/hyperlink" Target="http://www.againstmalaria.com/Distribution.aspx?ProposalID=143" TargetMode="External"/><Relationship Id="rId37" Type="http://schemas.openxmlformats.org/officeDocument/2006/relationships/hyperlink" Target="http://www.againstmalaria.com/Distribution.aspx?ProposalID=132" TargetMode="External"/><Relationship Id="rId38" Type="http://schemas.openxmlformats.org/officeDocument/2006/relationships/hyperlink" Target="http://www.againstmalaria.com/Distribution.aspx?ProposalID=147" TargetMode="External"/><Relationship Id="rId39" Type="http://schemas.openxmlformats.org/officeDocument/2006/relationships/hyperlink" Target="http://www.againstmalaria.com/Distribution.aspx?ProposalID=150" TargetMode="External"/><Relationship Id="rId80" Type="http://schemas.openxmlformats.org/officeDocument/2006/relationships/hyperlink" Target="http://www.againstmalaria.com/Distribution.aspx?ProposalID=75" TargetMode="External"/><Relationship Id="rId81" Type="http://schemas.openxmlformats.org/officeDocument/2006/relationships/hyperlink" Target="http://www.againstmalaria.com/Distribution.aspx?ProposalID=83" TargetMode="External"/><Relationship Id="rId82" Type="http://schemas.openxmlformats.org/officeDocument/2006/relationships/hyperlink" Target="http://www.againstmalaria.com/Distribution.aspx?ProposalID=87" TargetMode="External"/><Relationship Id="rId83" Type="http://schemas.openxmlformats.org/officeDocument/2006/relationships/hyperlink" Target="http://www.againstmalaria.com/Distribution.aspx?ProposalID=94" TargetMode="External"/><Relationship Id="rId84" Type="http://schemas.openxmlformats.org/officeDocument/2006/relationships/hyperlink" Target="http://www.againstmalaria.com/Distribution.aspx?ProposalID=60" TargetMode="External"/><Relationship Id="rId85" Type="http://schemas.openxmlformats.org/officeDocument/2006/relationships/hyperlink" Target="http://www.againstmalaria.com/Distribution.aspx?ProposalID=70" TargetMode="External"/><Relationship Id="rId86" Type="http://schemas.openxmlformats.org/officeDocument/2006/relationships/hyperlink" Target="http://www.againstmalaria.com/Distribution.aspx?ProposalID=76" TargetMode="External"/><Relationship Id="rId87" Type="http://schemas.openxmlformats.org/officeDocument/2006/relationships/hyperlink" Target="http://www.againstmalaria.com/Distribution.aspx?ProposalID=79" TargetMode="External"/><Relationship Id="rId88" Type="http://schemas.openxmlformats.org/officeDocument/2006/relationships/hyperlink" Target="http://www.againstmalaria.com/Distribution.aspx?ProposalID=50" TargetMode="External"/><Relationship Id="rId89" Type="http://schemas.openxmlformats.org/officeDocument/2006/relationships/hyperlink" Target="http://www.againstmalaria.com/Distribution.aspx?ProposalID=53" TargetMode="External"/><Relationship Id="rId140" Type="http://schemas.openxmlformats.org/officeDocument/2006/relationships/hyperlink" Target="http://www.againstmalaria.com/Distribution.aspx?ProposalID=7" TargetMode="External"/><Relationship Id="rId141" Type="http://schemas.openxmlformats.org/officeDocument/2006/relationships/hyperlink" Target="http://www.againstmalaria.com/Distribution.aspx?ProposalID=8" TargetMode="External"/><Relationship Id="rId142" Type="http://schemas.openxmlformats.org/officeDocument/2006/relationships/hyperlink" Target="http://www.againstmalaria.com/Distribution.aspx?ProposalID=9" TargetMode="External"/><Relationship Id="rId143" Type="http://schemas.openxmlformats.org/officeDocument/2006/relationships/hyperlink" Target="http://www.againstmalaria.com/Distribution.aspx?ProposalID=146" TargetMode="External"/><Relationship Id="rId144" Type="http://schemas.openxmlformats.org/officeDocument/2006/relationships/hyperlink" Target="http://www.againstmalaria.com/Distribution.aspx?ProposalID=200" TargetMode="External"/><Relationship Id="rId145" Type="http://schemas.openxmlformats.org/officeDocument/2006/relationships/hyperlink" Target="http://www.againstmalaria.com/Distribution.aspx?ProposalID=197" TargetMode="External"/><Relationship Id="rId146" Type="http://schemas.openxmlformats.org/officeDocument/2006/relationships/hyperlink" Target="http://www.againstmalaria.com/Distribution.aspx?ProposalID=199" TargetMode="External"/><Relationship Id="rId147" Type="http://schemas.openxmlformats.org/officeDocument/2006/relationships/hyperlink" Target="http://www.againstmalaria.com/Distribution.aspx?ProposalID=201" TargetMode="External"/><Relationship Id="rId148" Type="http://schemas.openxmlformats.org/officeDocument/2006/relationships/hyperlink" Target="http://www.againstmalaria.com/Distribution.aspx?ProposalID=198" TargetMode="External"/><Relationship Id="rId149" Type="http://schemas.openxmlformats.org/officeDocument/2006/relationships/hyperlink" Target="http://www.againstmalaria.com/Distribution.aspx?ProposalID=196"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selection activeCell="A2" sqref="A2"/>
    </sheetView>
  </sheetViews>
  <sheetFormatPr baseColWidth="10" defaultRowHeight="15" x14ac:dyDescent="0"/>
  <cols>
    <col min="5" max="5" width="13.83203125" customWidth="1"/>
    <col min="6" max="6" width="14" customWidth="1"/>
    <col min="7" max="7" width="19.83203125" customWidth="1"/>
    <col min="10" max="10" width="2.5" customWidth="1"/>
  </cols>
  <sheetData>
    <row r="1" spans="1:12">
      <c r="A1" t="s">
        <v>444</v>
      </c>
    </row>
    <row r="2" spans="1:12">
      <c r="K2" t="s">
        <v>407</v>
      </c>
    </row>
    <row r="3" spans="1:12" ht="19">
      <c r="A3" s="4" t="s">
        <v>0</v>
      </c>
      <c r="B3" s="4" t="s">
        <v>1</v>
      </c>
      <c r="C3" s="4"/>
      <c r="D3" s="4" t="s">
        <v>2</v>
      </c>
      <c r="E3" s="4" t="s">
        <v>3</v>
      </c>
      <c r="F3" s="4"/>
      <c r="G3" s="4" t="s">
        <v>4</v>
      </c>
      <c r="H3" s="4" t="s">
        <v>5</v>
      </c>
      <c r="I3" s="4" t="s">
        <v>311</v>
      </c>
    </row>
    <row r="4" spans="1:12">
      <c r="A4" s="5">
        <v>430000</v>
      </c>
      <c r="B4" s="7" t="s">
        <v>6</v>
      </c>
      <c r="C4" s="6"/>
      <c r="D4" s="6" t="s">
        <v>7</v>
      </c>
      <c r="E4" s="6" t="s">
        <v>430</v>
      </c>
      <c r="F4" s="6"/>
      <c r="G4" s="6" t="s">
        <v>9</v>
      </c>
      <c r="H4" s="6" t="s">
        <v>431</v>
      </c>
      <c r="I4">
        <v>2017</v>
      </c>
      <c r="K4">
        <v>2006</v>
      </c>
      <c r="L4" s="3">
        <f t="shared" ref="L4:L13" si="0">SUMIF(I$10:I$157,K4,A$10:A$157)</f>
        <v>28000</v>
      </c>
    </row>
    <row r="5" spans="1:12">
      <c r="A5" s="5">
        <v>335000</v>
      </c>
      <c r="B5" s="7" t="s">
        <v>18</v>
      </c>
      <c r="C5" s="6"/>
      <c r="D5" s="6" t="s">
        <v>7</v>
      </c>
      <c r="E5" s="6" t="s">
        <v>432</v>
      </c>
      <c r="F5" s="6"/>
      <c r="G5" s="6" t="s">
        <v>9</v>
      </c>
      <c r="H5" s="6"/>
      <c r="I5">
        <v>2016</v>
      </c>
      <c r="K5">
        <v>2007</v>
      </c>
      <c r="L5" s="3">
        <f t="shared" si="0"/>
        <v>186250</v>
      </c>
    </row>
    <row r="6" spans="1:12">
      <c r="A6" s="5">
        <v>235000</v>
      </c>
      <c r="B6" s="7" t="s">
        <v>14</v>
      </c>
      <c r="C6" s="6"/>
      <c r="D6" s="6" t="s">
        <v>7</v>
      </c>
      <c r="E6" s="6" t="s">
        <v>433</v>
      </c>
      <c r="F6" s="6"/>
      <c r="G6" s="6" t="s">
        <v>9</v>
      </c>
      <c r="H6" s="6"/>
      <c r="I6">
        <v>2016</v>
      </c>
      <c r="K6">
        <v>2008</v>
      </c>
      <c r="L6" s="3">
        <f t="shared" si="0"/>
        <v>178570</v>
      </c>
    </row>
    <row r="7" spans="1:12">
      <c r="A7" s="5">
        <v>730000</v>
      </c>
      <c r="B7" s="7" t="s">
        <v>434</v>
      </c>
      <c r="C7" s="6"/>
      <c r="D7" s="6" t="s">
        <v>11</v>
      </c>
      <c r="E7" s="6" t="s">
        <v>435</v>
      </c>
      <c r="F7" s="6"/>
      <c r="G7" s="6" t="s">
        <v>12</v>
      </c>
      <c r="H7" s="6"/>
      <c r="I7">
        <v>2015</v>
      </c>
      <c r="K7">
        <v>2009</v>
      </c>
      <c r="L7" s="3">
        <f t="shared" si="0"/>
        <v>93900</v>
      </c>
    </row>
    <row r="8" spans="1:12">
      <c r="A8" s="5">
        <v>62000</v>
      </c>
      <c r="B8" s="7" t="s">
        <v>436</v>
      </c>
      <c r="C8" s="6"/>
      <c r="D8" s="6" t="s">
        <v>11</v>
      </c>
      <c r="E8" s="6" t="s">
        <v>437</v>
      </c>
      <c r="F8" s="6"/>
      <c r="G8" s="6" t="s">
        <v>438</v>
      </c>
      <c r="H8" s="6"/>
      <c r="I8">
        <v>2015</v>
      </c>
      <c r="K8">
        <v>2010</v>
      </c>
      <c r="L8" s="3">
        <f t="shared" si="0"/>
        <v>548800</v>
      </c>
    </row>
    <row r="9" spans="1:12">
      <c r="A9" s="5">
        <v>396900</v>
      </c>
      <c r="B9" s="7" t="s">
        <v>439</v>
      </c>
      <c r="C9" s="6"/>
      <c r="D9" s="6" t="s">
        <v>7</v>
      </c>
      <c r="E9" s="6" t="s">
        <v>403</v>
      </c>
      <c r="F9" s="6"/>
      <c r="G9" s="6" t="s">
        <v>9</v>
      </c>
      <c r="H9" s="6"/>
      <c r="I9">
        <v>2015</v>
      </c>
      <c r="K9">
        <v>2011</v>
      </c>
      <c r="L9" s="3">
        <f t="shared" si="0"/>
        <v>228355</v>
      </c>
    </row>
    <row r="10" spans="1:12">
      <c r="A10" s="5">
        <v>62000</v>
      </c>
      <c r="B10" s="7" t="s">
        <v>440</v>
      </c>
      <c r="C10" s="6"/>
      <c r="D10" s="6" t="s">
        <v>11</v>
      </c>
      <c r="E10" s="6" t="s">
        <v>441</v>
      </c>
      <c r="F10" s="6"/>
      <c r="G10" s="6" t="s">
        <v>438</v>
      </c>
      <c r="H10" s="6"/>
      <c r="I10">
        <v>2015</v>
      </c>
      <c r="K10">
        <v>2012</v>
      </c>
      <c r="L10" s="3">
        <f t="shared" si="0"/>
        <v>347158</v>
      </c>
    </row>
    <row r="11" spans="1:12">
      <c r="A11" s="5">
        <v>676000</v>
      </c>
      <c r="B11" s="7" t="s">
        <v>10</v>
      </c>
      <c r="C11" s="6"/>
      <c r="D11" s="6" t="s">
        <v>11</v>
      </c>
      <c r="E11" s="6" t="s">
        <v>442</v>
      </c>
      <c r="F11" s="6"/>
      <c r="G11" s="6" t="s">
        <v>12</v>
      </c>
      <c r="H11" s="6"/>
      <c r="I11">
        <v>2015</v>
      </c>
      <c r="K11">
        <v>2013</v>
      </c>
      <c r="L11" s="3">
        <f t="shared" si="0"/>
        <v>0</v>
      </c>
    </row>
    <row r="12" spans="1:12">
      <c r="A12" s="5">
        <v>245000</v>
      </c>
      <c r="B12" s="7" t="s">
        <v>6</v>
      </c>
      <c r="C12" s="6"/>
      <c r="D12" s="6" t="s">
        <v>7</v>
      </c>
      <c r="E12" s="6" t="s">
        <v>8</v>
      </c>
      <c r="F12" s="6"/>
      <c r="G12" s="6" t="s">
        <v>9</v>
      </c>
      <c r="H12" s="6"/>
      <c r="I12">
        <v>2015</v>
      </c>
      <c r="K12">
        <v>2014</v>
      </c>
      <c r="L12" s="3">
        <f t="shared" si="0"/>
        <v>156330</v>
      </c>
    </row>
    <row r="13" spans="1:12">
      <c r="A13" s="5">
        <v>154230</v>
      </c>
      <c r="B13" s="7" t="s">
        <v>14</v>
      </c>
      <c r="C13" s="6"/>
      <c r="D13" s="6" t="s">
        <v>7</v>
      </c>
      <c r="E13" s="6" t="s">
        <v>443</v>
      </c>
      <c r="F13" s="6"/>
      <c r="G13" s="6" t="s">
        <v>9</v>
      </c>
      <c r="H13" s="6"/>
      <c r="I13">
        <v>2014</v>
      </c>
      <c r="K13">
        <v>2015</v>
      </c>
      <c r="L13" s="3">
        <f t="shared" si="0"/>
        <v>983000</v>
      </c>
    </row>
    <row r="14" spans="1:12">
      <c r="A14" s="5">
        <v>2100</v>
      </c>
      <c r="B14" s="7" t="s">
        <v>15</v>
      </c>
      <c r="C14" s="6"/>
      <c r="D14" s="6" t="s">
        <v>16</v>
      </c>
      <c r="E14" s="8">
        <v>41925</v>
      </c>
      <c r="F14" s="6"/>
      <c r="G14" s="6" t="s">
        <v>17</v>
      </c>
      <c r="H14" s="6"/>
      <c r="I14">
        <v>2014</v>
      </c>
    </row>
    <row r="15" spans="1:12">
      <c r="A15" s="9">
        <v>268420</v>
      </c>
      <c r="B15" s="10" t="s">
        <v>18</v>
      </c>
      <c r="C15" s="11"/>
      <c r="D15" s="11" t="s">
        <v>7</v>
      </c>
      <c r="E15" s="11" t="s">
        <v>19</v>
      </c>
      <c r="F15" s="11"/>
      <c r="G15" s="11" t="s">
        <v>9</v>
      </c>
      <c r="H15" s="11"/>
      <c r="I15">
        <v>2012</v>
      </c>
    </row>
    <row r="16" spans="1:12">
      <c r="A16" s="5">
        <v>2000</v>
      </c>
      <c r="B16" s="7" t="s">
        <v>20</v>
      </c>
      <c r="C16" s="6"/>
      <c r="D16" s="6" t="s">
        <v>7</v>
      </c>
      <c r="E16" s="6" t="s">
        <v>21</v>
      </c>
      <c r="F16" s="6"/>
      <c r="G16" s="6" t="s">
        <v>22</v>
      </c>
      <c r="H16" s="6"/>
      <c r="I16">
        <v>2012</v>
      </c>
    </row>
    <row r="17" spans="1:9">
      <c r="A17" s="6">
        <v>320</v>
      </c>
      <c r="B17" s="7" t="s">
        <v>23</v>
      </c>
      <c r="C17" s="6"/>
      <c r="D17" s="6" t="s">
        <v>24</v>
      </c>
      <c r="E17" s="8">
        <v>41954</v>
      </c>
      <c r="F17" s="6"/>
      <c r="G17" s="6" t="s">
        <v>25</v>
      </c>
      <c r="H17" s="6"/>
      <c r="I17">
        <v>2012</v>
      </c>
    </row>
    <row r="18" spans="1:9">
      <c r="A18" s="5">
        <v>1300</v>
      </c>
      <c r="B18" s="7" t="s">
        <v>26</v>
      </c>
      <c r="C18" s="6"/>
      <c r="D18" s="6" t="s">
        <v>16</v>
      </c>
      <c r="E18" s="8">
        <v>41954</v>
      </c>
      <c r="F18" s="6"/>
      <c r="G18" s="6" t="s">
        <v>27</v>
      </c>
      <c r="H18" s="6"/>
      <c r="I18">
        <v>2012</v>
      </c>
    </row>
    <row r="19" spans="1:9">
      <c r="A19" s="5">
        <v>7200</v>
      </c>
      <c r="B19" s="7" t="s">
        <v>28</v>
      </c>
      <c r="C19" s="6"/>
      <c r="D19" s="6" t="s">
        <v>29</v>
      </c>
      <c r="E19" s="6" t="s">
        <v>30</v>
      </c>
      <c r="F19" s="6"/>
      <c r="G19" s="6" t="s">
        <v>31</v>
      </c>
      <c r="H19" s="6"/>
      <c r="I19">
        <v>2012</v>
      </c>
    </row>
    <row r="20" spans="1:9">
      <c r="A20" s="5">
        <v>19918</v>
      </c>
      <c r="B20" s="7" t="s">
        <v>32</v>
      </c>
      <c r="C20" s="6"/>
      <c r="D20" s="6" t="s">
        <v>24</v>
      </c>
      <c r="E20" s="6" t="s">
        <v>33</v>
      </c>
      <c r="F20" s="6"/>
      <c r="G20" s="6" t="s">
        <v>34</v>
      </c>
      <c r="H20" s="6"/>
      <c r="I20">
        <v>2012</v>
      </c>
    </row>
    <row r="21" spans="1:9">
      <c r="A21" s="5">
        <v>22000</v>
      </c>
      <c r="B21" s="7" t="s">
        <v>35</v>
      </c>
      <c r="C21" s="6"/>
      <c r="D21" s="6" t="s">
        <v>36</v>
      </c>
      <c r="E21" s="6" t="s">
        <v>37</v>
      </c>
      <c r="F21" s="6"/>
      <c r="G21" s="6" t="s">
        <v>38</v>
      </c>
      <c r="H21" s="6"/>
      <c r="I21">
        <v>2012</v>
      </c>
    </row>
    <row r="22" spans="1:9">
      <c r="A22" s="5">
        <v>20000</v>
      </c>
      <c r="B22" s="7" t="s">
        <v>39</v>
      </c>
      <c r="C22" s="6"/>
      <c r="D22" s="6" t="s">
        <v>7</v>
      </c>
      <c r="E22" s="6" t="s">
        <v>40</v>
      </c>
      <c r="F22" s="6"/>
      <c r="G22" s="6" t="s">
        <v>9</v>
      </c>
      <c r="H22" s="6"/>
      <c r="I22">
        <v>2012</v>
      </c>
    </row>
    <row r="23" spans="1:9">
      <c r="A23" s="5">
        <v>3500</v>
      </c>
      <c r="B23" s="7" t="s">
        <v>41</v>
      </c>
      <c r="C23" s="6"/>
      <c r="D23" s="6" t="s">
        <v>42</v>
      </c>
      <c r="E23" s="6" t="s">
        <v>43</v>
      </c>
      <c r="F23" s="6"/>
      <c r="G23" s="6" t="s">
        <v>44</v>
      </c>
      <c r="H23" s="6"/>
      <c r="I23">
        <v>2012</v>
      </c>
    </row>
    <row r="24" spans="1:9">
      <c r="A24" s="5">
        <v>2500</v>
      </c>
      <c r="B24" s="7" t="s">
        <v>45</v>
      </c>
      <c r="C24" s="6"/>
      <c r="D24" s="6" t="s">
        <v>46</v>
      </c>
      <c r="E24" s="8">
        <v>41831</v>
      </c>
      <c r="F24" s="6"/>
      <c r="G24" s="6" t="s">
        <v>47</v>
      </c>
      <c r="H24" s="6"/>
      <c r="I24">
        <v>2012</v>
      </c>
    </row>
    <row r="25" spans="1:9">
      <c r="A25" s="5">
        <v>7510</v>
      </c>
      <c r="B25" s="7" t="s">
        <v>48</v>
      </c>
      <c r="C25" s="6"/>
      <c r="D25" s="6" t="s">
        <v>24</v>
      </c>
      <c r="E25" s="6" t="s">
        <v>49</v>
      </c>
      <c r="F25" s="6"/>
      <c r="G25" s="6" t="s">
        <v>50</v>
      </c>
      <c r="H25" s="6"/>
      <c r="I25">
        <v>2011</v>
      </c>
    </row>
    <row r="26" spans="1:9">
      <c r="A26" s="5">
        <v>1200</v>
      </c>
      <c r="B26" s="7" t="s">
        <v>51</v>
      </c>
      <c r="C26" s="6"/>
      <c r="D26" s="6" t="s">
        <v>52</v>
      </c>
      <c r="E26" s="6" t="s">
        <v>53</v>
      </c>
      <c r="F26" s="6"/>
      <c r="G26" s="6" t="s">
        <v>44</v>
      </c>
      <c r="H26" s="6"/>
      <c r="I26">
        <v>2011</v>
      </c>
    </row>
    <row r="27" spans="1:9">
      <c r="A27" s="5">
        <v>1300</v>
      </c>
      <c r="B27" s="7" t="s">
        <v>54</v>
      </c>
      <c r="C27" s="6"/>
      <c r="D27" s="6" t="s">
        <v>16</v>
      </c>
      <c r="E27" s="6" t="s">
        <v>55</v>
      </c>
      <c r="F27" s="6"/>
      <c r="G27" s="6" t="s">
        <v>56</v>
      </c>
      <c r="H27" s="6"/>
      <c r="I27">
        <v>2011</v>
      </c>
    </row>
    <row r="28" spans="1:9">
      <c r="A28" s="6">
        <v>300</v>
      </c>
      <c r="B28" s="7" t="s">
        <v>57</v>
      </c>
      <c r="C28" s="6"/>
      <c r="D28" s="6" t="s">
        <v>52</v>
      </c>
      <c r="E28" s="6" t="s">
        <v>58</v>
      </c>
      <c r="F28" s="6"/>
      <c r="G28" s="6" t="s">
        <v>59</v>
      </c>
      <c r="H28" s="6"/>
      <c r="I28">
        <v>2011</v>
      </c>
    </row>
    <row r="29" spans="1:9">
      <c r="A29" s="5">
        <v>2830</v>
      </c>
      <c r="B29" s="7" t="s">
        <v>60</v>
      </c>
      <c r="C29" s="6"/>
      <c r="D29" s="6" t="s">
        <v>16</v>
      </c>
      <c r="E29" s="8">
        <v>41709</v>
      </c>
      <c r="F29" s="6"/>
      <c r="G29" s="6" t="s">
        <v>17</v>
      </c>
      <c r="H29" s="6"/>
      <c r="I29">
        <v>2011</v>
      </c>
    </row>
    <row r="30" spans="1:9">
      <c r="A30" s="5">
        <v>20000</v>
      </c>
      <c r="B30" s="7" t="s">
        <v>61</v>
      </c>
      <c r="C30" s="6"/>
      <c r="D30" s="6" t="s">
        <v>62</v>
      </c>
      <c r="E30" s="6" t="s">
        <v>63</v>
      </c>
      <c r="F30" s="6"/>
      <c r="G30" s="6" t="s">
        <v>64</v>
      </c>
      <c r="H30" s="6"/>
      <c r="I30">
        <v>2011</v>
      </c>
    </row>
    <row r="31" spans="1:9">
      <c r="A31" s="6">
        <v>700</v>
      </c>
      <c r="B31" s="7" t="s">
        <v>65</v>
      </c>
      <c r="C31" s="6"/>
      <c r="D31" s="6" t="s">
        <v>16</v>
      </c>
      <c r="E31" s="6" t="s">
        <v>66</v>
      </c>
      <c r="F31" s="6"/>
      <c r="G31" s="6" t="s">
        <v>67</v>
      </c>
      <c r="H31" s="6"/>
      <c r="I31">
        <v>2011</v>
      </c>
    </row>
    <row r="32" spans="1:9">
      <c r="A32" s="6">
        <v>870</v>
      </c>
      <c r="B32" s="7" t="s">
        <v>68</v>
      </c>
      <c r="C32" s="6"/>
      <c r="D32" s="6" t="s">
        <v>16</v>
      </c>
      <c r="E32" s="6" t="s">
        <v>69</v>
      </c>
      <c r="F32" s="6"/>
      <c r="G32" s="6" t="s">
        <v>17</v>
      </c>
      <c r="H32" s="6"/>
      <c r="I32">
        <v>2011</v>
      </c>
    </row>
    <row r="33" spans="1:9">
      <c r="A33" s="5">
        <v>3500</v>
      </c>
      <c r="B33" s="7" t="s">
        <v>23</v>
      </c>
      <c r="C33" s="6"/>
      <c r="D33" s="6" t="s">
        <v>24</v>
      </c>
      <c r="E33" s="8">
        <v>41650</v>
      </c>
      <c r="F33" s="6"/>
      <c r="G33" s="6" t="s">
        <v>25</v>
      </c>
      <c r="H33" s="6"/>
      <c r="I33">
        <v>2011</v>
      </c>
    </row>
    <row r="34" spans="1:9">
      <c r="A34" s="5">
        <v>1400</v>
      </c>
      <c r="B34" s="7" t="s">
        <v>70</v>
      </c>
      <c r="C34" s="6"/>
      <c r="D34" s="6" t="s">
        <v>16</v>
      </c>
      <c r="E34" s="6" t="s">
        <v>69</v>
      </c>
      <c r="F34" s="6"/>
      <c r="G34" s="6" t="s">
        <v>47</v>
      </c>
      <c r="H34" s="6"/>
      <c r="I34">
        <v>2011</v>
      </c>
    </row>
    <row r="35" spans="1:9">
      <c r="A35" s="5">
        <v>1000</v>
      </c>
      <c r="B35" s="7" t="s">
        <v>71</v>
      </c>
      <c r="C35" s="6"/>
      <c r="D35" s="6" t="s">
        <v>72</v>
      </c>
      <c r="E35" s="8">
        <v>41983</v>
      </c>
      <c r="F35" s="6"/>
      <c r="G35" s="6" t="s">
        <v>73</v>
      </c>
      <c r="H35" s="6"/>
      <c r="I35">
        <v>2011</v>
      </c>
    </row>
    <row r="36" spans="1:9">
      <c r="A36" s="5">
        <v>20000</v>
      </c>
      <c r="B36" s="7" t="s">
        <v>74</v>
      </c>
      <c r="C36" s="6"/>
      <c r="D36" s="6" t="s">
        <v>7</v>
      </c>
      <c r="E36" s="6" t="s">
        <v>75</v>
      </c>
      <c r="F36" s="6"/>
      <c r="G36" s="6" t="s">
        <v>76</v>
      </c>
      <c r="H36" s="6"/>
      <c r="I36">
        <v>2011</v>
      </c>
    </row>
    <row r="37" spans="1:9">
      <c r="A37" s="5">
        <v>20000</v>
      </c>
      <c r="B37" s="7" t="s">
        <v>77</v>
      </c>
      <c r="C37" s="6"/>
      <c r="D37" s="6" t="s">
        <v>7</v>
      </c>
      <c r="E37" s="8">
        <v>41983</v>
      </c>
      <c r="F37" s="6"/>
      <c r="G37" s="6" t="s">
        <v>9</v>
      </c>
      <c r="H37" s="6"/>
      <c r="I37">
        <v>2011</v>
      </c>
    </row>
    <row r="38" spans="1:9">
      <c r="A38" s="5">
        <v>2000</v>
      </c>
      <c r="B38" s="7" t="s">
        <v>78</v>
      </c>
      <c r="C38" s="6"/>
      <c r="D38" s="6" t="s">
        <v>7</v>
      </c>
      <c r="E38" s="6" t="s">
        <v>79</v>
      </c>
      <c r="F38" s="6"/>
      <c r="G38" s="6" t="s">
        <v>80</v>
      </c>
      <c r="H38" s="6"/>
      <c r="I38">
        <v>2011</v>
      </c>
    </row>
    <row r="39" spans="1:9">
      <c r="A39" s="5">
        <v>9500</v>
      </c>
      <c r="B39" s="7" t="s">
        <v>81</v>
      </c>
      <c r="C39" s="6"/>
      <c r="D39" s="6" t="s">
        <v>7</v>
      </c>
      <c r="E39" s="6" t="s">
        <v>82</v>
      </c>
      <c r="F39" s="6"/>
      <c r="G39" s="6" t="s">
        <v>83</v>
      </c>
      <c r="H39" s="6"/>
      <c r="I39">
        <v>2011</v>
      </c>
    </row>
    <row r="40" spans="1:9">
      <c r="A40" s="5">
        <v>9260</v>
      </c>
      <c r="B40" s="7" t="s">
        <v>84</v>
      </c>
      <c r="C40" s="6"/>
      <c r="D40" s="6" t="s">
        <v>85</v>
      </c>
      <c r="E40" s="6" t="s">
        <v>86</v>
      </c>
      <c r="F40" s="6"/>
      <c r="G40" s="6" t="s">
        <v>87</v>
      </c>
      <c r="H40" s="6"/>
      <c r="I40">
        <v>2011</v>
      </c>
    </row>
    <row r="41" spans="1:9">
      <c r="A41" s="6">
        <v>250</v>
      </c>
      <c r="B41" s="7" t="s">
        <v>88</v>
      </c>
      <c r="C41" s="6"/>
      <c r="D41" s="6" t="s">
        <v>16</v>
      </c>
      <c r="E41" s="6" t="s">
        <v>82</v>
      </c>
      <c r="F41" s="6"/>
      <c r="G41" s="6" t="s">
        <v>89</v>
      </c>
      <c r="H41" s="6"/>
      <c r="I41">
        <v>2011</v>
      </c>
    </row>
    <row r="42" spans="1:9">
      <c r="A42" s="5">
        <v>1800</v>
      </c>
      <c r="B42" s="7" t="s">
        <v>90</v>
      </c>
      <c r="C42" s="6"/>
      <c r="D42" s="6" t="s">
        <v>16</v>
      </c>
      <c r="E42" s="8">
        <v>41953</v>
      </c>
      <c r="F42" s="6"/>
      <c r="G42" s="6" t="s">
        <v>27</v>
      </c>
      <c r="H42" s="6"/>
      <c r="I42">
        <v>2011</v>
      </c>
    </row>
    <row r="43" spans="1:9">
      <c r="A43" s="9">
        <v>98025</v>
      </c>
      <c r="B43" s="10" t="s">
        <v>91</v>
      </c>
      <c r="C43" s="11"/>
      <c r="D43" s="11" t="s">
        <v>24</v>
      </c>
      <c r="E43" s="11" t="s">
        <v>92</v>
      </c>
      <c r="F43" s="11"/>
      <c r="G43" s="11" t="s">
        <v>34</v>
      </c>
      <c r="H43" s="11"/>
      <c r="I43">
        <v>2011</v>
      </c>
    </row>
    <row r="44" spans="1:9">
      <c r="A44" s="5">
        <v>2350</v>
      </c>
      <c r="B44" s="7" t="s">
        <v>93</v>
      </c>
      <c r="C44" s="6"/>
      <c r="D44" s="6" t="s">
        <v>72</v>
      </c>
      <c r="E44" s="6" t="s">
        <v>94</v>
      </c>
      <c r="F44" s="6"/>
      <c r="G44" s="6" t="s">
        <v>95</v>
      </c>
      <c r="H44" s="6"/>
      <c r="I44">
        <v>2011</v>
      </c>
    </row>
    <row r="45" spans="1:9">
      <c r="A45" s="5">
        <v>1000</v>
      </c>
      <c r="B45" s="7" t="s">
        <v>96</v>
      </c>
      <c r="C45" s="6"/>
      <c r="D45" s="6" t="s">
        <v>13</v>
      </c>
      <c r="E45" s="6" t="s">
        <v>94</v>
      </c>
      <c r="F45" s="6"/>
      <c r="G45" s="6" t="s">
        <v>47</v>
      </c>
      <c r="H45" s="6"/>
      <c r="I45">
        <v>2011</v>
      </c>
    </row>
    <row r="46" spans="1:9">
      <c r="A46" s="5">
        <v>9600</v>
      </c>
      <c r="B46" s="7" t="s">
        <v>97</v>
      </c>
      <c r="C46" s="6"/>
      <c r="D46" s="6" t="s">
        <v>7</v>
      </c>
      <c r="E46" s="6" t="s">
        <v>98</v>
      </c>
      <c r="F46" s="6"/>
      <c r="G46" s="6" t="s">
        <v>9</v>
      </c>
      <c r="H46" s="6"/>
      <c r="I46">
        <v>2011</v>
      </c>
    </row>
    <row r="47" spans="1:9">
      <c r="A47" s="5">
        <v>1300</v>
      </c>
      <c r="B47" s="7" t="s">
        <v>99</v>
      </c>
      <c r="C47" s="6"/>
      <c r="D47" s="6" t="s">
        <v>85</v>
      </c>
      <c r="E47" s="6" t="s">
        <v>100</v>
      </c>
      <c r="F47" s="6"/>
      <c r="G47" s="6" t="s">
        <v>101</v>
      </c>
      <c r="H47" s="6"/>
      <c r="I47">
        <v>2011</v>
      </c>
    </row>
    <row r="48" spans="1:9">
      <c r="A48" s="5">
        <v>2100</v>
      </c>
      <c r="B48" s="7" t="s">
        <v>102</v>
      </c>
      <c r="C48" s="6"/>
      <c r="D48" s="6" t="s">
        <v>72</v>
      </c>
      <c r="E48" s="6" t="s">
        <v>103</v>
      </c>
      <c r="F48" s="6"/>
      <c r="G48" s="6" t="s">
        <v>104</v>
      </c>
      <c r="H48" s="6"/>
      <c r="I48">
        <v>2011</v>
      </c>
    </row>
    <row r="49" spans="1:9">
      <c r="A49" s="5">
        <v>10560</v>
      </c>
      <c r="B49" s="7" t="s">
        <v>105</v>
      </c>
      <c r="C49" s="6"/>
      <c r="D49" s="6" t="s">
        <v>106</v>
      </c>
      <c r="E49" s="8">
        <v>41861</v>
      </c>
      <c r="F49" s="6"/>
      <c r="G49" s="6" t="s">
        <v>107</v>
      </c>
      <c r="H49" s="6"/>
      <c r="I49">
        <v>2011</v>
      </c>
    </row>
    <row r="50" spans="1:9">
      <c r="A50" s="5">
        <v>1000</v>
      </c>
      <c r="B50" s="7" t="s">
        <v>108</v>
      </c>
      <c r="C50" s="6"/>
      <c r="D50" s="6" t="s">
        <v>85</v>
      </c>
      <c r="E50" s="8">
        <v>41769</v>
      </c>
      <c r="F50" s="6"/>
      <c r="G50" s="6" t="s">
        <v>87</v>
      </c>
      <c r="H50" s="6"/>
      <c r="I50">
        <v>2010</v>
      </c>
    </row>
    <row r="51" spans="1:9">
      <c r="A51" s="5">
        <v>12750</v>
      </c>
      <c r="B51" s="7" t="s">
        <v>109</v>
      </c>
      <c r="C51" s="6"/>
      <c r="D51" s="6" t="s">
        <v>13</v>
      </c>
      <c r="E51" s="6" t="s">
        <v>110</v>
      </c>
      <c r="F51" s="6"/>
      <c r="G51" s="6" t="s">
        <v>104</v>
      </c>
      <c r="I51">
        <v>2010</v>
      </c>
    </row>
    <row r="52" spans="1:9">
      <c r="A52" s="6">
        <v>450</v>
      </c>
      <c r="B52" s="7" t="s">
        <v>111</v>
      </c>
      <c r="C52" s="6"/>
      <c r="D52" s="6" t="s">
        <v>16</v>
      </c>
      <c r="E52" s="8">
        <v>41708</v>
      </c>
      <c r="F52" s="6"/>
      <c r="G52" s="6" t="s">
        <v>17</v>
      </c>
      <c r="H52" s="6"/>
      <c r="I52">
        <v>2010</v>
      </c>
    </row>
    <row r="53" spans="1:9">
      <c r="A53" s="9">
        <v>167000</v>
      </c>
      <c r="B53" s="10" t="s">
        <v>112</v>
      </c>
      <c r="C53" s="11"/>
      <c r="D53" s="11" t="s">
        <v>85</v>
      </c>
      <c r="E53" s="11" t="s">
        <v>113</v>
      </c>
      <c r="F53" s="11"/>
      <c r="G53" s="11" t="s">
        <v>114</v>
      </c>
      <c r="H53" s="11"/>
      <c r="I53">
        <v>2010</v>
      </c>
    </row>
    <row r="54" spans="1:9">
      <c r="A54" s="9">
        <v>4000</v>
      </c>
      <c r="B54" s="10" t="s">
        <v>115</v>
      </c>
      <c r="C54" s="11"/>
      <c r="D54" s="11" t="s">
        <v>116</v>
      </c>
      <c r="E54" s="11" t="s">
        <v>117</v>
      </c>
      <c r="F54" s="11"/>
      <c r="G54" s="11" t="s">
        <v>118</v>
      </c>
      <c r="H54" s="11"/>
      <c r="I54">
        <v>2010</v>
      </c>
    </row>
    <row r="55" spans="1:9">
      <c r="A55" s="9">
        <v>20000</v>
      </c>
      <c r="B55" s="10" t="s">
        <v>119</v>
      </c>
      <c r="C55" s="11"/>
      <c r="D55" s="11" t="s">
        <v>120</v>
      </c>
      <c r="E55" s="11" t="s">
        <v>121</v>
      </c>
      <c r="F55" s="11"/>
      <c r="G55" s="11" t="s">
        <v>34</v>
      </c>
      <c r="H55" s="11"/>
      <c r="I55">
        <v>2010</v>
      </c>
    </row>
    <row r="56" spans="1:9">
      <c r="A56" s="11">
        <v>800</v>
      </c>
      <c r="B56" s="10" t="s">
        <v>122</v>
      </c>
      <c r="C56" s="11"/>
      <c r="D56" s="11" t="s">
        <v>72</v>
      </c>
      <c r="E56" s="12">
        <v>41982</v>
      </c>
      <c r="F56" s="11"/>
      <c r="G56" s="11" t="s">
        <v>123</v>
      </c>
      <c r="H56" s="11"/>
      <c r="I56">
        <v>2010</v>
      </c>
    </row>
    <row r="57" spans="1:9">
      <c r="A57" s="9">
        <v>133350</v>
      </c>
      <c r="B57" s="10" t="s">
        <v>124</v>
      </c>
      <c r="C57" s="11"/>
      <c r="D57" s="11" t="s">
        <v>85</v>
      </c>
      <c r="E57" s="11" t="s">
        <v>125</v>
      </c>
      <c r="F57" s="11"/>
      <c r="G57" s="11" t="s">
        <v>114</v>
      </c>
      <c r="H57" s="11"/>
      <c r="I57">
        <v>2010</v>
      </c>
    </row>
    <row r="58" spans="1:9">
      <c r="A58" s="11">
        <v>250</v>
      </c>
      <c r="B58" s="10" t="s">
        <v>126</v>
      </c>
      <c r="C58" s="11"/>
      <c r="D58" s="11" t="s">
        <v>85</v>
      </c>
      <c r="E58" s="12">
        <v>41982</v>
      </c>
      <c r="F58" s="11"/>
      <c r="G58" s="11" t="s">
        <v>87</v>
      </c>
      <c r="H58" s="11"/>
      <c r="I58">
        <v>2010</v>
      </c>
    </row>
    <row r="59" spans="1:9">
      <c r="A59" s="11">
        <v>150</v>
      </c>
      <c r="B59" s="10" t="s">
        <v>127</v>
      </c>
      <c r="C59" s="11"/>
      <c r="D59" s="11" t="s">
        <v>16</v>
      </c>
      <c r="E59" s="12">
        <v>41982</v>
      </c>
      <c r="F59" s="11"/>
      <c r="G59" s="11" t="s">
        <v>17</v>
      </c>
      <c r="H59" s="11"/>
      <c r="I59">
        <v>2010</v>
      </c>
    </row>
    <row r="60" spans="1:9">
      <c r="A60" s="9">
        <v>20000</v>
      </c>
      <c r="B60" s="10" t="s">
        <v>128</v>
      </c>
      <c r="C60" s="11"/>
      <c r="D60" s="11" t="s">
        <v>129</v>
      </c>
      <c r="E60" s="12">
        <v>41952</v>
      </c>
      <c r="F60" s="11"/>
      <c r="G60" s="11" t="s">
        <v>50</v>
      </c>
      <c r="H60" s="11"/>
      <c r="I60">
        <v>2010</v>
      </c>
    </row>
    <row r="61" spans="1:9">
      <c r="A61" s="9">
        <v>40000</v>
      </c>
      <c r="B61" s="10" t="s">
        <v>130</v>
      </c>
      <c r="C61" s="11"/>
      <c r="D61" s="11" t="s">
        <v>106</v>
      </c>
      <c r="E61" s="12">
        <v>41952</v>
      </c>
      <c r="F61" s="11"/>
      <c r="G61" s="11" t="s">
        <v>50</v>
      </c>
      <c r="H61" s="11"/>
      <c r="I61">
        <v>2010</v>
      </c>
    </row>
    <row r="62" spans="1:9">
      <c r="A62" s="11">
        <v>650</v>
      </c>
      <c r="B62" s="10" t="s">
        <v>131</v>
      </c>
      <c r="C62" s="11"/>
      <c r="D62" s="11" t="s">
        <v>24</v>
      </c>
      <c r="E62" s="11" t="s">
        <v>132</v>
      </c>
      <c r="F62" s="11"/>
      <c r="G62" s="11" t="s">
        <v>133</v>
      </c>
      <c r="H62" s="11"/>
      <c r="I62">
        <v>2010</v>
      </c>
    </row>
    <row r="63" spans="1:9">
      <c r="A63" s="11">
        <v>300</v>
      </c>
      <c r="B63" s="10" t="s">
        <v>90</v>
      </c>
      <c r="C63" s="11"/>
      <c r="D63" s="11" t="s">
        <v>16</v>
      </c>
      <c r="E63" s="12">
        <v>41952</v>
      </c>
      <c r="F63" s="11"/>
      <c r="G63" s="11" t="s">
        <v>27</v>
      </c>
      <c r="H63" s="11"/>
      <c r="I63">
        <v>2010</v>
      </c>
    </row>
    <row r="64" spans="1:9">
      <c r="A64" s="9">
        <v>1500</v>
      </c>
      <c r="B64" s="10" t="s">
        <v>134</v>
      </c>
      <c r="C64" s="11"/>
      <c r="D64" s="11" t="s">
        <v>135</v>
      </c>
      <c r="E64" s="12">
        <v>41921</v>
      </c>
      <c r="F64" s="11"/>
      <c r="G64" s="11" t="s">
        <v>136</v>
      </c>
      <c r="H64" s="11"/>
      <c r="I64">
        <v>2010</v>
      </c>
    </row>
    <row r="65" spans="1:9">
      <c r="A65" s="9">
        <v>2000</v>
      </c>
      <c r="B65" s="10" t="s">
        <v>137</v>
      </c>
      <c r="C65" s="11"/>
      <c r="D65" s="11" t="s">
        <v>135</v>
      </c>
      <c r="E65" s="11" t="s">
        <v>138</v>
      </c>
      <c r="F65" s="11"/>
      <c r="G65" s="11" t="s">
        <v>104</v>
      </c>
      <c r="H65" s="11"/>
      <c r="I65">
        <v>2010</v>
      </c>
    </row>
    <row r="66" spans="1:9">
      <c r="A66" s="9">
        <v>13450</v>
      </c>
      <c r="B66" s="10" t="s">
        <v>139</v>
      </c>
      <c r="C66" s="11"/>
      <c r="D66" s="11" t="s">
        <v>13</v>
      </c>
      <c r="E66" s="11" t="s">
        <v>140</v>
      </c>
      <c r="F66" s="11"/>
      <c r="G66" s="11" t="s">
        <v>141</v>
      </c>
      <c r="H66" s="11"/>
      <c r="I66">
        <v>2010</v>
      </c>
    </row>
    <row r="67" spans="1:9">
      <c r="A67" s="9">
        <v>40000</v>
      </c>
      <c r="B67" s="10" t="s">
        <v>142</v>
      </c>
      <c r="C67" s="11"/>
      <c r="D67" s="11" t="s">
        <v>13</v>
      </c>
      <c r="E67" s="11" t="s">
        <v>143</v>
      </c>
      <c r="F67" s="11"/>
      <c r="G67" s="11" t="s">
        <v>50</v>
      </c>
      <c r="H67" s="11"/>
      <c r="I67">
        <v>2010</v>
      </c>
    </row>
    <row r="68" spans="1:9">
      <c r="A68" s="9">
        <v>40000</v>
      </c>
      <c r="B68" s="10" t="s">
        <v>144</v>
      </c>
      <c r="C68" s="11"/>
      <c r="D68" s="11" t="s">
        <v>135</v>
      </c>
      <c r="E68" s="11" t="s">
        <v>145</v>
      </c>
      <c r="F68" s="11"/>
      <c r="G68" s="11" t="s">
        <v>50</v>
      </c>
      <c r="H68" s="11"/>
      <c r="I68">
        <v>2010</v>
      </c>
    </row>
    <row r="69" spans="1:9">
      <c r="A69" s="9">
        <v>6550</v>
      </c>
      <c r="B69" s="10" t="s">
        <v>146</v>
      </c>
      <c r="C69" s="11"/>
      <c r="D69" s="11" t="s">
        <v>13</v>
      </c>
      <c r="E69" s="11" t="s">
        <v>145</v>
      </c>
      <c r="F69" s="11"/>
      <c r="G69" s="11" t="s">
        <v>104</v>
      </c>
      <c r="H69" s="11"/>
      <c r="I69">
        <v>2010</v>
      </c>
    </row>
    <row r="70" spans="1:9">
      <c r="A70" s="6">
        <v>600</v>
      </c>
      <c r="B70" s="7" t="s">
        <v>90</v>
      </c>
      <c r="C70" s="6"/>
      <c r="D70" s="6" t="s">
        <v>16</v>
      </c>
      <c r="E70" s="8">
        <v>41860</v>
      </c>
      <c r="F70" s="6"/>
      <c r="G70" s="6" t="s">
        <v>27</v>
      </c>
      <c r="H70" s="6"/>
      <c r="I70">
        <v>2010</v>
      </c>
    </row>
    <row r="71" spans="1:9">
      <c r="A71" s="9">
        <v>40000</v>
      </c>
      <c r="B71" s="10" t="s">
        <v>147</v>
      </c>
      <c r="C71" s="11"/>
      <c r="D71" s="11" t="s">
        <v>16</v>
      </c>
      <c r="E71" s="12">
        <v>41829</v>
      </c>
      <c r="F71" s="11"/>
      <c r="G71" s="11" t="s">
        <v>148</v>
      </c>
      <c r="H71" s="11"/>
      <c r="I71">
        <v>2010</v>
      </c>
    </row>
    <row r="72" spans="1:9">
      <c r="A72" s="9">
        <v>4000</v>
      </c>
      <c r="B72" s="10" t="s">
        <v>149</v>
      </c>
      <c r="C72" s="11"/>
      <c r="D72" s="11" t="s">
        <v>106</v>
      </c>
      <c r="E72" s="11" t="s">
        <v>150</v>
      </c>
      <c r="F72" s="11"/>
      <c r="G72" s="11" t="s">
        <v>107</v>
      </c>
      <c r="H72" s="11"/>
      <c r="I72">
        <v>2010</v>
      </c>
    </row>
    <row r="73" spans="1:9">
      <c r="A73" s="9">
        <v>16000</v>
      </c>
      <c r="B73" s="10" t="s">
        <v>151</v>
      </c>
      <c r="C73" s="11"/>
      <c r="D73" s="11" t="s">
        <v>152</v>
      </c>
      <c r="E73" s="11" t="s">
        <v>153</v>
      </c>
      <c r="F73" s="11"/>
      <c r="G73" s="11" t="s">
        <v>154</v>
      </c>
      <c r="H73" s="11"/>
      <c r="I73">
        <v>2009</v>
      </c>
    </row>
    <row r="74" spans="1:9">
      <c r="A74" s="9">
        <v>2000</v>
      </c>
      <c r="B74" s="10" t="s">
        <v>155</v>
      </c>
      <c r="C74" s="11"/>
      <c r="D74" s="11" t="s">
        <v>156</v>
      </c>
      <c r="E74" s="11" t="s">
        <v>157</v>
      </c>
      <c r="F74" s="11"/>
      <c r="G74" s="11" t="s">
        <v>158</v>
      </c>
      <c r="H74" s="11"/>
      <c r="I74">
        <v>2009</v>
      </c>
    </row>
    <row r="75" spans="1:9">
      <c r="A75" s="9">
        <v>2000</v>
      </c>
      <c r="B75" s="10" t="s">
        <v>159</v>
      </c>
      <c r="C75" s="11"/>
      <c r="D75" s="11" t="s">
        <v>16</v>
      </c>
      <c r="E75" s="12">
        <v>41679</v>
      </c>
      <c r="F75" s="11"/>
      <c r="G75" s="11" t="s">
        <v>160</v>
      </c>
      <c r="H75" s="11"/>
      <c r="I75">
        <v>2009</v>
      </c>
    </row>
    <row r="76" spans="1:9">
      <c r="A76" s="9">
        <v>1000</v>
      </c>
      <c r="B76" s="10" t="s">
        <v>54</v>
      </c>
      <c r="C76" s="11"/>
      <c r="D76" s="11" t="s">
        <v>16</v>
      </c>
      <c r="E76" s="12">
        <v>41679</v>
      </c>
      <c r="F76" s="11"/>
      <c r="G76" s="11" t="s">
        <v>56</v>
      </c>
      <c r="H76" s="11"/>
      <c r="I76">
        <v>2009</v>
      </c>
    </row>
    <row r="77" spans="1:9">
      <c r="A77" s="9">
        <v>1000</v>
      </c>
      <c r="B77" s="10" t="s">
        <v>161</v>
      </c>
      <c r="C77" s="11"/>
      <c r="D77" s="11" t="s">
        <v>52</v>
      </c>
      <c r="E77" s="12">
        <v>41679</v>
      </c>
      <c r="F77" s="11"/>
      <c r="G77" s="11" t="s">
        <v>162</v>
      </c>
      <c r="H77" s="11"/>
      <c r="I77">
        <v>2009</v>
      </c>
    </row>
    <row r="78" spans="1:9">
      <c r="A78" s="11">
        <v>800</v>
      </c>
      <c r="B78" s="10" t="s">
        <v>163</v>
      </c>
      <c r="C78" s="11"/>
      <c r="D78" s="11" t="s">
        <v>164</v>
      </c>
      <c r="E78" s="12">
        <v>41679</v>
      </c>
      <c r="F78" s="11"/>
      <c r="G78" s="11" t="s">
        <v>34</v>
      </c>
      <c r="H78" s="11"/>
      <c r="I78">
        <v>2009</v>
      </c>
    </row>
    <row r="79" spans="1:9">
      <c r="A79" s="11">
        <v>500</v>
      </c>
      <c r="B79" s="10" t="s">
        <v>165</v>
      </c>
      <c r="C79" s="11"/>
      <c r="D79" s="11" t="s">
        <v>42</v>
      </c>
      <c r="E79" s="11" t="s">
        <v>166</v>
      </c>
      <c r="F79" s="11"/>
      <c r="G79" s="11"/>
      <c r="H79" s="11"/>
      <c r="I79">
        <v>2009</v>
      </c>
    </row>
    <row r="80" spans="1:9">
      <c r="A80" s="9">
        <v>10200</v>
      </c>
      <c r="B80" s="10" t="s">
        <v>167</v>
      </c>
      <c r="C80" s="11"/>
      <c r="D80" s="11" t="s">
        <v>16</v>
      </c>
      <c r="E80" s="11" t="s">
        <v>168</v>
      </c>
      <c r="F80" s="11"/>
      <c r="G80" s="11" t="s">
        <v>148</v>
      </c>
      <c r="H80" s="11"/>
      <c r="I80">
        <v>2009</v>
      </c>
    </row>
    <row r="81" spans="1:9">
      <c r="A81" s="11">
        <v>400</v>
      </c>
      <c r="B81" s="10" t="s">
        <v>90</v>
      </c>
      <c r="C81" s="11"/>
      <c r="D81" s="11" t="s">
        <v>16</v>
      </c>
      <c r="E81" s="12">
        <v>41951</v>
      </c>
      <c r="F81" s="11"/>
      <c r="G81" s="11" t="s">
        <v>27</v>
      </c>
      <c r="H81" s="11"/>
      <c r="I81">
        <v>2009</v>
      </c>
    </row>
    <row r="82" spans="1:9">
      <c r="A82" s="11">
        <v>500</v>
      </c>
      <c r="B82" s="10" t="s">
        <v>15</v>
      </c>
      <c r="C82" s="11"/>
      <c r="D82" s="11" t="s">
        <v>16</v>
      </c>
      <c r="E82" s="12">
        <v>41890</v>
      </c>
      <c r="F82" s="11"/>
      <c r="G82" s="11" t="s">
        <v>17</v>
      </c>
      <c r="H82" s="11"/>
      <c r="I82">
        <v>2009</v>
      </c>
    </row>
    <row r="83" spans="1:9">
      <c r="A83" s="9">
        <v>8000</v>
      </c>
      <c r="B83" s="10" t="s">
        <v>169</v>
      </c>
      <c r="C83" s="11"/>
      <c r="D83" s="11" t="s">
        <v>52</v>
      </c>
      <c r="E83" s="11" t="s">
        <v>170</v>
      </c>
      <c r="F83" s="11"/>
      <c r="G83" s="11" t="s">
        <v>171</v>
      </c>
      <c r="H83" s="11"/>
      <c r="I83">
        <v>2009</v>
      </c>
    </row>
    <row r="84" spans="1:9">
      <c r="A84" s="9">
        <v>3750</v>
      </c>
      <c r="B84" s="10" t="s">
        <v>172</v>
      </c>
      <c r="C84" s="11"/>
      <c r="D84" s="11" t="s">
        <v>135</v>
      </c>
      <c r="E84" s="11" t="s">
        <v>173</v>
      </c>
      <c r="F84" s="11"/>
      <c r="G84" s="11" t="s">
        <v>174</v>
      </c>
      <c r="H84" s="11"/>
      <c r="I84">
        <v>2009</v>
      </c>
    </row>
    <row r="85" spans="1:9">
      <c r="A85" s="9">
        <v>3750</v>
      </c>
      <c r="B85" s="10" t="s">
        <v>175</v>
      </c>
      <c r="C85" s="11"/>
      <c r="D85" s="11" t="s">
        <v>36</v>
      </c>
      <c r="E85" s="11" t="s">
        <v>173</v>
      </c>
      <c r="F85" s="11"/>
      <c r="G85" s="11" t="s">
        <v>174</v>
      </c>
      <c r="H85" s="11"/>
      <c r="I85">
        <v>2009</v>
      </c>
    </row>
    <row r="86" spans="1:9">
      <c r="A86" s="11">
        <v>400</v>
      </c>
      <c r="B86" s="10" t="s">
        <v>176</v>
      </c>
      <c r="C86" s="11"/>
      <c r="D86" s="11" t="s">
        <v>52</v>
      </c>
      <c r="E86" s="11" t="s">
        <v>173</v>
      </c>
      <c r="F86" s="11"/>
      <c r="G86" s="11" t="s">
        <v>177</v>
      </c>
      <c r="H86" s="11"/>
      <c r="I86">
        <v>2009</v>
      </c>
    </row>
    <row r="87" spans="1:9">
      <c r="A87" s="9">
        <v>19300</v>
      </c>
      <c r="B87" s="10" t="s">
        <v>178</v>
      </c>
      <c r="C87" s="11"/>
      <c r="D87" s="11" t="s">
        <v>7</v>
      </c>
      <c r="E87" s="11" t="s">
        <v>173</v>
      </c>
      <c r="F87" s="11"/>
      <c r="G87" s="11" t="s">
        <v>64</v>
      </c>
      <c r="H87" s="11"/>
      <c r="I87">
        <v>2009</v>
      </c>
    </row>
    <row r="88" spans="1:9">
      <c r="A88" s="11">
        <v>300</v>
      </c>
      <c r="B88" s="10" t="s">
        <v>179</v>
      </c>
      <c r="C88" s="11"/>
      <c r="D88" s="11" t="s">
        <v>16</v>
      </c>
      <c r="E88" s="12">
        <v>41859</v>
      </c>
      <c r="F88" s="11"/>
      <c r="G88" s="11" t="s">
        <v>104</v>
      </c>
      <c r="H88" s="11"/>
      <c r="I88">
        <v>2009</v>
      </c>
    </row>
    <row r="89" spans="1:9">
      <c r="A89" s="9">
        <v>20000</v>
      </c>
      <c r="B89" s="10" t="s">
        <v>180</v>
      </c>
      <c r="C89" s="11"/>
      <c r="D89" s="11" t="s">
        <v>29</v>
      </c>
      <c r="E89" s="11" t="s">
        <v>181</v>
      </c>
      <c r="F89" s="11"/>
      <c r="G89" s="11" t="s">
        <v>50</v>
      </c>
      <c r="H89" s="11"/>
      <c r="I89">
        <v>2009</v>
      </c>
    </row>
    <row r="90" spans="1:9">
      <c r="A90" s="9">
        <v>4000</v>
      </c>
      <c r="B90" s="10" t="s">
        <v>139</v>
      </c>
      <c r="C90" s="11"/>
      <c r="D90" s="11" t="s">
        <v>13</v>
      </c>
      <c r="E90" s="11" t="s">
        <v>181</v>
      </c>
      <c r="F90" s="11"/>
      <c r="G90" s="11" t="s">
        <v>182</v>
      </c>
      <c r="H90" s="11"/>
      <c r="I90">
        <v>2009</v>
      </c>
    </row>
    <row r="91" spans="1:9">
      <c r="A91" s="9">
        <v>3200</v>
      </c>
      <c r="B91" s="10" t="s">
        <v>183</v>
      </c>
      <c r="C91" s="11"/>
      <c r="D91" s="11" t="s">
        <v>52</v>
      </c>
      <c r="E91" s="11" t="s">
        <v>184</v>
      </c>
      <c r="F91" s="11"/>
      <c r="G91" s="11" t="s">
        <v>185</v>
      </c>
      <c r="H91" s="11"/>
      <c r="I91">
        <v>2008</v>
      </c>
    </row>
    <row r="92" spans="1:9">
      <c r="A92" s="9">
        <v>12000</v>
      </c>
      <c r="B92" s="10" t="s">
        <v>186</v>
      </c>
      <c r="C92" s="11"/>
      <c r="D92" s="11" t="s">
        <v>52</v>
      </c>
      <c r="E92" s="11" t="s">
        <v>184</v>
      </c>
      <c r="F92" s="11"/>
      <c r="G92" s="11" t="s">
        <v>187</v>
      </c>
      <c r="H92" s="11"/>
      <c r="I92">
        <v>2008</v>
      </c>
    </row>
    <row r="93" spans="1:9">
      <c r="A93" s="9">
        <v>4700</v>
      </c>
      <c r="B93" s="10" t="s">
        <v>188</v>
      </c>
      <c r="C93" s="11"/>
      <c r="D93" s="11" t="s">
        <v>16</v>
      </c>
      <c r="E93" s="12">
        <v>41798</v>
      </c>
      <c r="F93" s="11"/>
      <c r="G93" s="11" t="s">
        <v>189</v>
      </c>
      <c r="H93" s="11"/>
      <c r="I93">
        <v>2008</v>
      </c>
    </row>
    <row r="94" spans="1:9">
      <c r="A94" s="11">
        <v>500</v>
      </c>
      <c r="B94" s="10" t="s">
        <v>190</v>
      </c>
      <c r="C94" s="11"/>
      <c r="D94" s="11" t="s">
        <v>85</v>
      </c>
      <c r="E94" s="12">
        <v>41767</v>
      </c>
      <c r="F94" s="11"/>
      <c r="G94" s="11" t="s">
        <v>191</v>
      </c>
      <c r="H94" s="11"/>
      <c r="I94">
        <v>2008</v>
      </c>
    </row>
    <row r="95" spans="1:9">
      <c r="A95" s="9">
        <v>9500</v>
      </c>
      <c r="B95" s="10" t="s">
        <v>192</v>
      </c>
      <c r="C95" s="11"/>
      <c r="D95" s="11" t="s">
        <v>193</v>
      </c>
      <c r="E95" s="11" t="s">
        <v>194</v>
      </c>
      <c r="F95" s="11"/>
      <c r="G95" s="11" t="s">
        <v>195</v>
      </c>
      <c r="H95" s="11"/>
      <c r="I95">
        <v>2008</v>
      </c>
    </row>
    <row r="96" spans="1:9">
      <c r="A96" s="9">
        <v>20000</v>
      </c>
      <c r="B96" s="10" t="s">
        <v>196</v>
      </c>
      <c r="C96" s="11"/>
      <c r="D96" s="11" t="s">
        <v>197</v>
      </c>
      <c r="E96" s="11" t="s">
        <v>198</v>
      </c>
      <c r="F96" s="11"/>
      <c r="G96" s="11" t="s">
        <v>199</v>
      </c>
      <c r="H96" s="11"/>
      <c r="I96">
        <v>2008</v>
      </c>
    </row>
    <row r="97" spans="1:9">
      <c r="A97" s="11">
        <v>100</v>
      </c>
      <c r="B97" s="10" t="s">
        <v>15</v>
      </c>
      <c r="C97" s="11"/>
      <c r="D97" s="11" t="s">
        <v>16</v>
      </c>
      <c r="E97" s="12">
        <v>41706</v>
      </c>
      <c r="F97" s="11"/>
      <c r="G97" s="13"/>
      <c r="H97" s="13"/>
      <c r="I97">
        <v>2008</v>
      </c>
    </row>
    <row r="98" spans="1:9">
      <c r="A98" s="9">
        <v>2000</v>
      </c>
      <c r="B98" s="10" t="s">
        <v>200</v>
      </c>
      <c r="C98" s="11"/>
      <c r="D98" s="11" t="s">
        <v>16</v>
      </c>
      <c r="E98" s="12">
        <v>41678</v>
      </c>
      <c r="F98" s="11"/>
      <c r="G98" s="11" t="s">
        <v>201</v>
      </c>
      <c r="H98" s="11"/>
      <c r="I98">
        <v>2008</v>
      </c>
    </row>
    <row r="99" spans="1:9">
      <c r="A99" s="9">
        <v>12000</v>
      </c>
      <c r="B99" s="10" t="s">
        <v>202</v>
      </c>
      <c r="C99" s="11"/>
      <c r="D99" s="11" t="s">
        <v>85</v>
      </c>
      <c r="E99" s="11" t="s">
        <v>203</v>
      </c>
      <c r="F99" s="11"/>
      <c r="G99" s="11" t="s">
        <v>204</v>
      </c>
      <c r="H99" s="11"/>
      <c r="I99">
        <v>2008</v>
      </c>
    </row>
    <row r="100" spans="1:9">
      <c r="A100" s="9">
        <v>10000</v>
      </c>
      <c r="B100" s="10" t="s">
        <v>205</v>
      </c>
      <c r="C100" s="11"/>
      <c r="D100" s="11" t="s">
        <v>193</v>
      </c>
      <c r="E100" s="11" t="s">
        <v>206</v>
      </c>
      <c r="F100" s="11"/>
      <c r="G100" s="11" t="s">
        <v>50</v>
      </c>
      <c r="H100" s="11"/>
      <c r="I100">
        <v>2008</v>
      </c>
    </row>
    <row r="101" spans="1:9">
      <c r="A101" s="9">
        <v>2300</v>
      </c>
      <c r="B101" s="10" t="s">
        <v>54</v>
      </c>
      <c r="C101" s="11"/>
      <c r="D101" s="11" t="s">
        <v>16</v>
      </c>
      <c r="E101" s="11" t="s">
        <v>207</v>
      </c>
      <c r="F101" s="11"/>
      <c r="G101" s="11" t="s">
        <v>56</v>
      </c>
      <c r="H101" s="11"/>
      <c r="I101">
        <v>2008</v>
      </c>
    </row>
    <row r="102" spans="1:9">
      <c r="A102" s="11">
        <v>900</v>
      </c>
      <c r="B102" s="10" t="s">
        <v>208</v>
      </c>
      <c r="C102" s="11"/>
      <c r="D102" s="11" t="s">
        <v>16</v>
      </c>
      <c r="E102" s="11" t="s">
        <v>207</v>
      </c>
      <c r="F102" s="11"/>
      <c r="G102" s="11" t="s">
        <v>209</v>
      </c>
      <c r="H102" s="11"/>
      <c r="I102">
        <v>2008</v>
      </c>
    </row>
    <row r="103" spans="1:9">
      <c r="A103" s="9">
        <v>5700</v>
      </c>
      <c r="B103" s="10" t="s">
        <v>210</v>
      </c>
      <c r="C103" s="11"/>
      <c r="D103" s="11" t="s">
        <v>72</v>
      </c>
      <c r="E103" s="11" t="s">
        <v>211</v>
      </c>
      <c r="F103" s="11"/>
      <c r="G103" s="11" t="s">
        <v>95</v>
      </c>
      <c r="H103" s="11"/>
      <c r="I103">
        <v>2008</v>
      </c>
    </row>
    <row r="104" spans="1:9">
      <c r="A104" s="11">
        <v>240</v>
      </c>
      <c r="B104" s="10" t="s">
        <v>212</v>
      </c>
      <c r="C104" s="11"/>
      <c r="D104" s="11" t="s">
        <v>152</v>
      </c>
      <c r="E104" s="11" t="s">
        <v>213</v>
      </c>
      <c r="F104" s="11"/>
      <c r="G104" s="11" t="s">
        <v>214</v>
      </c>
      <c r="H104" s="11"/>
      <c r="I104">
        <v>2008</v>
      </c>
    </row>
    <row r="105" spans="1:9">
      <c r="A105" s="11">
        <v>960</v>
      </c>
      <c r="B105" s="10" t="s">
        <v>215</v>
      </c>
      <c r="C105" s="11"/>
      <c r="D105" s="11" t="s">
        <v>152</v>
      </c>
      <c r="E105" s="11" t="s">
        <v>211</v>
      </c>
      <c r="F105" s="11"/>
      <c r="G105" s="11" t="s">
        <v>216</v>
      </c>
      <c r="H105" s="11"/>
      <c r="I105">
        <v>2008</v>
      </c>
    </row>
    <row r="106" spans="1:9">
      <c r="A106" s="9">
        <v>6700</v>
      </c>
      <c r="B106" s="10" t="s">
        <v>217</v>
      </c>
      <c r="C106" s="11"/>
      <c r="D106" s="11" t="s">
        <v>72</v>
      </c>
      <c r="E106" s="11" t="s">
        <v>211</v>
      </c>
      <c r="F106" s="11"/>
      <c r="G106" s="11" t="s">
        <v>50</v>
      </c>
      <c r="H106" s="11"/>
      <c r="I106">
        <v>2008</v>
      </c>
    </row>
    <row r="107" spans="1:9">
      <c r="A107" s="9">
        <v>10000</v>
      </c>
      <c r="B107" s="10" t="s">
        <v>218</v>
      </c>
      <c r="C107" s="11"/>
      <c r="D107" s="11" t="s">
        <v>16</v>
      </c>
      <c r="E107" s="11" t="s">
        <v>211</v>
      </c>
      <c r="F107" s="11"/>
      <c r="G107" s="11" t="s">
        <v>50</v>
      </c>
      <c r="H107" s="11"/>
      <c r="I107">
        <v>2008</v>
      </c>
    </row>
    <row r="108" spans="1:9">
      <c r="A108" s="9">
        <v>4500</v>
      </c>
      <c r="B108" s="10" t="s">
        <v>219</v>
      </c>
      <c r="C108" s="11"/>
      <c r="D108" s="11" t="s">
        <v>16</v>
      </c>
      <c r="E108" s="11" t="s">
        <v>211</v>
      </c>
      <c r="F108" s="11"/>
      <c r="G108" s="11" t="s">
        <v>50</v>
      </c>
      <c r="H108" s="11"/>
      <c r="I108">
        <v>2008</v>
      </c>
    </row>
    <row r="109" spans="1:9">
      <c r="A109" s="9">
        <v>4200</v>
      </c>
      <c r="B109" s="10" t="s">
        <v>220</v>
      </c>
      <c r="C109" s="11"/>
      <c r="D109" s="11" t="s">
        <v>72</v>
      </c>
      <c r="E109" s="11" t="s">
        <v>211</v>
      </c>
      <c r="F109" s="11"/>
      <c r="G109" s="11" t="s">
        <v>221</v>
      </c>
      <c r="H109" s="11"/>
      <c r="I109">
        <v>2008</v>
      </c>
    </row>
    <row r="110" spans="1:9">
      <c r="A110" s="9">
        <v>8400</v>
      </c>
      <c r="B110" s="10" t="s">
        <v>222</v>
      </c>
      <c r="C110" s="11"/>
      <c r="D110" s="11" t="s">
        <v>16</v>
      </c>
      <c r="E110" s="11" t="s">
        <v>211</v>
      </c>
      <c r="F110" s="11"/>
      <c r="G110" s="11" t="s">
        <v>189</v>
      </c>
      <c r="H110" s="11"/>
      <c r="I110">
        <v>2008</v>
      </c>
    </row>
    <row r="111" spans="1:9">
      <c r="A111" s="9">
        <v>10000</v>
      </c>
      <c r="B111" s="10" t="s">
        <v>223</v>
      </c>
      <c r="C111" s="11"/>
      <c r="D111" s="11" t="s">
        <v>152</v>
      </c>
      <c r="E111" s="11" t="s">
        <v>213</v>
      </c>
      <c r="F111" s="11"/>
      <c r="G111" s="11" t="s">
        <v>224</v>
      </c>
      <c r="H111" s="11"/>
      <c r="I111">
        <v>2008</v>
      </c>
    </row>
    <row r="112" spans="1:9">
      <c r="A112" s="9">
        <v>10000</v>
      </c>
      <c r="B112" s="10" t="s">
        <v>225</v>
      </c>
      <c r="C112" s="11"/>
      <c r="D112" s="11" t="s">
        <v>11</v>
      </c>
      <c r="E112" s="11" t="s">
        <v>226</v>
      </c>
      <c r="F112" s="11"/>
      <c r="G112" s="11" t="s">
        <v>227</v>
      </c>
      <c r="H112" s="11"/>
      <c r="I112">
        <v>2008</v>
      </c>
    </row>
    <row r="113" spans="1:9">
      <c r="A113" s="9">
        <v>3500</v>
      </c>
      <c r="B113" s="10" t="s">
        <v>228</v>
      </c>
      <c r="C113" s="11"/>
      <c r="D113" s="11" t="s">
        <v>229</v>
      </c>
      <c r="E113" s="11" t="s">
        <v>230</v>
      </c>
      <c r="F113" s="11"/>
      <c r="G113" s="11" t="s">
        <v>231</v>
      </c>
      <c r="H113" s="11"/>
      <c r="I113">
        <v>2008</v>
      </c>
    </row>
    <row r="114" spans="1:9">
      <c r="A114" s="11">
        <v>150</v>
      </c>
      <c r="B114" s="10" t="s">
        <v>232</v>
      </c>
      <c r="C114" s="11"/>
      <c r="D114" s="11" t="s">
        <v>233</v>
      </c>
      <c r="E114" s="11" t="s">
        <v>230</v>
      </c>
      <c r="F114" s="11"/>
      <c r="G114" s="11" t="s">
        <v>234</v>
      </c>
      <c r="H114" s="11"/>
      <c r="I114">
        <v>2008</v>
      </c>
    </row>
    <row r="115" spans="1:9">
      <c r="A115" s="9">
        <v>10000</v>
      </c>
      <c r="B115" s="10" t="s">
        <v>235</v>
      </c>
      <c r="C115" s="11"/>
      <c r="D115" s="11" t="s">
        <v>236</v>
      </c>
      <c r="E115" s="11" t="s">
        <v>237</v>
      </c>
      <c r="F115" s="11"/>
      <c r="G115" s="11" t="s">
        <v>148</v>
      </c>
      <c r="H115" s="11"/>
      <c r="I115">
        <v>2008</v>
      </c>
    </row>
    <row r="116" spans="1:9">
      <c r="A116" s="9">
        <v>4000</v>
      </c>
      <c r="B116" s="10" t="s">
        <v>238</v>
      </c>
      <c r="C116" s="11"/>
      <c r="D116" s="11" t="s">
        <v>16</v>
      </c>
      <c r="E116" s="11" t="s">
        <v>237</v>
      </c>
      <c r="F116" s="11"/>
      <c r="G116" s="11" t="s">
        <v>148</v>
      </c>
      <c r="H116" s="11"/>
      <c r="I116">
        <v>2008</v>
      </c>
    </row>
    <row r="117" spans="1:9">
      <c r="A117" s="9">
        <v>2020</v>
      </c>
      <c r="B117" s="10" t="s">
        <v>239</v>
      </c>
      <c r="C117" s="11"/>
      <c r="D117" s="11" t="s">
        <v>24</v>
      </c>
      <c r="E117" s="11" t="s">
        <v>240</v>
      </c>
      <c r="F117" s="11"/>
      <c r="G117" s="11" t="s">
        <v>241</v>
      </c>
      <c r="H117" s="11"/>
      <c r="I117">
        <v>2008</v>
      </c>
    </row>
    <row r="118" spans="1:9">
      <c r="A118" s="9">
        <v>10000</v>
      </c>
      <c r="B118" s="10" t="s">
        <v>242</v>
      </c>
      <c r="C118" s="11"/>
      <c r="D118" s="11" t="s">
        <v>129</v>
      </c>
      <c r="E118" s="11" t="s">
        <v>243</v>
      </c>
      <c r="F118" s="11"/>
      <c r="G118" s="11" t="s">
        <v>50</v>
      </c>
      <c r="H118" s="11"/>
      <c r="I118">
        <v>2008</v>
      </c>
    </row>
    <row r="119" spans="1:9">
      <c r="A119" s="9">
        <v>1000</v>
      </c>
      <c r="B119" s="10" t="s">
        <v>244</v>
      </c>
      <c r="C119" s="11"/>
      <c r="D119" s="11" t="s">
        <v>13</v>
      </c>
      <c r="E119" s="11" t="s">
        <v>243</v>
      </c>
      <c r="F119" s="11"/>
      <c r="G119" s="11" t="s">
        <v>182</v>
      </c>
      <c r="H119" s="11"/>
      <c r="I119">
        <v>2008</v>
      </c>
    </row>
    <row r="120" spans="1:9">
      <c r="A120" s="9">
        <v>10000</v>
      </c>
      <c r="B120" s="10" t="s">
        <v>245</v>
      </c>
      <c r="C120" s="11"/>
      <c r="D120" s="11" t="s">
        <v>116</v>
      </c>
      <c r="E120" s="11" t="s">
        <v>246</v>
      </c>
      <c r="F120" s="11"/>
      <c r="G120" s="11" t="s">
        <v>247</v>
      </c>
      <c r="H120" s="11"/>
      <c r="I120">
        <v>2008</v>
      </c>
    </row>
    <row r="121" spans="1:9">
      <c r="A121" s="9">
        <v>5200</v>
      </c>
      <c r="B121" s="10" t="s">
        <v>248</v>
      </c>
      <c r="C121" s="11"/>
      <c r="D121" s="11" t="s">
        <v>52</v>
      </c>
      <c r="E121" s="12">
        <v>41797</v>
      </c>
      <c r="F121" s="11"/>
      <c r="G121" s="11" t="s">
        <v>249</v>
      </c>
      <c r="H121" s="11"/>
      <c r="I121">
        <v>2007</v>
      </c>
    </row>
    <row r="122" spans="1:9">
      <c r="A122" s="9">
        <v>10000</v>
      </c>
      <c r="B122" s="10" t="s">
        <v>250</v>
      </c>
      <c r="C122" s="11"/>
      <c r="D122" s="11" t="s">
        <v>251</v>
      </c>
      <c r="E122" s="11" t="s">
        <v>252</v>
      </c>
      <c r="F122" s="11"/>
      <c r="G122" s="11" t="s">
        <v>50</v>
      </c>
      <c r="H122" s="11"/>
      <c r="I122">
        <v>2007</v>
      </c>
    </row>
    <row r="123" spans="1:9">
      <c r="A123" s="9">
        <v>6000</v>
      </c>
      <c r="B123" s="10" t="s">
        <v>253</v>
      </c>
      <c r="C123" s="11"/>
      <c r="D123" s="11" t="s">
        <v>46</v>
      </c>
      <c r="E123" s="12">
        <v>41797</v>
      </c>
      <c r="F123" s="11"/>
      <c r="G123" s="11" t="s">
        <v>249</v>
      </c>
      <c r="H123" s="11"/>
      <c r="I123">
        <v>2007</v>
      </c>
    </row>
    <row r="124" spans="1:9">
      <c r="A124" s="9">
        <v>10000</v>
      </c>
      <c r="B124" s="10" t="s">
        <v>254</v>
      </c>
      <c r="C124" s="11"/>
      <c r="D124" s="11" t="s">
        <v>52</v>
      </c>
      <c r="E124" s="11" t="s">
        <v>255</v>
      </c>
      <c r="F124" s="11"/>
      <c r="G124" s="11" t="s">
        <v>256</v>
      </c>
      <c r="H124" s="11"/>
      <c r="I124">
        <v>2007</v>
      </c>
    </row>
    <row r="125" spans="1:9">
      <c r="A125" s="9">
        <v>10000</v>
      </c>
      <c r="B125" s="10" t="s">
        <v>257</v>
      </c>
      <c r="C125" s="11"/>
      <c r="D125" s="11" t="s">
        <v>236</v>
      </c>
      <c r="E125" s="11" t="s">
        <v>255</v>
      </c>
      <c r="F125" s="11"/>
      <c r="G125" s="11" t="s">
        <v>148</v>
      </c>
      <c r="H125" s="11"/>
      <c r="I125">
        <v>2007</v>
      </c>
    </row>
    <row r="126" spans="1:9">
      <c r="A126" s="9">
        <v>10600</v>
      </c>
      <c r="B126" s="10" t="s">
        <v>258</v>
      </c>
      <c r="C126" s="11"/>
      <c r="D126" s="11" t="s">
        <v>259</v>
      </c>
      <c r="E126" s="12">
        <v>41766</v>
      </c>
      <c r="F126" s="11"/>
      <c r="G126" s="11" t="s">
        <v>256</v>
      </c>
      <c r="H126" s="11"/>
      <c r="I126">
        <v>2007</v>
      </c>
    </row>
    <row r="127" spans="1:9">
      <c r="A127" s="9">
        <v>6000</v>
      </c>
      <c r="B127" s="10" t="s">
        <v>260</v>
      </c>
      <c r="C127" s="11"/>
      <c r="D127" s="11" t="s">
        <v>46</v>
      </c>
      <c r="E127" s="11" t="s">
        <v>261</v>
      </c>
      <c r="F127" s="11"/>
      <c r="G127" s="11" t="s">
        <v>262</v>
      </c>
      <c r="H127" s="11"/>
      <c r="I127">
        <v>2007</v>
      </c>
    </row>
    <row r="128" spans="1:9">
      <c r="A128" s="9">
        <v>5000</v>
      </c>
      <c r="B128" s="10" t="s">
        <v>263</v>
      </c>
      <c r="C128" s="11"/>
      <c r="D128" s="11" t="s">
        <v>152</v>
      </c>
      <c r="E128" s="11" t="s">
        <v>264</v>
      </c>
      <c r="F128" s="11"/>
      <c r="G128" s="11" t="s">
        <v>265</v>
      </c>
      <c r="H128" s="11"/>
      <c r="I128">
        <v>2007</v>
      </c>
    </row>
    <row r="129" spans="1:9">
      <c r="A129" s="9">
        <v>5000</v>
      </c>
      <c r="B129" s="10" t="s">
        <v>266</v>
      </c>
      <c r="C129" s="11"/>
      <c r="D129" s="11" t="s">
        <v>267</v>
      </c>
      <c r="E129" s="11" t="s">
        <v>268</v>
      </c>
      <c r="F129" s="11"/>
      <c r="G129" s="11" t="s">
        <v>224</v>
      </c>
      <c r="H129" s="11"/>
      <c r="I129">
        <v>2007</v>
      </c>
    </row>
    <row r="130" spans="1:9">
      <c r="A130" s="9">
        <v>5000</v>
      </c>
      <c r="B130" s="10" t="s">
        <v>269</v>
      </c>
      <c r="C130" s="11"/>
      <c r="D130" s="11" t="s">
        <v>267</v>
      </c>
      <c r="E130" s="11" t="s">
        <v>268</v>
      </c>
      <c r="F130" s="11"/>
      <c r="G130" s="11" t="s">
        <v>224</v>
      </c>
      <c r="H130" s="11"/>
      <c r="I130">
        <v>2007</v>
      </c>
    </row>
    <row r="131" spans="1:9">
      <c r="A131" s="9">
        <v>10000</v>
      </c>
      <c r="B131" s="10" t="s">
        <v>270</v>
      </c>
      <c r="C131" s="11"/>
      <c r="D131" s="11" t="s">
        <v>129</v>
      </c>
      <c r="E131" s="12">
        <v>41705</v>
      </c>
      <c r="F131" s="11"/>
      <c r="G131" s="11" t="s">
        <v>256</v>
      </c>
      <c r="H131" s="11"/>
      <c r="I131">
        <v>2007</v>
      </c>
    </row>
    <row r="132" spans="1:9">
      <c r="A132" s="9">
        <v>10450</v>
      </c>
      <c r="B132" s="10" t="s">
        <v>271</v>
      </c>
      <c r="C132" s="11"/>
      <c r="D132" s="11" t="s">
        <v>272</v>
      </c>
      <c r="E132" s="11" t="s">
        <v>273</v>
      </c>
      <c r="F132" s="11"/>
      <c r="G132" s="11" t="s">
        <v>256</v>
      </c>
      <c r="H132" s="11"/>
      <c r="I132">
        <v>2007</v>
      </c>
    </row>
    <row r="133" spans="1:9">
      <c r="A133" s="9">
        <v>8500</v>
      </c>
      <c r="B133" s="10" t="s">
        <v>274</v>
      </c>
      <c r="C133" s="11"/>
      <c r="D133" s="11" t="s">
        <v>116</v>
      </c>
      <c r="E133" s="11" t="s">
        <v>273</v>
      </c>
      <c r="F133" s="11"/>
      <c r="G133" s="11" t="s">
        <v>247</v>
      </c>
      <c r="H133" s="11"/>
      <c r="I133">
        <v>2007</v>
      </c>
    </row>
    <row r="134" spans="1:9">
      <c r="A134" s="9">
        <v>11000</v>
      </c>
      <c r="B134" s="10" t="s">
        <v>275</v>
      </c>
      <c r="C134" s="11"/>
      <c r="D134" s="11" t="s">
        <v>276</v>
      </c>
      <c r="E134" s="11" t="s">
        <v>277</v>
      </c>
      <c r="F134" s="11"/>
      <c r="G134" s="11" t="s">
        <v>224</v>
      </c>
      <c r="H134" s="11"/>
      <c r="I134">
        <v>2007</v>
      </c>
    </row>
    <row r="135" spans="1:9">
      <c r="A135" s="9">
        <v>10000</v>
      </c>
      <c r="B135" s="10" t="s">
        <v>278</v>
      </c>
      <c r="C135" s="11"/>
      <c r="D135" s="11" t="s">
        <v>16</v>
      </c>
      <c r="E135" s="11" t="s">
        <v>279</v>
      </c>
      <c r="F135" s="11"/>
      <c r="G135" s="11" t="s">
        <v>148</v>
      </c>
      <c r="H135" s="11"/>
      <c r="I135">
        <v>2007</v>
      </c>
    </row>
    <row r="136" spans="1:9">
      <c r="A136" s="9">
        <v>3700</v>
      </c>
      <c r="B136" s="10" t="s">
        <v>280</v>
      </c>
      <c r="C136" s="11"/>
      <c r="D136" s="11" t="s">
        <v>46</v>
      </c>
      <c r="E136" s="11" t="s">
        <v>281</v>
      </c>
      <c r="F136" s="11"/>
      <c r="G136" s="11" t="s">
        <v>282</v>
      </c>
      <c r="H136" s="11"/>
      <c r="I136">
        <v>2007</v>
      </c>
    </row>
    <row r="137" spans="1:9">
      <c r="A137" s="9">
        <v>5700</v>
      </c>
      <c r="B137" s="10" t="s">
        <v>283</v>
      </c>
      <c r="C137" s="11"/>
      <c r="D137" s="11" t="s">
        <v>46</v>
      </c>
      <c r="E137" s="12">
        <v>41979</v>
      </c>
      <c r="F137" s="11"/>
      <c r="G137" s="11" t="s">
        <v>224</v>
      </c>
      <c r="H137" s="11"/>
      <c r="I137">
        <v>2007</v>
      </c>
    </row>
    <row r="138" spans="1:9">
      <c r="A138" s="9">
        <v>4000</v>
      </c>
      <c r="B138" s="10" t="s">
        <v>284</v>
      </c>
      <c r="C138" s="11"/>
      <c r="D138" s="11" t="s">
        <v>46</v>
      </c>
      <c r="E138" s="11" t="s">
        <v>285</v>
      </c>
      <c r="F138" s="11"/>
      <c r="G138" s="11" t="s">
        <v>286</v>
      </c>
      <c r="H138" s="11"/>
      <c r="I138">
        <v>2007</v>
      </c>
    </row>
    <row r="139" spans="1:9">
      <c r="A139" s="9">
        <v>3000</v>
      </c>
      <c r="B139" s="10" t="s">
        <v>287</v>
      </c>
      <c r="C139" s="11"/>
      <c r="D139" s="11" t="s">
        <v>46</v>
      </c>
      <c r="E139" s="11" t="s">
        <v>285</v>
      </c>
      <c r="F139" s="11"/>
      <c r="G139" s="11" t="s">
        <v>288</v>
      </c>
      <c r="H139" s="11"/>
      <c r="I139">
        <v>2007</v>
      </c>
    </row>
    <row r="140" spans="1:9">
      <c r="A140" s="9">
        <v>5000</v>
      </c>
      <c r="B140" s="10" t="s">
        <v>289</v>
      </c>
      <c r="C140" s="11"/>
      <c r="D140" s="11" t="s">
        <v>85</v>
      </c>
      <c r="E140" s="11" t="s">
        <v>285</v>
      </c>
      <c r="F140" s="11"/>
      <c r="G140" s="11" t="s">
        <v>224</v>
      </c>
      <c r="H140" s="11"/>
      <c r="I140">
        <v>2007</v>
      </c>
    </row>
    <row r="141" spans="1:9">
      <c r="A141" s="9">
        <v>3500</v>
      </c>
      <c r="B141" s="10" t="s">
        <v>290</v>
      </c>
      <c r="C141" s="11"/>
      <c r="D141" s="11" t="s">
        <v>46</v>
      </c>
      <c r="E141" s="11" t="s">
        <v>285</v>
      </c>
      <c r="F141" s="11"/>
      <c r="G141" s="11" t="s">
        <v>288</v>
      </c>
      <c r="H141" s="11"/>
      <c r="I141">
        <v>2007</v>
      </c>
    </row>
    <row r="142" spans="1:9">
      <c r="A142" s="9">
        <v>10000</v>
      </c>
      <c r="B142" s="10" t="s">
        <v>291</v>
      </c>
      <c r="C142" s="11"/>
      <c r="D142" s="11" t="s">
        <v>152</v>
      </c>
      <c r="E142" s="11" t="s">
        <v>285</v>
      </c>
      <c r="F142" s="11"/>
      <c r="G142" s="11" t="s">
        <v>224</v>
      </c>
      <c r="H142" s="11"/>
      <c r="I142">
        <v>2007</v>
      </c>
    </row>
    <row r="143" spans="1:9">
      <c r="A143" s="9">
        <v>3500</v>
      </c>
      <c r="B143" s="10" t="s">
        <v>292</v>
      </c>
      <c r="C143" s="11"/>
      <c r="D143" s="11" t="s">
        <v>293</v>
      </c>
      <c r="E143" s="11" t="s">
        <v>285</v>
      </c>
      <c r="F143" s="11"/>
      <c r="G143" s="11" t="s">
        <v>224</v>
      </c>
      <c r="H143" s="11"/>
      <c r="I143">
        <v>2007</v>
      </c>
    </row>
    <row r="144" spans="1:9">
      <c r="A144" s="9">
        <v>3100</v>
      </c>
      <c r="B144" s="10" t="s">
        <v>294</v>
      </c>
      <c r="C144" s="11"/>
      <c r="D144" s="11" t="s">
        <v>293</v>
      </c>
      <c r="E144" s="11" t="s">
        <v>285</v>
      </c>
      <c r="F144" s="11"/>
      <c r="G144" s="11" t="s">
        <v>224</v>
      </c>
      <c r="H144" s="11"/>
      <c r="I144">
        <v>2007</v>
      </c>
    </row>
    <row r="145" spans="1:9">
      <c r="A145" s="9">
        <v>3000</v>
      </c>
      <c r="B145" s="10" t="s">
        <v>295</v>
      </c>
      <c r="C145" s="11"/>
      <c r="D145" s="11" t="s">
        <v>293</v>
      </c>
      <c r="E145" s="11" t="s">
        <v>285</v>
      </c>
      <c r="F145" s="11"/>
      <c r="G145" s="11" t="s">
        <v>224</v>
      </c>
      <c r="H145" s="11"/>
      <c r="I145">
        <v>2007</v>
      </c>
    </row>
    <row r="146" spans="1:9">
      <c r="A146" s="9">
        <v>8000</v>
      </c>
      <c r="B146" s="10" t="s">
        <v>296</v>
      </c>
      <c r="C146" s="11"/>
      <c r="D146" s="11" t="s">
        <v>62</v>
      </c>
      <c r="E146" s="11" t="s">
        <v>285</v>
      </c>
      <c r="F146" s="11"/>
      <c r="G146" s="11" t="s">
        <v>50</v>
      </c>
      <c r="H146" s="11"/>
      <c r="I146">
        <v>2007</v>
      </c>
    </row>
    <row r="147" spans="1:9">
      <c r="A147" s="9">
        <v>6000</v>
      </c>
      <c r="B147" s="10" t="s">
        <v>297</v>
      </c>
      <c r="C147" s="11"/>
      <c r="D147" s="11" t="s">
        <v>298</v>
      </c>
      <c r="E147" s="12">
        <v>41918</v>
      </c>
      <c r="F147" s="11"/>
      <c r="G147" s="11" t="s">
        <v>50</v>
      </c>
      <c r="H147" s="11"/>
      <c r="I147">
        <v>2007</v>
      </c>
    </row>
    <row r="148" spans="1:9">
      <c r="A148" s="9">
        <v>5000</v>
      </c>
      <c r="B148" s="10" t="s">
        <v>299</v>
      </c>
      <c r="C148" s="11"/>
      <c r="D148" s="11" t="s">
        <v>236</v>
      </c>
      <c r="E148" s="12">
        <v>41888</v>
      </c>
      <c r="F148" s="11"/>
      <c r="G148" s="11" t="s">
        <v>148</v>
      </c>
      <c r="H148" s="11"/>
      <c r="I148">
        <v>2007</v>
      </c>
    </row>
    <row r="149" spans="1:9">
      <c r="A149" s="9">
        <v>3000</v>
      </c>
      <c r="B149" s="10" t="s">
        <v>300</v>
      </c>
      <c r="C149" s="11"/>
      <c r="D149" s="11" t="s">
        <v>301</v>
      </c>
      <c r="E149" s="11" t="s">
        <v>302</v>
      </c>
      <c r="F149" s="11"/>
      <c r="G149" s="11" t="s">
        <v>50</v>
      </c>
      <c r="H149" s="11"/>
      <c r="I149">
        <v>2006</v>
      </c>
    </row>
    <row r="150" spans="1:9">
      <c r="A150" s="9">
        <v>6000</v>
      </c>
      <c r="B150" s="10" t="s">
        <v>303</v>
      </c>
      <c r="C150" s="11"/>
      <c r="D150" s="11" t="s">
        <v>259</v>
      </c>
      <c r="E150" s="11" t="s">
        <v>302</v>
      </c>
      <c r="F150" s="11"/>
      <c r="G150" s="11" t="s">
        <v>50</v>
      </c>
      <c r="H150" s="11"/>
      <c r="I150">
        <v>2006</v>
      </c>
    </row>
    <row r="151" spans="1:9">
      <c r="A151" s="9">
        <v>3000</v>
      </c>
      <c r="B151" s="10" t="s">
        <v>304</v>
      </c>
      <c r="C151" s="11"/>
      <c r="D151" s="11" t="s">
        <v>46</v>
      </c>
      <c r="E151" s="11" t="s">
        <v>302</v>
      </c>
      <c r="F151" s="11"/>
      <c r="G151" s="11" t="s">
        <v>50</v>
      </c>
      <c r="H151" s="11"/>
      <c r="I151">
        <v>2006</v>
      </c>
    </row>
    <row r="152" spans="1:9">
      <c r="A152" s="9">
        <v>3000</v>
      </c>
      <c r="B152" s="10" t="s">
        <v>305</v>
      </c>
      <c r="C152" s="11"/>
      <c r="D152" s="11" t="s">
        <v>7</v>
      </c>
      <c r="E152" s="11" t="s">
        <v>302</v>
      </c>
      <c r="F152" s="11"/>
      <c r="G152" s="11" t="s">
        <v>50</v>
      </c>
      <c r="H152" s="11"/>
      <c r="I152">
        <v>2006</v>
      </c>
    </row>
    <row r="153" spans="1:9">
      <c r="A153" s="9">
        <v>3000</v>
      </c>
      <c r="B153" s="10" t="s">
        <v>306</v>
      </c>
      <c r="C153" s="11"/>
      <c r="D153" s="11" t="s">
        <v>293</v>
      </c>
      <c r="E153" s="11" t="s">
        <v>302</v>
      </c>
      <c r="F153" s="11"/>
      <c r="G153" s="11" t="s">
        <v>50</v>
      </c>
      <c r="H153" s="11"/>
      <c r="I153">
        <v>2006</v>
      </c>
    </row>
    <row r="154" spans="1:9">
      <c r="A154" s="9">
        <v>2000</v>
      </c>
      <c r="B154" s="10" t="s">
        <v>307</v>
      </c>
      <c r="C154" s="11"/>
      <c r="D154" s="11" t="s">
        <v>308</v>
      </c>
      <c r="E154" s="11" t="s">
        <v>302</v>
      </c>
      <c r="F154" s="11"/>
      <c r="G154" s="11" t="s">
        <v>50</v>
      </c>
      <c r="H154" s="11"/>
      <c r="I154">
        <v>2006</v>
      </c>
    </row>
    <row r="155" spans="1:9">
      <c r="A155" s="9">
        <v>2000</v>
      </c>
      <c r="B155" s="10" t="s">
        <v>65</v>
      </c>
      <c r="C155" s="11"/>
      <c r="D155" s="11" t="s">
        <v>16</v>
      </c>
      <c r="E155" s="11" t="s">
        <v>302</v>
      </c>
      <c r="F155" s="11"/>
      <c r="G155" s="11" t="s">
        <v>50</v>
      </c>
      <c r="H155" s="11"/>
      <c r="I155">
        <v>2006</v>
      </c>
    </row>
    <row r="156" spans="1:9">
      <c r="A156" s="9">
        <v>3000</v>
      </c>
      <c r="B156" s="10" t="s">
        <v>309</v>
      </c>
      <c r="C156" s="11"/>
      <c r="D156" s="11" t="s">
        <v>85</v>
      </c>
      <c r="E156" s="11" t="s">
        <v>302</v>
      </c>
      <c r="F156" s="11"/>
      <c r="G156" s="11" t="s">
        <v>50</v>
      </c>
      <c r="H156" s="11"/>
      <c r="I156">
        <v>2006</v>
      </c>
    </row>
    <row r="157" spans="1:9">
      <c r="A157" s="5">
        <v>3000</v>
      </c>
      <c r="B157" s="7" t="s">
        <v>310</v>
      </c>
      <c r="C157" s="6"/>
      <c r="D157" s="6" t="s">
        <v>233</v>
      </c>
      <c r="E157" s="6" t="s">
        <v>302</v>
      </c>
      <c r="F157" s="6"/>
      <c r="G157" s="6" t="s">
        <v>50</v>
      </c>
      <c r="H157" s="6"/>
      <c r="I157">
        <v>2006</v>
      </c>
    </row>
  </sheetData>
  <hyperlinks>
    <hyperlink ref="B15" r:id="rId1"/>
    <hyperlink ref="B16" r:id="rId2"/>
    <hyperlink ref="B17" r:id="rId3"/>
    <hyperlink ref="B18" r:id="rId4"/>
    <hyperlink ref="B19" r:id="rId5"/>
    <hyperlink ref="B20" r:id="rId6"/>
    <hyperlink ref="B21" r:id="rId7"/>
    <hyperlink ref="B22" r:id="rId8"/>
    <hyperlink ref="B23" r:id="rId9"/>
    <hyperlink ref="B24" r:id="rId10"/>
    <hyperlink ref="B25" r:id="rId11"/>
    <hyperlink ref="B26" r:id="rId12"/>
    <hyperlink ref="B27" r:id="rId13"/>
    <hyperlink ref="B28" r:id="rId14"/>
    <hyperlink ref="B29" r:id="rId15"/>
    <hyperlink ref="B30" r:id="rId16"/>
    <hyperlink ref="B31" r:id="rId17"/>
    <hyperlink ref="B32" r:id="rId18"/>
    <hyperlink ref="B33" r:id="rId19"/>
    <hyperlink ref="B34" r:id="rId20"/>
    <hyperlink ref="B35" r:id="rId21"/>
    <hyperlink ref="B36" r:id="rId22"/>
    <hyperlink ref="B37" r:id="rId23"/>
    <hyperlink ref="B38" r:id="rId24"/>
    <hyperlink ref="B39" r:id="rId25"/>
    <hyperlink ref="B40" r:id="rId26"/>
    <hyperlink ref="B41" r:id="rId27"/>
    <hyperlink ref="B42" r:id="rId28"/>
    <hyperlink ref="B43" r:id="rId29"/>
    <hyperlink ref="B44" r:id="rId30"/>
    <hyperlink ref="B45" r:id="rId31"/>
    <hyperlink ref="B46" r:id="rId32"/>
    <hyperlink ref="B47" r:id="rId33"/>
    <hyperlink ref="B48" r:id="rId34"/>
    <hyperlink ref="B49" r:id="rId35"/>
    <hyperlink ref="B50" r:id="rId36"/>
    <hyperlink ref="B51" r:id="rId37"/>
    <hyperlink ref="B52" r:id="rId38"/>
    <hyperlink ref="B53" r:id="rId39"/>
    <hyperlink ref="B54" r:id="rId40"/>
    <hyperlink ref="B55" r:id="rId41"/>
    <hyperlink ref="B56" r:id="rId42"/>
    <hyperlink ref="B57" r:id="rId43"/>
    <hyperlink ref="B58" r:id="rId44"/>
    <hyperlink ref="B60" r:id="rId45"/>
    <hyperlink ref="B61" r:id="rId46"/>
    <hyperlink ref="B62" r:id="rId47"/>
    <hyperlink ref="B63" r:id="rId48"/>
    <hyperlink ref="B64" r:id="rId49"/>
    <hyperlink ref="B65" r:id="rId50"/>
    <hyperlink ref="B66" r:id="rId51"/>
    <hyperlink ref="B67" r:id="rId52"/>
    <hyperlink ref="B68" r:id="rId53"/>
    <hyperlink ref="B69" r:id="rId54"/>
    <hyperlink ref="B70" r:id="rId55"/>
    <hyperlink ref="B71" r:id="rId56"/>
    <hyperlink ref="B72" r:id="rId57"/>
    <hyperlink ref="B73" r:id="rId58"/>
    <hyperlink ref="B74" r:id="rId59"/>
    <hyperlink ref="B75" r:id="rId60"/>
    <hyperlink ref="B76" r:id="rId61"/>
    <hyperlink ref="B77" r:id="rId62"/>
    <hyperlink ref="B78" r:id="rId63"/>
    <hyperlink ref="B79" r:id="rId64"/>
    <hyperlink ref="B80" r:id="rId65"/>
    <hyperlink ref="B81" r:id="rId66"/>
    <hyperlink ref="B82" r:id="rId67"/>
    <hyperlink ref="B83" r:id="rId68"/>
    <hyperlink ref="B84" r:id="rId69"/>
    <hyperlink ref="B85" r:id="rId70"/>
    <hyperlink ref="B86" r:id="rId71"/>
    <hyperlink ref="B87" r:id="rId72"/>
    <hyperlink ref="B88" r:id="rId73"/>
    <hyperlink ref="B89" r:id="rId74"/>
    <hyperlink ref="B90" r:id="rId75"/>
    <hyperlink ref="B91" r:id="rId76"/>
    <hyperlink ref="B92" r:id="rId77"/>
    <hyperlink ref="B93" r:id="rId78"/>
    <hyperlink ref="B94" r:id="rId79"/>
    <hyperlink ref="B95" r:id="rId80"/>
    <hyperlink ref="B96" r:id="rId81"/>
    <hyperlink ref="B97" r:id="rId82"/>
    <hyperlink ref="B98" r:id="rId83"/>
    <hyperlink ref="B99" r:id="rId84"/>
    <hyperlink ref="B100" r:id="rId85"/>
    <hyperlink ref="B101" r:id="rId86"/>
    <hyperlink ref="B102" r:id="rId87"/>
    <hyperlink ref="B103" r:id="rId88"/>
    <hyperlink ref="B104" r:id="rId89"/>
    <hyperlink ref="B105" r:id="rId90"/>
    <hyperlink ref="B106" r:id="rId91"/>
    <hyperlink ref="B107" r:id="rId92"/>
    <hyperlink ref="B108" r:id="rId93"/>
    <hyperlink ref="B109" r:id="rId94"/>
    <hyperlink ref="B110" r:id="rId95"/>
    <hyperlink ref="B111" r:id="rId96"/>
    <hyperlink ref="B112" r:id="rId97"/>
    <hyperlink ref="B113" r:id="rId98"/>
    <hyperlink ref="B114" r:id="rId99"/>
    <hyperlink ref="B115" r:id="rId100"/>
    <hyperlink ref="B116" r:id="rId101"/>
    <hyperlink ref="B117" r:id="rId102"/>
    <hyperlink ref="B118" r:id="rId103"/>
    <hyperlink ref="B119" r:id="rId104"/>
    <hyperlink ref="B120" r:id="rId105"/>
    <hyperlink ref="B121" r:id="rId106"/>
    <hyperlink ref="B122" r:id="rId107"/>
    <hyperlink ref="B123" r:id="rId108"/>
    <hyperlink ref="B124" r:id="rId109"/>
    <hyperlink ref="B125" r:id="rId110"/>
    <hyperlink ref="B126" r:id="rId111"/>
    <hyperlink ref="B127" r:id="rId112"/>
    <hyperlink ref="B128" r:id="rId113"/>
    <hyperlink ref="B129" r:id="rId114"/>
    <hyperlink ref="B130" r:id="rId115"/>
    <hyperlink ref="B131" r:id="rId116"/>
    <hyperlink ref="B132" r:id="rId117"/>
    <hyperlink ref="B133" r:id="rId118"/>
    <hyperlink ref="B134" r:id="rId119"/>
    <hyperlink ref="B135" r:id="rId120"/>
    <hyperlink ref="B136" r:id="rId121"/>
    <hyperlink ref="B137" r:id="rId122"/>
    <hyperlink ref="B138" r:id="rId123"/>
    <hyperlink ref="B139" r:id="rId124"/>
    <hyperlink ref="B140" r:id="rId125"/>
    <hyperlink ref="B141" r:id="rId126"/>
    <hyperlink ref="B142" r:id="rId127"/>
    <hyperlink ref="B143" r:id="rId128"/>
    <hyperlink ref="B144" r:id="rId129"/>
    <hyperlink ref="B145" r:id="rId130"/>
    <hyperlink ref="B146" r:id="rId131"/>
    <hyperlink ref="B147" r:id="rId132"/>
    <hyperlink ref="B148" r:id="rId133"/>
    <hyperlink ref="B149" r:id="rId134"/>
    <hyperlink ref="B150" r:id="rId135"/>
    <hyperlink ref="B151" r:id="rId136"/>
    <hyperlink ref="B152" r:id="rId137"/>
    <hyperlink ref="B153" r:id="rId138"/>
    <hyperlink ref="B154" r:id="rId139"/>
    <hyperlink ref="B155" r:id="rId140"/>
    <hyperlink ref="B156" r:id="rId141"/>
    <hyperlink ref="B157" r:id="rId142"/>
    <hyperlink ref="B59" r:id="rId143"/>
    <hyperlink ref="B4" r:id="rId144"/>
    <hyperlink ref="B5" r:id="rId145"/>
    <hyperlink ref="B6" r:id="rId146"/>
    <hyperlink ref="B7" r:id="rId147"/>
    <hyperlink ref="B8" r:id="rId148"/>
    <hyperlink ref="B9" r:id="rId149"/>
    <hyperlink ref="B10" r:id="rId150"/>
    <hyperlink ref="B11" r:id="rId151"/>
    <hyperlink ref="B12" r:id="rId152"/>
    <hyperlink ref="B13" r:id="rId153"/>
    <hyperlink ref="B14" r:id="rId154"/>
  </hyperlinks>
  <pageMargins left="0.75" right="0.75" top="1" bottom="1" header="0.5" footer="0.5"/>
  <pageSetup orientation="portrait" horizontalDpi="4294967292" verticalDpi="4294967292"/>
  <drawing r:id="rId15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C14" sqref="C14"/>
    </sheetView>
  </sheetViews>
  <sheetFormatPr baseColWidth="10" defaultRowHeight="15" x14ac:dyDescent="0"/>
  <cols>
    <col min="1" max="1" width="43.5" customWidth="1"/>
    <col min="2" max="2" width="53.1640625" customWidth="1"/>
    <col min="3" max="3" width="17.83203125" customWidth="1"/>
    <col min="4" max="4" width="1.6640625" customWidth="1"/>
    <col min="5" max="5" width="17.33203125" customWidth="1"/>
    <col min="6" max="6" width="1.6640625" customWidth="1"/>
    <col min="7" max="7" width="12.6640625" customWidth="1"/>
    <col min="8" max="9" width="11.33203125" customWidth="1"/>
  </cols>
  <sheetData>
    <row r="1" spans="1:16">
      <c r="A1" s="147"/>
      <c r="B1" s="147"/>
      <c r="C1" s="147"/>
      <c r="D1" s="147"/>
      <c r="E1" s="147"/>
      <c r="F1" s="147"/>
      <c r="G1" s="147"/>
      <c r="H1" s="147"/>
      <c r="I1" s="147"/>
    </row>
    <row r="2" spans="1:16">
      <c r="A2" s="563" t="s">
        <v>400</v>
      </c>
      <c r="B2" s="563"/>
      <c r="C2" s="563"/>
      <c r="D2" s="148"/>
      <c r="E2" s="159" t="s">
        <v>408</v>
      </c>
      <c r="F2" s="148"/>
      <c r="G2" s="173"/>
      <c r="H2" s="157" t="s">
        <v>401</v>
      </c>
      <c r="I2" s="157"/>
      <c r="J2" s="1"/>
      <c r="K2" s="1"/>
      <c r="L2" s="1"/>
      <c r="M2" s="1"/>
      <c r="N2" s="1"/>
      <c r="O2" s="1"/>
      <c r="P2" s="1"/>
    </row>
    <row r="3" spans="1:16">
      <c r="A3" s="148"/>
      <c r="B3" s="148"/>
      <c r="C3" s="148"/>
      <c r="D3" s="148"/>
      <c r="E3" s="148"/>
      <c r="F3" s="148"/>
      <c r="G3" s="148"/>
      <c r="H3" s="149"/>
      <c r="I3" s="149"/>
      <c r="J3" s="1"/>
      <c r="K3" s="1"/>
      <c r="L3" s="1"/>
      <c r="M3" s="1"/>
      <c r="N3" s="1"/>
      <c r="O3" s="1"/>
      <c r="P3" s="1"/>
    </row>
    <row r="4" spans="1:16" ht="60">
      <c r="A4" s="148"/>
      <c r="B4" s="154" t="s">
        <v>404</v>
      </c>
      <c r="C4" s="158" t="s">
        <v>509</v>
      </c>
      <c r="D4" s="148"/>
      <c r="E4" s="150" t="s">
        <v>406</v>
      </c>
      <c r="F4" s="148"/>
      <c r="G4" s="151">
        <v>2014</v>
      </c>
      <c r="H4" s="151">
        <v>2013</v>
      </c>
      <c r="I4" s="151">
        <v>2012</v>
      </c>
      <c r="J4" s="2"/>
      <c r="K4" s="2"/>
      <c r="L4" s="2"/>
      <c r="M4" s="2"/>
      <c r="N4" s="2"/>
      <c r="O4" s="2"/>
      <c r="P4" s="2"/>
    </row>
    <row r="5" spans="1:16">
      <c r="A5" s="148"/>
      <c r="B5" s="148"/>
      <c r="C5" s="148"/>
      <c r="D5" s="148"/>
      <c r="E5" s="148"/>
      <c r="F5" s="148"/>
      <c r="G5" s="174" t="s">
        <v>427</v>
      </c>
      <c r="H5" s="174" t="s">
        <v>428</v>
      </c>
      <c r="I5" s="174" t="s">
        <v>428</v>
      </c>
      <c r="J5" s="2"/>
      <c r="K5" s="2"/>
      <c r="L5" s="2"/>
      <c r="M5" s="2"/>
      <c r="N5" s="2"/>
      <c r="O5" s="2"/>
      <c r="P5" s="2"/>
    </row>
    <row r="6" spans="1:16">
      <c r="A6" s="148" t="s">
        <v>312</v>
      </c>
      <c r="B6" s="148"/>
      <c r="C6" s="152">
        <f>SUM('Distributions as of Nov ''14'!L11:L13)</f>
        <v>1139330</v>
      </c>
      <c r="D6" s="148"/>
      <c r="E6" s="148"/>
      <c r="F6" s="148"/>
      <c r="G6" s="148"/>
      <c r="H6" s="152"/>
      <c r="I6" s="152"/>
      <c r="J6" s="3"/>
      <c r="K6" s="3"/>
      <c r="L6" s="3"/>
      <c r="M6" s="3"/>
      <c r="N6" s="3"/>
      <c r="O6" s="3"/>
      <c r="P6" s="3"/>
    </row>
    <row r="7" spans="1:16">
      <c r="A7" s="148"/>
      <c r="B7" s="148"/>
      <c r="C7" s="148"/>
      <c r="D7" s="148"/>
      <c r="E7" s="148"/>
      <c r="F7" s="148"/>
      <c r="G7" s="148"/>
      <c r="H7" s="148"/>
      <c r="I7" s="148"/>
    </row>
    <row r="8" spans="1:16" ht="46" customHeight="1">
      <c r="A8" s="175" t="s">
        <v>402</v>
      </c>
      <c r="B8" s="153" t="s">
        <v>429</v>
      </c>
      <c r="C8" s="156">
        <f>$E8/C$6</f>
        <v>0.32424491650527315</v>
      </c>
      <c r="D8" s="148"/>
      <c r="E8" s="155">
        <f>AVERAGE(H8:I8)/AVERAGE('Exchange rates'!$B$5,'Exchange rates'!E$5)*3</f>
        <v>369421.96072195284</v>
      </c>
      <c r="F8" s="148"/>
      <c r="G8" s="16">
        <v>76449</v>
      </c>
      <c r="H8" s="16">
        <v>78421</v>
      </c>
      <c r="I8" s="16">
        <v>76453</v>
      </c>
      <c r="J8" s="16"/>
      <c r="K8" s="16"/>
    </row>
    <row r="9" spans="1:16" ht="45">
      <c r="A9" s="176" t="s">
        <v>398</v>
      </c>
      <c r="B9" s="153" t="s">
        <v>445</v>
      </c>
      <c r="C9" s="156">
        <f>$E9/C$6</f>
        <v>0.23244454265993292</v>
      </c>
      <c r="D9" s="148"/>
      <c r="E9" s="155">
        <f>AVERAGE(H9:I9)/AVERAGE('Exchange rates'!$B$5,'Exchange rates'!E$5)*3</f>
        <v>264831.04078874137</v>
      </c>
      <c r="F9" s="148"/>
      <c r="G9" s="16">
        <v>54749</v>
      </c>
      <c r="H9" s="16">
        <v>54258</v>
      </c>
      <c r="I9" s="16">
        <v>56768</v>
      </c>
      <c r="J9" s="16"/>
      <c r="K9" s="16"/>
    </row>
    <row r="10" spans="1:16" ht="225">
      <c r="A10" s="176" t="s">
        <v>399</v>
      </c>
      <c r="B10" s="153" t="s">
        <v>405</v>
      </c>
      <c r="C10" s="156">
        <f>$E10/C$6</f>
        <v>0.26331264866193288</v>
      </c>
      <c r="D10" s="148"/>
      <c r="E10" s="155">
        <v>300000</v>
      </c>
      <c r="F10" s="148"/>
      <c r="G10" s="148"/>
      <c r="H10" s="148"/>
      <c r="I10" s="148"/>
    </row>
    <row r="11" spans="1:16">
      <c r="A11" s="148"/>
      <c r="B11" s="148"/>
      <c r="C11" s="148"/>
      <c r="D11" s="148"/>
      <c r="E11" s="155"/>
      <c r="F11" s="148"/>
      <c r="G11" s="148"/>
      <c r="H11" s="148"/>
      <c r="I11" s="148"/>
    </row>
    <row r="12" spans="1:16">
      <c r="A12" s="154" t="s">
        <v>319</v>
      </c>
      <c r="B12" s="154"/>
      <c r="C12" s="161">
        <f>SUM(C8:C10)</f>
        <v>0.82000210782713889</v>
      </c>
      <c r="D12" s="148"/>
      <c r="E12" s="155"/>
      <c r="F12" s="148"/>
      <c r="G12" s="148"/>
      <c r="H12" s="148"/>
      <c r="I12" s="148"/>
    </row>
  </sheetData>
  <mergeCells count="1">
    <mergeCell ref="A2:C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E4" sqref="E4"/>
    </sheetView>
  </sheetViews>
  <sheetFormatPr baseColWidth="10" defaultRowHeight="15" x14ac:dyDescent="0"/>
  <cols>
    <col min="1" max="1" width="13.6640625" customWidth="1"/>
    <col min="2" max="2" width="22.33203125" customWidth="1"/>
    <col min="3" max="3" width="2.1640625" customWidth="1"/>
    <col min="4" max="4" width="14.5" customWidth="1"/>
    <col min="5" max="5" width="22" customWidth="1"/>
  </cols>
  <sheetData>
    <row r="1" spans="1:5">
      <c r="A1" t="s">
        <v>318</v>
      </c>
    </row>
    <row r="3" spans="1:5">
      <c r="A3" t="s">
        <v>316</v>
      </c>
      <c r="B3" t="s">
        <v>317</v>
      </c>
      <c r="D3" t="s">
        <v>316</v>
      </c>
      <c r="E3" t="s">
        <v>446</v>
      </c>
    </row>
    <row r="5" spans="1:5">
      <c r="A5" t="s">
        <v>313</v>
      </c>
      <c r="B5">
        <v>0.63119999999999998</v>
      </c>
      <c r="D5" t="s">
        <v>313</v>
      </c>
      <c r="E5">
        <v>0.62649999999999995</v>
      </c>
    </row>
    <row r="6" spans="1:5">
      <c r="A6" t="s">
        <v>314</v>
      </c>
      <c r="B6">
        <v>0.64490000000000003</v>
      </c>
      <c r="D6" t="s">
        <v>314</v>
      </c>
      <c r="E6">
        <v>0.66269999999999996</v>
      </c>
    </row>
    <row r="7" spans="1:5">
      <c r="A7" t="s">
        <v>315</v>
      </c>
      <c r="B7">
        <v>0.61080000000000001</v>
      </c>
      <c r="D7" t="s">
        <v>315</v>
      </c>
      <c r="E7">
        <v>0.59150000000000003</v>
      </c>
    </row>
    <row r="8" spans="1:5">
      <c r="A8" s="17">
        <v>41061</v>
      </c>
      <c r="B8">
        <v>0.64329999999999998</v>
      </c>
      <c r="D8" s="17">
        <v>41791</v>
      </c>
      <c r="E8">
        <v>0.59150000000000003</v>
      </c>
    </row>
    <row r="9" spans="1:5">
      <c r="A9" s="17">
        <v>41030</v>
      </c>
      <c r="B9">
        <v>0.62690000000000001</v>
      </c>
      <c r="D9" s="17">
        <v>41760</v>
      </c>
      <c r="E9">
        <v>0.59350000000000003</v>
      </c>
    </row>
    <row r="10" spans="1:5">
      <c r="A10" s="17">
        <v>41000</v>
      </c>
      <c r="B10">
        <v>0.62490000000000001</v>
      </c>
      <c r="D10" s="17">
        <v>41730</v>
      </c>
      <c r="E10">
        <v>0.59760000000000002</v>
      </c>
    </row>
    <row r="11" spans="1:5">
      <c r="A11" s="17">
        <v>40969</v>
      </c>
      <c r="B11">
        <v>0.63190000000000002</v>
      </c>
      <c r="D11" s="17">
        <v>41699</v>
      </c>
      <c r="E11">
        <v>0.60119999999999996</v>
      </c>
    </row>
    <row r="12" spans="1:5">
      <c r="A12" s="17">
        <v>40940</v>
      </c>
      <c r="B12">
        <v>0.63290000000000002</v>
      </c>
      <c r="D12" s="17">
        <v>41671</v>
      </c>
      <c r="E12">
        <v>0.60429999999999995</v>
      </c>
    </row>
    <row r="13" spans="1:5">
      <c r="A13" s="17">
        <v>40909</v>
      </c>
      <c r="B13">
        <v>0.64490000000000003</v>
      </c>
      <c r="D13" s="17">
        <v>41640</v>
      </c>
      <c r="E13">
        <v>0.60709999999999997</v>
      </c>
    </row>
    <row r="14" spans="1:5">
      <c r="A14" s="17">
        <v>40878</v>
      </c>
      <c r="B14">
        <v>0.64100000000000001</v>
      </c>
      <c r="D14" s="17">
        <v>41609</v>
      </c>
      <c r="E14">
        <v>0.61070000000000002</v>
      </c>
    </row>
    <row r="15" spans="1:5">
      <c r="A15" s="17">
        <v>40848</v>
      </c>
      <c r="B15">
        <v>0.63170000000000004</v>
      </c>
      <c r="D15" s="17">
        <v>41579</v>
      </c>
      <c r="E15">
        <v>0.62139999999999995</v>
      </c>
    </row>
    <row r="16" spans="1:5">
      <c r="A16" s="17">
        <v>40817</v>
      </c>
      <c r="B16">
        <v>0.63470000000000004</v>
      </c>
      <c r="D16" s="17">
        <v>41548</v>
      </c>
      <c r="E16">
        <v>0.62129999999999996</v>
      </c>
    </row>
    <row r="17" spans="1:5">
      <c r="A17" s="17">
        <v>40787</v>
      </c>
      <c r="B17">
        <v>0.63200000000000001</v>
      </c>
      <c r="D17" s="17">
        <v>41518</v>
      </c>
      <c r="E17">
        <v>0.63139999999999996</v>
      </c>
    </row>
    <row r="18" spans="1:5">
      <c r="A18" s="17">
        <v>40756</v>
      </c>
      <c r="B18">
        <v>0.61080000000000001</v>
      </c>
      <c r="D18" s="17">
        <v>41487</v>
      </c>
      <c r="E18">
        <v>0.64570000000000005</v>
      </c>
    </row>
    <row r="19" spans="1:5">
      <c r="A19" s="17">
        <v>40725</v>
      </c>
      <c r="B19">
        <v>0.61929999999999996</v>
      </c>
      <c r="D19" s="17">
        <v>41456</v>
      </c>
      <c r="E19">
        <v>0.65880000000000005</v>
      </c>
    </row>
    <row r="20" spans="1:5">
      <c r="D20" s="17">
        <v>41426</v>
      </c>
      <c r="E20">
        <v>0.64659999999999995</v>
      </c>
    </row>
    <row r="21" spans="1:5">
      <c r="D21" s="17">
        <v>41395</v>
      </c>
      <c r="E21">
        <v>0.6532</v>
      </c>
    </row>
    <row r="22" spans="1:5">
      <c r="A22" t="s">
        <v>421</v>
      </c>
      <c r="B22" t="s">
        <v>422</v>
      </c>
      <c r="D22" s="17">
        <v>41365</v>
      </c>
      <c r="E22">
        <v>0.65329999999999999</v>
      </c>
    </row>
    <row r="23" spans="1:5">
      <c r="D23" s="17">
        <v>41334</v>
      </c>
      <c r="E23">
        <v>0.66269999999999996</v>
      </c>
    </row>
    <row r="24" spans="1:5">
      <c r="A24" t="s">
        <v>313</v>
      </c>
      <c r="B24">
        <v>1.3208</v>
      </c>
      <c r="D24" s="17">
        <v>41306</v>
      </c>
      <c r="E24">
        <v>0.64410000000000001</v>
      </c>
    </row>
    <row r="25" spans="1:5">
      <c r="A25" t="s">
        <v>314</v>
      </c>
      <c r="B25">
        <v>1.3283</v>
      </c>
      <c r="D25" s="17">
        <v>41275</v>
      </c>
      <c r="E25">
        <v>0.62539999999999996</v>
      </c>
    </row>
    <row r="26" spans="1:5">
      <c r="A26" t="s">
        <v>315</v>
      </c>
      <c r="B26">
        <v>1.3147</v>
      </c>
      <c r="D26" s="17">
        <v>41244</v>
      </c>
      <c r="E26">
        <v>0.62</v>
      </c>
    </row>
    <row r="27" spans="1:5">
      <c r="A27" t="s">
        <v>418</v>
      </c>
      <c r="B27">
        <v>1.3283</v>
      </c>
      <c r="D27" s="17">
        <v>41214</v>
      </c>
      <c r="E27">
        <v>0.62629999999999997</v>
      </c>
    </row>
    <row r="28" spans="1:5">
      <c r="A28" t="s">
        <v>419</v>
      </c>
      <c r="B28">
        <v>1.3147</v>
      </c>
      <c r="D28" s="17">
        <v>41183</v>
      </c>
      <c r="E28">
        <v>0.62190000000000001</v>
      </c>
    </row>
    <row r="29" spans="1:5">
      <c r="A29" t="s">
        <v>420</v>
      </c>
      <c r="B29">
        <v>1.3192999999999999</v>
      </c>
      <c r="D29" s="17">
        <v>41153</v>
      </c>
      <c r="E29">
        <v>0.62139999999999995</v>
      </c>
    </row>
    <row r="30" spans="1:5">
      <c r="D30" s="17">
        <v>41122</v>
      </c>
      <c r="E30">
        <v>0.63660000000000005</v>
      </c>
    </row>
    <row r="31" spans="1:5">
      <c r="D31" s="17">
        <v>41091</v>
      </c>
      <c r="E31">
        <v>0.64090000000000003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tabSelected="1" topLeftCell="B1" workbookViewId="0">
      <selection activeCell="B33" sqref="B33"/>
    </sheetView>
  </sheetViews>
  <sheetFormatPr baseColWidth="10" defaultRowHeight="15" x14ac:dyDescent="0"/>
  <cols>
    <col min="1" max="1" width="12.33203125" customWidth="1"/>
    <col min="2" max="2" width="44.6640625" customWidth="1"/>
    <col min="3" max="7" width="27.33203125" customWidth="1"/>
  </cols>
  <sheetData>
    <row r="1" spans="1:7" ht="30">
      <c r="C1" s="270" t="s">
        <v>409</v>
      </c>
      <c r="D1" s="270" t="s">
        <v>447</v>
      </c>
      <c r="E1" s="270" t="s">
        <v>448</v>
      </c>
      <c r="F1" s="270" t="s">
        <v>628</v>
      </c>
      <c r="G1" s="270" t="s">
        <v>449</v>
      </c>
    </row>
    <row r="2" spans="1:7" ht="102" customHeight="1">
      <c r="B2" s="269" t="s">
        <v>517</v>
      </c>
      <c r="C2" s="18"/>
      <c r="D2" s="268" t="s">
        <v>514</v>
      </c>
      <c r="E2" s="268" t="s">
        <v>516</v>
      </c>
      <c r="F2" s="269" t="s">
        <v>515</v>
      </c>
      <c r="G2" s="268" t="s">
        <v>724</v>
      </c>
    </row>
    <row r="3" spans="1:7" ht="7" customHeight="1">
      <c r="C3" s="18"/>
      <c r="D3" s="268"/>
      <c r="E3" s="268"/>
      <c r="F3" s="268"/>
      <c r="G3" s="269"/>
    </row>
    <row r="4" spans="1:7">
      <c r="B4" t="s">
        <v>322</v>
      </c>
      <c r="C4" s="15">
        <v>3.3</v>
      </c>
      <c r="D4" s="15">
        <f>471944/154230</f>
        <v>3.0600012967645722</v>
      </c>
      <c r="E4" s="15">
        <f>738800/245000</f>
        <v>3.0155102040816328</v>
      </c>
      <c r="F4" s="15">
        <f>1107450/396900</f>
        <v>2.7902494331065761</v>
      </c>
      <c r="G4" s="15">
        <f>1943850/676000</f>
        <v>2.8755177514792898</v>
      </c>
    </row>
    <row r="5" spans="1:7" ht="7" customHeight="1">
      <c r="C5" s="15"/>
      <c r="D5" s="15"/>
      <c r="E5" s="15"/>
      <c r="F5" s="15"/>
    </row>
    <row r="6" spans="1:7">
      <c r="A6" s="564" t="s">
        <v>388</v>
      </c>
      <c r="B6" t="s">
        <v>325</v>
      </c>
      <c r="C6" s="15">
        <v>1</v>
      </c>
      <c r="D6" s="15">
        <f>SUMIF('Balaka and Dedza non-net budget'!$D$20:$D$55,Summary!$B6,'Balaka and Dedza non-net budget'!$V$20:$V$55)</f>
        <v>0.28609202472264134</v>
      </c>
      <c r="E6" s="15">
        <f>SUMIF('Balaka and Dedza non-net budget'!$D$20:$D$55,Summary!$B6,'Balaka and Dedza non-net budget'!$AT$20:$AT$55)</f>
        <v>0.31747083333333331</v>
      </c>
      <c r="F6" s="15">
        <f>SUMIF('Dowa non-net budget'!D$23:D$223,Summary!B6,'Dowa non-net budget'!L$23:L$223)</f>
        <v>0.28246409674981104</v>
      </c>
      <c r="G6" s="15">
        <f>300000/730000</f>
        <v>0.41095890410958902</v>
      </c>
    </row>
    <row r="7" spans="1:7">
      <c r="A7" s="564"/>
      <c r="B7" t="s">
        <v>323</v>
      </c>
      <c r="C7" s="15">
        <v>0.21</v>
      </c>
      <c r="D7" s="15">
        <f>SUMIF('Balaka and Dedza non-net budget'!$D$20:$D$55,Summary!$B7,'Balaka and Dedza non-net budget'!$V$20:$V$55)</f>
        <v>3.8260927193041563E-3</v>
      </c>
      <c r="E7" s="15">
        <f>SUMIF('Balaka and Dedza non-net budget'!$D$20:$D$55,Summary!$B7,'Balaka and Dedza non-net budget'!$AT$20:$AT$55)</f>
        <v>0</v>
      </c>
      <c r="F7" s="15">
        <f>SUMIF('Dowa non-net budget'!D$23:D$223,Summary!B7,'Dowa non-net budget'!L$23:L$223)</f>
        <v>7.716049382716049E-3</v>
      </c>
      <c r="G7" s="565" t="s">
        <v>725</v>
      </c>
    </row>
    <row r="8" spans="1:7">
      <c r="A8" s="564"/>
      <c r="B8" t="s">
        <v>324</v>
      </c>
      <c r="C8" s="15">
        <v>0.4</v>
      </c>
      <c r="D8" s="15">
        <f>SUMIF('Balaka and Dedza non-net budget'!$D$20:$D$55,Summary!$B8,'Balaka and Dedza non-net budget'!$V$20:$V$55)</f>
        <v>0.21270701834794425</v>
      </c>
      <c r="E8" s="15">
        <f>SUMIF('Balaka and Dedza non-net budget'!$D$20:$D$55,Summary!$B8,'Balaka and Dedza non-net budget'!$AT$20:$AT$55)</f>
        <v>0.36805415642915645</v>
      </c>
      <c r="F8" s="15">
        <f>SUMIF('Dowa non-net budget'!D$23:D$223,Summary!B8,'Dowa non-net budget'!L$23:L$223)</f>
        <v>0.22855026455026453</v>
      </c>
      <c r="G8" s="565"/>
    </row>
    <row r="9" spans="1:7">
      <c r="A9" s="564"/>
      <c r="B9" t="s">
        <v>387</v>
      </c>
      <c r="C9" s="15">
        <v>0.3</v>
      </c>
      <c r="D9" s="15">
        <f>SUMIF('Balaka and Dedza non-net budget'!$D$20:$D$55,Summary!$B9,'Balaka and Dedza non-net budget'!$V$20:$V$55)</f>
        <v>4.8687137385834134E-2</v>
      </c>
      <c r="E9" s="15">
        <f>SUMIF('Balaka and Dedza non-net budget'!$D$20:$D$55,Summary!$B9,'Balaka and Dedza non-net budget'!$AT$20:$AT$55)</f>
        <v>4.3654279279279279E-3</v>
      </c>
      <c r="F9" s="15">
        <f>SUMIF('Dowa non-net budget'!D$23:D$223,Summary!B9,'Dowa non-net budget'!L$23:L$223)</f>
        <v>1.3176795162509448E-2</v>
      </c>
      <c r="G9" s="565"/>
    </row>
    <row r="10" spans="1:7">
      <c r="A10" s="564"/>
      <c r="B10" t="s">
        <v>326</v>
      </c>
      <c r="C10" s="15">
        <v>0.14000000000000001</v>
      </c>
      <c r="D10" s="15">
        <f>SUMIF('Balaka and Dedza non-net budget'!$D$20:$D$55,Summary!$B10,'Balaka and Dedza non-net budget'!$V$20:$V$55)</f>
        <v>0.57163380069429481</v>
      </c>
      <c r="E10" s="15">
        <f>SUMIF('Balaka and Dedza non-net budget'!$D$20:$D$55,Summary!$B10,'Balaka and Dedza non-net budget'!$AT$20:$AT$55)</f>
        <v>0.10103115274365275</v>
      </c>
      <c r="F10" s="15">
        <f>SUMIF('Dowa non-net budget'!D$23:D$223,Summary!B10,'Dowa non-net budget'!L$23:L$223)</f>
        <v>0.19144907407407402</v>
      </c>
      <c r="G10" s="565"/>
    </row>
    <row r="11" spans="1:7">
      <c r="A11" s="564"/>
      <c r="B11" t="s">
        <v>327</v>
      </c>
      <c r="C11" s="15">
        <v>0.15</v>
      </c>
      <c r="D11" s="15" t="s">
        <v>397</v>
      </c>
      <c r="E11" s="15" t="s">
        <v>397</v>
      </c>
      <c r="F11" s="15" t="s">
        <v>397</v>
      </c>
      <c r="G11" s="565"/>
    </row>
    <row r="12" spans="1:7">
      <c r="A12" s="564"/>
      <c r="B12" t="s">
        <v>328</v>
      </c>
      <c r="C12" s="15">
        <v>0.3</v>
      </c>
      <c r="D12" s="15" t="s">
        <v>426</v>
      </c>
      <c r="E12" s="15" t="s">
        <v>426</v>
      </c>
      <c r="F12" s="15" t="s">
        <v>426</v>
      </c>
      <c r="G12" s="565"/>
    </row>
    <row r="13" spans="1:7" ht="8" customHeight="1">
      <c r="C13" s="15"/>
      <c r="D13" s="15"/>
      <c r="E13" s="15"/>
      <c r="F13" s="15"/>
      <c r="G13" s="565"/>
    </row>
    <row r="14" spans="1:7">
      <c r="A14" s="564" t="s">
        <v>389</v>
      </c>
      <c r="B14" t="s">
        <v>390</v>
      </c>
      <c r="C14" s="15"/>
      <c r="D14" s="15">
        <f>'Balaka and Dedza non-net budget'!V99</f>
        <v>5.2264598597996773E-2</v>
      </c>
      <c r="E14" s="15">
        <f>'Balaka and Dedza non-net budget'!AJ99</f>
        <v>9.2035002738327543E-2</v>
      </c>
      <c r="F14" s="15">
        <f>'Dowa non-net budget'!L286</f>
        <v>3.7407539382596069E-2</v>
      </c>
      <c r="G14" s="565"/>
    </row>
    <row r="15" spans="1:7">
      <c r="A15" s="564"/>
      <c r="B15" t="s">
        <v>391</v>
      </c>
      <c r="C15" s="15"/>
      <c r="D15" s="15">
        <f>'Balaka and Dedza non-net budget'!L105</f>
        <v>6.4655442625391482E-2</v>
      </c>
      <c r="E15" s="15">
        <f>'Balaka and Dedza non-net budget'!AJ105</f>
        <v>8.7043688778911749E-2</v>
      </c>
      <c r="F15" s="15">
        <f>'Dowa non-net budget'!L287</f>
        <v>3.9277916351725881E-2</v>
      </c>
      <c r="G15" s="565"/>
    </row>
    <row r="16" spans="1:7">
      <c r="A16" s="564"/>
      <c r="B16" t="s">
        <v>392</v>
      </c>
      <c r="C16" s="15"/>
      <c r="D16" s="15">
        <f>'Balaka and Dedza non-net budget'!L106</f>
        <v>6.7888214756661056E-2</v>
      </c>
      <c r="E16" s="15">
        <f>'Balaka and Dedza non-net budget'!AJ106</f>
        <v>9.1395873217857332E-2</v>
      </c>
      <c r="F16" s="15">
        <f>'Dowa non-net budget'!L290</f>
        <v>4.1241812169312171E-2</v>
      </c>
      <c r="G16" s="565"/>
    </row>
    <row r="17" spans="1:8">
      <c r="A17" s="564"/>
      <c r="B17" t="s">
        <v>393</v>
      </c>
      <c r="C17" s="15"/>
      <c r="D17" s="15">
        <f>'Balaka and Dedza non-net budget'!L109</f>
        <v>7.1282625494494115E-2</v>
      </c>
      <c r="E17" s="15">
        <f>'Balaka and Dedza non-net budget'!AJ109</f>
        <v>9.5965666878750203E-2</v>
      </c>
      <c r="F17" s="15">
        <f>'Dowa non-net budget'!L291</f>
        <v>4.3303902777777785E-2</v>
      </c>
      <c r="G17" s="565"/>
    </row>
    <row r="18" spans="1:8">
      <c r="A18" s="564"/>
      <c r="B18" t="s">
        <v>394</v>
      </c>
      <c r="C18" s="15"/>
      <c r="D18" s="15">
        <f>'Balaka and Dedza non-net budget'!L110</f>
        <v>7.4846756769218828E-2</v>
      </c>
      <c r="E18" s="15">
        <f>'Balaka and Dedza non-net budget'!AJ110</f>
        <v>0.10076395022268771</v>
      </c>
      <c r="F18" s="15">
        <f>'Dowa non-net budget'!L294</f>
        <v>4.546909791666668E-2</v>
      </c>
      <c r="G18" s="565"/>
    </row>
    <row r="19" spans="1:8">
      <c r="A19" s="564"/>
      <c r="B19" t="s">
        <v>395</v>
      </c>
      <c r="C19" s="15"/>
      <c r="D19" s="15">
        <f>'Balaka and Dedza non-net budget'!L113</f>
        <v>7.858909460767978E-2</v>
      </c>
      <c r="E19" s="15">
        <f>'Balaka and Dedza non-net budget'!AJ113</f>
        <v>0.1058021477338221</v>
      </c>
      <c r="F19" s="15">
        <f>'Dowa non-net budget'!L295</f>
        <v>4.7742552812500012E-2</v>
      </c>
      <c r="G19" s="565"/>
    </row>
    <row r="20" spans="1:8" ht="10" customHeight="1">
      <c r="A20" s="146"/>
      <c r="C20" s="15"/>
      <c r="D20" s="15"/>
      <c r="E20" s="15"/>
      <c r="F20" s="15"/>
      <c r="G20" s="15"/>
    </row>
    <row r="21" spans="1:8" ht="45">
      <c r="A21" s="146"/>
      <c r="B21" s="18" t="s">
        <v>723</v>
      </c>
      <c r="C21" s="15"/>
      <c r="D21" s="15">
        <f>'CU non-monetary costs Ntcheu'!$C$17</f>
        <v>0.13428640540665804</v>
      </c>
      <c r="E21" s="15">
        <f>'CU non-monetary costs Ntcheu'!$C$17</f>
        <v>0.13428640540665804</v>
      </c>
      <c r="F21" s="15">
        <f>'CU non-monetary costs Ntcheu'!$C$17</f>
        <v>0.13428640540665804</v>
      </c>
      <c r="G21" s="15"/>
    </row>
    <row r="22" spans="1:8" ht="9" customHeight="1">
      <c r="C22" s="15"/>
      <c r="D22" s="15"/>
      <c r="E22" s="15"/>
      <c r="F22" s="15"/>
    </row>
    <row r="23" spans="1:8" ht="15" customHeight="1">
      <c r="B23" s="160" t="s">
        <v>510</v>
      </c>
      <c r="C23" s="15"/>
      <c r="D23" s="15">
        <f>'AMF org'!$C$12</f>
        <v>0.82000210782713889</v>
      </c>
      <c r="E23" s="15">
        <f>'AMF org'!$C$12</f>
        <v>0.82000210782713889</v>
      </c>
      <c r="F23" s="15">
        <f>'AMF org'!$C$12</f>
        <v>0.82000210782713889</v>
      </c>
      <c r="G23" s="15">
        <f>'AMF org'!$C$12</f>
        <v>0.82000210782713889</v>
      </c>
    </row>
    <row r="24" spans="1:8" ht="9" customHeight="1">
      <c r="B24" s="160"/>
      <c r="C24" s="15"/>
      <c r="D24" s="15"/>
      <c r="E24" s="15"/>
      <c r="F24" s="15"/>
      <c r="G24" s="15"/>
    </row>
    <row r="25" spans="1:8">
      <c r="B25" t="s">
        <v>513</v>
      </c>
      <c r="C25" s="15">
        <f>SUM(C6:C12)</f>
        <v>2.4999999999999996</v>
      </c>
      <c r="D25" s="15">
        <f>SUM(D6:D12)</f>
        <v>1.1229460738700188</v>
      </c>
      <c r="E25" s="15">
        <f>SUM(E6:E12)</f>
        <v>0.79092157043407041</v>
      </c>
      <c r="F25" s="15">
        <f>SUM(F6:F12)</f>
        <v>0.72335627991937512</v>
      </c>
      <c r="G25" s="15">
        <f>G6+'Kasaï Occidental non-net costs'!B4</f>
        <v>2.7728369962260788</v>
      </c>
      <c r="H25" s="15"/>
    </row>
    <row r="26" spans="1:8">
      <c r="B26" t="s">
        <v>512</v>
      </c>
      <c r="D26" s="15">
        <f>SUM(D14:D19)</f>
        <v>0.40952673285144198</v>
      </c>
      <c r="E26" s="15">
        <f>SUM(E14:E19)</f>
        <v>0.57300632957035658</v>
      </c>
      <c r="F26" s="15">
        <f>SUM(F14:F19)</f>
        <v>0.25444282141057861</v>
      </c>
      <c r="G26" s="15">
        <f>G25/D25*D26</f>
        <v>1.0112247615601107</v>
      </c>
      <c r="H26" s="15"/>
    </row>
    <row r="27" spans="1:8">
      <c r="B27" t="s">
        <v>396</v>
      </c>
      <c r="C27" s="15">
        <f>SUM(C25:C26)</f>
        <v>2.4999999999999996</v>
      </c>
      <c r="D27" s="15">
        <f t="shared" ref="D27:G27" si="0">SUM(D25:D26)</f>
        <v>1.5324728067214608</v>
      </c>
      <c r="E27" s="15">
        <f t="shared" si="0"/>
        <v>1.3639279000044269</v>
      </c>
      <c r="F27" s="15">
        <f t="shared" si="0"/>
        <v>0.97779910132995373</v>
      </c>
      <c r="G27" s="15">
        <f t="shared" si="0"/>
        <v>3.7840617577861897</v>
      </c>
    </row>
    <row r="28" spans="1:8" ht="7" customHeight="1">
      <c r="D28" s="15"/>
      <c r="E28" s="15"/>
      <c r="F28" s="15"/>
    </row>
    <row r="29" spans="1:8">
      <c r="B29" s="266" t="s">
        <v>511</v>
      </c>
      <c r="C29" s="267">
        <f>C4+C21+C23+C27</f>
        <v>5.7999999999999989</v>
      </c>
      <c r="D29" s="267">
        <f t="shared" ref="D29:F29" si="1">D4+D21+D23+D27</f>
        <v>5.5467626167198292</v>
      </c>
      <c r="E29" s="267">
        <f t="shared" si="1"/>
        <v>5.3337266173198561</v>
      </c>
      <c r="F29" s="267">
        <f t="shared" si="1"/>
        <v>4.7223370476703268</v>
      </c>
      <c r="G29" s="267">
        <f>G4+G21+G23+G27</f>
        <v>7.4795816170926184</v>
      </c>
    </row>
    <row r="31" spans="1:8">
      <c r="B31" s="266" t="s">
        <v>726</v>
      </c>
      <c r="D31" s="15"/>
      <c r="E31" s="15"/>
      <c r="F31" s="15"/>
    </row>
    <row r="32" spans="1:8">
      <c r="B32" s="15">
        <f>AVERAGE(D29,AVERAGE(E29:F29))</f>
        <v>5.2873972246074601</v>
      </c>
    </row>
  </sheetData>
  <mergeCells count="3">
    <mergeCell ref="A6:A12"/>
    <mergeCell ref="A14:A19"/>
    <mergeCell ref="G7:G19"/>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0"/>
  <sheetViews>
    <sheetView workbookViewId="0">
      <pane xSplit="3" ySplit="19" topLeftCell="AA106" activePane="bottomRight" state="frozen"/>
      <selection pane="topRight" activeCell="D1" sqref="D1"/>
      <selection pane="bottomLeft" activeCell="A20" sqref="A20"/>
      <selection pane="bottomRight" activeCell="AT11" sqref="AT11"/>
    </sheetView>
  </sheetViews>
  <sheetFormatPr baseColWidth="10" defaultColWidth="9.1640625" defaultRowHeight="16" customHeight="1" x14ac:dyDescent="0"/>
  <cols>
    <col min="1" max="1" width="7.5" style="14" customWidth="1"/>
    <col min="2" max="2" width="68" style="54" bestFit="1" customWidth="1"/>
    <col min="3" max="3" width="1.6640625" style="54" customWidth="1"/>
    <col min="4" max="4" width="19.1640625" style="54" customWidth="1"/>
    <col min="5" max="5" width="0.83203125" style="14" customWidth="1"/>
    <col min="6" max="6" width="15.6640625" style="14" customWidth="1"/>
    <col min="7" max="7" width="0.83203125" style="14" customWidth="1"/>
    <col min="8" max="8" width="10.6640625" style="14" customWidth="1"/>
    <col min="9" max="9" width="0.83203125" style="14" customWidth="1"/>
    <col min="10" max="10" width="15.6640625" style="14" customWidth="1"/>
    <col min="11" max="11" width="0.83203125" style="14" customWidth="1"/>
    <col min="12" max="12" width="15.6640625" style="14" customWidth="1"/>
    <col min="13" max="13" width="0.83203125" style="14" customWidth="1"/>
    <col min="14" max="14" width="7.6640625" style="14" customWidth="1"/>
    <col min="15" max="15" width="0.83203125" style="14" customWidth="1"/>
    <col min="16" max="16" width="15.6640625" style="34" customWidth="1"/>
    <col min="17" max="17" width="0.83203125" style="34" customWidth="1"/>
    <col min="18" max="18" width="10.6640625" style="34" customWidth="1"/>
    <col min="19" max="19" width="0.83203125" style="34" customWidth="1"/>
    <col min="20" max="20" width="15.6640625" style="34" customWidth="1"/>
    <col min="21" max="21" width="0.83203125" style="34" customWidth="1"/>
    <col min="22" max="22" width="15.6640625" style="35" customWidth="1"/>
    <col min="23" max="23" width="0.83203125" style="14" customWidth="1"/>
    <col min="24" max="24" width="15.6640625" style="14" customWidth="1"/>
    <col min="25" max="25" width="0.83203125" style="14" customWidth="1"/>
    <col min="26" max="26" width="15.6640625" style="14" customWidth="1"/>
    <col min="27" max="27" width="0.83203125" style="14" customWidth="1"/>
    <col min="28" max="28" width="5.6640625" customWidth="1"/>
    <col min="29" max="29" width="0.83203125" style="14" customWidth="1"/>
    <col min="30" max="30" width="15.6640625" style="14" customWidth="1"/>
    <col min="31" max="31" width="0.83203125" style="33" customWidth="1"/>
    <col min="32" max="32" width="10.6640625" style="33" customWidth="1"/>
    <col min="33" max="33" width="0.83203125" style="14" customWidth="1"/>
    <col min="34" max="34" width="15.6640625" style="14" customWidth="1"/>
    <col min="35" max="35" width="0.83203125" style="14" customWidth="1"/>
    <col min="36" max="36" width="15.6640625" style="14" customWidth="1"/>
    <col min="37" max="37" width="0.83203125" style="14" customWidth="1"/>
    <col min="38" max="38" width="7.6640625" style="14" customWidth="1"/>
    <col min="39" max="39" width="0.83203125" style="14" customWidth="1"/>
    <col min="40" max="40" width="15.6640625" style="14" customWidth="1"/>
    <col min="41" max="41" width="0.83203125" style="14" customWidth="1"/>
    <col min="42" max="42" width="10.6640625" style="14" customWidth="1"/>
    <col min="43" max="43" width="0.83203125" style="14" customWidth="1"/>
    <col min="44" max="44" width="15.6640625" style="14" customWidth="1"/>
    <col min="45" max="45" width="0.83203125" style="14" customWidth="1"/>
    <col min="46" max="46" width="15.6640625" style="14" customWidth="1"/>
    <col min="47" max="47" width="0.83203125" style="14" customWidth="1"/>
    <col min="48" max="48" width="15.6640625" style="14" customWidth="1"/>
    <col min="49" max="49" width="0.83203125" style="14" customWidth="1"/>
    <col min="50" max="50" width="15.6640625" style="14" customWidth="1"/>
    <col min="51" max="51" width="0.83203125" style="14" customWidth="1"/>
    <col min="52" max="52" width="5.6640625" style="14" customWidth="1"/>
    <col min="53" max="53" width="0.83203125" style="14" customWidth="1"/>
    <col min="54" max="54" width="15.6640625" style="14" customWidth="1"/>
    <col min="55" max="55" width="0.83203125" style="14" customWidth="1"/>
    <col min="56" max="56" width="15.6640625" style="14" customWidth="1"/>
    <col min="57" max="57" width="0.83203125" style="14" customWidth="1"/>
    <col min="58" max="58" width="15.6640625" style="14" customWidth="1"/>
    <col min="59" max="59" width="0.83203125" style="14" customWidth="1"/>
    <col min="60" max="60" width="7.6640625" style="14" customWidth="1"/>
    <col min="61" max="61" width="0.83203125" style="14" customWidth="1"/>
    <col min="62" max="62" width="15.6640625" style="14" customWidth="1"/>
    <col min="63" max="63" width="0.83203125" style="14" customWidth="1"/>
    <col min="64" max="64" width="15.6640625" style="14" customWidth="1"/>
    <col min="65" max="65" width="0.83203125" style="14" customWidth="1"/>
    <col min="66" max="66" width="16.83203125" style="14" bestFit="1" customWidth="1"/>
    <col min="67" max="67" width="0.83203125" style="14" customWidth="1"/>
    <col min="68" max="68" width="15.6640625" style="14" customWidth="1"/>
    <col min="69" max="69" width="0.83203125" style="14" customWidth="1"/>
    <col min="70" max="70" width="15.6640625" style="14" customWidth="1"/>
    <col min="71" max="71" width="0.83203125" style="14" customWidth="1"/>
    <col min="72" max="16384" width="9.1640625" style="14"/>
  </cols>
  <sheetData>
    <row r="1" spans="1:71" s="19" customFormat="1" ht="16" customHeight="1">
      <c r="A1" s="265" t="s">
        <v>508</v>
      </c>
      <c r="P1" s="20"/>
      <c r="Q1" s="20"/>
      <c r="R1" s="20"/>
      <c r="S1" s="20"/>
      <c r="T1" s="20"/>
      <c r="U1" s="20"/>
      <c r="V1" s="21"/>
      <c r="AE1" s="27"/>
      <c r="AF1" s="27"/>
    </row>
    <row r="2" spans="1:71" s="19" customFormat="1" ht="16" customHeight="1">
      <c r="B2" s="22"/>
      <c r="C2" s="22"/>
      <c r="D2" s="22"/>
      <c r="F2" s="23" t="s">
        <v>343</v>
      </c>
      <c r="G2" s="24"/>
      <c r="H2" s="24"/>
      <c r="I2" s="24"/>
      <c r="J2" s="24"/>
      <c r="K2" s="24"/>
      <c r="L2" s="24"/>
      <c r="M2" s="24"/>
      <c r="N2" s="24"/>
      <c r="O2" s="24"/>
      <c r="P2" s="25"/>
      <c r="Q2" s="25"/>
      <c r="R2" s="25"/>
      <c r="S2" s="25"/>
      <c r="T2" s="25"/>
      <c r="U2" s="25"/>
      <c r="V2" s="26"/>
      <c r="W2" s="24"/>
      <c r="X2" s="24"/>
      <c r="Y2" s="24"/>
      <c r="Z2" s="24"/>
      <c r="AA2" s="27"/>
      <c r="AD2" s="23" t="s">
        <v>344</v>
      </c>
      <c r="AE2" s="23"/>
      <c r="AF2" s="23"/>
      <c r="AG2" s="24"/>
      <c r="AH2" s="24"/>
      <c r="AI2" s="24"/>
      <c r="AJ2" s="24"/>
      <c r="AK2" s="24"/>
      <c r="AL2" s="24"/>
      <c r="AM2" s="24"/>
      <c r="AN2" s="24"/>
      <c r="AO2" s="24"/>
      <c r="AP2" s="24"/>
      <c r="AQ2" s="24"/>
      <c r="AR2" s="24"/>
      <c r="AS2" s="24"/>
      <c r="AT2" s="24"/>
      <c r="AU2" s="24"/>
      <c r="AV2" s="24"/>
      <c r="AW2" s="24"/>
      <c r="AX2" s="24"/>
      <c r="AY2" s="27"/>
      <c r="AZ2" s="27"/>
      <c r="BA2" s="27"/>
      <c r="BB2" s="23" t="s">
        <v>345</v>
      </c>
      <c r="BC2" s="24"/>
      <c r="BD2" s="24"/>
      <c r="BE2" s="24"/>
      <c r="BF2" s="24"/>
      <c r="BG2" s="24"/>
      <c r="BH2" s="24"/>
      <c r="BI2" s="24"/>
      <c r="BJ2" s="24"/>
      <c r="BK2" s="24"/>
      <c r="BL2" s="24"/>
      <c r="BM2" s="24"/>
      <c r="BN2" s="24"/>
      <c r="BO2" s="24"/>
      <c r="BP2" s="24"/>
      <c r="BQ2" s="24"/>
      <c r="BR2" s="27"/>
      <c r="BS2" s="27"/>
    </row>
    <row r="3" spans="1:71" s="19" customFormat="1" ht="16" customHeight="1" thickBot="1">
      <c r="B3" s="28" t="s">
        <v>346</v>
      </c>
      <c r="C3" s="28"/>
      <c r="D3" s="28"/>
      <c r="P3" s="20"/>
      <c r="Q3" s="20"/>
      <c r="R3" s="20"/>
      <c r="S3" s="20"/>
      <c r="T3" s="20"/>
      <c r="U3" s="20"/>
      <c r="V3" s="21"/>
      <c r="AE3" s="27"/>
      <c r="AF3" s="27"/>
    </row>
    <row r="4" spans="1:71" s="19" customFormat="1" ht="16" customHeight="1" thickBot="1">
      <c r="B4" s="22"/>
      <c r="C4" s="22"/>
      <c r="D4" s="22"/>
      <c r="F4" s="177" t="s">
        <v>450</v>
      </c>
      <c r="K4" s="29"/>
      <c r="R4" s="178" t="s">
        <v>451</v>
      </c>
      <c r="T4" s="179">
        <v>80000</v>
      </c>
      <c r="V4" s="21"/>
      <c r="AD4" s="177" t="s">
        <v>450</v>
      </c>
      <c r="AE4" s="180"/>
      <c r="AF4" s="180"/>
      <c r="AH4" s="29"/>
      <c r="AO4" s="178"/>
      <c r="AP4" s="178" t="s">
        <v>451</v>
      </c>
      <c r="AQ4" s="178"/>
      <c r="AR4" s="181">
        <f>AH10</f>
        <v>155000</v>
      </c>
      <c r="BB4" s="177"/>
      <c r="BD4" s="29"/>
      <c r="BE4" s="29"/>
      <c r="BL4" s="182">
        <f>AR4+T4</f>
        <v>235000</v>
      </c>
    </row>
    <row r="5" spans="1:71" s="19" customFormat="1" ht="16" customHeight="1" thickBot="1">
      <c r="B5" s="28" t="s">
        <v>343</v>
      </c>
      <c r="C5" s="28"/>
      <c r="D5" s="28"/>
      <c r="F5" s="19" t="s">
        <v>452</v>
      </c>
      <c r="J5" s="30">
        <v>300</v>
      </c>
      <c r="K5" s="31"/>
      <c r="M5" s="31"/>
      <c r="N5" s="31"/>
      <c r="R5" s="178" t="s">
        <v>453</v>
      </c>
      <c r="T5" s="181">
        <f>T10-T4</f>
        <v>74230</v>
      </c>
      <c r="V5" s="21"/>
      <c r="AD5" s="19" t="s">
        <v>452</v>
      </c>
      <c r="AE5" s="27"/>
      <c r="AF5" s="27"/>
      <c r="AH5" s="30">
        <v>300</v>
      </c>
      <c r="AJ5" s="31"/>
      <c r="AK5" s="31"/>
      <c r="AL5" s="31"/>
      <c r="AO5" s="178"/>
      <c r="AP5" s="178" t="s">
        <v>453</v>
      </c>
      <c r="AQ5" s="178"/>
      <c r="AR5" s="181">
        <f>AR10-AR4</f>
        <v>85000</v>
      </c>
      <c r="BD5" s="183"/>
      <c r="BE5" s="31"/>
      <c r="BF5" s="31"/>
      <c r="BG5" s="31"/>
      <c r="BH5" s="31"/>
      <c r="BL5" s="182">
        <f>AR5+T5</f>
        <v>159230</v>
      </c>
    </row>
    <row r="6" spans="1:71" s="19" customFormat="1" ht="16" customHeight="1" thickBot="1">
      <c r="B6" s="32" t="s">
        <v>344</v>
      </c>
      <c r="C6" s="32"/>
      <c r="D6" s="32"/>
      <c r="F6" s="19" t="s">
        <v>454</v>
      </c>
      <c r="J6" s="30">
        <v>340</v>
      </c>
      <c r="K6" s="31"/>
      <c r="M6" s="31"/>
      <c r="N6" s="31"/>
      <c r="P6" s="20"/>
      <c r="Q6" s="20"/>
      <c r="R6" s="184" t="s">
        <v>321</v>
      </c>
      <c r="S6" s="20"/>
      <c r="T6" s="185">
        <v>3.06</v>
      </c>
      <c r="U6" s="20"/>
      <c r="V6" s="21"/>
      <c r="AD6" s="19" t="s">
        <v>454</v>
      </c>
      <c r="AE6" s="27"/>
      <c r="AF6" s="27"/>
      <c r="AH6" s="30">
        <v>340</v>
      </c>
      <c r="AJ6" s="31"/>
      <c r="AK6" s="31"/>
      <c r="AL6" s="31"/>
      <c r="AO6" s="20"/>
      <c r="AP6" s="184" t="s">
        <v>321</v>
      </c>
      <c r="AR6" s="185">
        <v>3.02</v>
      </c>
      <c r="BD6" s="183"/>
      <c r="BE6" s="31"/>
      <c r="BF6" s="31"/>
      <c r="BG6" s="31"/>
      <c r="BH6" s="31"/>
      <c r="BJ6" s="37" t="s">
        <v>455</v>
      </c>
      <c r="BL6" s="186">
        <f>BL7/BL5</f>
        <v>3.0386472398417386</v>
      </c>
    </row>
    <row r="7" spans="1:71" s="19" customFormat="1" ht="16" customHeight="1" thickBot="1">
      <c r="B7" s="36">
        <v>41306</v>
      </c>
      <c r="C7" s="36"/>
      <c r="D7" s="36"/>
      <c r="F7" s="19" t="s">
        <v>456</v>
      </c>
      <c r="J7" s="30">
        <v>340</v>
      </c>
      <c r="K7" s="31"/>
      <c r="M7" s="31"/>
      <c r="N7" s="31"/>
      <c r="P7" s="20"/>
      <c r="Q7" s="20"/>
      <c r="R7" s="178" t="s">
        <v>457</v>
      </c>
      <c r="S7" s="20"/>
      <c r="T7" s="187">
        <f>T5*T6</f>
        <v>227143.80000000002</v>
      </c>
      <c r="U7" s="20"/>
      <c r="V7" s="21"/>
      <c r="AD7" s="19" t="s">
        <v>456</v>
      </c>
      <c r="AE7" s="27"/>
      <c r="AF7" s="27"/>
      <c r="AH7" s="30">
        <v>340</v>
      </c>
      <c r="AJ7" s="31"/>
      <c r="AK7" s="31"/>
      <c r="AL7" s="31"/>
      <c r="AP7" s="178" t="s">
        <v>457</v>
      </c>
      <c r="AR7" s="188">
        <f>AR5*AR6</f>
        <v>256700</v>
      </c>
      <c r="BD7" s="183"/>
      <c r="BE7" s="31"/>
      <c r="BF7" s="31"/>
      <c r="BG7" s="31"/>
      <c r="BH7" s="31"/>
      <c r="BJ7" s="37" t="s">
        <v>458</v>
      </c>
      <c r="BL7" s="189">
        <f>AR7+T7</f>
        <v>483843.80000000005</v>
      </c>
    </row>
    <row r="8" spans="1:71" ht="16" customHeight="1" thickBot="1">
      <c r="B8" s="14"/>
      <c r="C8" s="14"/>
      <c r="D8" s="14"/>
      <c r="F8" s="177" t="s">
        <v>459</v>
      </c>
      <c r="G8" s="33"/>
      <c r="H8" s="33"/>
      <c r="I8" s="19"/>
      <c r="J8" s="30">
        <v>407</v>
      </c>
      <c r="K8" s="33"/>
      <c r="L8" s="33"/>
      <c r="M8" s="33"/>
      <c r="N8" s="33"/>
      <c r="V8" s="90"/>
      <c r="AB8" s="14"/>
      <c r="AD8" s="177" t="s">
        <v>459</v>
      </c>
      <c r="AG8" s="19"/>
      <c r="AH8" s="30">
        <v>407</v>
      </c>
      <c r="AJ8" s="33"/>
      <c r="AK8" s="33"/>
      <c r="AL8" s="33"/>
      <c r="BE8" s="33"/>
      <c r="BF8" s="33"/>
      <c r="BG8" s="33"/>
      <c r="BH8" s="33"/>
    </row>
    <row r="9" spans="1:71" ht="16" customHeight="1" thickBot="1">
      <c r="B9" s="14"/>
      <c r="C9" s="14"/>
      <c r="D9" s="14"/>
      <c r="K9" s="33"/>
      <c r="L9" s="33"/>
      <c r="M9" s="33"/>
      <c r="N9" s="33"/>
      <c r="V9" s="14"/>
      <c r="AB9" s="14"/>
      <c r="AD9" s="177"/>
      <c r="AG9" s="19"/>
      <c r="AH9" s="190"/>
      <c r="AJ9" s="33"/>
      <c r="AK9" s="33"/>
      <c r="AL9" s="33"/>
      <c r="AT9" s="191"/>
      <c r="BE9" s="33"/>
      <c r="BF9" s="33"/>
      <c r="BG9" s="33"/>
      <c r="BH9" s="33"/>
    </row>
    <row r="10" spans="1:71" ht="16" customHeight="1" thickBot="1">
      <c r="B10" s="14"/>
      <c r="C10" s="14"/>
      <c r="D10" s="14"/>
      <c r="F10" s="37" t="s">
        <v>347</v>
      </c>
      <c r="J10" s="38">
        <v>149500</v>
      </c>
      <c r="K10" s="39"/>
      <c r="L10" s="39"/>
      <c r="M10" s="39"/>
      <c r="N10" s="39"/>
      <c r="T10" s="179">
        <v>154230</v>
      </c>
      <c r="AB10" s="14"/>
      <c r="AD10" s="37" t="s">
        <v>347</v>
      </c>
      <c r="AE10" s="192"/>
      <c r="AF10" s="192"/>
      <c r="AH10" s="40">
        <v>155000</v>
      </c>
      <c r="AJ10" s="39"/>
      <c r="AK10" s="39"/>
      <c r="AL10" s="39"/>
      <c r="AR10" s="179">
        <v>240000</v>
      </c>
      <c r="AT10" s="34"/>
      <c r="BB10" s="37" t="s">
        <v>347</v>
      </c>
      <c r="BD10" s="41">
        <f>AH10+J10</f>
        <v>304500</v>
      </c>
      <c r="BE10" s="39"/>
      <c r="BF10" s="39"/>
      <c r="BG10" s="39"/>
      <c r="BH10" s="39"/>
      <c r="BL10" s="181">
        <f>AR10+T10</f>
        <v>394230</v>
      </c>
    </row>
    <row r="11" spans="1:71" ht="16" customHeight="1">
      <c r="B11" s="36"/>
      <c r="C11" s="36"/>
      <c r="D11" s="36"/>
      <c r="F11" s="42"/>
      <c r="G11" s="42"/>
      <c r="H11" s="42"/>
      <c r="I11" s="42"/>
      <c r="J11" s="42"/>
      <c r="K11" s="42"/>
      <c r="L11" s="42"/>
      <c r="M11" s="39"/>
      <c r="N11" s="39"/>
      <c r="P11" s="14"/>
      <c r="Q11" s="14"/>
      <c r="R11" s="29" t="s">
        <v>460</v>
      </c>
      <c r="S11" s="14"/>
      <c r="T11" s="187">
        <f>T6*T10</f>
        <v>471943.8</v>
      </c>
      <c r="U11" s="14"/>
      <c r="V11" s="14"/>
      <c r="W11" s="35"/>
      <c r="AB11" s="14"/>
      <c r="AE11" s="42"/>
      <c r="AF11" s="193"/>
      <c r="AG11" s="193"/>
      <c r="AH11" s="42"/>
      <c r="AI11" s="42"/>
      <c r="AJ11" s="42"/>
      <c r="AK11" s="42"/>
      <c r="AL11" s="39"/>
      <c r="AM11" s="39"/>
      <c r="AP11" s="37" t="s">
        <v>460</v>
      </c>
      <c r="AR11" s="188">
        <f>AR6*AR10</f>
        <v>724800</v>
      </c>
      <c r="BH11" s="39"/>
      <c r="BI11" s="39"/>
      <c r="BL11" s="194">
        <f>AR11+T11</f>
        <v>1196743.8</v>
      </c>
    </row>
    <row r="12" spans="1:71" ht="16" customHeight="1">
      <c r="B12" s="36"/>
      <c r="C12" s="36"/>
      <c r="D12" s="36"/>
      <c r="F12" s="566" t="s">
        <v>348</v>
      </c>
      <c r="G12" s="567"/>
      <c r="H12" s="567"/>
      <c r="I12" s="567"/>
      <c r="J12" s="567"/>
      <c r="K12" s="567"/>
      <c r="L12" s="568"/>
      <c r="M12" s="39"/>
      <c r="N12" s="39"/>
      <c r="T12" s="195">
        <f>(T10-J10)/J10</f>
        <v>3.1638795986622073E-2</v>
      </c>
      <c r="AB12" s="14"/>
      <c r="AD12" s="566" t="s">
        <v>348</v>
      </c>
      <c r="AE12" s="567"/>
      <c r="AF12" s="567"/>
      <c r="AG12" s="567"/>
      <c r="AH12" s="567"/>
      <c r="AI12" s="567"/>
      <c r="AJ12" s="568"/>
      <c r="AK12" s="39"/>
      <c r="AL12" s="39"/>
      <c r="AR12" s="195">
        <f>(AR10-AH10)/AH10</f>
        <v>0.54838709677419351</v>
      </c>
      <c r="BB12" s="566" t="s">
        <v>348</v>
      </c>
      <c r="BC12" s="567"/>
      <c r="BD12" s="567"/>
      <c r="BE12" s="567"/>
      <c r="BF12" s="568"/>
      <c r="BG12" s="39"/>
      <c r="BH12" s="39"/>
      <c r="BL12" s="195">
        <f>(BL10-BD10)/BD10</f>
        <v>0.29467980295566504</v>
      </c>
    </row>
    <row r="13" spans="1:71" ht="16" customHeight="1">
      <c r="B13" s="36"/>
      <c r="C13" s="36"/>
      <c r="D13" s="36"/>
      <c r="F13" s="569"/>
      <c r="G13" s="570"/>
      <c r="H13" s="570"/>
      <c r="I13" s="570"/>
      <c r="J13" s="570"/>
      <c r="K13" s="570"/>
      <c r="L13" s="571"/>
      <c r="M13" s="39"/>
      <c r="N13" s="39"/>
      <c r="AB13" s="14"/>
      <c r="AD13" s="569"/>
      <c r="AE13" s="570"/>
      <c r="AF13" s="570"/>
      <c r="AG13" s="570"/>
      <c r="AH13" s="570"/>
      <c r="AI13" s="570"/>
      <c r="AJ13" s="571"/>
      <c r="AK13" s="39"/>
      <c r="AL13" s="39"/>
      <c r="BB13" s="569"/>
      <c r="BC13" s="570"/>
      <c r="BD13" s="570"/>
      <c r="BE13" s="570"/>
      <c r="BF13" s="571"/>
      <c r="BG13" s="39"/>
      <c r="BH13" s="39"/>
    </row>
    <row r="14" spans="1:71" ht="16" customHeight="1">
      <c r="B14" s="43"/>
      <c r="C14" s="43"/>
      <c r="D14" s="43"/>
      <c r="F14" s="39"/>
      <c r="G14" s="39"/>
      <c r="H14" s="39"/>
      <c r="I14" s="39"/>
      <c r="J14" s="39"/>
      <c r="K14" s="39"/>
      <c r="L14" s="39"/>
      <c r="M14" s="39"/>
      <c r="N14" s="39"/>
      <c r="P14" s="196"/>
      <c r="Q14" s="196"/>
      <c r="R14" s="196"/>
      <c r="S14" s="196"/>
      <c r="T14" s="196"/>
      <c r="U14" s="196"/>
      <c r="AB14" s="14"/>
      <c r="AD14" s="39"/>
      <c r="AE14" s="39"/>
      <c r="AF14" s="39"/>
      <c r="AG14" s="39"/>
      <c r="AH14" s="39"/>
      <c r="AI14" s="39"/>
      <c r="AJ14" s="39"/>
      <c r="AK14" s="39"/>
      <c r="AL14" s="39"/>
      <c r="BB14" s="39"/>
      <c r="BC14" s="39"/>
      <c r="BD14" s="39"/>
      <c r="BE14" s="39"/>
      <c r="BF14" s="39"/>
      <c r="BG14" s="39"/>
      <c r="BH14" s="39"/>
    </row>
    <row r="15" spans="1:71" ht="16" customHeight="1">
      <c r="B15" s="43"/>
      <c r="C15" s="43"/>
      <c r="D15" s="32" t="s">
        <v>385</v>
      </c>
      <c r="F15" s="44" t="s">
        <v>349</v>
      </c>
      <c r="G15" s="45"/>
      <c r="H15" s="45"/>
      <c r="I15" s="45"/>
      <c r="J15" s="46" t="s">
        <v>350</v>
      </c>
      <c r="K15" s="47"/>
      <c r="L15" s="48" t="s">
        <v>351</v>
      </c>
      <c r="M15" s="49"/>
      <c r="O15" s="50"/>
      <c r="P15" s="49" t="s">
        <v>352</v>
      </c>
      <c r="Q15" s="51"/>
      <c r="R15" s="51"/>
      <c r="S15" s="51"/>
      <c r="T15" s="49" t="s">
        <v>353</v>
      </c>
      <c r="U15" s="51"/>
      <c r="V15" s="49" t="s">
        <v>354</v>
      </c>
      <c r="W15" s="50"/>
      <c r="X15" s="52" t="s">
        <v>355</v>
      </c>
      <c r="Z15" s="49" t="s">
        <v>356</v>
      </c>
      <c r="AB15" s="14"/>
      <c r="AD15" s="44" t="s">
        <v>349</v>
      </c>
      <c r="AE15" s="197"/>
      <c r="AF15" s="197"/>
      <c r="AG15" s="45"/>
      <c r="AH15" s="46" t="s">
        <v>350</v>
      </c>
      <c r="AI15" s="47"/>
      <c r="AJ15" s="48" t="s">
        <v>351</v>
      </c>
      <c r="AK15" s="49"/>
      <c r="AM15" s="50"/>
      <c r="AN15" s="49" t="s">
        <v>352</v>
      </c>
      <c r="AO15" s="49"/>
      <c r="AP15" s="50"/>
      <c r="AQ15" s="49"/>
      <c r="AR15" s="49" t="s">
        <v>353</v>
      </c>
      <c r="AS15" s="50"/>
      <c r="AT15" s="49" t="s">
        <v>354</v>
      </c>
      <c r="AU15" s="50"/>
      <c r="AV15" s="49" t="s">
        <v>355</v>
      </c>
      <c r="AW15" s="49"/>
      <c r="AX15" s="49" t="s">
        <v>356</v>
      </c>
      <c r="BB15" s="44" t="s">
        <v>349</v>
      </c>
      <c r="BC15" s="45"/>
      <c r="BD15" s="46" t="s">
        <v>350</v>
      </c>
      <c r="BE15" s="47"/>
      <c r="BF15" s="48" t="s">
        <v>351</v>
      </c>
      <c r="BG15" s="49"/>
      <c r="BI15" s="50"/>
      <c r="BJ15" s="49" t="s">
        <v>352</v>
      </c>
      <c r="BK15" s="50"/>
      <c r="BL15" s="49" t="s">
        <v>353</v>
      </c>
      <c r="BM15" s="50"/>
      <c r="BN15" s="49" t="s">
        <v>354</v>
      </c>
      <c r="BO15" s="50"/>
      <c r="BP15" s="49" t="s">
        <v>355</v>
      </c>
      <c r="BQ15" s="49"/>
      <c r="BR15" s="49" t="s">
        <v>356</v>
      </c>
    </row>
    <row r="16" spans="1:71" ht="16" customHeight="1">
      <c r="B16" s="43"/>
      <c r="C16" s="43"/>
      <c r="D16" s="145" t="s">
        <v>386</v>
      </c>
      <c r="F16" s="53"/>
      <c r="G16" s="54"/>
      <c r="H16" s="54"/>
      <c r="I16" s="54"/>
      <c r="J16" s="55"/>
      <c r="K16" s="55"/>
      <c r="L16" s="56" t="s">
        <v>320</v>
      </c>
      <c r="M16" s="57"/>
      <c r="N16" s="57"/>
      <c r="P16" s="58"/>
      <c r="Q16" s="58"/>
      <c r="R16" s="58"/>
      <c r="S16" s="58"/>
      <c r="T16" s="63"/>
      <c r="U16" s="63"/>
      <c r="V16" s="59" t="s">
        <v>320</v>
      </c>
      <c r="X16" s="57" t="s">
        <v>358</v>
      </c>
      <c r="Z16" s="57" t="s">
        <v>358</v>
      </c>
      <c r="AB16" s="14"/>
      <c r="AD16" s="53"/>
      <c r="AE16" s="198"/>
      <c r="AF16" s="198"/>
      <c r="AG16" s="54"/>
      <c r="AH16" s="55"/>
      <c r="AI16" s="55"/>
      <c r="AJ16" s="56" t="s">
        <v>320</v>
      </c>
      <c r="AK16" s="57"/>
      <c r="AL16" s="57"/>
      <c r="AN16" s="55"/>
      <c r="AO16" s="55"/>
      <c r="AQ16" s="55"/>
      <c r="AR16" s="55"/>
      <c r="AT16" s="59" t="s">
        <v>320</v>
      </c>
      <c r="AU16" s="55"/>
      <c r="AV16" s="57" t="s">
        <v>358</v>
      </c>
      <c r="AW16" s="57"/>
      <c r="AX16" s="57" t="s">
        <v>358</v>
      </c>
      <c r="AY16" s="55"/>
      <c r="AZ16" s="55"/>
      <c r="BB16" s="53"/>
      <c r="BC16" s="54"/>
      <c r="BD16" s="55"/>
      <c r="BE16" s="55"/>
      <c r="BF16" s="56" t="s">
        <v>320</v>
      </c>
      <c r="BG16" s="57"/>
      <c r="BH16" s="57"/>
      <c r="BJ16" s="55"/>
      <c r="BL16" s="55"/>
      <c r="BN16" s="57" t="s">
        <v>320</v>
      </c>
      <c r="BO16" s="55"/>
      <c r="BP16" s="57" t="s">
        <v>358</v>
      </c>
      <c r="BQ16" s="57"/>
      <c r="BR16" s="57" t="s">
        <v>358</v>
      </c>
      <c r="BS16" s="55"/>
    </row>
    <row r="17" spans="2:71" ht="15">
      <c r="B17" s="43"/>
      <c r="C17" s="43"/>
      <c r="D17" s="43"/>
      <c r="F17" s="60" t="s">
        <v>359</v>
      </c>
      <c r="G17" s="61"/>
      <c r="H17" s="199" t="s">
        <v>461</v>
      </c>
      <c r="I17" s="61"/>
      <c r="J17" s="57" t="s">
        <v>359</v>
      </c>
      <c r="K17" s="57"/>
      <c r="L17" s="56" t="s">
        <v>359</v>
      </c>
      <c r="M17" s="57"/>
      <c r="N17" s="57"/>
      <c r="O17" s="62"/>
      <c r="P17" s="63" t="s">
        <v>358</v>
      </c>
      <c r="Q17" s="63"/>
      <c r="R17" s="199" t="s">
        <v>461</v>
      </c>
      <c r="S17" s="63"/>
      <c r="T17" s="63" t="s">
        <v>358</v>
      </c>
      <c r="U17" s="63"/>
      <c r="V17" s="59" t="s">
        <v>358</v>
      </c>
      <c r="W17" s="62"/>
      <c r="X17" s="57" t="s">
        <v>360</v>
      </c>
      <c r="Z17" s="57" t="s">
        <v>360</v>
      </c>
      <c r="AB17" s="14"/>
      <c r="AD17" s="60" t="s">
        <v>359</v>
      </c>
      <c r="AE17" s="65"/>
      <c r="AF17" s="199" t="s">
        <v>461</v>
      </c>
      <c r="AG17" s="61"/>
      <c r="AH17" s="57" t="s">
        <v>359</v>
      </c>
      <c r="AI17" s="57"/>
      <c r="AJ17" s="56" t="s">
        <v>359</v>
      </c>
      <c r="AK17" s="57"/>
      <c r="AL17" s="57"/>
      <c r="AM17" s="62"/>
      <c r="AN17" s="57" t="s">
        <v>358</v>
      </c>
      <c r="AO17" s="57"/>
      <c r="AP17" s="199" t="s">
        <v>461</v>
      </c>
      <c r="AQ17" s="57"/>
      <c r="AR17" s="57" t="s">
        <v>358</v>
      </c>
      <c r="AS17" s="62"/>
      <c r="AT17" s="59" t="s">
        <v>358</v>
      </c>
      <c r="AU17" s="57"/>
      <c r="AV17" s="57" t="s">
        <v>360</v>
      </c>
      <c r="AW17" s="57"/>
      <c r="AX17" s="57" t="s">
        <v>360</v>
      </c>
      <c r="AY17" s="57"/>
      <c r="AZ17" s="57"/>
      <c r="BB17" s="60" t="s">
        <v>359</v>
      </c>
      <c r="BC17" s="61"/>
      <c r="BD17" s="57" t="s">
        <v>359</v>
      </c>
      <c r="BE17" s="57"/>
      <c r="BF17" s="56" t="s">
        <v>359</v>
      </c>
      <c r="BG17" s="57"/>
      <c r="BH17" s="57"/>
      <c r="BI17" s="62"/>
      <c r="BJ17" s="57" t="s">
        <v>358</v>
      </c>
      <c r="BK17" s="62"/>
      <c r="BL17" s="57" t="s">
        <v>358</v>
      </c>
      <c r="BM17" s="62"/>
      <c r="BN17" s="59" t="s">
        <v>358</v>
      </c>
      <c r="BO17" s="57"/>
      <c r="BP17" s="57" t="s">
        <v>360</v>
      </c>
      <c r="BQ17" s="57"/>
      <c r="BR17" s="57" t="s">
        <v>360</v>
      </c>
      <c r="BS17" s="57"/>
    </row>
    <row r="18" spans="2:71" ht="15">
      <c r="B18" s="43"/>
      <c r="C18" s="43"/>
      <c r="D18" s="43"/>
      <c r="F18" s="60" t="s">
        <v>361</v>
      </c>
      <c r="G18" s="61"/>
      <c r="H18" s="199" t="s">
        <v>462</v>
      </c>
      <c r="I18" s="61"/>
      <c r="J18" s="57" t="s">
        <v>362</v>
      </c>
      <c r="K18" s="57"/>
      <c r="L18" s="56" t="s">
        <v>362</v>
      </c>
      <c r="M18" s="57"/>
      <c r="N18" s="57"/>
      <c r="O18" s="62"/>
      <c r="P18" s="63" t="s">
        <v>361</v>
      </c>
      <c r="Q18" s="63"/>
      <c r="R18" s="199" t="s">
        <v>462</v>
      </c>
      <c r="S18" s="63"/>
      <c r="T18" s="63" t="s">
        <v>362</v>
      </c>
      <c r="U18" s="63"/>
      <c r="V18" s="59" t="s">
        <v>362</v>
      </c>
      <c r="W18" s="62"/>
      <c r="X18" s="59" t="s">
        <v>362</v>
      </c>
      <c r="Z18" s="57" t="s">
        <v>463</v>
      </c>
      <c r="AB18" s="14"/>
      <c r="AD18" s="60" t="s">
        <v>361</v>
      </c>
      <c r="AE18" s="65"/>
      <c r="AF18" s="199" t="s">
        <v>462</v>
      </c>
      <c r="AG18" s="61"/>
      <c r="AH18" s="57" t="s">
        <v>362</v>
      </c>
      <c r="AI18" s="57"/>
      <c r="AJ18" s="56" t="s">
        <v>362</v>
      </c>
      <c r="AK18" s="57"/>
      <c r="AL18" s="57"/>
      <c r="AM18" s="62"/>
      <c r="AN18" s="57" t="s">
        <v>361</v>
      </c>
      <c r="AO18" s="57"/>
      <c r="AP18" s="199" t="s">
        <v>462</v>
      </c>
      <c r="AQ18" s="57"/>
      <c r="AR18" s="57" t="s">
        <v>362</v>
      </c>
      <c r="AS18" s="62"/>
      <c r="AT18" s="59" t="s">
        <v>362</v>
      </c>
      <c r="AU18" s="57"/>
      <c r="AV18" s="57" t="s">
        <v>362</v>
      </c>
      <c r="AW18" s="57"/>
      <c r="AX18" s="57" t="s">
        <v>463</v>
      </c>
      <c r="AY18" s="57"/>
      <c r="AZ18" s="57"/>
      <c r="BB18" s="60" t="s">
        <v>361</v>
      </c>
      <c r="BC18" s="61"/>
      <c r="BD18" s="57" t="s">
        <v>362</v>
      </c>
      <c r="BE18" s="57"/>
      <c r="BF18" s="56" t="s">
        <v>362</v>
      </c>
      <c r="BG18" s="57"/>
      <c r="BH18" s="57"/>
      <c r="BI18" s="62"/>
      <c r="BJ18" s="57" t="s">
        <v>361</v>
      </c>
      <c r="BK18" s="62"/>
      <c r="BL18" s="57" t="s">
        <v>362</v>
      </c>
      <c r="BM18" s="62"/>
      <c r="BN18" s="57" t="s">
        <v>362</v>
      </c>
      <c r="BO18" s="57"/>
      <c r="BP18" s="57" t="s">
        <v>362</v>
      </c>
      <c r="BQ18" s="57"/>
      <c r="BR18" s="57" t="s">
        <v>463</v>
      </c>
      <c r="BS18" s="57"/>
    </row>
    <row r="19" spans="2:71" ht="15">
      <c r="B19" s="32" t="s">
        <v>325</v>
      </c>
      <c r="C19" s="32"/>
      <c r="D19" s="32"/>
      <c r="F19" s="53"/>
      <c r="G19" s="55"/>
      <c r="H19" s="55"/>
      <c r="I19" s="55"/>
      <c r="J19" s="55"/>
      <c r="K19" s="55"/>
      <c r="L19" s="64"/>
      <c r="M19" s="55"/>
      <c r="N19" s="55"/>
      <c r="P19" s="58"/>
      <c r="Q19" s="58"/>
      <c r="R19" s="14"/>
      <c r="S19" s="58"/>
      <c r="T19" s="58"/>
      <c r="U19" s="58"/>
      <c r="X19" s="55"/>
      <c r="Z19" s="65"/>
      <c r="AB19" s="14"/>
      <c r="AD19" s="53"/>
      <c r="AE19" s="198"/>
      <c r="AF19" s="55"/>
      <c r="AG19" s="55"/>
      <c r="AH19" s="55"/>
      <c r="AI19" s="55"/>
      <c r="AJ19" s="64"/>
      <c r="AK19" s="55"/>
      <c r="AL19" s="55"/>
      <c r="AN19" s="55"/>
      <c r="AO19" s="55"/>
      <c r="AQ19" s="55"/>
      <c r="AR19" s="55"/>
      <c r="AT19" s="55"/>
      <c r="AU19" s="55"/>
      <c r="AV19" s="55"/>
      <c r="AW19" s="55"/>
      <c r="AX19" s="65"/>
      <c r="AY19" s="55"/>
      <c r="AZ19" s="55"/>
      <c r="BB19" s="53"/>
      <c r="BC19" s="55"/>
      <c r="BD19" s="55"/>
      <c r="BE19" s="55"/>
      <c r="BF19" s="64"/>
      <c r="BG19" s="55"/>
      <c r="BH19" s="55"/>
      <c r="BJ19" s="55"/>
      <c r="BL19" s="55"/>
      <c r="BN19" s="55"/>
      <c r="BO19" s="55"/>
      <c r="BP19" s="55"/>
      <c r="BQ19" s="55"/>
      <c r="BR19" s="65"/>
      <c r="BS19" s="55"/>
    </row>
    <row r="20" spans="2:71" ht="15">
      <c r="B20" s="66" t="s">
        <v>363</v>
      </c>
      <c r="C20" s="66"/>
      <c r="D20" s="66" t="s">
        <v>325</v>
      </c>
      <c r="F20" s="67">
        <f>J20*J5</f>
        <v>12492600</v>
      </c>
      <c r="G20" s="68"/>
      <c r="H20" s="75">
        <f>J5</f>
        <v>300</v>
      </c>
      <c r="I20" s="68"/>
      <c r="J20" s="69">
        <v>41642</v>
      </c>
      <c r="K20" s="68"/>
      <c r="L20" s="70">
        <f>J20/$J$10</f>
        <v>0.2785418060200669</v>
      </c>
      <c r="M20" s="71"/>
      <c r="N20" s="71"/>
      <c r="P20" s="72">
        <f>F20</f>
        <v>12492600</v>
      </c>
      <c r="Q20" s="72"/>
      <c r="R20" s="14"/>
      <c r="S20" s="72"/>
      <c r="T20" s="25">
        <v>43200</v>
      </c>
      <c r="U20" s="98"/>
      <c r="V20" s="35">
        <f>T20/$T$10</f>
        <v>0.28010114763664656</v>
      </c>
      <c r="X20" s="97">
        <f>T20-J20</f>
        <v>1558</v>
      </c>
      <c r="Z20" s="74">
        <f>X20/J20</f>
        <v>3.7414149176312375E-2</v>
      </c>
      <c r="AB20" s="14"/>
      <c r="AD20" s="67">
        <f>AH20*AH5</f>
        <v>23325300</v>
      </c>
      <c r="AE20" s="96"/>
      <c r="AF20" s="75">
        <f>$AH$5</f>
        <v>300</v>
      </c>
      <c r="AG20" s="68"/>
      <c r="AH20" s="69">
        <v>77751</v>
      </c>
      <c r="AI20" s="68"/>
      <c r="AJ20" s="70">
        <f>AH20/$AH$10</f>
        <v>0.50161935483870967</v>
      </c>
      <c r="AK20" s="71"/>
      <c r="AL20" s="71"/>
      <c r="AN20" s="72">
        <f>IF(AR20=0,"",AR20*AH$5)</f>
        <v>22857900</v>
      </c>
      <c r="AO20" s="72"/>
      <c r="AQ20" s="72"/>
      <c r="AR20" s="25">
        <v>76193</v>
      </c>
      <c r="AT20" s="35">
        <f>IF(AR20=0,"",AR20/AR10)</f>
        <v>0.31747083333333331</v>
      </c>
      <c r="AV20" s="97">
        <f>IF(AR20=0,"",AR20-AH20)</f>
        <v>-1558</v>
      </c>
      <c r="AX20" s="74">
        <f>IF(AD20=0,"",((AR20-AH20)/AH20))</f>
        <v>-2.003832748131857E-2</v>
      </c>
      <c r="BB20" s="67">
        <f>AD20+F20</f>
        <v>35817900</v>
      </c>
      <c r="BC20" s="68"/>
      <c r="BD20" s="75">
        <f>AH20+J20</f>
        <v>119393</v>
      </c>
      <c r="BE20" s="68"/>
      <c r="BF20" s="70">
        <f>BD20/$BD$10</f>
        <v>0.39209523809523811</v>
      </c>
      <c r="BG20" s="71"/>
      <c r="BH20" s="71"/>
      <c r="BJ20" s="72">
        <f>AN20+P20</f>
        <v>35350500</v>
      </c>
      <c r="BL20" s="72">
        <f>AR20+T20</f>
        <v>119393</v>
      </c>
      <c r="BN20" s="35">
        <f>BL20/$BL$10</f>
        <v>0.30285112751439514</v>
      </c>
      <c r="BP20" s="97">
        <f>IF(BL20=0,"",BL20-BD20)</f>
        <v>0</v>
      </c>
      <c r="BR20" s="74">
        <f>IF(BB20=0,"",((BL20-BD20)/BD20))</f>
        <v>0</v>
      </c>
    </row>
    <row r="21" spans="2:71" thickBot="1">
      <c r="B21" s="200" t="s">
        <v>464</v>
      </c>
      <c r="C21" s="263"/>
      <c r="D21" s="263"/>
      <c r="F21" s="77">
        <f>F20</f>
        <v>12492600</v>
      </c>
      <c r="G21" s="54"/>
      <c r="H21" s="54"/>
      <c r="I21" s="54"/>
      <c r="J21" s="78">
        <f>J20</f>
        <v>41642</v>
      </c>
      <c r="K21" s="79"/>
      <c r="L21" s="80">
        <f>L20</f>
        <v>0.2785418060200669</v>
      </c>
      <c r="M21" s="81"/>
      <c r="N21" s="82">
        <f>J21/J$118</f>
        <v>0.22116781772115857</v>
      </c>
      <c r="P21" s="78">
        <f>IF(P20="",0,+P20)</f>
        <v>12492600</v>
      </c>
      <c r="Q21" s="79"/>
      <c r="R21" s="54"/>
      <c r="S21" s="79"/>
      <c r="T21" s="78">
        <f>IF(T20="",0,+T20)</f>
        <v>43200</v>
      </c>
      <c r="U21" s="79"/>
      <c r="V21" s="83">
        <f>V20</f>
        <v>0.28010114763664656</v>
      </c>
      <c r="X21" s="84">
        <f>X20</f>
        <v>1558</v>
      </c>
      <c r="Z21" s="85">
        <f>Z20</f>
        <v>3.7414149176312375E-2</v>
      </c>
      <c r="AB21" s="14"/>
      <c r="AD21" s="77">
        <f>AD20</f>
        <v>23325300</v>
      </c>
      <c r="AE21" s="98"/>
      <c r="AF21" s="54"/>
      <c r="AG21" s="54"/>
      <c r="AH21" s="78">
        <f>AH20</f>
        <v>77751</v>
      </c>
      <c r="AI21" s="79"/>
      <c r="AJ21" s="80">
        <f>AJ20</f>
        <v>0.50161935483870967</v>
      </c>
      <c r="AK21" s="81"/>
      <c r="AL21" s="82">
        <f>AH21/AH$118</f>
        <v>0.29103780309550054</v>
      </c>
      <c r="AN21" s="78">
        <f>IF(AN20="",0,+AN20)</f>
        <v>22857900</v>
      </c>
      <c r="AO21" s="79"/>
      <c r="AP21" s="54"/>
      <c r="AQ21" s="79"/>
      <c r="AR21" s="78">
        <f>AR20</f>
        <v>76193</v>
      </c>
      <c r="AS21" s="79"/>
      <c r="AT21" s="83">
        <f>IF(AR21="","",SUM(AT20))</f>
        <v>0.31747083333333331</v>
      </c>
      <c r="AV21" s="84">
        <f>AV20</f>
        <v>-1558</v>
      </c>
      <c r="AX21" s="85">
        <f>IF(AR21=0,"",((AR21-AH21)/AH21))</f>
        <v>-2.003832748131857E-2</v>
      </c>
      <c r="BB21" s="77">
        <f>BB20</f>
        <v>35817900</v>
      </c>
      <c r="BC21" s="54"/>
      <c r="BD21" s="78">
        <f>BD20</f>
        <v>119393</v>
      </c>
      <c r="BE21" s="79"/>
      <c r="BF21" s="80">
        <f>BF20</f>
        <v>0.39209523809523811</v>
      </c>
      <c r="BG21" s="81"/>
      <c r="BH21" s="82">
        <f>BD21/BD$118</f>
        <v>0.26334028301170642</v>
      </c>
      <c r="BJ21" s="78">
        <f>BJ20</f>
        <v>35350500</v>
      </c>
      <c r="BK21" s="54"/>
      <c r="BL21" s="78">
        <f>BL20</f>
        <v>119393</v>
      </c>
      <c r="BM21" s="79"/>
      <c r="BN21" s="83">
        <f>IF(BL21="","",SUM(BN20))</f>
        <v>0.30285112751439514</v>
      </c>
      <c r="BP21" s="84">
        <f>BP20</f>
        <v>0</v>
      </c>
      <c r="BR21" s="85">
        <f>IF(BL21=0,"",((BL21-BD21)/BD21))</f>
        <v>0</v>
      </c>
    </row>
    <row r="22" spans="2:71" ht="15">
      <c r="B22" s="86"/>
      <c r="C22" s="115"/>
      <c r="D22" s="115"/>
      <c r="F22" s="87"/>
      <c r="G22" s="81"/>
      <c r="H22" s="81"/>
      <c r="I22" s="81"/>
      <c r="J22" s="81"/>
      <c r="K22" s="81"/>
      <c r="L22" s="88"/>
      <c r="M22" s="81"/>
      <c r="N22" s="89"/>
      <c r="P22" s="75"/>
      <c r="Q22" s="75"/>
      <c r="R22" s="54"/>
      <c r="S22" s="75"/>
      <c r="T22" s="75"/>
      <c r="U22" s="75"/>
      <c r="V22" s="90"/>
      <c r="X22" s="73"/>
      <c r="Z22" s="91"/>
      <c r="AB22" s="14"/>
      <c r="AD22" s="87"/>
      <c r="AE22" s="201"/>
      <c r="AF22" s="81"/>
      <c r="AG22" s="81"/>
      <c r="AH22" s="81"/>
      <c r="AI22" s="81"/>
      <c r="AJ22" s="88"/>
      <c r="AK22" s="81"/>
      <c r="AL22" s="89"/>
      <c r="AN22" s="75"/>
      <c r="AO22" s="75"/>
      <c r="AP22" s="54"/>
      <c r="AQ22" s="75"/>
      <c r="AR22" s="75"/>
      <c r="AS22" s="54"/>
      <c r="AT22" s="90"/>
      <c r="AV22" s="73"/>
      <c r="AX22" s="91"/>
      <c r="BB22" s="87"/>
      <c r="BC22" s="81"/>
      <c r="BD22" s="81"/>
      <c r="BE22" s="81"/>
      <c r="BF22" s="88"/>
      <c r="BG22" s="81"/>
      <c r="BH22" s="89"/>
      <c r="BJ22" s="75"/>
      <c r="BK22" s="54"/>
      <c r="BL22" s="75"/>
      <c r="BM22" s="54"/>
      <c r="BN22" s="90"/>
      <c r="BR22" s="91"/>
    </row>
    <row r="23" spans="2:71" ht="15">
      <c r="B23" s="92" t="s">
        <v>364</v>
      </c>
      <c r="C23" s="116"/>
      <c r="D23" s="116"/>
      <c r="F23" s="93"/>
      <c r="G23" s="54"/>
      <c r="H23" s="54"/>
      <c r="I23" s="54"/>
      <c r="J23" s="54"/>
      <c r="K23" s="54"/>
      <c r="L23" s="94"/>
      <c r="P23" s="202"/>
      <c r="Q23" s="203"/>
      <c r="R23" s="54"/>
      <c r="S23" s="203"/>
      <c r="T23" s="202"/>
      <c r="U23" s="202"/>
      <c r="V23" s="90"/>
      <c r="X23" s="73"/>
      <c r="Z23" s="91"/>
      <c r="AB23" s="14"/>
      <c r="AD23" s="93"/>
      <c r="AE23" s="105"/>
      <c r="AF23" s="54"/>
      <c r="AG23" s="54"/>
      <c r="AH23" s="54"/>
      <c r="AI23" s="54"/>
      <c r="AJ23" s="94"/>
      <c r="AN23" s="202"/>
      <c r="AO23" s="203"/>
      <c r="AP23" s="54"/>
      <c r="AQ23" s="202"/>
      <c r="AR23" s="75"/>
      <c r="AS23" s="54"/>
      <c r="AT23" s="90"/>
      <c r="AV23" s="73"/>
      <c r="AX23" s="91"/>
      <c r="BB23" s="93"/>
      <c r="BC23" s="54"/>
      <c r="BD23" s="54"/>
      <c r="BE23" s="54"/>
      <c r="BF23" s="94"/>
      <c r="BJ23" s="75"/>
      <c r="BK23" s="54"/>
      <c r="BL23" s="75"/>
      <c r="BM23" s="54"/>
      <c r="BN23" s="90"/>
      <c r="BR23" s="91"/>
    </row>
    <row r="24" spans="2:71" ht="15">
      <c r="B24" s="66" t="s">
        <v>465</v>
      </c>
      <c r="C24" s="66"/>
      <c r="D24" s="66" t="s">
        <v>325</v>
      </c>
      <c r="F24" s="95">
        <v>376057.18</v>
      </c>
      <c r="G24" s="68"/>
      <c r="H24" s="75">
        <v>407</v>
      </c>
      <c r="I24" s="68"/>
      <c r="J24" s="79">
        <f>F24/H24</f>
        <v>923.97341523341527</v>
      </c>
      <c r="K24" s="68"/>
      <c r="L24" s="70">
        <f t="shared" ref="L24:L36" si="0">J24/$J$10</f>
        <v>6.1804241821633125E-3</v>
      </c>
      <c r="M24" s="71"/>
      <c r="N24" s="71"/>
      <c r="P24" s="69">
        <v>376057</v>
      </c>
      <c r="Q24" s="98"/>
      <c r="R24" s="54">
        <f>$J$8</f>
        <v>407</v>
      </c>
      <c r="S24" s="98"/>
      <c r="T24" s="98">
        <f t="shared" ref="T24:T36" si="1">P24/R24</f>
        <v>923.97297297297303</v>
      </c>
      <c r="U24" s="98"/>
      <c r="V24" s="35">
        <f t="shared" ref="V24:V36" si="2">T24/$T$10</f>
        <v>5.9908770859947681E-3</v>
      </c>
      <c r="X24" s="97">
        <f t="shared" ref="X24:X36" si="3">T24-J24</f>
        <v>-4.4226044224160432E-4</v>
      </c>
      <c r="Z24" s="74">
        <f t="shared" ref="Z24:Z37" si="4">X24/J24</f>
        <v>-4.7865061369745144E-7</v>
      </c>
      <c r="AB24" s="14"/>
      <c r="AD24" s="95">
        <v>0</v>
      </c>
      <c r="AE24" s="98"/>
      <c r="AF24" s="75">
        <f t="shared" ref="AF24:AF36" si="5">$AH$5</f>
        <v>300</v>
      </c>
      <c r="AG24" s="68"/>
      <c r="AH24" s="75">
        <f>AD24/AF24</f>
        <v>0</v>
      </c>
      <c r="AI24" s="68"/>
      <c r="AJ24" s="70">
        <f t="shared" ref="AJ24:AJ36" si="6">AH24/$AH$10</f>
        <v>0</v>
      </c>
      <c r="AK24" s="71"/>
      <c r="AL24" s="71"/>
      <c r="AN24" s="69">
        <v>0</v>
      </c>
      <c r="AO24" s="98"/>
      <c r="AP24" s="54">
        <f>$AH$8</f>
        <v>407</v>
      </c>
      <c r="AQ24" s="98"/>
      <c r="AR24" s="98">
        <f t="shared" ref="AR24:AR36" si="7">IF(AN24="","",AN24/AH$8)</f>
        <v>0</v>
      </c>
      <c r="AS24" s="54"/>
      <c r="AT24" s="35">
        <f>IF(AR24="","",AR24/AR$10)</f>
        <v>0</v>
      </c>
      <c r="AV24" s="97">
        <f t="shared" ref="AV24:AV36" si="8">IF(AR24="","",AR24-AH24)</f>
        <v>0</v>
      </c>
      <c r="AX24" s="74" t="str">
        <f>IF(AR24=0,"",((AR24-AH24)/AH24))</f>
        <v/>
      </c>
      <c r="BB24" s="67">
        <f t="shared" ref="BB24:BB36" si="9">AD24+F24</f>
        <v>376057.18</v>
      </c>
      <c r="BC24" s="68"/>
      <c r="BD24" s="75">
        <f t="shared" ref="BD24:BD36" si="10">AH24+J24</f>
        <v>923.97341523341527</v>
      </c>
      <c r="BE24" s="68"/>
      <c r="BF24" s="70">
        <f t="shared" ref="BF24:BF36" si="11">BD24/$BD$10</f>
        <v>3.0343954523264871E-3</v>
      </c>
      <c r="BG24" s="71"/>
      <c r="BH24" s="71"/>
      <c r="BJ24" s="72">
        <f t="shared" ref="BJ24:BJ36" si="12">AN24+P24</f>
        <v>376057</v>
      </c>
      <c r="BK24" s="54"/>
      <c r="BL24" s="72">
        <f t="shared" ref="BL24:BL36" si="13">AR24+T24</f>
        <v>923.97297297297303</v>
      </c>
      <c r="BM24" s="54"/>
      <c r="BN24" s="35">
        <f>BL24/$BL$10</f>
        <v>2.3437408948405068E-3</v>
      </c>
      <c r="BP24" s="97">
        <f t="shared" ref="BP24:BP36" si="14">IF(BL24=0,"",BL24-BD24)</f>
        <v>-4.4226044224160432E-4</v>
      </c>
      <c r="BR24" s="74">
        <f>IF(BB24=0,"",((BL24-BD24)/BD24))</f>
        <v>-4.7865061369745144E-7</v>
      </c>
    </row>
    <row r="25" spans="2:71" ht="15">
      <c r="B25" s="66" t="s">
        <v>329</v>
      </c>
      <c r="C25" s="66"/>
      <c r="D25" s="66" t="s">
        <v>323</v>
      </c>
      <c r="F25" s="95">
        <v>250000</v>
      </c>
      <c r="G25" s="68"/>
      <c r="H25" s="75">
        <f t="shared" ref="H25:H36" si="15">$J$5</f>
        <v>300</v>
      </c>
      <c r="I25" s="68"/>
      <c r="J25" s="79">
        <f>F25/H25</f>
        <v>833.33333333333337</v>
      </c>
      <c r="K25" s="68"/>
      <c r="L25" s="70">
        <f t="shared" si="0"/>
        <v>5.5741360089186179E-3</v>
      </c>
      <c r="M25" s="71"/>
      <c r="N25" s="71"/>
      <c r="P25" s="69">
        <v>240170</v>
      </c>
      <c r="Q25" s="98"/>
      <c r="R25" s="54">
        <f>$J$8</f>
        <v>407</v>
      </c>
      <c r="S25" s="98"/>
      <c r="T25" s="98">
        <f t="shared" si="1"/>
        <v>590.09828009828004</v>
      </c>
      <c r="U25" s="98"/>
      <c r="V25" s="35">
        <f t="shared" si="2"/>
        <v>3.8260927193041563E-3</v>
      </c>
      <c r="X25" s="97">
        <f t="shared" si="3"/>
        <v>-243.23505323505333</v>
      </c>
      <c r="Z25" s="74">
        <f t="shared" si="4"/>
        <v>-0.291882063882064</v>
      </c>
      <c r="AB25" s="14"/>
      <c r="AD25" s="95">
        <v>0</v>
      </c>
      <c r="AE25" s="98"/>
      <c r="AF25" s="75">
        <f t="shared" si="5"/>
        <v>300</v>
      </c>
      <c r="AG25" s="68"/>
      <c r="AH25" s="75">
        <f>AD25/AF25</f>
        <v>0</v>
      </c>
      <c r="AI25" s="68"/>
      <c r="AJ25" s="70">
        <f t="shared" si="6"/>
        <v>0</v>
      </c>
      <c r="AK25" s="71"/>
      <c r="AL25" s="71"/>
      <c r="AN25" s="69">
        <v>0</v>
      </c>
      <c r="AO25" s="98"/>
      <c r="AP25" s="54">
        <f>$AH$8</f>
        <v>407</v>
      </c>
      <c r="AQ25" s="98"/>
      <c r="AR25" s="98">
        <f t="shared" si="7"/>
        <v>0</v>
      </c>
      <c r="AS25" s="54"/>
      <c r="AT25" s="35">
        <f>IF(AR25="","",AR25/AR$10)</f>
        <v>0</v>
      </c>
      <c r="AV25" s="97">
        <f t="shared" si="8"/>
        <v>0</v>
      </c>
      <c r="AX25" s="74" t="str">
        <f>IF(AR25=0,"",((AR25-AH25)/AH25))</f>
        <v/>
      </c>
      <c r="BB25" s="67">
        <f t="shared" si="9"/>
        <v>250000</v>
      </c>
      <c r="BC25" s="68"/>
      <c r="BD25" s="75">
        <f t="shared" si="10"/>
        <v>833.33333333333337</v>
      </c>
      <c r="BE25" s="68"/>
      <c r="BF25" s="70">
        <f t="shared" si="11"/>
        <v>2.7367268746579091E-3</v>
      </c>
      <c r="BG25" s="71"/>
      <c r="BH25" s="71"/>
      <c r="BJ25" s="72">
        <f t="shared" si="12"/>
        <v>240170</v>
      </c>
      <c r="BK25" s="54"/>
      <c r="BL25" s="72">
        <f t="shared" si="13"/>
        <v>590.09828009828004</v>
      </c>
      <c r="BM25" s="54"/>
      <c r="BN25" s="35">
        <f>BL25/$BL$10</f>
        <v>1.4968375823714076E-3</v>
      </c>
      <c r="BP25" s="97">
        <f t="shared" si="14"/>
        <v>-243.23505323505333</v>
      </c>
      <c r="BR25" s="74">
        <f>IF(BB25=0,"",((BL25-BD25)/BD25))</f>
        <v>-0.291882063882064</v>
      </c>
    </row>
    <row r="26" spans="2:71" ht="15">
      <c r="B26" s="66" t="s">
        <v>330</v>
      </c>
      <c r="C26" s="66"/>
      <c r="D26" s="66" t="s">
        <v>387</v>
      </c>
      <c r="F26" s="95">
        <v>400000</v>
      </c>
      <c r="G26" s="68"/>
      <c r="H26" s="75">
        <f t="shared" si="15"/>
        <v>300</v>
      </c>
      <c r="I26" s="68"/>
      <c r="J26" s="79">
        <f t="shared" ref="J26:J36" si="16">F26/H26</f>
        <v>1333.3333333333333</v>
      </c>
      <c r="K26" s="68"/>
      <c r="L26" s="70">
        <f t="shared" si="0"/>
        <v>8.918617614269788E-3</v>
      </c>
      <c r="M26" s="71"/>
      <c r="N26" s="71"/>
      <c r="P26" s="69">
        <v>3000</v>
      </c>
      <c r="Q26" s="98"/>
      <c r="R26" s="54">
        <f t="shared" ref="R26:R36" si="17">$J$8</f>
        <v>407</v>
      </c>
      <c r="S26" s="98"/>
      <c r="T26" s="98">
        <f t="shared" si="1"/>
        <v>7.3710073710073711</v>
      </c>
      <c r="U26" s="98"/>
      <c r="V26" s="35">
        <f t="shared" si="2"/>
        <v>4.7792306107808927E-5</v>
      </c>
      <c r="X26" s="97">
        <f t="shared" si="3"/>
        <v>-1325.9623259623258</v>
      </c>
      <c r="Z26" s="74">
        <f t="shared" si="4"/>
        <v>-0.99447174447174447</v>
      </c>
      <c r="AB26" s="14"/>
      <c r="AD26" s="95">
        <v>150000</v>
      </c>
      <c r="AE26" s="98"/>
      <c r="AF26" s="75">
        <f t="shared" si="5"/>
        <v>300</v>
      </c>
      <c r="AG26" s="68"/>
      <c r="AH26" s="75">
        <f t="shared" ref="AH26:AH36" si="18">AD26/AF26</f>
        <v>500</v>
      </c>
      <c r="AI26" s="68"/>
      <c r="AJ26" s="70">
        <f t="shared" si="6"/>
        <v>3.2258064516129032E-3</v>
      </c>
      <c r="AK26" s="71"/>
      <c r="AL26" s="71"/>
      <c r="AN26" s="69">
        <v>16500</v>
      </c>
      <c r="AO26" s="98"/>
      <c r="AP26" s="54">
        <f t="shared" ref="AP26:AP36" si="19">$AH$8</f>
        <v>407</v>
      </c>
      <c r="AQ26" s="98"/>
      <c r="AR26" s="98">
        <f t="shared" si="7"/>
        <v>40.54054054054054</v>
      </c>
      <c r="AS26" s="54"/>
      <c r="AT26" s="35">
        <f t="shared" ref="AT26:AT36" si="20">IF(AR26="","",AR26/AR$10)</f>
        <v>1.6891891891891893E-4</v>
      </c>
      <c r="AV26" s="97">
        <f t="shared" si="8"/>
        <v>-459.45945945945948</v>
      </c>
      <c r="AX26" s="74">
        <f t="shared" ref="AX26:AX36" si="21">IF(AR26=0,"",((AR26-AH26)/AH26))</f>
        <v>-0.91891891891891897</v>
      </c>
      <c r="BB26" s="67">
        <f t="shared" si="9"/>
        <v>550000</v>
      </c>
      <c r="BC26" s="68"/>
      <c r="BD26" s="75">
        <f t="shared" si="10"/>
        <v>1833.3333333333333</v>
      </c>
      <c r="BE26" s="68"/>
      <c r="BF26" s="70">
        <f t="shared" si="11"/>
        <v>6.0207991242474E-3</v>
      </c>
      <c r="BG26" s="71"/>
      <c r="BH26" s="71"/>
      <c r="BJ26" s="72">
        <f t="shared" si="12"/>
        <v>19500</v>
      </c>
      <c r="BK26" s="54"/>
      <c r="BL26" s="72">
        <f t="shared" si="13"/>
        <v>47.911547911547913</v>
      </c>
      <c r="BM26" s="54"/>
      <c r="BN26" s="35">
        <f t="shared" ref="BN26:BN36" si="22">BL26/$BL$10</f>
        <v>1.21531968423377E-4</v>
      </c>
      <c r="BP26" s="97">
        <f t="shared" si="14"/>
        <v>-1785.4217854217854</v>
      </c>
      <c r="BR26" s="74">
        <f>IF(BB26=0,"",((BL26-BD26)/BD26))</f>
        <v>-0.97386642841188298</v>
      </c>
    </row>
    <row r="27" spans="2:71" ht="15">
      <c r="B27" s="66" t="s">
        <v>331</v>
      </c>
      <c r="C27" s="66"/>
      <c r="D27" s="66" t="s">
        <v>387</v>
      </c>
      <c r="F27" s="95">
        <v>1000000</v>
      </c>
      <c r="G27" s="68"/>
      <c r="H27" s="75">
        <f t="shared" si="15"/>
        <v>300</v>
      </c>
      <c r="I27" s="68"/>
      <c r="J27" s="79">
        <f t="shared" si="16"/>
        <v>3333.3333333333335</v>
      </c>
      <c r="K27" s="68"/>
      <c r="L27" s="70">
        <f t="shared" si="0"/>
        <v>2.2296544035674472E-2</v>
      </c>
      <c r="M27" s="71"/>
      <c r="N27" s="71"/>
      <c r="P27" s="69">
        <v>3036970</v>
      </c>
      <c r="Q27" s="98"/>
      <c r="R27" s="54">
        <f t="shared" si="17"/>
        <v>407</v>
      </c>
      <c r="S27" s="98"/>
      <c r="T27" s="98">
        <f t="shared" si="1"/>
        <v>7461.8427518427516</v>
      </c>
      <c r="U27" s="98"/>
      <c r="V27" s="35">
        <f t="shared" si="2"/>
        <v>4.8381266626744156E-2</v>
      </c>
      <c r="X27" s="97">
        <f t="shared" si="3"/>
        <v>4128.5094185094185</v>
      </c>
      <c r="Z27" s="74">
        <f t="shared" si="4"/>
        <v>1.2385528255528255</v>
      </c>
      <c r="AB27" s="14"/>
      <c r="AD27" s="95">
        <f>1550000*(474833/(1628000+474833))</f>
        <v>349999.80978042475</v>
      </c>
      <c r="AE27" s="98"/>
      <c r="AF27" s="75">
        <f t="shared" si="5"/>
        <v>300</v>
      </c>
      <c r="AG27" s="68"/>
      <c r="AH27" s="75">
        <f t="shared" si="18"/>
        <v>1166.6660326014157</v>
      </c>
      <c r="AI27" s="68"/>
      <c r="AJ27" s="70">
        <f t="shared" si="6"/>
        <v>7.5268776296865533E-3</v>
      </c>
      <c r="AK27" s="71"/>
      <c r="AL27" s="71"/>
      <c r="AN27" s="204">
        <v>409915</v>
      </c>
      <c r="AO27" s="205"/>
      <c r="AP27" s="54">
        <f t="shared" si="19"/>
        <v>407</v>
      </c>
      <c r="AQ27" s="98"/>
      <c r="AR27" s="98">
        <f t="shared" si="7"/>
        <v>1007.1621621621622</v>
      </c>
      <c r="AS27" s="54"/>
      <c r="AT27" s="35">
        <f t="shared" si="20"/>
        <v>4.196509009009009E-3</v>
      </c>
      <c r="AV27" s="97">
        <f t="shared" si="8"/>
        <v>-159.50387043925355</v>
      </c>
      <c r="AX27" s="74">
        <f t="shared" si="21"/>
        <v>-0.13671767753758463</v>
      </c>
      <c r="BB27" s="67">
        <f t="shared" si="9"/>
        <v>1349999.8097804247</v>
      </c>
      <c r="BC27" s="68"/>
      <c r="BD27" s="75">
        <f t="shared" si="10"/>
        <v>4499.9993659347492</v>
      </c>
      <c r="BE27" s="68"/>
      <c r="BF27" s="70">
        <f t="shared" si="11"/>
        <v>1.4778323040836615E-2</v>
      </c>
      <c r="BG27" s="71"/>
      <c r="BH27" s="71"/>
      <c r="BJ27" s="72">
        <f t="shared" si="12"/>
        <v>3446885</v>
      </c>
      <c r="BK27" s="54"/>
      <c r="BL27" s="72">
        <f t="shared" si="13"/>
        <v>8469.0049140049141</v>
      </c>
      <c r="BM27" s="54"/>
      <c r="BN27" s="35">
        <f t="shared" si="22"/>
        <v>2.148239584507753E-2</v>
      </c>
      <c r="BP27" s="97">
        <f t="shared" si="14"/>
        <v>3969.0055480701649</v>
      </c>
      <c r="BR27" s="74">
        <f t="shared" ref="BR27:BR36" si="23">IF(BB27=0,"",((BL27-BD27)/BD27))</f>
        <v>0.88200135718146144</v>
      </c>
    </row>
    <row r="28" spans="2:71" ht="15">
      <c r="B28" s="66" t="s">
        <v>340</v>
      </c>
      <c r="C28" s="66"/>
      <c r="D28" s="66" t="s">
        <v>387</v>
      </c>
      <c r="F28" s="95">
        <v>80000</v>
      </c>
      <c r="G28" s="68"/>
      <c r="H28" s="75">
        <f t="shared" si="15"/>
        <v>300</v>
      </c>
      <c r="I28" s="68"/>
      <c r="J28" s="79">
        <f t="shared" si="16"/>
        <v>266.66666666666669</v>
      </c>
      <c r="K28" s="68"/>
      <c r="L28" s="70">
        <f t="shared" si="0"/>
        <v>1.7837235228539577E-3</v>
      </c>
      <c r="M28" s="71"/>
      <c r="N28" s="71"/>
      <c r="P28" s="69">
        <v>16200</v>
      </c>
      <c r="Q28" s="98"/>
      <c r="R28" s="54">
        <f t="shared" si="17"/>
        <v>407</v>
      </c>
      <c r="S28" s="98"/>
      <c r="T28" s="98">
        <f t="shared" si="1"/>
        <v>39.803439803439801</v>
      </c>
      <c r="U28" s="98"/>
      <c r="V28" s="35">
        <f t="shared" si="2"/>
        <v>2.5807845298216818E-4</v>
      </c>
      <c r="X28" s="97">
        <f t="shared" si="3"/>
        <v>-226.86322686322688</v>
      </c>
      <c r="Z28" s="74">
        <f t="shared" si="4"/>
        <v>-0.85073710073710074</v>
      </c>
      <c r="AB28" s="14"/>
      <c r="AD28" s="95">
        <v>0</v>
      </c>
      <c r="AE28" s="98"/>
      <c r="AF28" s="75">
        <f t="shared" si="5"/>
        <v>300</v>
      </c>
      <c r="AG28" s="68"/>
      <c r="AH28" s="75">
        <f t="shared" si="18"/>
        <v>0</v>
      </c>
      <c r="AI28" s="68"/>
      <c r="AJ28" s="70">
        <f t="shared" si="6"/>
        <v>0</v>
      </c>
      <c r="AK28" s="71"/>
      <c r="AL28" s="71"/>
      <c r="AN28" s="69">
        <v>0</v>
      </c>
      <c r="AO28" s="98"/>
      <c r="AP28" s="54">
        <f t="shared" si="19"/>
        <v>407</v>
      </c>
      <c r="AQ28" s="98"/>
      <c r="AR28" s="98">
        <f t="shared" si="7"/>
        <v>0</v>
      </c>
      <c r="AS28" s="54"/>
      <c r="AT28" s="35">
        <f t="shared" si="20"/>
        <v>0</v>
      </c>
      <c r="AV28" s="97">
        <f t="shared" si="8"/>
        <v>0</v>
      </c>
      <c r="AX28" s="74" t="str">
        <f t="shared" si="21"/>
        <v/>
      </c>
      <c r="BB28" s="67">
        <f t="shared" si="9"/>
        <v>80000</v>
      </c>
      <c r="BC28" s="68"/>
      <c r="BD28" s="75">
        <f t="shared" si="10"/>
        <v>266.66666666666669</v>
      </c>
      <c r="BE28" s="68"/>
      <c r="BF28" s="70">
        <f t="shared" si="11"/>
        <v>8.7575259989053095E-4</v>
      </c>
      <c r="BG28" s="71"/>
      <c r="BH28" s="71"/>
      <c r="BJ28" s="72">
        <f t="shared" si="12"/>
        <v>16200</v>
      </c>
      <c r="BK28" s="54"/>
      <c r="BL28" s="72">
        <f t="shared" si="13"/>
        <v>39.803439803439801</v>
      </c>
      <c r="BM28" s="54"/>
      <c r="BN28" s="35">
        <f t="shared" si="22"/>
        <v>1.0096501992095934E-4</v>
      </c>
      <c r="BP28" s="97">
        <f t="shared" si="14"/>
        <v>-226.86322686322688</v>
      </c>
      <c r="BR28" s="74">
        <f t="shared" si="23"/>
        <v>-0.85073710073710074</v>
      </c>
    </row>
    <row r="29" spans="2:71" ht="15">
      <c r="B29" s="66" t="s">
        <v>341</v>
      </c>
      <c r="C29" s="66"/>
      <c r="D29" s="66" t="s">
        <v>326</v>
      </c>
      <c r="F29" s="95">
        <v>1000000</v>
      </c>
      <c r="G29" s="68"/>
      <c r="H29" s="75">
        <f t="shared" si="15"/>
        <v>300</v>
      </c>
      <c r="I29" s="68"/>
      <c r="J29" s="79">
        <f t="shared" si="16"/>
        <v>3333.3333333333335</v>
      </c>
      <c r="K29" s="68"/>
      <c r="L29" s="70">
        <f t="shared" si="0"/>
        <v>2.2296544035674472E-2</v>
      </c>
      <c r="M29" s="71"/>
      <c r="N29" s="71"/>
      <c r="P29" s="69">
        <v>6972130</v>
      </c>
      <c r="Q29" s="98"/>
      <c r="R29" s="54">
        <f t="shared" si="17"/>
        <v>407</v>
      </c>
      <c r="S29" s="98"/>
      <c r="T29" s="98">
        <f t="shared" si="1"/>
        <v>17130.54054054054</v>
      </c>
      <c r="U29" s="98"/>
      <c r="V29" s="35">
        <f t="shared" si="2"/>
        <v>0.11107139039447929</v>
      </c>
      <c r="X29" s="97">
        <f t="shared" si="3"/>
        <v>13797.207207207206</v>
      </c>
      <c r="Z29" s="74">
        <f t="shared" si="4"/>
        <v>4.1391621621621617</v>
      </c>
      <c r="AB29" s="14"/>
      <c r="AD29" s="95">
        <v>500000</v>
      </c>
      <c r="AE29" s="98"/>
      <c r="AF29" s="75">
        <f t="shared" si="5"/>
        <v>300</v>
      </c>
      <c r="AG29" s="68"/>
      <c r="AH29" s="75">
        <f t="shared" si="18"/>
        <v>1666.6666666666667</v>
      </c>
      <c r="AI29" s="68"/>
      <c r="AJ29" s="70">
        <f t="shared" si="6"/>
        <v>1.0752688172043012E-2</v>
      </c>
      <c r="AK29" s="71"/>
      <c r="AL29" s="71"/>
      <c r="AN29" s="69">
        <v>0</v>
      </c>
      <c r="AO29" s="98"/>
      <c r="AP29" s="54">
        <f t="shared" si="19"/>
        <v>407</v>
      </c>
      <c r="AQ29" s="98"/>
      <c r="AR29" s="98">
        <f t="shared" si="7"/>
        <v>0</v>
      </c>
      <c r="AS29" s="54"/>
      <c r="AT29" s="35">
        <f t="shared" si="20"/>
        <v>0</v>
      </c>
      <c r="AV29" s="97">
        <f t="shared" si="8"/>
        <v>-1666.6666666666667</v>
      </c>
      <c r="AX29" s="74" t="str">
        <f t="shared" si="21"/>
        <v/>
      </c>
      <c r="BB29" s="67">
        <f t="shared" si="9"/>
        <v>1500000</v>
      </c>
      <c r="BC29" s="68"/>
      <c r="BD29" s="75">
        <f t="shared" si="10"/>
        <v>5000</v>
      </c>
      <c r="BE29" s="68"/>
      <c r="BF29" s="70">
        <f t="shared" si="11"/>
        <v>1.6420361247947456E-2</v>
      </c>
      <c r="BG29" s="71"/>
      <c r="BH29" s="71"/>
      <c r="BJ29" s="72">
        <f t="shared" si="12"/>
        <v>6972130</v>
      </c>
      <c r="BK29" s="54"/>
      <c r="BL29" s="72">
        <f t="shared" si="13"/>
        <v>17130.54054054054</v>
      </c>
      <c r="BM29" s="54"/>
      <c r="BN29" s="35">
        <f t="shared" si="22"/>
        <v>4.3453163230957915E-2</v>
      </c>
      <c r="BP29" s="97">
        <f t="shared" si="14"/>
        <v>12130.54054054054</v>
      </c>
      <c r="BR29" s="74">
        <f t="shared" si="23"/>
        <v>2.426108108108108</v>
      </c>
    </row>
    <row r="30" spans="2:71" ht="15">
      <c r="B30" s="66" t="s">
        <v>365</v>
      </c>
      <c r="C30" s="66"/>
      <c r="D30" s="66" t="s">
        <v>326</v>
      </c>
      <c r="F30" s="95">
        <v>1000000</v>
      </c>
      <c r="G30" s="68"/>
      <c r="H30" s="75">
        <f t="shared" si="15"/>
        <v>300</v>
      </c>
      <c r="I30" s="68"/>
      <c r="J30" s="79">
        <f t="shared" si="16"/>
        <v>3333.3333333333335</v>
      </c>
      <c r="K30" s="68"/>
      <c r="L30" s="70">
        <f t="shared" si="0"/>
        <v>2.2296544035674472E-2</v>
      </c>
      <c r="M30" s="71"/>
      <c r="N30" s="71"/>
      <c r="P30" s="69">
        <v>820000</v>
      </c>
      <c r="Q30" s="98"/>
      <c r="R30" s="54">
        <f t="shared" si="17"/>
        <v>407</v>
      </c>
      <c r="S30" s="98"/>
      <c r="T30" s="98">
        <f t="shared" si="1"/>
        <v>2014.7420147420148</v>
      </c>
      <c r="U30" s="98"/>
      <c r="V30" s="35">
        <f t="shared" si="2"/>
        <v>1.306323033613444E-2</v>
      </c>
      <c r="X30" s="97">
        <f t="shared" si="3"/>
        <v>-1318.5913185913187</v>
      </c>
      <c r="Z30" s="74">
        <f t="shared" si="4"/>
        <v>-0.39557739557739557</v>
      </c>
      <c r="AB30" s="14"/>
      <c r="AD30" s="95">
        <v>500000</v>
      </c>
      <c r="AE30" s="98"/>
      <c r="AF30" s="75">
        <f t="shared" si="5"/>
        <v>300</v>
      </c>
      <c r="AG30" s="68"/>
      <c r="AH30" s="75">
        <f t="shared" si="18"/>
        <v>1666.6666666666667</v>
      </c>
      <c r="AI30" s="68"/>
      <c r="AJ30" s="70">
        <f t="shared" si="6"/>
        <v>1.0752688172043012E-2</v>
      </c>
      <c r="AK30" s="71"/>
      <c r="AL30" s="71"/>
      <c r="AN30" s="69">
        <v>810880</v>
      </c>
      <c r="AO30" s="98"/>
      <c r="AP30" s="54">
        <f t="shared" si="19"/>
        <v>407</v>
      </c>
      <c r="AQ30" s="98"/>
      <c r="AR30" s="98">
        <f t="shared" si="7"/>
        <v>1992.3341523341523</v>
      </c>
      <c r="AS30" s="54"/>
      <c r="AT30" s="35">
        <f t="shared" si="20"/>
        <v>8.3013923013923012E-3</v>
      </c>
      <c r="AV30" s="97">
        <f t="shared" si="8"/>
        <v>325.66748566748561</v>
      </c>
      <c r="AX30" s="74">
        <f t="shared" si="21"/>
        <v>0.19540049140049134</v>
      </c>
      <c r="BB30" s="67">
        <f t="shared" si="9"/>
        <v>1500000</v>
      </c>
      <c r="BC30" s="68"/>
      <c r="BD30" s="75">
        <f t="shared" si="10"/>
        <v>5000</v>
      </c>
      <c r="BE30" s="68"/>
      <c r="BF30" s="70">
        <f t="shared" si="11"/>
        <v>1.6420361247947456E-2</v>
      </c>
      <c r="BG30" s="71"/>
      <c r="BH30" s="71"/>
      <c r="BJ30" s="72">
        <f t="shared" si="12"/>
        <v>1630880</v>
      </c>
      <c r="BK30" s="54"/>
      <c r="BL30" s="72">
        <f t="shared" si="13"/>
        <v>4007.0761670761672</v>
      </c>
      <c r="BM30" s="54"/>
      <c r="BN30" s="35">
        <f t="shared" si="22"/>
        <v>1.0164310598067543E-2</v>
      </c>
      <c r="BP30" s="97">
        <f t="shared" si="14"/>
        <v>-992.92383292383283</v>
      </c>
      <c r="BR30" s="74">
        <f t="shared" si="23"/>
        <v>-0.19858476658476656</v>
      </c>
    </row>
    <row r="31" spans="2:71" ht="15">
      <c r="B31" s="66" t="s">
        <v>366</v>
      </c>
      <c r="C31" s="66"/>
      <c r="D31" s="66" t="s">
        <v>326</v>
      </c>
      <c r="F31" s="95">
        <v>1700000</v>
      </c>
      <c r="G31" s="68"/>
      <c r="H31" s="75">
        <f t="shared" si="15"/>
        <v>300</v>
      </c>
      <c r="I31" s="68"/>
      <c r="J31" s="79">
        <f t="shared" si="16"/>
        <v>5666.666666666667</v>
      </c>
      <c r="K31" s="68"/>
      <c r="L31" s="70">
        <f t="shared" si="0"/>
        <v>3.79041248606466E-2</v>
      </c>
      <c r="M31" s="71"/>
      <c r="N31" s="71"/>
      <c r="P31" s="69">
        <v>4193397</v>
      </c>
      <c r="Q31" s="98"/>
      <c r="R31" s="54">
        <f t="shared" si="17"/>
        <v>407</v>
      </c>
      <c r="S31" s="98"/>
      <c r="T31" s="98">
        <f t="shared" si="1"/>
        <v>10303.186732186732</v>
      </c>
      <c r="U31" s="98"/>
      <c r="V31" s="35">
        <f t="shared" si="2"/>
        <v>6.6804037685189208E-2</v>
      </c>
      <c r="X31" s="97">
        <f t="shared" si="3"/>
        <v>4636.5200655200651</v>
      </c>
      <c r="Z31" s="74">
        <f t="shared" si="4"/>
        <v>0.81820942332707025</v>
      </c>
      <c r="AB31" s="14"/>
      <c r="AD31" s="95">
        <v>300000</v>
      </c>
      <c r="AE31" s="98"/>
      <c r="AF31" s="75">
        <f t="shared" si="5"/>
        <v>300</v>
      </c>
      <c r="AG31" s="68"/>
      <c r="AH31" s="75">
        <f t="shared" si="18"/>
        <v>1000</v>
      </c>
      <c r="AI31" s="68"/>
      <c r="AJ31" s="70">
        <f t="shared" si="6"/>
        <v>6.4516129032258064E-3</v>
      </c>
      <c r="AK31" s="71"/>
      <c r="AL31" s="71"/>
      <c r="AN31" s="69">
        <v>1491810</v>
      </c>
      <c r="AO31" s="98"/>
      <c r="AP31" s="54">
        <f t="shared" si="19"/>
        <v>407</v>
      </c>
      <c r="AQ31" s="98"/>
      <c r="AR31" s="98">
        <f t="shared" si="7"/>
        <v>3665.3808353808354</v>
      </c>
      <c r="AS31" s="54"/>
      <c r="AT31" s="35">
        <f t="shared" si="20"/>
        <v>1.5272420147420147E-2</v>
      </c>
      <c r="AV31" s="97">
        <f t="shared" si="8"/>
        <v>2665.3808353808354</v>
      </c>
      <c r="AX31" s="74">
        <f t="shared" si="21"/>
        <v>2.6653808353808355</v>
      </c>
      <c r="BB31" s="67">
        <f t="shared" si="9"/>
        <v>2000000</v>
      </c>
      <c r="BC31" s="68"/>
      <c r="BD31" s="75">
        <f t="shared" si="10"/>
        <v>6666.666666666667</v>
      </c>
      <c r="BE31" s="68"/>
      <c r="BF31" s="70">
        <f t="shared" si="11"/>
        <v>2.1893814997263273E-2</v>
      </c>
      <c r="BG31" s="71"/>
      <c r="BH31" s="71"/>
      <c r="BJ31" s="72">
        <f t="shared" si="12"/>
        <v>5685207</v>
      </c>
      <c r="BK31" s="54"/>
      <c r="BL31" s="72">
        <f t="shared" si="13"/>
        <v>13968.567567567567</v>
      </c>
      <c r="BM31" s="54"/>
      <c r="BN31" s="35">
        <f t="shared" si="22"/>
        <v>3.5432533210480094E-2</v>
      </c>
      <c r="BP31" s="97">
        <f t="shared" si="14"/>
        <v>7301.9009009008996</v>
      </c>
      <c r="BR31" s="74">
        <f t="shared" si="23"/>
        <v>1.0952851351351349</v>
      </c>
    </row>
    <row r="32" spans="2:71" ht="15">
      <c r="B32" s="66" t="s">
        <v>332</v>
      </c>
      <c r="C32" s="66"/>
      <c r="D32" s="66" t="s">
        <v>326</v>
      </c>
      <c r="F32" s="95">
        <v>600000</v>
      </c>
      <c r="G32" s="68"/>
      <c r="H32" s="75">
        <f t="shared" si="15"/>
        <v>300</v>
      </c>
      <c r="I32" s="68"/>
      <c r="J32" s="79">
        <f t="shared" si="16"/>
        <v>2000</v>
      </c>
      <c r="K32" s="68"/>
      <c r="L32" s="70">
        <f t="shared" si="0"/>
        <v>1.3377926421404682E-2</v>
      </c>
      <c r="M32" s="71"/>
      <c r="N32" s="71"/>
      <c r="P32" s="69">
        <v>481304</v>
      </c>
      <c r="Q32" s="98"/>
      <c r="R32" s="54">
        <f t="shared" si="17"/>
        <v>407</v>
      </c>
      <c r="S32" s="98"/>
      <c r="T32" s="98">
        <f t="shared" si="1"/>
        <v>1182.5651105651107</v>
      </c>
      <c r="U32" s="98"/>
      <c r="V32" s="35">
        <f t="shared" si="2"/>
        <v>7.6675426996376233E-3</v>
      </c>
      <c r="X32" s="97">
        <f t="shared" si="3"/>
        <v>-817.43488943488933</v>
      </c>
      <c r="Z32" s="74">
        <f t="shared" si="4"/>
        <v>-0.40871744471744464</v>
      </c>
      <c r="AB32" s="14"/>
      <c r="AD32" s="95">
        <v>0</v>
      </c>
      <c r="AE32" s="98"/>
      <c r="AF32" s="75">
        <f t="shared" si="5"/>
        <v>300</v>
      </c>
      <c r="AG32" s="68"/>
      <c r="AH32" s="75">
        <f t="shared" si="18"/>
        <v>0</v>
      </c>
      <c r="AI32" s="68"/>
      <c r="AJ32" s="70">
        <f t="shared" si="6"/>
        <v>0</v>
      </c>
      <c r="AK32" s="71"/>
      <c r="AL32" s="71"/>
      <c r="AN32" s="69">
        <v>0</v>
      </c>
      <c r="AO32" s="98"/>
      <c r="AP32" s="54">
        <f t="shared" si="19"/>
        <v>407</v>
      </c>
      <c r="AQ32" s="98"/>
      <c r="AR32" s="98">
        <f t="shared" si="7"/>
        <v>0</v>
      </c>
      <c r="AS32" s="54"/>
      <c r="AT32" s="35">
        <f t="shared" si="20"/>
        <v>0</v>
      </c>
      <c r="AV32" s="97">
        <f t="shared" si="8"/>
        <v>0</v>
      </c>
      <c r="AX32" s="74" t="str">
        <f t="shared" si="21"/>
        <v/>
      </c>
      <c r="BB32" s="67">
        <f t="shared" si="9"/>
        <v>600000</v>
      </c>
      <c r="BC32" s="68"/>
      <c r="BD32" s="75">
        <f t="shared" si="10"/>
        <v>2000</v>
      </c>
      <c r="BE32" s="68"/>
      <c r="BF32" s="70">
        <f t="shared" si="11"/>
        <v>6.5681444991789817E-3</v>
      </c>
      <c r="BG32" s="71"/>
      <c r="BH32" s="71"/>
      <c r="BJ32" s="72">
        <f t="shared" si="12"/>
        <v>481304</v>
      </c>
      <c r="BK32" s="54"/>
      <c r="BL32" s="72">
        <f t="shared" si="13"/>
        <v>1182.5651105651107</v>
      </c>
      <c r="BM32" s="54"/>
      <c r="BN32" s="35">
        <f t="shared" si="22"/>
        <v>2.9996832066689766E-3</v>
      </c>
      <c r="BP32" s="97">
        <f t="shared" si="14"/>
        <v>-817.43488943488933</v>
      </c>
      <c r="BR32" s="74">
        <f t="shared" si="23"/>
        <v>-0.40871744471744464</v>
      </c>
    </row>
    <row r="33" spans="2:70" ht="16" customHeight="1">
      <c r="B33" s="66" t="s">
        <v>333</v>
      </c>
      <c r="C33" s="66"/>
      <c r="D33" s="66" t="s">
        <v>326</v>
      </c>
      <c r="F33" s="95">
        <v>450000</v>
      </c>
      <c r="G33" s="68"/>
      <c r="H33" s="75">
        <f t="shared" si="15"/>
        <v>300</v>
      </c>
      <c r="I33" s="68"/>
      <c r="J33" s="79">
        <f t="shared" si="16"/>
        <v>1500</v>
      </c>
      <c r="K33" s="68"/>
      <c r="L33" s="70">
        <f t="shared" si="0"/>
        <v>1.0033444816053512E-2</v>
      </c>
      <c r="M33" s="71"/>
      <c r="N33" s="71"/>
      <c r="P33" s="69">
        <v>143000</v>
      </c>
      <c r="Q33" s="98"/>
      <c r="R33" s="54">
        <f t="shared" si="17"/>
        <v>407</v>
      </c>
      <c r="S33" s="98"/>
      <c r="T33" s="98">
        <f t="shared" si="1"/>
        <v>351.35135135135135</v>
      </c>
      <c r="U33" s="98"/>
      <c r="V33" s="35">
        <f t="shared" si="2"/>
        <v>2.2780999244722258E-3</v>
      </c>
      <c r="X33" s="97">
        <f t="shared" si="3"/>
        <v>-1148.6486486486488</v>
      </c>
      <c r="Z33" s="74">
        <f t="shared" si="4"/>
        <v>-0.76576576576576583</v>
      </c>
      <c r="AB33" s="14"/>
      <c r="AD33" s="95">
        <v>0</v>
      </c>
      <c r="AE33" s="98"/>
      <c r="AF33" s="75">
        <f t="shared" si="5"/>
        <v>300</v>
      </c>
      <c r="AG33" s="68"/>
      <c r="AH33" s="75">
        <f t="shared" si="18"/>
        <v>0</v>
      </c>
      <c r="AI33" s="68"/>
      <c r="AJ33" s="70">
        <f t="shared" si="6"/>
        <v>0</v>
      </c>
      <c r="AK33" s="71"/>
      <c r="AL33" s="71"/>
      <c r="AN33" s="69">
        <v>0</v>
      </c>
      <c r="AO33" s="98"/>
      <c r="AP33" s="54">
        <f t="shared" si="19"/>
        <v>407</v>
      </c>
      <c r="AQ33" s="98"/>
      <c r="AR33" s="98">
        <f t="shared" si="7"/>
        <v>0</v>
      </c>
      <c r="AS33" s="54"/>
      <c r="AT33" s="35">
        <f t="shared" si="20"/>
        <v>0</v>
      </c>
      <c r="AV33" s="97">
        <f t="shared" si="8"/>
        <v>0</v>
      </c>
      <c r="AX33" s="74" t="str">
        <f t="shared" si="21"/>
        <v/>
      </c>
      <c r="BB33" s="67">
        <f t="shared" si="9"/>
        <v>450000</v>
      </c>
      <c r="BC33" s="68"/>
      <c r="BD33" s="75">
        <f t="shared" si="10"/>
        <v>1500</v>
      </c>
      <c r="BE33" s="68"/>
      <c r="BF33" s="70">
        <f t="shared" si="11"/>
        <v>4.9261083743842365E-3</v>
      </c>
      <c r="BG33" s="71"/>
      <c r="BH33" s="71"/>
      <c r="BJ33" s="72">
        <f t="shared" si="12"/>
        <v>143000</v>
      </c>
      <c r="BK33" s="54"/>
      <c r="BL33" s="72">
        <f t="shared" si="13"/>
        <v>351.35135135135135</v>
      </c>
      <c r="BM33" s="54"/>
      <c r="BN33" s="35">
        <f t="shared" si="22"/>
        <v>8.9123443510476458E-4</v>
      </c>
      <c r="BP33" s="97">
        <f t="shared" si="14"/>
        <v>-1148.6486486486488</v>
      </c>
      <c r="BR33" s="74">
        <f t="shared" si="23"/>
        <v>-0.76576576576576583</v>
      </c>
    </row>
    <row r="34" spans="2:70" ht="16" customHeight="1">
      <c r="B34" s="66" t="s">
        <v>334</v>
      </c>
      <c r="C34" s="66"/>
      <c r="D34" s="66" t="s">
        <v>326</v>
      </c>
      <c r="F34" s="95">
        <v>400000</v>
      </c>
      <c r="G34" s="68"/>
      <c r="H34" s="75">
        <f t="shared" si="15"/>
        <v>300</v>
      </c>
      <c r="I34" s="68"/>
      <c r="J34" s="79">
        <f t="shared" si="16"/>
        <v>1333.3333333333333</v>
      </c>
      <c r="K34" s="68"/>
      <c r="L34" s="70">
        <f t="shared" si="0"/>
        <v>8.918617614269788E-3</v>
      </c>
      <c r="M34" s="71"/>
      <c r="N34" s="71"/>
      <c r="P34" s="69">
        <v>475689</v>
      </c>
      <c r="Q34" s="98"/>
      <c r="R34" s="54">
        <f t="shared" si="17"/>
        <v>407</v>
      </c>
      <c r="S34" s="98"/>
      <c r="T34" s="98">
        <f t="shared" si="1"/>
        <v>1168.7690417690417</v>
      </c>
      <c r="U34" s="98"/>
      <c r="V34" s="35">
        <f t="shared" si="2"/>
        <v>7.5780914333725066E-3</v>
      </c>
      <c r="X34" s="97">
        <f t="shared" si="3"/>
        <v>-164.56429156429158</v>
      </c>
      <c r="Z34" s="74">
        <f t="shared" si="4"/>
        <v>-0.12342321867321869</v>
      </c>
      <c r="AB34" s="14"/>
      <c r="AD34" s="95">
        <v>80000</v>
      </c>
      <c r="AE34" s="98"/>
      <c r="AF34" s="75">
        <f t="shared" si="5"/>
        <v>300</v>
      </c>
      <c r="AG34" s="68"/>
      <c r="AH34" s="75">
        <f t="shared" si="18"/>
        <v>266.66666666666669</v>
      </c>
      <c r="AI34" s="68"/>
      <c r="AJ34" s="70">
        <f t="shared" si="6"/>
        <v>1.7204301075268819E-3</v>
      </c>
      <c r="AK34" s="71"/>
      <c r="AL34" s="71"/>
      <c r="AN34" s="69">
        <v>524500</v>
      </c>
      <c r="AO34" s="98"/>
      <c r="AP34" s="54">
        <f t="shared" si="19"/>
        <v>407</v>
      </c>
      <c r="AQ34" s="98"/>
      <c r="AR34" s="98">
        <f t="shared" si="7"/>
        <v>1288.6977886977886</v>
      </c>
      <c r="AS34" s="54"/>
      <c r="AT34" s="35">
        <f t="shared" si="20"/>
        <v>5.3695741195741191E-3</v>
      </c>
      <c r="AV34" s="97">
        <f t="shared" si="8"/>
        <v>1022.0311220311219</v>
      </c>
      <c r="AX34" s="74">
        <f t="shared" si="21"/>
        <v>3.8326167076167068</v>
      </c>
      <c r="BB34" s="67">
        <f t="shared" si="9"/>
        <v>480000</v>
      </c>
      <c r="BC34" s="68"/>
      <c r="BD34" s="75">
        <f t="shared" si="10"/>
        <v>1600</v>
      </c>
      <c r="BE34" s="68"/>
      <c r="BF34" s="70">
        <f t="shared" si="11"/>
        <v>5.2545155993431857E-3</v>
      </c>
      <c r="BG34" s="71"/>
      <c r="BH34" s="71"/>
      <c r="BJ34" s="72">
        <f t="shared" si="12"/>
        <v>1000189</v>
      </c>
      <c r="BK34" s="54"/>
      <c r="BL34" s="72">
        <f t="shared" si="13"/>
        <v>2457.4668304668303</v>
      </c>
      <c r="BM34" s="54"/>
      <c r="BN34" s="35">
        <f t="shared" si="22"/>
        <v>6.2335865623286664E-3</v>
      </c>
      <c r="BP34" s="97">
        <f t="shared" si="14"/>
        <v>857.46683046683029</v>
      </c>
      <c r="BR34" s="74">
        <f t="shared" si="23"/>
        <v>0.53591676904176888</v>
      </c>
    </row>
    <row r="35" spans="2:70" ht="16" customHeight="1">
      <c r="B35" s="99" t="s">
        <v>342</v>
      </c>
      <c r="C35" s="99"/>
      <c r="D35" s="66" t="s">
        <v>326</v>
      </c>
      <c r="F35" s="95">
        <v>6000000</v>
      </c>
      <c r="G35" s="68"/>
      <c r="H35" s="75">
        <f t="shared" si="15"/>
        <v>300</v>
      </c>
      <c r="I35" s="68"/>
      <c r="J35" s="79">
        <f t="shared" si="16"/>
        <v>20000</v>
      </c>
      <c r="K35" s="68"/>
      <c r="L35" s="70">
        <f t="shared" si="0"/>
        <v>0.13377926421404682</v>
      </c>
      <c r="M35" s="71"/>
      <c r="N35" s="71"/>
      <c r="P35" s="69">
        <v>19719208</v>
      </c>
      <c r="Q35" s="98"/>
      <c r="R35" s="54">
        <f t="shared" si="17"/>
        <v>407</v>
      </c>
      <c r="S35" s="98"/>
      <c r="T35" s="98">
        <f t="shared" si="1"/>
        <v>48450.142506142503</v>
      </c>
      <c r="U35" s="98"/>
      <c r="V35" s="35">
        <f t="shared" si="2"/>
        <v>0.31414214164651821</v>
      </c>
      <c r="X35" s="97">
        <f t="shared" si="3"/>
        <v>28450.142506142503</v>
      </c>
      <c r="Z35" s="74">
        <f t="shared" si="4"/>
        <v>1.4225071253071251</v>
      </c>
      <c r="AB35" s="14"/>
      <c r="AD35" s="95">
        <v>500000</v>
      </c>
      <c r="AE35" s="98"/>
      <c r="AF35" s="75">
        <f t="shared" si="5"/>
        <v>300</v>
      </c>
      <c r="AG35" s="68"/>
      <c r="AH35" s="75">
        <f t="shared" si="18"/>
        <v>1666.6666666666667</v>
      </c>
      <c r="AI35" s="68"/>
      <c r="AJ35" s="70">
        <f t="shared" si="6"/>
        <v>1.0752688172043012E-2</v>
      </c>
      <c r="AK35" s="71"/>
      <c r="AL35" s="71"/>
      <c r="AN35" s="69">
        <v>4341333</v>
      </c>
      <c r="AO35" s="98"/>
      <c r="AP35" s="54">
        <f t="shared" si="19"/>
        <v>407</v>
      </c>
      <c r="AQ35" s="98"/>
      <c r="AR35" s="98">
        <f t="shared" si="7"/>
        <v>10666.665847665849</v>
      </c>
      <c r="AS35" s="54"/>
      <c r="AT35" s="35">
        <f t="shared" si="20"/>
        <v>4.4444441031941034E-2</v>
      </c>
      <c r="AV35" s="97">
        <f t="shared" si="8"/>
        <v>8999.9991809991825</v>
      </c>
      <c r="AX35" s="74">
        <f t="shared" si="21"/>
        <v>5.3999995085995094</v>
      </c>
      <c r="BB35" s="67">
        <f t="shared" si="9"/>
        <v>6500000</v>
      </c>
      <c r="BC35" s="68"/>
      <c r="BD35" s="75">
        <f t="shared" si="10"/>
        <v>21666.666666666668</v>
      </c>
      <c r="BE35" s="68"/>
      <c r="BF35" s="70">
        <f t="shared" si="11"/>
        <v>7.1154898741105643E-2</v>
      </c>
      <c r="BG35" s="71"/>
      <c r="BH35" s="71"/>
      <c r="BJ35" s="72">
        <f t="shared" si="12"/>
        <v>24060541</v>
      </c>
      <c r="BK35" s="54"/>
      <c r="BL35" s="72">
        <f t="shared" si="13"/>
        <v>59116.808353808352</v>
      </c>
      <c r="BM35" s="54"/>
      <c r="BN35" s="35">
        <f t="shared" si="22"/>
        <v>0.14995512354160859</v>
      </c>
      <c r="BP35" s="97">
        <f t="shared" si="14"/>
        <v>37450.141687141688</v>
      </c>
      <c r="BR35" s="74">
        <f t="shared" si="23"/>
        <v>1.7284680778680779</v>
      </c>
    </row>
    <row r="36" spans="2:70" ht="16" customHeight="1">
      <c r="B36" s="66" t="s">
        <v>335</v>
      </c>
      <c r="C36" s="66"/>
      <c r="D36" s="66" t="s">
        <v>326</v>
      </c>
      <c r="F36" s="95">
        <v>2200000</v>
      </c>
      <c r="G36" s="68"/>
      <c r="H36" s="75">
        <f t="shared" si="15"/>
        <v>300</v>
      </c>
      <c r="I36" s="68"/>
      <c r="J36" s="79">
        <f t="shared" si="16"/>
        <v>7333.333333333333</v>
      </c>
      <c r="K36" s="68"/>
      <c r="L36" s="70">
        <f t="shared" si="0"/>
        <v>4.9052396878483832E-2</v>
      </c>
      <c r="M36" s="71"/>
      <c r="N36" s="71"/>
      <c r="P36" s="69">
        <v>3077646</v>
      </c>
      <c r="Q36" s="98"/>
      <c r="R36" s="54">
        <f t="shared" si="17"/>
        <v>407</v>
      </c>
      <c r="S36" s="98"/>
      <c r="T36" s="98">
        <f t="shared" si="1"/>
        <v>7561.7837837837842</v>
      </c>
      <c r="U36" s="98"/>
      <c r="V36" s="35">
        <f t="shared" si="2"/>
        <v>4.9029266574491241E-2</v>
      </c>
      <c r="X36" s="97">
        <f t="shared" si="3"/>
        <v>228.45045045045117</v>
      </c>
      <c r="Z36" s="74">
        <f t="shared" si="4"/>
        <v>3.1152334152334253E-2</v>
      </c>
      <c r="AB36" s="14"/>
      <c r="AD36" s="95">
        <v>3000000</v>
      </c>
      <c r="AE36" s="98"/>
      <c r="AF36" s="75">
        <f t="shared" si="5"/>
        <v>300</v>
      </c>
      <c r="AG36" s="68"/>
      <c r="AH36" s="75">
        <f t="shared" si="18"/>
        <v>10000</v>
      </c>
      <c r="AI36" s="68"/>
      <c r="AJ36" s="70">
        <f t="shared" si="6"/>
        <v>6.4516129032258063E-2</v>
      </c>
      <c r="AK36" s="71"/>
      <c r="AL36" s="71"/>
      <c r="AN36" s="69">
        <v>2700200</v>
      </c>
      <c r="AO36" s="98"/>
      <c r="AP36" s="54">
        <f t="shared" si="19"/>
        <v>407</v>
      </c>
      <c r="AQ36" s="98"/>
      <c r="AR36" s="98">
        <f t="shared" si="7"/>
        <v>6634.3980343980347</v>
      </c>
      <c r="AS36" s="54"/>
      <c r="AT36" s="35">
        <f t="shared" si="20"/>
        <v>2.7643325143325143E-2</v>
      </c>
      <c r="AV36" s="97">
        <f t="shared" si="8"/>
        <v>-3365.6019656019653</v>
      </c>
      <c r="AX36" s="74">
        <f t="shared" si="21"/>
        <v>-0.33656019656019653</v>
      </c>
      <c r="BB36" s="67">
        <f t="shared" si="9"/>
        <v>5200000</v>
      </c>
      <c r="BC36" s="68"/>
      <c r="BD36" s="75">
        <f t="shared" si="10"/>
        <v>17333.333333333332</v>
      </c>
      <c r="BE36" s="68"/>
      <c r="BF36" s="70">
        <f t="shared" si="11"/>
        <v>5.6923918992884508E-2</v>
      </c>
      <c r="BG36" s="71"/>
      <c r="BH36" s="71"/>
      <c r="BJ36" s="72">
        <f t="shared" si="12"/>
        <v>5777846</v>
      </c>
      <c r="BK36" s="54"/>
      <c r="BL36" s="72">
        <f t="shared" si="13"/>
        <v>14196.18181818182</v>
      </c>
      <c r="BM36" s="54"/>
      <c r="BN36" s="35">
        <f t="shared" si="22"/>
        <v>3.6009897314212058E-2</v>
      </c>
      <c r="BP36" s="97">
        <f t="shared" si="14"/>
        <v>-3137.1515151515123</v>
      </c>
      <c r="BR36" s="74">
        <f t="shared" si="23"/>
        <v>-0.18098951048951034</v>
      </c>
    </row>
    <row r="37" spans="2:70" ht="16" customHeight="1" thickBot="1">
      <c r="B37" s="200" t="s">
        <v>466</v>
      </c>
      <c r="C37" s="263"/>
      <c r="D37" s="263"/>
      <c r="F37" s="77">
        <f>SUM(F24:F36)</f>
        <v>15456057.18</v>
      </c>
      <c r="G37" s="54"/>
      <c r="H37" s="54"/>
      <c r="I37" s="54"/>
      <c r="J37" s="78">
        <f>SUM(J24:J36)</f>
        <v>51190.640081900085</v>
      </c>
      <c r="K37" s="79"/>
      <c r="L37" s="80">
        <f>SUM(L24:L36)</f>
        <v>0.3424123082401343</v>
      </c>
      <c r="M37" s="81"/>
      <c r="N37" s="82">
        <f>J37/J$118</f>
        <v>0.27188228602524162</v>
      </c>
      <c r="P37" s="100">
        <f>SUM(P24:P36)</f>
        <v>39554771</v>
      </c>
      <c r="Q37" s="206"/>
      <c r="R37" s="54"/>
      <c r="S37" s="206"/>
      <c r="T37" s="100">
        <f>SUM(T24:T36)</f>
        <v>97186.169533169537</v>
      </c>
      <c r="U37" s="207"/>
      <c r="V37" s="101">
        <f>SUM(V24:V36)</f>
        <v>0.63013790788542778</v>
      </c>
      <c r="X37" s="84">
        <f>SUM(X24:X36)</f>
        <v>45995.529451269445</v>
      </c>
      <c r="Z37" s="85">
        <f t="shared" si="4"/>
        <v>0.89851444282941251</v>
      </c>
      <c r="AB37" s="14"/>
      <c r="AD37" s="77">
        <f>SUM(AD24:AD36)</f>
        <v>5379999.8097804245</v>
      </c>
      <c r="AE37" s="54"/>
      <c r="AF37" s="54"/>
      <c r="AG37" s="54"/>
      <c r="AH37" s="78">
        <f>SUM(AH24:AH36)</f>
        <v>17933.332699268081</v>
      </c>
      <c r="AI37" s="79"/>
      <c r="AJ37" s="80">
        <f>SUM(AJ24:AJ36)</f>
        <v>0.11569892064043925</v>
      </c>
      <c r="AK37" s="81"/>
      <c r="AL37" s="82">
        <f>AH37/AH$118</f>
        <v>6.712811090501325E-2</v>
      </c>
      <c r="AN37" s="100">
        <f>SUM(AN24:AN36)</f>
        <v>10295138</v>
      </c>
      <c r="AO37" s="206"/>
      <c r="AP37" s="54"/>
      <c r="AQ37" s="206"/>
      <c r="AR37" s="100">
        <f>SUM(AR24:AR36)</f>
        <v>25295.179361179362</v>
      </c>
      <c r="AS37" s="207"/>
      <c r="AT37" s="101">
        <f>SUM(AT24:AT36)</f>
        <v>0.10539658067158067</v>
      </c>
      <c r="AV37" s="84">
        <f>SUM(AV24:AV36)</f>
        <v>7361.8466619112805</v>
      </c>
      <c r="AX37" s="85">
        <f t="shared" ref="AX37" si="24">AV37/AH37</f>
        <v>0.41051191015999733</v>
      </c>
      <c r="BB37" s="77">
        <f>SUM(BB24:BB36)</f>
        <v>20836056.989780426</v>
      </c>
      <c r="BC37" s="54"/>
      <c r="BD37" s="78">
        <f>SUM(BD24:BD36)</f>
        <v>69123.972781168166</v>
      </c>
      <c r="BE37" s="79"/>
      <c r="BF37" s="80">
        <f>SUM(BF24:BF36)</f>
        <v>0.22700812079201368</v>
      </c>
      <c r="BG37" s="81"/>
      <c r="BH37" s="82">
        <f>BD37/BD$118</f>
        <v>0.1524639346953868</v>
      </c>
      <c r="BJ37" s="102">
        <f>SUM(BJ24:BJ36)</f>
        <v>49849909</v>
      </c>
      <c r="BK37" s="54"/>
      <c r="BL37" s="100">
        <f>SUM(BL24:BL36)</f>
        <v>122481.34889434889</v>
      </c>
      <c r="BM37" s="79"/>
      <c r="BN37" s="101">
        <f>SUM(BN24:BN36)</f>
        <v>0.31068500341006239</v>
      </c>
      <c r="BP37" s="84">
        <f>SUM(BP24:BP36)</f>
        <v>53357.376113180733</v>
      </c>
      <c r="BR37" s="85">
        <f>IF(COUNT(BJ24:BJ36)=13,((BJ37-BB37)/BB37),"")</f>
        <v>1.3924828495357906</v>
      </c>
    </row>
    <row r="38" spans="2:70" ht="16" customHeight="1">
      <c r="B38" s="86"/>
      <c r="C38" s="115"/>
      <c r="D38" s="115"/>
      <c r="F38" s="87"/>
      <c r="G38" s="81"/>
      <c r="H38" s="81"/>
      <c r="I38" s="81"/>
      <c r="J38" s="81"/>
      <c r="K38" s="81"/>
      <c r="L38" s="88"/>
      <c r="M38" s="81"/>
      <c r="N38" s="89"/>
      <c r="P38" s="75"/>
      <c r="Q38" s="96"/>
      <c r="R38" s="54"/>
      <c r="S38" s="96"/>
      <c r="T38" s="96"/>
      <c r="U38" s="96"/>
      <c r="V38" s="90"/>
      <c r="X38" s="73"/>
      <c r="Z38" s="91"/>
      <c r="AB38" s="14"/>
      <c r="AD38" s="87"/>
      <c r="AE38" s="201"/>
      <c r="AF38" s="81"/>
      <c r="AG38" s="81"/>
      <c r="AH38" s="81"/>
      <c r="AI38" s="81"/>
      <c r="AJ38" s="88"/>
      <c r="AK38" s="81"/>
      <c r="AL38" s="89"/>
      <c r="AN38" s="75"/>
      <c r="AO38" s="96"/>
      <c r="AP38" s="54"/>
      <c r="AQ38" s="96"/>
      <c r="AR38" s="75"/>
      <c r="AS38" s="54"/>
      <c r="AT38" s="90"/>
      <c r="AV38" s="73"/>
      <c r="AX38" s="91"/>
      <c r="BB38" s="87"/>
      <c r="BC38" s="81"/>
      <c r="BD38" s="81"/>
      <c r="BE38" s="81"/>
      <c r="BF38" s="88"/>
      <c r="BG38" s="81"/>
      <c r="BH38" s="89"/>
      <c r="BJ38" s="96"/>
      <c r="BK38" s="54"/>
      <c r="BL38" s="75"/>
      <c r="BM38" s="54"/>
      <c r="BN38" s="90"/>
      <c r="BR38" s="91"/>
    </row>
    <row r="39" spans="2:70" s="33" customFormat="1" ht="16" customHeight="1">
      <c r="B39" s="103" t="s">
        <v>367</v>
      </c>
      <c r="C39" s="116"/>
      <c r="D39" s="116"/>
      <c r="F39" s="104"/>
      <c r="G39" s="105"/>
      <c r="H39" s="105"/>
      <c r="I39" s="105"/>
      <c r="J39" s="105"/>
      <c r="K39" s="105"/>
      <c r="L39" s="106"/>
      <c r="P39" s="96"/>
      <c r="Q39" s="96"/>
      <c r="R39" s="105"/>
      <c r="S39" s="96"/>
      <c r="T39" s="96"/>
      <c r="U39" s="96"/>
      <c r="V39" s="107"/>
      <c r="X39" s="108"/>
      <c r="Z39" s="109"/>
      <c r="AD39" s="104"/>
      <c r="AE39" s="105"/>
      <c r="AF39" s="105"/>
      <c r="AG39" s="105"/>
      <c r="AH39" s="105"/>
      <c r="AI39" s="105"/>
      <c r="AJ39" s="106"/>
      <c r="AN39" s="202" t="s">
        <v>467</v>
      </c>
      <c r="AO39" s="203"/>
      <c r="AP39" s="105"/>
      <c r="AQ39" s="203"/>
      <c r="AR39" s="96"/>
      <c r="AS39" s="105"/>
      <c r="AT39" s="107"/>
      <c r="AV39" s="108"/>
      <c r="AX39" s="109"/>
      <c r="BB39" s="104"/>
      <c r="BC39" s="105"/>
      <c r="BD39" s="105"/>
      <c r="BE39" s="105"/>
      <c r="BF39" s="106"/>
      <c r="BJ39" s="96"/>
      <c r="BK39" s="105"/>
      <c r="BL39" s="96"/>
      <c r="BM39" s="105"/>
      <c r="BN39" s="107"/>
      <c r="BR39" s="109"/>
    </row>
    <row r="40" spans="2:70" s="33" customFormat="1" ht="16" customHeight="1">
      <c r="B40" s="66" t="s">
        <v>329</v>
      </c>
      <c r="C40" s="66"/>
      <c r="D40" s="111" t="s">
        <v>324</v>
      </c>
      <c r="F40" s="104"/>
      <c r="G40" s="105"/>
      <c r="H40" s="105"/>
      <c r="I40" s="105"/>
      <c r="J40" s="105"/>
      <c r="K40" s="105"/>
      <c r="L40" s="106"/>
      <c r="P40" s="202"/>
      <c r="Q40" s="203"/>
      <c r="R40" s="208"/>
      <c r="S40" s="203"/>
      <c r="T40" s="202"/>
      <c r="U40" s="202"/>
      <c r="V40" s="107"/>
      <c r="X40" s="108"/>
      <c r="Z40" s="109"/>
      <c r="AD40" s="95">
        <v>350000</v>
      </c>
      <c r="AE40" s="105"/>
      <c r="AF40" s="75">
        <f t="shared" ref="AF40:AF55" si="25">$AH$5</f>
        <v>300</v>
      </c>
      <c r="AG40" s="105"/>
      <c r="AH40" s="75">
        <f t="shared" ref="AH40:AH55" si="26">AD40/AF40</f>
        <v>1166.6666666666667</v>
      </c>
      <c r="AI40" s="105"/>
      <c r="AJ40" s="70">
        <f t="shared" ref="AJ40:AJ55" si="27">AH40/$AH$10</f>
        <v>7.526881720430108E-3</v>
      </c>
      <c r="AN40" s="209">
        <v>474833</v>
      </c>
      <c r="AO40" s="210"/>
      <c r="AP40" s="54">
        <f t="shared" ref="AP40:AP55" si="28">$AH$8</f>
        <v>407</v>
      </c>
      <c r="AQ40" s="210"/>
      <c r="AR40" s="98">
        <f>IF(AN40="","",AN40/AH$8)</f>
        <v>1166.6658476658477</v>
      </c>
      <c r="AS40" s="54"/>
      <c r="AT40" s="35">
        <f t="shared" ref="AT40:AT55" si="29">IF(AR40="","",AR40/AR$10)</f>
        <v>4.8611076986076985E-3</v>
      </c>
      <c r="AU40" s="14"/>
      <c r="AV40" s="97">
        <f t="shared" ref="AV40:AV55" si="30">IF(AR40="","",AR40-AH40)</f>
        <v>-8.1900081909225264E-4</v>
      </c>
      <c r="AW40" s="14"/>
      <c r="AX40" s="74">
        <f t="shared" ref="AX40:AX55" si="31">IF(AR40=0,"",((AR40-AH40)/AH40))</f>
        <v>-7.0200070207907361E-7</v>
      </c>
      <c r="BB40" s="67">
        <f t="shared" ref="BB40:BB55" si="32">AD40+F40</f>
        <v>350000</v>
      </c>
      <c r="BC40" s="105"/>
      <c r="BD40" s="75">
        <f t="shared" ref="BD40:BD55" si="33">AH40+J40</f>
        <v>1166.6666666666667</v>
      </c>
      <c r="BE40" s="105"/>
      <c r="BF40" s="70">
        <f t="shared" ref="BF40:BF55" si="34">BD40/$BD$10</f>
        <v>3.831417624521073E-3</v>
      </c>
      <c r="BJ40" s="72">
        <f t="shared" ref="BJ40:BJ55" si="35">AN40+P40</f>
        <v>474833</v>
      </c>
      <c r="BK40" s="54"/>
      <c r="BL40" s="72">
        <f t="shared" ref="BL40:BL55" si="36">AR40+T40</f>
        <v>1166.6658476658477</v>
      </c>
      <c r="BM40" s="105"/>
      <c r="BN40" s="35">
        <f t="shared" ref="BN40:BN55" si="37">BL40/$BL$10</f>
        <v>2.9593532903783265E-3</v>
      </c>
      <c r="BP40" s="97">
        <f>BL40-BD40</f>
        <v>-8.1900081909225264E-4</v>
      </c>
      <c r="BR40" s="74">
        <f t="shared" ref="BR40:BR55" si="38">IF(BB40=0,"",((BL40-BD40)/BD40))</f>
        <v>-7.0200070207907361E-7</v>
      </c>
    </row>
    <row r="41" spans="2:70" s="33" customFormat="1" ht="16" customHeight="1">
      <c r="B41" s="66" t="s">
        <v>330</v>
      </c>
      <c r="C41" s="66"/>
      <c r="D41" s="111" t="s">
        <v>324</v>
      </c>
      <c r="F41" s="104"/>
      <c r="G41" s="105"/>
      <c r="H41" s="105"/>
      <c r="I41" s="105"/>
      <c r="J41" s="105"/>
      <c r="K41" s="105"/>
      <c r="L41" s="106"/>
      <c r="P41" s="96"/>
      <c r="Q41" s="96"/>
      <c r="R41" s="105"/>
      <c r="S41" s="96"/>
      <c r="T41" s="96"/>
      <c r="U41" s="96"/>
      <c r="V41" s="107"/>
      <c r="X41" s="108"/>
      <c r="Z41" s="109"/>
      <c r="AD41" s="95">
        <v>450000</v>
      </c>
      <c r="AE41" s="105"/>
      <c r="AF41" s="75">
        <f t="shared" si="25"/>
        <v>300</v>
      </c>
      <c r="AG41" s="105"/>
      <c r="AH41" s="75">
        <f t="shared" si="26"/>
        <v>1500</v>
      </c>
      <c r="AI41" s="105"/>
      <c r="AJ41" s="70">
        <f t="shared" si="27"/>
        <v>9.6774193548387101E-3</v>
      </c>
      <c r="AN41" s="209">
        <v>610500</v>
      </c>
      <c r="AO41" s="210"/>
      <c r="AP41" s="54">
        <f t="shared" si="28"/>
        <v>407</v>
      </c>
      <c r="AQ41" s="210"/>
      <c r="AR41" s="98">
        <f t="shared" ref="AR41:AR49" si="39">IF(AN41="","",AN41/AH$8)</f>
        <v>1500</v>
      </c>
      <c r="AS41" s="54"/>
      <c r="AT41" s="35">
        <f t="shared" si="29"/>
        <v>6.2500000000000003E-3</v>
      </c>
      <c r="AU41" s="14"/>
      <c r="AV41" s="97">
        <f t="shared" si="30"/>
        <v>0</v>
      </c>
      <c r="AW41" s="14"/>
      <c r="AX41" s="74">
        <f t="shared" si="31"/>
        <v>0</v>
      </c>
      <c r="BB41" s="67">
        <f t="shared" si="32"/>
        <v>450000</v>
      </c>
      <c r="BC41" s="105"/>
      <c r="BD41" s="75">
        <f t="shared" si="33"/>
        <v>1500</v>
      </c>
      <c r="BE41" s="105"/>
      <c r="BF41" s="70">
        <f t="shared" si="34"/>
        <v>4.9261083743842365E-3</v>
      </c>
      <c r="BJ41" s="72">
        <f t="shared" si="35"/>
        <v>610500</v>
      </c>
      <c r="BK41" s="54"/>
      <c r="BL41" s="72">
        <f t="shared" si="36"/>
        <v>1500</v>
      </c>
      <c r="BM41" s="105"/>
      <c r="BN41" s="35">
        <f t="shared" si="37"/>
        <v>3.8048854729472643E-3</v>
      </c>
      <c r="BP41" s="97">
        <f t="shared" ref="BP41:BP55" si="40">BL41-BD41</f>
        <v>0</v>
      </c>
      <c r="BR41" s="74">
        <f t="shared" si="38"/>
        <v>0</v>
      </c>
    </row>
    <row r="42" spans="2:70" s="33" customFormat="1" ht="16" customHeight="1">
      <c r="B42" s="66" t="s">
        <v>331</v>
      </c>
      <c r="C42" s="66"/>
      <c r="D42" s="111" t="s">
        <v>324</v>
      </c>
      <c r="F42" s="104"/>
      <c r="G42" s="105"/>
      <c r="H42" s="105"/>
      <c r="I42" s="105"/>
      <c r="J42" s="105"/>
      <c r="K42" s="105"/>
      <c r="L42" s="106"/>
      <c r="P42" s="96"/>
      <c r="Q42" s="96"/>
      <c r="R42" s="105"/>
      <c r="S42" s="96"/>
      <c r="T42" s="96"/>
      <c r="U42" s="96"/>
      <c r="V42" s="107"/>
      <c r="X42" s="108"/>
      <c r="Z42" s="109"/>
      <c r="AD42" s="95">
        <f>1550000*(1628000/(1628000+474833))</f>
        <v>1200000.1902195753</v>
      </c>
      <c r="AE42" s="105"/>
      <c r="AF42" s="75">
        <f t="shared" si="25"/>
        <v>300</v>
      </c>
      <c r="AG42" s="105"/>
      <c r="AH42" s="75">
        <f t="shared" si="26"/>
        <v>4000.0006340652512</v>
      </c>
      <c r="AI42" s="105"/>
      <c r="AJ42" s="70">
        <f t="shared" si="27"/>
        <v>2.5806455703646782E-2</v>
      </c>
      <c r="AN42" s="209">
        <v>1628000</v>
      </c>
      <c r="AO42" s="210"/>
      <c r="AP42" s="54">
        <f t="shared" si="28"/>
        <v>407</v>
      </c>
      <c r="AQ42" s="210"/>
      <c r="AR42" s="98">
        <f t="shared" si="39"/>
        <v>4000</v>
      </c>
      <c r="AS42" s="54"/>
      <c r="AT42" s="35">
        <f t="shared" si="29"/>
        <v>1.6666666666666666E-2</v>
      </c>
      <c r="AU42" s="14"/>
      <c r="AV42" s="97">
        <f t="shared" si="30"/>
        <v>-6.3406525123355095E-4</v>
      </c>
      <c r="AW42" s="14"/>
      <c r="AX42" s="74">
        <f t="shared" si="31"/>
        <v>-1.5851628768097028E-7</v>
      </c>
      <c r="BB42" s="67">
        <f t="shared" si="32"/>
        <v>1200000.1902195753</v>
      </c>
      <c r="BC42" s="105"/>
      <c r="BD42" s="75">
        <f t="shared" si="33"/>
        <v>4000.0006340652512</v>
      </c>
      <c r="BE42" s="105"/>
      <c r="BF42" s="70">
        <f t="shared" si="34"/>
        <v>1.3136291080674059E-2</v>
      </c>
      <c r="BJ42" s="72">
        <f t="shared" si="35"/>
        <v>1628000</v>
      </c>
      <c r="BK42" s="54"/>
      <c r="BL42" s="72">
        <f t="shared" si="36"/>
        <v>4000</v>
      </c>
      <c r="BM42" s="105"/>
      <c r="BN42" s="35">
        <f t="shared" si="37"/>
        <v>1.0146361261192704E-2</v>
      </c>
      <c r="BP42" s="97">
        <f t="shared" si="40"/>
        <v>-6.3406525123355095E-4</v>
      </c>
      <c r="BR42" s="74">
        <f t="shared" si="38"/>
        <v>-1.5851628768097028E-7</v>
      </c>
    </row>
    <row r="43" spans="2:70" s="33" customFormat="1" ht="16" customHeight="1">
      <c r="B43" s="66" t="s">
        <v>340</v>
      </c>
      <c r="C43" s="66"/>
      <c r="D43" s="111" t="s">
        <v>324</v>
      </c>
      <c r="F43" s="104"/>
      <c r="G43" s="105"/>
      <c r="H43" s="105"/>
      <c r="I43" s="105"/>
      <c r="J43" s="105"/>
      <c r="K43" s="105"/>
      <c r="L43" s="106"/>
      <c r="P43" s="96"/>
      <c r="Q43" s="96"/>
      <c r="R43" s="105"/>
      <c r="S43" s="96"/>
      <c r="T43" s="96"/>
      <c r="U43" s="96"/>
      <c r="V43" s="107"/>
      <c r="X43" s="108"/>
      <c r="Z43" s="109"/>
      <c r="AD43" s="95">
        <v>150000</v>
      </c>
      <c r="AE43" s="105"/>
      <c r="AF43" s="75">
        <f t="shared" si="25"/>
        <v>300</v>
      </c>
      <c r="AG43" s="105"/>
      <c r="AH43" s="75">
        <f t="shared" si="26"/>
        <v>500</v>
      </c>
      <c r="AI43" s="105"/>
      <c r="AJ43" s="70">
        <f t="shared" si="27"/>
        <v>3.2258064516129032E-3</v>
      </c>
      <c r="AN43" s="209">
        <v>203500</v>
      </c>
      <c r="AO43" s="210"/>
      <c r="AP43" s="54">
        <f t="shared" si="28"/>
        <v>407</v>
      </c>
      <c r="AQ43" s="210"/>
      <c r="AR43" s="98">
        <f t="shared" si="39"/>
        <v>500</v>
      </c>
      <c r="AS43" s="54"/>
      <c r="AT43" s="35">
        <f t="shared" si="29"/>
        <v>2.0833333333333333E-3</v>
      </c>
      <c r="AU43" s="14"/>
      <c r="AV43" s="97">
        <f t="shared" si="30"/>
        <v>0</v>
      </c>
      <c r="AW43" s="14"/>
      <c r="AX43" s="74">
        <f t="shared" si="31"/>
        <v>0</v>
      </c>
      <c r="BB43" s="67">
        <f t="shared" si="32"/>
        <v>150000</v>
      </c>
      <c r="BC43" s="105"/>
      <c r="BD43" s="75">
        <f t="shared" si="33"/>
        <v>500</v>
      </c>
      <c r="BE43" s="105"/>
      <c r="BF43" s="70">
        <f t="shared" si="34"/>
        <v>1.6420361247947454E-3</v>
      </c>
      <c r="BJ43" s="72">
        <f t="shared" si="35"/>
        <v>203500</v>
      </c>
      <c r="BK43" s="54"/>
      <c r="BL43" s="72">
        <f t="shared" si="36"/>
        <v>500</v>
      </c>
      <c r="BM43" s="105"/>
      <c r="BN43" s="35">
        <f t="shared" si="37"/>
        <v>1.268295157649088E-3</v>
      </c>
      <c r="BP43" s="97">
        <f t="shared" si="40"/>
        <v>0</v>
      </c>
      <c r="BR43" s="74">
        <f t="shared" si="38"/>
        <v>0</v>
      </c>
    </row>
    <row r="44" spans="2:70" s="33" customFormat="1" ht="16" customHeight="1">
      <c r="B44" s="66" t="s">
        <v>341</v>
      </c>
      <c r="C44" s="66"/>
      <c r="D44" s="111" t="s">
        <v>324</v>
      </c>
      <c r="F44" s="104"/>
      <c r="G44" s="105"/>
      <c r="H44" s="105"/>
      <c r="I44" s="105"/>
      <c r="J44" s="105"/>
      <c r="K44" s="105"/>
      <c r="L44" s="106"/>
      <c r="P44" s="96"/>
      <c r="Q44" s="96"/>
      <c r="R44" s="105"/>
      <c r="S44" s="96"/>
      <c r="T44" s="96"/>
      <c r="U44" s="96"/>
      <c r="V44" s="107"/>
      <c r="X44" s="108"/>
      <c r="Z44" s="109"/>
      <c r="AD44" s="95">
        <v>1500000</v>
      </c>
      <c r="AE44" s="105"/>
      <c r="AF44" s="75">
        <f t="shared" si="25"/>
        <v>300</v>
      </c>
      <c r="AG44" s="105"/>
      <c r="AH44" s="75">
        <f t="shared" si="26"/>
        <v>5000</v>
      </c>
      <c r="AI44" s="105"/>
      <c r="AJ44" s="70">
        <f t="shared" si="27"/>
        <v>3.2258064516129031E-2</v>
      </c>
      <c r="AN44" s="209">
        <v>2035000</v>
      </c>
      <c r="AO44" s="210"/>
      <c r="AP44" s="54">
        <f t="shared" si="28"/>
        <v>407</v>
      </c>
      <c r="AQ44" s="210"/>
      <c r="AR44" s="98">
        <f t="shared" si="39"/>
        <v>5000</v>
      </c>
      <c r="AS44" s="54"/>
      <c r="AT44" s="35">
        <f t="shared" si="29"/>
        <v>2.0833333333333332E-2</v>
      </c>
      <c r="AU44" s="14"/>
      <c r="AV44" s="97">
        <f t="shared" si="30"/>
        <v>0</v>
      </c>
      <c r="AW44" s="14"/>
      <c r="AX44" s="74">
        <f t="shared" si="31"/>
        <v>0</v>
      </c>
      <c r="BB44" s="67">
        <f t="shared" si="32"/>
        <v>1500000</v>
      </c>
      <c r="BC44" s="105"/>
      <c r="BD44" s="75">
        <f t="shared" si="33"/>
        <v>5000</v>
      </c>
      <c r="BE44" s="105"/>
      <c r="BF44" s="70">
        <f t="shared" si="34"/>
        <v>1.6420361247947456E-2</v>
      </c>
      <c r="BJ44" s="72">
        <f t="shared" si="35"/>
        <v>2035000</v>
      </c>
      <c r="BK44" s="54"/>
      <c r="BL44" s="72">
        <f t="shared" si="36"/>
        <v>5000</v>
      </c>
      <c r="BM44" s="105"/>
      <c r="BN44" s="35">
        <f t="shared" si="37"/>
        <v>1.2682951576490881E-2</v>
      </c>
      <c r="BP44" s="97">
        <f t="shared" si="40"/>
        <v>0</v>
      </c>
      <c r="BR44" s="74">
        <f t="shared" si="38"/>
        <v>0</v>
      </c>
    </row>
    <row r="45" spans="2:70" s="33" customFormat="1" ht="16" customHeight="1">
      <c r="B45" s="66" t="s">
        <v>365</v>
      </c>
      <c r="C45" s="66"/>
      <c r="D45" s="111" t="s">
        <v>324</v>
      </c>
      <c r="F45" s="104"/>
      <c r="G45" s="105"/>
      <c r="H45" s="105"/>
      <c r="I45" s="105"/>
      <c r="J45" s="105"/>
      <c r="K45" s="105"/>
      <c r="L45" s="106"/>
      <c r="P45" s="96"/>
      <c r="Q45" s="96"/>
      <c r="R45" s="105"/>
      <c r="S45" s="96"/>
      <c r="T45" s="96"/>
      <c r="U45" s="96"/>
      <c r="V45" s="107"/>
      <c r="X45" s="108"/>
      <c r="Z45" s="109"/>
      <c r="AD45" s="95">
        <v>1500000</v>
      </c>
      <c r="AE45" s="105"/>
      <c r="AF45" s="75">
        <f t="shared" si="25"/>
        <v>300</v>
      </c>
      <c r="AG45" s="105"/>
      <c r="AH45" s="75">
        <f t="shared" si="26"/>
        <v>5000</v>
      </c>
      <c r="AI45" s="105"/>
      <c r="AJ45" s="70">
        <f t="shared" si="27"/>
        <v>3.2258064516129031E-2</v>
      </c>
      <c r="AN45" s="209">
        <v>2035000</v>
      </c>
      <c r="AO45" s="210"/>
      <c r="AP45" s="54">
        <f t="shared" si="28"/>
        <v>407</v>
      </c>
      <c r="AQ45" s="210"/>
      <c r="AR45" s="98">
        <f t="shared" si="39"/>
        <v>5000</v>
      </c>
      <c r="AS45" s="54"/>
      <c r="AT45" s="35">
        <f t="shared" si="29"/>
        <v>2.0833333333333332E-2</v>
      </c>
      <c r="AU45" s="14"/>
      <c r="AV45" s="97">
        <f t="shared" si="30"/>
        <v>0</v>
      </c>
      <c r="AW45" s="14"/>
      <c r="AX45" s="74">
        <f t="shared" si="31"/>
        <v>0</v>
      </c>
      <c r="BB45" s="67">
        <f t="shared" si="32"/>
        <v>1500000</v>
      </c>
      <c r="BC45" s="105"/>
      <c r="BD45" s="75">
        <f t="shared" si="33"/>
        <v>5000</v>
      </c>
      <c r="BE45" s="105"/>
      <c r="BF45" s="70">
        <f t="shared" si="34"/>
        <v>1.6420361247947456E-2</v>
      </c>
      <c r="BJ45" s="72">
        <f t="shared" si="35"/>
        <v>2035000</v>
      </c>
      <c r="BK45" s="54"/>
      <c r="BL45" s="72">
        <f t="shared" si="36"/>
        <v>5000</v>
      </c>
      <c r="BM45" s="105"/>
      <c r="BN45" s="35">
        <f t="shared" si="37"/>
        <v>1.2682951576490881E-2</v>
      </c>
      <c r="BP45" s="97">
        <f t="shared" si="40"/>
        <v>0</v>
      </c>
      <c r="BR45" s="74">
        <f t="shared" si="38"/>
        <v>0</v>
      </c>
    </row>
    <row r="46" spans="2:70" s="33" customFormat="1" ht="16" customHeight="1">
      <c r="B46" s="66" t="s">
        <v>366</v>
      </c>
      <c r="C46" s="66"/>
      <c r="D46" s="111" t="s">
        <v>324</v>
      </c>
      <c r="F46" s="104"/>
      <c r="G46" s="105"/>
      <c r="H46" s="105"/>
      <c r="I46" s="105"/>
      <c r="J46" s="105"/>
      <c r="K46" s="105"/>
      <c r="L46" s="106"/>
      <c r="P46" s="96"/>
      <c r="Q46" s="96"/>
      <c r="R46" s="105"/>
      <c r="S46" s="96"/>
      <c r="T46" s="96"/>
      <c r="U46" s="96"/>
      <c r="V46" s="107"/>
      <c r="X46" s="108"/>
      <c r="Z46" s="109"/>
      <c r="AD46" s="95">
        <v>2700000</v>
      </c>
      <c r="AE46" s="105"/>
      <c r="AF46" s="75">
        <f t="shared" si="25"/>
        <v>300</v>
      </c>
      <c r="AG46" s="105"/>
      <c r="AH46" s="75">
        <f t="shared" si="26"/>
        <v>9000</v>
      </c>
      <c r="AI46" s="105"/>
      <c r="AJ46" s="70">
        <f t="shared" si="27"/>
        <v>5.8064516129032261E-2</v>
      </c>
      <c r="AN46" s="209">
        <v>3663000</v>
      </c>
      <c r="AO46" s="210"/>
      <c r="AP46" s="54">
        <f t="shared" si="28"/>
        <v>407</v>
      </c>
      <c r="AQ46" s="210"/>
      <c r="AR46" s="98">
        <f t="shared" si="39"/>
        <v>9000</v>
      </c>
      <c r="AS46" s="54"/>
      <c r="AT46" s="35">
        <f t="shared" si="29"/>
        <v>3.7499999999999999E-2</v>
      </c>
      <c r="AU46" s="14"/>
      <c r="AV46" s="97">
        <f t="shared" si="30"/>
        <v>0</v>
      </c>
      <c r="AW46" s="14"/>
      <c r="AX46" s="74">
        <f t="shared" si="31"/>
        <v>0</v>
      </c>
      <c r="BB46" s="67">
        <f t="shared" si="32"/>
        <v>2700000</v>
      </c>
      <c r="BC46" s="105"/>
      <c r="BD46" s="75">
        <f t="shared" si="33"/>
        <v>9000</v>
      </c>
      <c r="BE46" s="105"/>
      <c r="BF46" s="70">
        <f t="shared" si="34"/>
        <v>2.9556650246305417E-2</v>
      </c>
      <c r="BJ46" s="72">
        <f t="shared" si="35"/>
        <v>3663000</v>
      </c>
      <c r="BK46" s="54"/>
      <c r="BL46" s="72">
        <f t="shared" si="36"/>
        <v>9000</v>
      </c>
      <c r="BM46" s="105"/>
      <c r="BN46" s="35">
        <f t="shared" si="37"/>
        <v>2.2829312837683587E-2</v>
      </c>
      <c r="BP46" s="97">
        <f t="shared" si="40"/>
        <v>0</v>
      </c>
      <c r="BR46" s="74">
        <f t="shared" si="38"/>
        <v>0</v>
      </c>
    </row>
    <row r="47" spans="2:70" s="33" customFormat="1" ht="16" customHeight="1">
      <c r="B47" s="66" t="s">
        <v>332</v>
      </c>
      <c r="C47" s="66"/>
      <c r="D47" s="111" t="s">
        <v>324</v>
      </c>
      <c r="F47" s="104"/>
      <c r="G47" s="105"/>
      <c r="H47" s="105"/>
      <c r="I47" s="105"/>
      <c r="J47" s="105"/>
      <c r="K47" s="105"/>
      <c r="L47" s="106"/>
      <c r="P47" s="96"/>
      <c r="Q47" s="96"/>
      <c r="R47" s="105"/>
      <c r="S47" s="96"/>
      <c r="T47" s="96"/>
      <c r="U47" s="96"/>
      <c r="V47" s="107"/>
      <c r="X47" s="108"/>
      <c r="Z47" s="109"/>
      <c r="AD47" s="95">
        <v>1200000</v>
      </c>
      <c r="AE47" s="105"/>
      <c r="AF47" s="75">
        <f t="shared" si="25"/>
        <v>300</v>
      </c>
      <c r="AG47" s="105"/>
      <c r="AH47" s="75">
        <f t="shared" si="26"/>
        <v>4000</v>
      </c>
      <c r="AI47" s="105"/>
      <c r="AJ47" s="70">
        <f t="shared" si="27"/>
        <v>2.5806451612903226E-2</v>
      </c>
      <c r="AN47" s="209">
        <v>1628000</v>
      </c>
      <c r="AO47" s="210"/>
      <c r="AP47" s="54">
        <f t="shared" si="28"/>
        <v>407</v>
      </c>
      <c r="AQ47" s="210"/>
      <c r="AR47" s="98">
        <f t="shared" si="39"/>
        <v>4000</v>
      </c>
      <c r="AS47" s="54"/>
      <c r="AT47" s="35">
        <f t="shared" si="29"/>
        <v>1.6666666666666666E-2</v>
      </c>
      <c r="AU47" s="14"/>
      <c r="AV47" s="97">
        <f t="shared" si="30"/>
        <v>0</v>
      </c>
      <c r="AW47" s="14"/>
      <c r="AX47" s="74">
        <f t="shared" si="31"/>
        <v>0</v>
      </c>
      <c r="BB47" s="67">
        <f t="shared" si="32"/>
        <v>1200000</v>
      </c>
      <c r="BC47" s="105"/>
      <c r="BD47" s="75">
        <f t="shared" si="33"/>
        <v>4000</v>
      </c>
      <c r="BE47" s="105"/>
      <c r="BF47" s="70">
        <f t="shared" si="34"/>
        <v>1.3136288998357963E-2</v>
      </c>
      <c r="BJ47" s="72">
        <f t="shared" si="35"/>
        <v>1628000</v>
      </c>
      <c r="BK47" s="54"/>
      <c r="BL47" s="72">
        <f t="shared" si="36"/>
        <v>4000</v>
      </c>
      <c r="BM47" s="105"/>
      <c r="BN47" s="35">
        <f t="shared" si="37"/>
        <v>1.0146361261192704E-2</v>
      </c>
      <c r="BP47" s="97">
        <f t="shared" si="40"/>
        <v>0</v>
      </c>
      <c r="BR47" s="74">
        <f t="shared" si="38"/>
        <v>0</v>
      </c>
    </row>
    <row r="48" spans="2:70" s="33" customFormat="1" ht="16" customHeight="1">
      <c r="B48" s="66" t="s">
        <v>333</v>
      </c>
      <c r="C48" s="66"/>
      <c r="D48" s="111" t="s">
        <v>324</v>
      </c>
      <c r="F48" s="104"/>
      <c r="G48" s="105"/>
      <c r="H48" s="105"/>
      <c r="I48" s="105"/>
      <c r="J48" s="105"/>
      <c r="K48" s="105"/>
      <c r="L48" s="106"/>
      <c r="P48" s="96"/>
      <c r="Q48" s="96"/>
      <c r="R48" s="105"/>
      <c r="S48" s="96"/>
      <c r="T48" s="96"/>
      <c r="U48" s="96"/>
      <c r="V48" s="107"/>
      <c r="X48" s="108"/>
      <c r="Z48" s="109"/>
      <c r="AD48" s="95">
        <v>900000</v>
      </c>
      <c r="AE48" s="105"/>
      <c r="AF48" s="75">
        <f t="shared" si="25"/>
        <v>300</v>
      </c>
      <c r="AG48" s="105"/>
      <c r="AH48" s="75">
        <f t="shared" si="26"/>
        <v>3000</v>
      </c>
      <c r="AI48" s="105"/>
      <c r="AJ48" s="70">
        <f t="shared" si="27"/>
        <v>1.935483870967742E-2</v>
      </c>
      <c r="AN48" s="209">
        <v>1221000</v>
      </c>
      <c r="AO48" s="210"/>
      <c r="AP48" s="54">
        <f t="shared" si="28"/>
        <v>407</v>
      </c>
      <c r="AQ48" s="210"/>
      <c r="AR48" s="98">
        <f t="shared" si="39"/>
        <v>3000</v>
      </c>
      <c r="AS48" s="54"/>
      <c r="AT48" s="35">
        <f t="shared" si="29"/>
        <v>1.2500000000000001E-2</v>
      </c>
      <c r="AU48" s="14"/>
      <c r="AV48" s="97">
        <f t="shared" si="30"/>
        <v>0</v>
      </c>
      <c r="AW48" s="14"/>
      <c r="AX48" s="74">
        <f t="shared" si="31"/>
        <v>0</v>
      </c>
      <c r="BB48" s="67">
        <f t="shared" si="32"/>
        <v>900000</v>
      </c>
      <c r="BC48" s="105"/>
      <c r="BD48" s="75">
        <f t="shared" si="33"/>
        <v>3000</v>
      </c>
      <c r="BE48" s="105"/>
      <c r="BF48" s="70">
        <f t="shared" si="34"/>
        <v>9.852216748768473E-3</v>
      </c>
      <c r="BJ48" s="72">
        <f t="shared" si="35"/>
        <v>1221000</v>
      </c>
      <c r="BK48" s="54"/>
      <c r="BL48" s="72">
        <f t="shared" si="36"/>
        <v>3000</v>
      </c>
      <c r="BM48" s="105"/>
      <c r="BN48" s="35">
        <f t="shared" si="37"/>
        <v>7.6097709458945286E-3</v>
      </c>
      <c r="BP48" s="97">
        <f t="shared" si="40"/>
        <v>0</v>
      </c>
      <c r="BR48" s="74">
        <f t="shared" si="38"/>
        <v>0</v>
      </c>
    </row>
    <row r="49" spans="2:72" s="33" customFormat="1" ht="16" customHeight="1">
      <c r="B49" s="66" t="s">
        <v>334</v>
      </c>
      <c r="C49" s="66"/>
      <c r="D49" s="111" t="s">
        <v>324</v>
      </c>
      <c r="F49" s="104"/>
      <c r="G49" s="105"/>
      <c r="H49" s="105"/>
      <c r="I49" s="105"/>
      <c r="J49" s="105"/>
      <c r="K49" s="105"/>
      <c r="L49" s="106"/>
      <c r="R49" s="105"/>
      <c r="V49" s="107"/>
      <c r="X49" s="108"/>
      <c r="Z49" s="109"/>
      <c r="AD49" s="95">
        <v>320000</v>
      </c>
      <c r="AE49" s="105"/>
      <c r="AF49" s="75">
        <f t="shared" si="25"/>
        <v>300</v>
      </c>
      <c r="AG49" s="105"/>
      <c r="AH49" s="75">
        <f t="shared" si="26"/>
        <v>1066.6666666666667</v>
      </c>
      <c r="AI49" s="105"/>
      <c r="AJ49" s="70">
        <f t="shared" si="27"/>
        <v>6.8817204301075277E-3</v>
      </c>
      <c r="AN49" s="209">
        <v>135531</v>
      </c>
      <c r="AO49" s="210"/>
      <c r="AP49" s="54">
        <f t="shared" si="28"/>
        <v>407</v>
      </c>
      <c r="AQ49" s="210"/>
      <c r="AR49" s="98">
        <f t="shared" si="39"/>
        <v>333</v>
      </c>
      <c r="AS49" s="54"/>
      <c r="AT49" s="35">
        <f t="shared" si="29"/>
        <v>1.3875000000000001E-3</v>
      </c>
      <c r="AU49" s="14"/>
      <c r="AV49" s="97">
        <f t="shared" si="30"/>
        <v>-733.66666666666674</v>
      </c>
      <c r="AW49" s="14"/>
      <c r="AX49" s="74">
        <f t="shared" si="31"/>
        <v>-0.68781250000000005</v>
      </c>
      <c r="BB49" s="67">
        <f t="shared" si="32"/>
        <v>320000</v>
      </c>
      <c r="BC49" s="105"/>
      <c r="BD49" s="75">
        <f t="shared" si="33"/>
        <v>1066.6666666666667</v>
      </c>
      <c r="BE49" s="105"/>
      <c r="BF49" s="70">
        <f t="shared" si="34"/>
        <v>3.5030103995621238E-3</v>
      </c>
      <c r="BJ49" s="72">
        <f t="shared" si="35"/>
        <v>135531</v>
      </c>
      <c r="BK49" s="54"/>
      <c r="BL49" s="72">
        <f t="shared" si="36"/>
        <v>333</v>
      </c>
      <c r="BM49" s="105"/>
      <c r="BN49" s="35">
        <f t="shared" si="37"/>
        <v>8.4468457499429269E-4</v>
      </c>
      <c r="BP49" s="97">
        <f t="shared" si="40"/>
        <v>-733.66666666666674</v>
      </c>
      <c r="BR49" s="74">
        <f t="shared" si="38"/>
        <v>-0.68781250000000005</v>
      </c>
    </row>
    <row r="50" spans="2:72" s="110" customFormat="1" ht="16" customHeight="1">
      <c r="B50" s="111" t="s">
        <v>336</v>
      </c>
      <c r="C50" s="111"/>
      <c r="D50" s="111" t="s">
        <v>324</v>
      </c>
      <c r="F50" s="95">
        <v>4000000</v>
      </c>
      <c r="G50" s="68"/>
      <c r="H50" s="75">
        <f t="shared" ref="H50:H55" si="41">$J$5</f>
        <v>300</v>
      </c>
      <c r="I50" s="68"/>
      <c r="J50" s="79">
        <f t="shared" ref="J50:J55" si="42">F50/H50</f>
        <v>13333.333333333334</v>
      </c>
      <c r="K50" s="68"/>
      <c r="L50" s="70">
        <f t="shared" ref="L50:L55" si="43">J50/$J$10</f>
        <v>8.9186176142697887E-2</v>
      </c>
      <c r="M50" s="71"/>
      <c r="N50" s="71"/>
      <c r="P50" s="112">
        <v>3044226</v>
      </c>
      <c r="Q50" s="113"/>
      <c r="R50" s="111">
        <v>407</v>
      </c>
      <c r="S50" s="113"/>
      <c r="T50" s="98">
        <f t="shared" ref="T50:T55" si="44">P50/R50</f>
        <v>7479.6707616707617</v>
      </c>
      <c r="U50" s="98"/>
      <c r="V50" s="35">
        <f t="shared" ref="V50:V55" si="45">T50/$T$10</f>
        <v>4.8496860284450251E-2</v>
      </c>
      <c r="W50" s="14"/>
      <c r="X50" s="97">
        <f t="shared" ref="X50:X55" si="46">T50-J50</f>
        <v>-5853.6625716625722</v>
      </c>
      <c r="Y50" s="14"/>
      <c r="Z50" s="74">
        <f t="shared" ref="Z50:Z55" si="47">X50/J50</f>
        <v>-0.43902469287469287</v>
      </c>
      <c r="AD50" s="95">
        <v>5000000</v>
      </c>
      <c r="AE50" s="98"/>
      <c r="AF50" s="75">
        <f t="shared" si="25"/>
        <v>300</v>
      </c>
      <c r="AG50" s="68"/>
      <c r="AH50" s="75">
        <f t="shared" si="26"/>
        <v>16666.666666666668</v>
      </c>
      <c r="AI50" s="68"/>
      <c r="AJ50" s="70">
        <f t="shared" si="27"/>
        <v>0.10752688172043011</v>
      </c>
      <c r="AK50" s="71"/>
      <c r="AL50" s="71"/>
      <c r="AN50" s="211">
        <v>8818333</v>
      </c>
      <c r="AO50" s="212"/>
      <c r="AP50" s="54">
        <f t="shared" si="28"/>
        <v>407</v>
      </c>
      <c r="AQ50" s="212"/>
      <c r="AR50" s="98">
        <f t="shared" ref="AR50:AR55" si="48">IF(AN50=0,"",AN50/AH$8)</f>
        <v>21666.665847665849</v>
      </c>
      <c r="AS50" s="54"/>
      <c r="AT50" s="35">
        <f t="shared" si="29"/>
        <v>9.0277774365274371E-2</v>
      </c>
      <c r="AU50" s="14"/>
      <c r="AV50" s="97">
        <f t="shared" si="30"/>
        <v>4999.9991809991807</v>
      </c>
      <c r="AW50" s="14"/>
      <c r="AX50" s="74">
        <f t="shared" si="31"/>
        <v>0.29999995085995079</v>
      </c>
      <c r="BB50" s="67">
        <f t="shared" si="32"/>
        <v>9000000</v>
      </c>
      <c r="BC50" s="68"/>
      <c r="BD50" s="75">
        <f t="shared" si="33"/>
        <v>30000</v>
      </c>
      <c r="BE50" s="68"/>
      <c r="BF50" s="70">
        <f t="shared" si="34"/>
        <v>9.8522167487684734E-2</v>
      </c>
      <c r="BG50" s="71"/>
      <c r="BH50" s="71"/>
      <c r="BJ50" s="72">
        <f t="shared" si="35"/>
        <v>11862559</v>
      </c>
      <c r="BK50" s="54"/>
      <c r="BL50" s="72">
        <f t="shared" si="36"/>
        <v>29146.336609336609</v>
      </c>
      <c r="BM50" s="54"/>
      <c r="BN50" s="35">
        <f t="shared" si="37"/>
        <v>7.393231516966392E-2</v>
      </c>
      <c r="BO50" s="14"/>
      <c r="BP50" s="97">
        <f t="shared" si="40"/>
        <v>-853.6633906633906</v>
      </c>
      <c r="BQ50" s="14"/>
      <c r="BR50" s="74">
        <f t="shared" si="38"/>
        <v>-2.8455446355446352E-2</v>
      </c>
    </row>
    <row r="51" spans="2:72" s="110" customFormat="1" ht="16" customHeight="1">
      <c r="B51" s="111" t="s">
        <v>368</v>
      </c>
      <c r="C51" s="111"/>
      <c r="D51" s="111" t="s">
        <v>324</v>
      </c>
      <c r="F51" s="95">
        <v>900000</v>
      </c>
      <c r="G51" s="68"/>
      <c r="H51" s="75">
        <f t="shared" si="41"/>
        <v>300</v>
      </c>
      <c r="I51" s="68"/>
      <c r="J51" s="79">
        <f t="shared" si="42"/>
        <v>3000</v>
      </c>
      <c r="K51" s="68"/>
      <c r="L51" s="70">
        <f t="shared" si="43"/>
        <v>2.0066889632107024E-2</v>
      </c>
      <c r="M51" s="71"/>
      <c r="N51" s="71"/>
      <c r="P51" s="112">
        <v>992402</v>
      </c>
      <c r="Q51" s="113"/>
      <c r="R51" s="111">
        <v>407</v>
      </c>
      <c r="S51" s="113"/>
      <c r="T51" s="98">
        <f t="shared" si="44"/>
        <v>2438.3341523341523</v>
      </c>
      <c r="U51" s="98"/>
      <c r="V51" s="35">
        <f t="shared" si="45"/>
        <v>1.5809726722000598E-2</v>
      </c>
      <c r="W51" s="14"/>
      <c r="X51" s="97">
        <f t="shared" si="46"/>
        <v>-561.66584766584765</v>
      </c>
      <c r="Y51" s="14"/>
      <c r="Z51" s="74">
        <f t="shared" si="47"/>
        <v>-0.18722194922194921</v>
      </c>
      <c r="AD51" s="95">
        <v>800000</v>
      </c>
      <c r="AE51" s="98"/>
      <c r="AF51" s="75">
        <f t="shared" si="25"/>
        <v>300</v>
      </c>
      <c r="AG51" s="68"/>
      <c r="AH51" s="75">
        <f t="shared" si="26"/>
        <v>2666.6666666666665</v>
      </c>
      <c r="AI51" s="68"/>
      <c r="AJ51" s="70">
        <f t="shared" si="27"/>
        <v>1.7204301075268817E-2</v>
      </c>
      <c r="AK51" s="71"/>
      <c r="AL51" s="71"/>
      <c r="AN51" s="211">
        <v>1085333</v>
      </c>
      <c r="AO51" s="212"/>
      <c r="AP51" s="54">
        <f t="shared" si="28"/>
        <v>407</v>
      </c>
      <c r="AQ51" s="212"/>
      <c r="AR51" s="98">
        <f t="shared" si="48"/>
        <v>2666.6658476658477</v>
      </c>
      <c r="AS51" s="54"/>
      <c r="AT51" s="35">
        <f t="shared" si="29"/>
        <v>1.1111107698607698E-2</v>
      </c>
      <c r="AU51" s="14"/>
      <c r="AV51" s="97">
        <f t="shared" si="30"/>
        <v>-8.1900081886487897E-4</v>
      </c>
      <c r="AW51" s="14"/>
      <c r="AX51" s="74">
        <f t="shared" si="31"/>
        <v>-3.0712530707432962E-7</v>
      </c>
      <c r="BB51" s="67">
        <f t="shared" si="32"/>
        <v>1700000</v>
      </c>
      <c r="BC51" s="68"/>
      <c r="BD51" s="75">
        <f t="shared" si="33"/>
        <v>5666.6666666666661</v>
      </c>
      <c r="BE51" s="68"/>
      <c r="BF51" s="70">
        <f t="shared" si="34"/>
        <v>1.8609742747673779E-2</v>
      </c>
      <c r="BG51" s="71"/>
      <c r="BH51" s="71"/>
      <c r="BJ51" s="72">
        <f t="shared" si="35"/>
        <v>2077735</v>
      </c>
      <c r="BK51" s="54"/>
      <c r="BL51" s="72">
        <f t="shared" si="36"/>
        <v>5105</v>
      </c>
      <c r="BM51" s="54"/>
      <c r="BN51" s="35">
        <f t="shared" si="37"/>
        <v>1.2949293559597189E-2</v>
      </c>
      <c r="BO51" s="14"/>
      <c r="BP51" s="97">
        <f t="shared" si="40"/>
        <v>-561.66666666666606</v>
      </c>
      <c r="BQ51" s="14"/>
      <c r="BR51" s="74">
        <f t="shared" si="38"/>
        <v>-9.9117647058823435E-2</v>
      </c>
    </row>
    <row r="52" spans="2:72" ht="16" customHeight="1">
      <c r="B52" s="66" t="s">
        <v>337</v>
      </c>
      <c r="C52" s="66"/>
      <c r="D52" s="111" t="s">
        <v>324</v>
      </c>
      <c r="F52" s="95">
        <v>200000</v>
      </c>
      <c r="G52" s="68"/>
      <c r="H52" s="75">
        <f t="shared" si="41"/>
        <v>300</v>
      </c>
      <c r="I52" s="68"/>
      <c r="J52" s="79">
        <f t="shared" si="42"/>
        <v>666.66666666666663</v>
      </c>
      <c r="K52" s="68"/>
      <c r="L52" s="70">
        <f t="shared" si="43"/>
        <v>4.459308807134894E-3</v>
      </c>
      <c r="M52" s="71"/>
      <c r="N52" s="71"/>
      <c r="P52" s="112">
        <v>433396</v>
      </c>
      <c r="Q52" s="113"/>
      <c r="R52" s="111">
        <v>407</v>
      </c>
      <c r="S52" s="113"/>
      <c r="T52" s="98">
        <f t="shared" si="44"/>
        <v>1064.8550368550368</v>
      </c>
      <c r="U52" s="98"/>
      <c r="V52" s="35">
        <f t="shared" si="45"/>
        <v>6.9043314326333195E-3</v>
      </c>
      <c r="X52" s="97">
        <f t="shared" si="46"/>
        <v>398.18837018837019</v>
      </c>
      <c r="Z52" s="74">
        <f t="shared" si="47"/>
        <v>0.59728255528255536</v>
      </c>
      <c r="AB52" s="14"/>
      <c r="AD52" s="95">
        <v>350000</v>
      </c>
      <c r="AE52" s="98"/>
      <c r="AF52" s="75">
        <f t="shared" si="25"/>
        <v>300</v>
      </c>
      <c r="AG52" s="68"/>
      <c r="AH52" s="75">
        <f t="shared" si="26"/>
        <v>1166.6666666666667</v>
      </c>
      <c r="AI52" s="68"/>
      <c r="AJ52" s="70">
        <f t="shared" si="27"/>
        <v>7.526881720430108E-3</v>
      </c>
      <c r="AK52" s="71"/>
      <c r="AL52" s="71"/>
      <c r="AN52" s="211">
        <v>474833</v>
      </c>
      <c r="AO52" s="212"/>
      <c r="AP52" s="54">
        <f t="shared" si="28"/>
        <v>407</v>
      </c>
      <c r="AQ52" s="212"/>
      <c r="AR52" s="98">
        <f t="shared" si="48"/>
        <v>1166.6658476658477</v>
      </c>
      <c r="AS52" s="54"/>
      <c r="AT52" s="35">
        <f t="shared" si="29"/>
        <v>4.8611076986076985E-3</v>
      </c>
      <c r="AV52" s="97">
        <f t="shared" si="30"/>
        <v>-8.1900081909225264E-4</v>
      </c>
      <c r="AX52" s="74">
        <f t="shared" si="31"/>
        <v>-7.0200070207907361E-7</v>
      </c>
      <c r="BB52" s="67">
        <f t="shared" si="32"/>
        <v>550000</v>
      </c>
      <c r="BC52" s="68"/>
      <c r="BD52" s="75">
        <f t="shared" si="33"/>
        <v>1833.3333333333335</v>
      </c>
      <c r="BE52" s="68"/>
      <c r="BF52" s="70">
        <f t="shared" si="34"/>
        <v>6.0207991242474009E-3</v>
      </c>
      <c r="BG52" s="71"/>
      <c r="BH52" s="71"/>
      <c r="BJ52" s="72">
        <f t="shared" si="35"/>
        <v>908229</v>
      </c>
      <c r="BK52" s="54"/>
      <c r="BL52" s="72">
        <f t="shared" si="36"/>
        <v>2231.5208845208845</v>
      </c>
      <c r="BM52" s="54"/>
      <c r="BN52" s="35">
        <f t="shared" si="37"/>
        <v>5.6604542640612951E-3</v>
      </c>
      <c r="BP52" s="97">
        <f t="shared" si="40"/>
        <v>398.18755118755098</v>
      </c>
      <c r="BR52" s="74">
        <f t="shared" si="38"/>
        <v>0.21719320973866416</v>
      </c>
    </row>
    <row r="53" spans="2:72" ht="16" customHeight="1">
      <c r="B53" s="66" t="s">
        <v>369</v>
      </c>
      <c r="C53" s="66"/>
      <c r="D53" s="111" t="s">
        <v>324</v>
      </c>
      <c r="F53" s="95">
        <v>300000</v>
      </c>
      <c r="G53" s="68"/>
      <c r="H53" s="75">
        <f t="shared" si="41"/>
        <v>300</v>
      </c>
      <c r="I53" s="68"/>
      <c r="J53" s="79">
        <f t="shared" si="42"/>
        <v>1000</v>
      </c>
      <c r="K53" s="68"/>
      <c r="L53" s="70">
        <f t="shared" si="43"/>
        <v>6.688963210702341E-3</v>
      </c>
      <c r="M53" s="71"/>
      <c r="N53" s="71"/>
      <c r="P53" s="112">
        <v>983940</v>
      </c>
      <c r="Q53" s="113"/>
      <c r="R53" s="111">
        <v>407</v>
      </c>
      <c r="S53" s="113"/>
      <c r="T53" s="98">
        <f t="shared" si="44"/>
        <v>2417.5429975429975</v>
      </c>
      <c r="U53" s="98"/>
      <c r="V53" s="35">
        <f t="shared" si="45"/>
        <v>1.5674920557239173E-2</v>
      </c>
      <c r="X53" s="97">
        <f t="shared" si="46"/>
        <v>1417.5429975429975</v>
      </c>
      <c r="Z53" s="74">
        <f t="shared" si="47"/>
        <v>1.4175429975429974</v>
      </c>
      <c r="AB53" s="14"/>
      <c r="AD53" s="95">
        <v>500000</v>
      </c>
      <c r="AE53" s="98"/>
      <c r="AF53" s="75">
        <f t="shared" si="25"/>
        <v>300</v>
      </c>
      <c r="AG53" s="68"/>
      <c r="AH53" s="75">
        <f t="shared" si="26"/>
        <v>1666.6666666666667</v>
      </c>
      <c r="AI53" s="68"/>
      <c r="AJ53" s="70">
        <f t="shared" si="27"/>
        <v>1.0752688172043012E-2</v>
      </c>
      <c r="AK53" s="71"/>
      <c r="AL53" s="71"/>
      <c r="AN53" s="211">
        <v>678333</v>
      </c>
      <c r="AO53" s="212"/>
      <c r="AP53" s="54">
        <f t="shared" si="28"/>
        <v>407</v>
      </c>
      <c r="AQ53" s="212"/>
      <c r="AR53" s="98">
        <f t="shared" si="48"/>
        <v>1666.6658476658477</v>
      </c>
      <c r="AS53" s="54"/>
      <c r="AT53" s="35">
        <f t="shared" si="29"/>
        <v>6.9444410319410323E-3</v>
      </c>
      <c r="AV53" s="97">
        <f t="shared" si="30"/>
        <v>-8.1900081909225264E-4</v>
      </c>
      <c r="AX53" s="74">
        <f t="shared" si="31"/>
        <v>-4.9140049145535152E-7</v>
      </c>
      <c r="BB53" s="67">
        <f t="shared" si="32"/>
        <v>800000</v>
      </c>
      <c r="BC53" s="68"/>
      <c r="BD53" s="75">
        <f t="shared" si="33"/>
        <v>2666.666666666667</v>
      </c>
      <c r="BE53" s="68"/>
      <c r="BF53" s="70">
        <f t="shared" si="34"/>
        <v>8.7575259989053095E-3</v>
      </c>
      <c r="BG53" s="71"/>
      <c r="BH53" s="71"/>
      <c r="BJ53" s="72">
        <f t="shared" si="35"/>
        <v>1662273</v>
      </c>
      <c r="BK53" s="54"/>
      <c r="BL53" s="72">
        <f t="shared" si="36"/>
        <v>4084.2088452088451</v>
      </c>
      <c r="BM53" s="54"/>
      <c r="BN53" s="35">
        <f t="shared" si="37"/>
        <v>1.0359964602411904E-2</v>
      </c>
      <c r="BP53" s="97">
        <f t="shared" si="40"/>
        <v>1417.5421785421781</v>
      </c>
      <c r="BR53" s="74">
        <f t="shared" si="38"/>
        <v>0.5315783169533167</v>
      </c>
    </row>
    <row r="54" spans="2:72" ht="16" customHeight="1">
      <c r="B54" s="66" t="s">
        <v>370</v>
      </c>
      <c r="C54" s="66"/>
      <c r="D54" s="111" t="s">
        <v>324</v>
      </c>
      <c r="F54" s="95">
        <v>1250000</v>
      </c>
      <c r="G54" s="68"/>
      <c r="H54" s="75">
        <f t="shared" si="41"/>
        <v>300</v>
      </c>
      <c r="I54" s="68"/>
      <c r="J54" s="79">
        <f t="shared" si="42"/>
        <v>4166.666666666667</v>
      </c>
      <c r="K54" s="68"/>
      <c r="L54" s="70">
        <f t="shared" si="43"/>
        <v>2.7870680044593091E-2</v>
      </c>
      <c r="M54" s="71"/>
      <c r="N54" s="71"/>
      <c r="P54" s="112">
        <v>2112296</v>
      </c>
      <c r="Q54" s="113"/>
      <c r="R54" s="111">
        <v>407</v>
      </c>
      <c r="S54" s="113"/>
      <c r="T54" s="98">
        <f t="shared" si="44"/>
        <v>5189.9164619164621</v>
      </c>
      <c r="U54" s="98"/>
      <c r="V54" s="35">
        <f t="shared" si="45"/>
        <v>3.3650499007433457E-2</v>
      </c>
      <c r="X54" s="97">
        <f t="shared" si="46"/>
        <v>1023.2497952497952</v>
      </c>
      <c r="Z54" s="74">
        <f t="shared" si="47"/>
        <v>0.24557995085995082</v>
      </c>
      <c r="AB54" s="14"/>
      <c r="AD54" s="95">
        <v>1600000</v>
      </c>
      <c r="AE54" s="98"/>
      <c r="AF54" s="75">
        <f t="shared" si="25"/>
        <v>300</v>
      </c>
      <c r="AG54" s="68"/>
      <c r="AH54" s="75">
        <f t="shared" si="26"/>
        <v>5333.333333333333</v>
      </c>
      <c r="AI54" s="68"/>
      <c r="AJ54" s="70">
        <f t="shared" si="27"/>
        <v>3.4408602150537634E-2</v>
      </c>
      <c r="AK54" s="71"/>
      <c r="AL54" s="71"/>
      <c r="AN54" s="211">
        <v>2170667</v>
      </c>
      <c r="AO54" s="212"/>
      <c r="AP54" s="54">
        <f t="shared" si="28"/>
        <v>407</v>
      </c>
      <c r="AQ54" s="212"/>
      <c r="AR54" s="98">
        <f t="shared" si="48"/>
        <v>5333.3341523341523</v>
      </c>
      <c r="AS54" s="54"/>
      <c r="AT54" s="35">
        <f t="shared" si="29"/>
        <v>2.2222225634725635E-2</v>
      </c>
      <c r="AV54" s="97">
        <f t="shared" si="30"/>
        <v>8.1900081931962632E-4</v>
      </c>
      <c r="AX54" s="74">
        <f t="shared" si="31"/>
        <v>1.5356265362242995E-7</v>
      </c>
      <c r="BB54" s="67">
        <f t="shared" si="32"/>
        <v>2850000</v>
      </c>
      <c r="BC54" s="68"/>
      <c r="BD54" s="75">
        <f t="shared" si="33"/>
        <v>9500</v>
      </c>
      <c r="BE54" s="68"/>
      <c r="BF54" s="70">
        <f t="shared" si="34"/>
        <v>3.1198686371100164E-2</v>
      </c>
      <c r="BG54" s="71"/>
      <c r="BH54" s="71"/>
      <c r="BJ54" s="72">
        <f t="shared" si="35"/>
        <v>4282963</v>
      </c>
      <c r="BK54" s="54"/>
      <c r="BL54" s="72">
        <f t="shared" si="36"/>
        <v>10523.250614250614</v>
      </c>
      <c r="BM54" s="54"/>
      <c r="BN54" s="35">
        <f t="shared" si="37"/>
        <v>2.6693175593563691E-2</v>
      </c>
      <c r="BP54" s="97">
        <f t="shared" si="40"/>
        <v>1023.2506142506136</v>
      </c>
      <c r="BR54" s="74">
        <f t="shared" si="38"/>
        <v>0.1077105909737488</v>
      </c>
    </row>
    <row r="55" spans="2:72" ht="16" customHeight="1">
      <c r="B55" s="99" t="s">
        <v>371</v>
      </c>
      <c r="C55" s="99"/>
      <c r="D55" s="111" t="s">
        <v>324</v>
      </c>
      <c r="F55" s="95">
        <v>3200000</v>
      </c>
      <c r="G55" s="68"/>
      <c r="H55" s="75">
        <f t="shared" si="41"/>
        <v>300</v>
      </c>
      <c r="I55" s="68"/>
      <c r="J55" s="79">
        <f t="shared" si="42"/>
        <v>10666.666666666666</v>
      </c>
      <c r="K55" s="68"/>
      <c r="L55" s="70">
        <f t="shared" si="43"/>
        <v>7.1348940914158304E-2</v>
      </c>
      <c r="M55" s="71"/>
      <c r="N55" s="71"/>
      <c r="P55" s="112">
        <v>5785702</v>
      </c>
      <c r="Q55" s="113"/>
      <c r="R55" s="111">
        <v>407</v>
      </c>
      <c r="S55" s="113"/>
      <c r="T55" s="98">
        <f t="shared" si="44"/>
        <v>14215.484029484029</v>
      </c>
      <c r="U55" s="98"/>
      <c r="V55" s="35">
        <f t="shared" si="45"/>
        <v>9.2170680344187433E-2</v>
      </c>
      <c r="X55" s="97">
        <f t="shared" si="46"/>
        <v>3548.8173628173627</v>
      </c>
      <c r="Z55" s="74">
        <f t="shared" si="47"/>
        <v>0.33270162776412776</v>
      </c>
      <c r="AB55" s="14"/>
      <c r="AD55" s="95">
        <v>6700000</v>
      </c>
      <c r="AE55" s="98"/>
      <c r="AF55" s="75">
        <f t="shared" si="25"/>
        <v>300</v>
      </c>
      <c r="AG55" s="68"/>
      <c r="AH55" s="75">
        <f t="shared" si="26"/>
        <v>22333.333333333332</v>
      </c>
      <c r="AI55" s="68"/>
      <c r="AJ55" s="70">
        <f t="shared" si="27"/>
        <v>0.14408602150537633</v>
      </c>
      <c r="AK55" s="71"/>
      <c r="AL55" s="71"/>
      <c r="AN55" s="211">
        <v>9089667</v>
      </c>
      <c r="AO55" s="212"/>
      <c r="AP55" s="54">
        <f t="shared" si="28"/>
        <v>407</v>
      </c>
      <c r="AQ55" s="212"/>
      <c r="AR55" s="98">
        <f t="shared" si="48"/>
        <v>22333.334152334151</v>
      </c>
      <c r="AS55" s="54"/>
      <c r="AT55" s="35">
        <f t="shared" si="29"/>
        <v>9.3055558968058963E-2</v>
      </c>
      <c r="AV55" s="97">
        <f t="shared" si="30"/>
        <v>8.1900081931962632E-4</v>
      </c>
      <c r="AX55" s="74">
        <f t="shared" si="31"/>
        <v>3.6671678476998196E-8</v>
      </c>
      <c r="BB55" s="67">
        <f t="shared" si="32"/>
        <v>9900000</v>
      </c>
      <c r="BC55" s="68"/>
      <c r="BD55" s="75">
        <f t="shared" si="33"/>
        <v>33000</v>
      </c>
      <c r="BE55" s="68"/>
      <c r="BF55" s="70">
        <f t="shared" si="34"/>
        <v>0.10837438423645321</v>
      </c>
      <c r="BG55" s="71"/>
      <c r="BH55" s="71"/>
      <c r="BJ55" s="72">
        <f t="shared" si="35"/>
        <v>14875369</v>
      </c>
      <c r="BK55" s="54"/>
      <c r="BL55" s="72">
        <f t="shared" si="36"/>
        <v>36548.818181818177</v>
      </c>
      <c r="BM55" s="54"/>
      <c r="BN55" s="35">
        <f t="shared" si="37"/>
        <v>9.2709378235593887E-2</v>
      </c>
      <c r="BP55" s="97">
        <f t="shared" si="40"/>
        <v>3548.8181818181765</v>
      </c>
      <c r="BR55" s="74">
        <f t="shared" si="38"/>
        <v>0.10753994490358111</v>
      </c>
    </row>
    <row r="56" spans="2:72" ht="16" customHeight="1" thickBot="1">
      <c r="B56" s="200" t="s">
        <v>468</v>
      </c>
      <c r="C56" s="263"/>
      <c r="D56" s="263"/>
      <c r="F56" s="77">
        <f>SUM(F50:F55)</f>
        <v>9850000</v>
      </c>
      <c r="G56" s="54"/>
      <c r="H56" s="54"/>
      <c r="I56" s="54"/>
      <c r="J56" s="78">
        <f>SUM(J50:J55)</f>
        <v>32833.333333333336</v>
      </c>
      <c r="K56" s="79"/>
      <c r="L56" s="80">
        <f>SUM(L50:L55)</f>
        <v>0.21962095875139354</v>
      </c>
      <c r="M56" s="81"/>
      <c r="N56" s="82">
        <f>J56/J$118</f>
        <v>0.17438347538169893</v>
      </c>
      <c r="P56" s="78">
        <f>SUM(P50:P55)</f>
        <v>13351962</v>
      </c>
      <c r="Q56" s="98"/>
      <c r="R56" s="54"/>
      <c r="S56" s="98"/>
      <c r="T56" s="78">
        <f>SUM(T50:T55)</f>
        <v>32805.803439803436</v>
      </c>
      <c r="U56" s="79"/>
      <c r="V56" s="83">
        <f>SUM(V50:V55)</f>
        <v>0.21270701834794425</v>
      </c>
      <c r="X56" s="84">
        <f>SUM(X50:X55)</f>
        <v>-27.529893529895162</v>
      </c>
      <c r="Z56" s="85">
        <f>X56/J56</f>
        <v>-8.3847391461609625E-4</v>
      </c>
      <c r="AB56" s="14"/>
      <c r="AD56" s="77">
        <f>SUM(AD40:AD55)</f>
        <v>25220000.190219574</v>
      </c>
      <c r="AE56" s="98"/>
      <c r="AF56" s="54"/>
      <c r="AG56" s="54"/>
      <c r="AH56" s="78">
        <f>SUM(AH40:AH55)</f>
        <v>84066.667300731904</v>
      </c>
      <c r="AI56" s="79"/>
      <c r="AJ56" s="80">
        <f>SUM(AJ40:AJ55)</f>
        <v>0.54236559548859298</v>
      </c>
      <c r="AK56" s="81"/>
      <c r="AL56" s="82">
        <f>AH56/AH$118</f>
        <v>0.3146786300467565</v>
      </c>
      <c r="AN56" s="78">
        <f>SUM(AN40:AN55)</f>
        <v>35951530</v>
      </c>
      <c r="AO56" s="98"/>
      <c r="AP56" s="54"/>
      <c r="AQ56" s="98"/>
      <c r="AR56" s="78">
        <f>SUM(AR40:AR55)</f>
        <v>88332.997542997546</v>
      </c>
      <c r="AS56" s="79"/>
      <c r="AT56" s="83">
        <f>SUM(AT40:AT55)</f>
        <v>0.36805415642915645</v>
      </c>
      <c r="AV56" s="84">
        <f>SUM(AV40:AV55)</f>
        <v>4266.3302422656252</v>
      </c>
      <c r="AX56" s="85">
        <f>IF(COUNT(AN40:AN55)=16,((AR56-AH56)/AH56),"")</f>
        <v>5.074936808192583E-2</v>
      </c>
      <c r="BB56" s="77">
        <f>SUM(BB40:BB55)</f>
        <v>35070000.190219574</v>
      </c>
      <c r="BC56" s="54"/>
      <c r="BD56" s="78">
        <f>SUM(BD40:BD55)</f>
        <v>116900.00063406525</v>
      </c>
      <c r="BE56" s="79"/>
      <c r="BF56" s="80">
        <f>SUM(BF40:BF55)</f>
        <v>0.38390804805932766</v>
      </c>
      <c r="BG56" s="81"/>
      <c r="BH56" s="82">
        <f>BD56/BD$118</f>
        <v>0.25784157572925887</v>
      </c>
      <c r="BJ56" s="114">
        <f>SUM(BJ40:BJ55)</f>
        <v>49303492</v>
      </c>
      <c r="BK56" s="54"/>
      <c r="BL56" s="78">
        <f>SUM(BL40:BL55)</f>
        <v>121138.80098280098</v>
      </c>
      <c r="BM56" s="79"/>
      <c r="BN56" s="83">
        <f>SUM(BN40:BN55)</f>
        <v>0.30727950937980608</v>
      </c>
      <c r="BP56" s="84">
        <f>SUM(BP40:BP55)</f>
        <v>4238.8003487357255</v>
      </c>
      <c r="BR56" s="85">
        <f>IF(COUNT(BJ40:BJ55)=16,((BL56-BD56)/BD56),"")</f>
        <v>3.6260054112442208E-2</v>
      </c>
    </row>
    <row r="57" spans="2:72" ht="16" customHeight="1">
      <c r="B57" s="115"/>
      <c r="C57" s="115"/>
      <c r="D57" s="115"/>
      <c r="F57" s="213"/>
      <c r="G57" s="54"/>
      <c r="H57" s="54"/>
      <c r="I57" s="54"/>
      <c r="J57" s="79"/>
      <c r="K57" s="79"/>
      <c r="L57" s="88"/>
      <c r="M57" s="81"/>
      <c r="N57" s="82"/>
      <c r="P57" s="79"/>
      <c r="Q57" s="98"/>
      <c r="R57" s="54"/>
      <c r="S57" s="98"/>
      <c r="T57" s="98"/>
      <c r="U57" s="98"/>
      <c r="V57" s="214"/>
      <c r="X57" s="215"/>
      <c r="Z57" s="216"/>
      <c r="AB57" s="14"/>
      <c r="AD57" s="213"/>
      <c r="AE57" s="98"/>
      <c r="AF57" s="54"/>
      <c r="AG57" s="54"/>
      <c r="AH57" s="79"/>
      <c r="AI57" s="79"/>
      <c r="AJ57" s="88"/>
      <c r="AK57" s="81"/>
      <c r="AL57" s="82"/>
      <c r="AN57" s="79"/>
      <c r="AO57" s="98"/>
      <c r="AP57" s="54"/>
      <c r="AQ57" s="98"/>
      <c r="AR57" s="79"/>
      <c r="AS57" s="79"/>
      <c r="AT57" s="214"/>
      <c r="AV57" s="215"/>
      <c r="AX57" s="216"/>
      <c r="BB57" s="213"/>
      <c r="BC57" s="54"/>
      <c r="BD57" s="79"/>
      <c r="BE57" s="79"/>
      <c r="BF57" s="88"/>
      <c r="BG57" s="81"/>
      <c r="BH57" s="82"/>
      <c r="BJ57" s="98"/>
      <c r="BK57" s="54"/>
      <c r="BL57" s="79"/>
      <c r="BM57" s="79"/>
      <c r="BN57" s="214"/>
      <c r="BR57" s="216"/>
    </row>
    <row r="58" spans="2:72" ht="16" customHeight="1" thickBot="1">
      <c r="B58" s="76" t="s">
        <v>469</v>
      </c>
      <c r="C58" s="115"/>
      <c r="D58" s="115"/>
      <c r="F58" s="77">
        <f>F56+F37</f>
        <v>25306057.18</v>
      </c>
      <c r="G58" s="54"/>
      <c r="H58" s="54"/>
      <c r="I58" s="54"/>
      <c r="J58" s="78">
        <f>J56+J37</f>
        <v>84023.973415233428</v>
      </c>
      <c r="K58" s="79"/>
      <c r="L58" s="217">
        <f>L56+L37</f>
        <v>0.56203326699152778</v>
      </c>
      <c r="M58" s="81"/>
      <c r="N58" s="82"/>
      <c r="P58" s="78">
        <f>P56+P37</f>
        <v>52906733</v>
      </c>
      <c r="Q58" s="98"/>
      <c r="R58" s="54"/>
      <c r="S58" s="98"/>
      <c r="T58" s="78">
        <f>T56+T37</f>
        <v>129991.97297297297</v>
      </c>
      <c r="U58" s="79"/>
      <c r="V58" s="83">
        <f>V56+V37</f>
        <v>0.84284492623337204</v>
      </c>
      <c r="X58" s="84">
        <f>X56+X37</f>
        <v>45967.999557739553</v>
      </c>
      <c r="Z58" s="85">
        <f>X58/J58</f>
        <v>0.54708195398678472</v>
      </c>
      <c r="AB58" s="14"/>
      <c r="AD58" s="77">
        <f>AD56+AD37</f>
        <v>30600000</v>
      </c>
      <c r="AE58" s="98"/>
      <c r="AF58" s="54"/>
      <c r="AG58" s="54"/>
      <c r="AH58" s="78">
        <f>AH56+AH37</f>
        <v>101999.99999999999</v>
      </c>
      <c r="AI58" s="79"/>
      <c r="AJ58" s="217">
        <f>AJ56+AJ37</f>
        <v>0.65806451612903227</v>
      </c>
      <c r="AK58" s="81"/>
      <c r="AL58" s="82"/>
      <c r="AN58" s="78">
        <f>AN56+AN37</f>
        <v>46246668</v>
      </c>
      <c r="AO58" s="98"/>
      <c r="AP58" s="54"/>
      <c r="AQ58" s="98"/>
      <c r="AR58" s="78">
        <f>AR56+AR37</f>
        <v>113628.17690417691</v>
      </c>
      <c r="AS58" s="79"/>
      <c r="AT58" s="218">
        <f>AT56+AT37</f>
        <v>0.47345073710073715</v>
      </c>
      <c r="AV58" s="84">
        <f>AV56+AV37</f>
        <v>11628.176904176906</v>
      </c>
      <c r="AX58" s="85">
        <f>IF(AN58=0,"",((AR58-AH58)/AH58))</f>
        <v>0.1140017343546758</v>
      </c>
      <c r="BB58" s="77">
        <f>BB56+BB37</f>
        <v>55906057.18</v>
      </c>
      <c r="BC58" s="54"/>
      <c r="BD58" s="78">
        <f>BD56+BD37</f>
        <v>186023.97341523343</v>
      </c>
      <c r="BE58" s="79"/>
      <c r="BF58" s="217">
        <f>BF56+BF37</f>
        <v>0.61091616885134137</v>
      </c>
      <c r="BG58" s="81"/>
      <c r="BH58" s="82"/>
      <c r="BJ58" s="78">
        <f>BJ56+BJ37</f>
        <v>99153401</v>
      </c>
      <c r="BK58" s="54"/>
      <c r="BL58" s="78">
        <f>BL56+BL37</f>
        <v>243620.14987714987</v>
      </c>
      <c r="BM58" s="79"/>
      <c r="BN58" s="218">
        <f>BN56+BN37</f>
        <v>0.61796451278986853</v>
      </c>
      <c r="BP58" s="84">
        <f>BP56+BP37</f>
        <v>57596.176461916461</v>
      </c>
      <c r="BQ58" s="215"/>
      <c r="BR58" s="85">
        <f>IF(BJ58=0,"",((BL58-BD58)/BD58))</f>
        <v>0.30961695637665548</v>
      </c>
      <c r="BT58" s="216"/>
    </row>
    <row r="59" spans="2:72" ht="16" customHeight="1">
      <c r="B59" s="115"/>
      <c r="C59" s="115"/>
      <c r="D59" s="115"/>
      <c r="F59" s="213"/>
      <c r="G59" s="54"/>
      <c r="H59" s="54"/>
      <c r="I59" s="54"/>
      <c r="J59" s="79"/>
      <c r="K59" s="79"/>
      <c r="L59" s="219"/>
      <c r="M59" s="81"/>
      <c r="N59" s="82"/>
      <c r="P59" s="79"/>
      <c r="Q59" s="98"/>
      <c r="R59" s="54"/>
      <c r="S59" s="98"/>
      <c r="T59" s="98"/>
      <c r="U59" s="98"/>
      <c r="V59" s="214"/>
      <c r="X59" s="215"/>
      <c r="Z59" s="216"/>
      <c r="AB59" s="14"/>
      <c r="AD59" s="213"/>
      <c r="AE59" s="98"/>
      <c r="AF59" s="54"/>
      <c r="AG59" s="54"/>
      <c r="AH59" s="79"/>
      <c r="AI59" s="79"/>
      <c r="AJ59" s="219"/>
      <c r="AK59" s="81"/>
      <c r="AL59" s="82"/>
      <c r="AN59" s="79"/>
      <c r="AO59" s="98"/>
      <c r="AP59" s="54"/>
      <c r="AQ59" s="98"/>
      <c r="AR59" s="79"/>
      <c r="AS59" s="79"/>
      <c r="AT59" s="81"/>
      <c r="AV59" s="215"/>
      <c r="AX59" s="216"/>
      <c r="BB59" s="213"/>
      <c r="BC59" s="54"/>
      <c r="BD59" s="79"/>
      <c r="BE59" s="79"/>
      <c r="BF59" s="219"/>
      <c r="BG59" s="81"/>
      <c r="BH59" s="82"/>
      <c r="BJ59" s="79"/>
      <c r="BK59" s="54"/>
      <c r="BL59" s="79"/>
      <c r="BM59" s="79"/>
      <c r="BN59" s="81"/>
      <c r="BP59" s="215"/>
      <c r="BQ59" s="215"/>
      <c r="BR59" s="216"/>
      <c r="BT59" s="216"/>
    </row>
    <row r="60" spans="2:72" ht="16" customHeight="1" thickBot="1">
      <c r="B60" s="220" t="s">
        <v>470</v>
      </c>
      <c r="C60" s="264"/>
      <c r="D60" s="264"/>
      <c r="F60" s="77">
        <f>F58+F21</f>
        <v>37798657.18</v>
      </c>
      <c r="G60" s="54"/>
      <c r="H60" s="54"/>
      <c r="I60" s="54"/>
      <c r="J60" s="78">
        <f>J58+J21</f>
        <v>125665.97341523343</v>
      </c>
      <c r="K60" s="79"/>
      <c r="L60" s="217">
        <f>L58+L21</f>
        <v>0.84057507301159462</v>
      </c>
      <c r="M60" s="81"/>
      <c r="N60" s="82"/>
      <c r="P60" s="78">
        <f>P58+P21</f>
        <v>65399333</v>
      </c>
      <c r="Q60" s="98"/>
      <c r="R60" s="54"/>
      <c r="S60" s="98"/>
      <c r="T60" s="78">
        <f>T58+T21</f>
        <v>173191.97297297296</v>
      </c>
      <c r="U60" s="79"/>
      <c r="V60" s="83">
        <f>V58+V21</f>
        <v>1.1229460738700185</v>
      </c>
      <c r="X60" s="84">
        <f>X58+X21</f>
        <v>47525.999557739553</v>
      </c>
      <c r="Z60" s="85">
        <f>X60/J60</f>
        <v>0.37819306424899246</v>
      </c>
      <c r="AB60" s="14"/>
      <c r="AD60" s="77">
        <f>AD58+AD21</f>
        <v>53925300</v>
      </c>
      <c r="AE60" s="54"/>
      <c r="AF60" s="54"/>
      <c r="AG60" s="54"/>
      <c r="AH60" s="78">
        <f>AH58+AH21</f>
        <v>179751</v>
      </c>
      <c r="AI60" s="79"/>
      <c r="AJ60" s="217">
        <f>AJ58+AJ21</f>
        <v>1.1596838709677419</v>
      </c>
      <c r="AK60" s="81"/>
      <c r="AL60" s="82"/>
      <c r="AN60" s="78">
        <f>AN58+AN21</f>
        <v>69104568</v>
      </c>
      <c r="AO60" s="98"/>
      <c r="AP60" s="54"/>
      <c r="AQ60" s="98"/>
      <c r="AR60" s="78">
        <f>AR58+AR21</f>
        <v>189821.17690417691</v>
      </c>
      <c r="AS60" s="79"/>
      <c r="AT60" s="83">
        <f>AT58+AT21</f>
        <v>0.79092157043407041</v>
      </c>
      <c r="AV60" s="84">
        <f>AV58+AV21</f>
        <v>10070.176904176906</v>
      </c>
      <c r="AX60" s="85">
        <f>(AR60-AH60)/AH60</f>
        <v>5.6022925625876435E-2</v>
      </c>
      <c r="BB60" s="77">
        <f>BB58+BB21</f>
        <v>91723957.180000007</v>
      </c>
      <c r="BC60" s="54"/>
      <c r="BD60" s="78">
        <f>BD58+BD21</f>
        <v>305416.97341523343</v>
      </c>
      <c r="BE60" s="79"/>
      <c r="BF60" s="217">
        <f>BF58+BF21</f>
        <v>1.0030114069465794</v>
      </c>
      <c r="BG60" s="81"/>
      <c r="BH60" s="82"/>
      <c r="BJ60" s="78">
        <f>BJ58+BJ21</f>
        <v>134503901</v>
      </c>
      <c r="BK60" s="54"/>
      <c r="BL60" s="78">
        <f>BL58+BL21</f>
        <v>363013.14987714984</v>
      </c>
      <c r="BM60" s="79"/>
      <c r="BN60" s="83">
        <f>BN58+BN21</f>
        <v>0.92081564030426366</v>
      </c>
      <c r="BP60" s="84">
        <f>BP58+BP21</f>
        <v>57596.176461916461</v>
      </c>
      <c r="BR60" s="85">
        <f>(BL60-BD60)/BD60</f>
        <v>0.18858210733301592</v>
      </c>
      <c r="BT60" s="216"/>
    </row>
    <row r="61" spans="2:72" ht="16" customHeight="1">
      <c r="B61" s="115"/>
      <c r="C61" s="115"/>
      <c r="D61" s="115"/>
      <c r="F61" s="87"/>
      <c r="G61" s="81"/>
      <c r="H61" s="81"/>
      <c r="I61" s="81"/>
      <c r="J61" s="81"/>
      <c r="K61" s="81"/>
      <c r="L61" s="88"/>
      <c r="M61" s="81"/>
      <c r="N61" s="89"/>
      <c r="P61" s="75"/>
      <c r="Q61" s="96"/>
      <c r="R61" s="54"/>
      <c r="S61" s="96"/>
      <c r="T61" s="221"/>
      <c r="U61" s="221"/>
      <c r="V61" s="90"/>
      <c r="X61" s="73"/>
      <c r="Z61" s="91"/>
      <c r="AB61" s="14"/>
      <c r="AD61" s="87"/>
      <c r="AE61" s="201"/>
      <c r="AF61" s="81"/>
      <c r="AG61" s="81"/>
      <c r="AH61" s="81"/>
      <c r="AI61" s="81"/>
      <c r="AJ61" s="88"/>
      <c r="AK61" s="81"/>
      <c r="AL61" s="89"/>
      <c r="AN61" s="75"/>
      <c r="AO61" s="96"/>
      <c r="AP61" s="54"/>
      <c r="AQ61" s="96"/>
      <c r="AR61" s="75"/>
      <c r="AS61" s="54"/>
      <c r="AT61" s="90"/>
      <c r="AV61" s="73"/>
      <c r="AX61" s="91"/>
      <c r="BB61" s="87"/>
      <c r="BC61" s="81"/>
      <c r="BD61" s="81"/>
      <c r="BE61" s="81"/>
      <c r="BF61" s="88"/>
      <c r="BG61" s="81"/>
      <c r="BH61" s="89"/>
      <c r="BJ61" s="96"/>
      <c r="BK61" s="54"/>
      <c r="BL61" s="75"/>
      <c r="BM61" s="54"/>
      <c r="BN61" s="90"/>
      <c r="BR61" s="91"/>
    </row>
    <row r="62" spans="2:72" s="33" customFormat="1" ht="16" customHeight="1">
      <c r="B62" s="116" t="s">
        <v>372</v>
      </c>
      <c r="C62" s="116"/>
      <c r="D62" s="116"/>
      <c r="F62" s="104"/>
      <c r="G62" s="105"/>
      <c r="H62" s="105"/>
      <c r="I62" s="105"/>
      <c r="J62" s="105"/>
      <c r="K62" s="105"/>
      <c r="L62" s="106"/>
      <c r="P62" s="96"/>
      <c r="Q62" s="96"/>
      <c r="R62" s="105"/>
      <c r="S62" s="96"/>
      <c r="T62" s="96"/>
      <c r="U62" s="96"/>
      <c r="V62" s="107"/>
      <c r="X62" s="108"/>
      <c r="Z62" s="109"/>
      <c r="AD62" s="104"/>
      <c r="AE62" s="105"/>
      <c r="AF62" s="105"/>
      <c r="AG62" s="105"/>
      <c r="AH62" s="105"/>
      <c r="AI62" s="105"/>
      <c r="AJ62" s="106"/>
      <c r="AN62" s="96"/>
      <c r="AO62" s="96"/>
      <c r="AP62" s="105"/>
      <c r="AQ62" s="96"/>
      <c r="AR62" s="96"/>
      <c r="AS62" s="105"/>
      <c r="AT62" s="107"/>
      <c r="AV62" s="108"/>
      <c r="AX62" s="109"/>
      <c r="BB62" s="104"/>
      <c r="BC62" s="105"/>
      <c r="BD62" s="105"/>
      <c r="BE62" s="105"/>
      <c r="BF62" s="106"/>
      <c r="BJ62" s="96"/>
      <c r="BK62" s="105"/>
      <c r="BL62" s="96"/>
      <c r="BM62" s="105"/>
      <c r="BN62" s="107"/>
      <c r="BR62" s="109"/>
    </row>
    <row r="63" spans="2:72" s="105" customFormat="1" ht="16" customHeight="1">
      <c r="B63" s="117"/>
      <c r="C63" s="117"/>
      <c r="D63" s="117"/>
      <c r="F63" s="222"/>
      <c r="G63" s="68"/>
      <c r="H63" s="68"/>
      <c r="I63" s="68"/>
      <c r="J63" s="75"/>
      <c r="K63" s="68"/>
      <c r="L63" s="70"/>
      <c r="M63" s="71"/>
      <c r="N63" s="71"/>
      <c r="P63" s="98"/>
      <c r="Q63" s="98"/>
      <c r="S63" s="98"/>
      <c r="T63" s="98"/>
      <c r="U63" s="98"/>
      <c r="V63" s="35"/>
      <c r="W63" s="14"/>
      <c r="X63" s="97"/>
      <c r="Y63" s="14"/>
      <c r="Z63" s="74"/>
      <c r="AD63" s="222"/>
      <c r="AE63" s="98"/>
      <c r="AF63" s="68"/>
      <c r="AG63" s="68"/>
      <c r="AH63" s="75"/>
      <c r="AI63" s="68"/>
      <c r="AJ63" s="70"/>
      <c r="AK63" s="71"/>
      <c r="AL63" s="71"/>
      <c r="AN63" s="98"/>
      <c r="AO63" s="98"/>
      <c r="AQ63" s="98"/>
      <c r="AR63" s="96"/>
      <c r="AS63" s="54"/>
      <c r="AT63" s="35"/>
      <c r="AU63" s="14"/>
      <c r="AV63" s="97"/>
      <c r="AW63" s="14"/>
      <c r="AX63" s="74"/>
      <c r="BB63" s="67"/>
      <c r="BC63" s="68"/>
      <c r="BD63" s="75"/>
      <c r="BE63" s="68"/>
      <c r="BF63" s="70"/>
      <c r="BG63" s="71"/>
      <c r="BH63" s="71"/>
      <c r="BJ63" s="98"/>
      <c r="BL63" s="96"/>
      <c r="BM63" s="54"/>
      <c r="BN63" s="35"/>
      <c r="BO63" s="14"/>
      <c r="BP63" s="14"/>
      <c r="BQ63" s="14"/>
      <c r="BR63" s="74"/>
    </row>
    <row r="64" spans="2:72" s="105" customFormat="1" ht="16" customHeight="1">
      <c r="B64" s="223" t="s">
        <v>471</v>
      </c>
      <c r="C64" s="223"/>
      <c r="D64" s="223"/>
      <c r="F64" s="222"/>
      <c r="G64" s="68"/>
      <c r="H64" s="68"/>
      <c r="I64" s="68"/>
      <c r="J64" s="75"/>
      <c r="K64" s="68"/>
      <c r="L64" s="70"/>
      <c r="M64" s="71"/>
      <c r="N64" s="71"/>
      <c r="P64" s="98"/>
      <c r="Q64" s="98"/>
      <c r="S64" s="98"/>
      <c r="T64" s="98"/>
      <c r="U64" s="98"/>
      <c r="V64" s="35"/>
      <c r="W64" s="14"/>
      <c r="X64" s="97"/>
      <c r="Y64" s="14"/>
      <c r="Z64" s="74"/>
      <c r="AD64" s="222"/>
      <c r="AE64" s="98"/>
      <c r="AF64" s="68"/>
      <c r="AG64" s="68"/>
      <c r="AH64" s="75"/>
      <c r="AI64" s="68"/>
      <c r="AJ64" s="70"/>
      <c r="AK64" s="71"/>
      <c r="AL64" s="71"/>
      <c r="AN64" s="98"/>
      <c r="AO64" s="98"/>
      <c r="AQ64" s="98"/>
      <c r="AR64" s="96"/>
      <c r="AS64" s="54"/>
      <c r="AT64" s="35"/>
      <c r="AU64" s="14"/>
      <c r="AV64" s="97"/>
      <c r="AW64" s="14"/>
      <c r="AX64" s="74"/>
      <c r="BB64" s="67"/>
      <c r="BC64" s="68"/>
      <c r="BD64" s="75"/>
      <c r="BE64" s="68"/>
      <c r="BF64" s="70"/>
      <c r="BG64" s="71"/>
      <c r="BH64" s="71"/>
      <c r="BJ64" s="98"/>
      <c r="BL64" s="96"/>
      <c r="BM64" s="54"/>
      <c r="BN64" s="35"/>
      <c r="BO64" s="14"/>
      <c r="BP64" s="14"/>
      <c r="BQ64" s="14"/>
      <c r="BR64" s="74"/>
    </row>
    <row r="65" spans="2:72" s="105" customFormat="1" ht="16" customHeight="1">
      <c r="B65" s="224" t="s">
        <v>472</v>
      </c>
      <c r="C65" s="224"/>
      <c r="D65" s="224"/>
      <c r="F65" s="225">
        <v>412500</v>
      </c>
      <c r="G65" s="68"/>
      <c r="H65" s="75">
        <f>$J$6</f>
        <v>340</v>
      </c>
      <c r="I65" s="68"/>
      <c r="J65" s="79">
        <f t="shared" ref="J65:J69" si="49">F65/H65</f>
        <v>1213.2352941176471</v>
      </c>
      <c r="K65" s="68"/>
      <c r="L65" s="70">
        <f t="shared" ref="L65:L69" si="50">J65/$J$10</f>
        <v>8.1152862482785759E-3</v>
      </c>
      <c r="M65" s="71"/>
      <c r="N65" s="71"/>
      <c r="P65" s="98"/>
      <c r="Q65" s="98"/>
      <c r="S65" s="98"/>
      <c r="T65" s="98"/>
      <c r="U65" s="98"/>
      <c r="V65" s="35"/>
      <c r="W65" s="14"/>
      <c r="X65" s="97"/>
      <c r="Y65" s="14"/>
      <c r="Z65" s="74"/>
      <c r="AD65" s="95">
        <v>693000</v>
      </c>
      <c r="AE65" s="98"/>
      <c r="AF65" s="75">
        <f t="shared" ref="AF65:AF69" si="51">$AH$6</f>
        <v>340</v>
      </c>
      <c r="AG65" s="68"/>
      <c r="AH65" s="75">
        <f t="shared" ref="AH65:AH69" si="52">AD65/AF65</f>
        <v>2038.2352941176471</v>
      </c>
      <c r="AI65" s="68"/>
      <c r="AJ65" s="226">
        <f t="shared" ref="AJ65:AJ69" si="53">AH65/$J$10</f>
        <v>1.3633680897108006E-2</v>
      </c>
      <c r="AK65" s="71"/>
      <c r="AL65" s="71"/>
      <c r="AN65" s="69"/>
      <c r="AO65" s="98"/>
      <c r="AQ65" s="98"/>
      <c r="AR65" s="69"/>
      <c r="AS65" s="54"/>
      <c r="AT65" s="35" t="str">
        <f t="shared" ref="AT65:AT69" si="54">IF(AR65="","",AR65/AR$10)</f>
        <v/>
      </c>
      <c r="AU65" s="14"/>
      <c r="AV65" s="97" t="str">
        <f t="shared" ref="AV65:AV69" si="55">IF(AR65="","",AR65-AH65)</f>
        <v/>
      </c>
      <c r="AW65" s="14"/>
      <c r="AX65" s="74" t="str">
        <f t="shared" ref="AX65:AX69" si="56">IF(AR65=0,"",((AR65-AH65)/AH65))</f>
        <v/>
      </c>
      <c r="BB65" s="67">
        <f>AD65+F65</f>
        <v>1105500</v>
      </c>
      <c r="BC65" s="68"/>
      <c r="BD65" s="75">
        <f>AH65+J65</f>
        <v>3251.4705882352941</v>
      </c>
      <c r="BE65" s="68"/>
      <c r="BF65" s="70">
        <f t="shared" ref="BF65:BF69" si="57">BD65/$BD$10</f>
        <v>1.0678064329179948E-2</v>
      </c>
      <c r="BG65" s="71"/>
      <c r="BH65" s="71"/>
      <c r="BJ65" s="72">
        <f t="shared" ref="BJ65:BJ70" si="58">AN65+P65</f>
        <v>0</v>
      </c>
      <c r="BK65" s="54"/>
      <c r="BL65" s="72">
        <f t="shared" ref="BL65:BL70" si="59">AR65+T65</f>
        <v>0</v>
      </c>
      <c r="BM65" s="54"/>
      <c r="BN65" s="35">
        <f t="shared" ref="BN65:BN70" si="60">BL65/$BL$10</f>
        <v>0</v>
      </c>
      <c r="BO65" s="14"/>
      <c r="BP65" s="97"/>
      <c r="BQ65" s="14"/>
      <c r="BR65" s="74"/>
    </row>
    <row r="66" spans="2:72" s="105" customFormat="1" ht="16" customHeight="1">
      <c r="B66" s="224" t="s">
        <v>473</v>
      </c>
      <c r="C66" s="224"/>
      <c r="D66" s="224"/>
      <c r="F66" s="225">
        <v>9800</v>
      </c>
      <c r="G66" s="68"/>
      <c r="H66" s="75">
        <f>$J$6</f>
        <v>340</v>
      </c>
      <c r="I66" s="68"/>
      <c r="J66" s="79">
        <f t="shared" si="49"/>
        <v>28.823529411764707</v>
      </c>
      <c r="K66" s="68"/>
      <c r="L66" s="70">
        <f t="shared" si="50"/>
        <v>1.9279952783789103E-4</v>
      </c>
      <c r="M66" s="71"/>
      <c r="N66" s="71"/>
      <c r="P66" s="98"/>
      <c r="Q66" s="98"/>
      <c r="S66" s="98"/>
      <c r="T66" s="98"/>
      <c r="U66" s="98"/>
      <c r="V66" s="35"/>
      <c r="W66" s="14"/>
      <c r="X66" s="97"/>
      <c r="Y66" s="14"/>
      <c r="Z66" s="74"/>
      <c r="AD66" s="95">
        <v>14000</v>
      </c>
      <c r="AE66" s="98"/>
      <c r="AF66" s="75">
        <f t="shared" si="51"/>
        <v>340</v>
      </c>
      <c r="AG66" s="68"/>
      <c r="AH66" s="75">
        <f t="shared" si="52"/>
        <v>41.176470588235297</v>
      </c>
      <c r="AI66" s="68"/>
      <c r="AJ66" s="226">
        <f t="shared" si="53"/>
        <v>2.7542789691127286E-4</v>
      </c>
      <c r="AK66" s="71"/>
      <c r="AL66" s="71"/>
      <c r="AN66" s="69"/>
      <c r="AO66" s="98"/>
      <c r="AQ66" s="98"/>
      <c r="AR66" s="69"/>
      <c r="AS66" s="54"/>
      <c r="AT66" s="35" t="str">
        <f t="shared" si="54"/>
        <v/>
      </c>
      <c r="AU66" s="14"/>
      <c r="AV66" s="97" t="str">
        <f t="shared" si="55"/>
        <v/>
      </c>
      <c r="AW66" s="14"/>
      <c r="AX66" s="74" t="str">
        <f t="shared" si="56"/>
        <v/>
      </c>
      <c r="BB66" s="67">
        <f>AD66+F66</f>
        <v>23800</v>
      </c>
      <c r="BC66" s="68"/>
      <c r="BD66" s="75">
        <f>AH66+J66</f>
        <v>70</v>
      </c>
      <c r="BE66" s="68"/>
      <c r="BF66" s="70">
        <f t="shared" si="57"/>
        <v>2.2988505747126436E-4</v>
      </c>
      <c r="BG66" s="71"/>
      <c r="BH66" s="71"/>
      <c r="BJ66" s="72">
        <f t="shared" si="58"/>
        <v>0</v>
      </c>
      <c r="BK66" s="54"/>
      <c r="BL66" s="72">
        <f t="shared" si="59"/>
        <v>0</v>
      </c>
      <c r="BM66" s="54"/>
      <c r="BN66" s="35">
        <f t="shared" si="60"/>
        <v>0</v>
      </c>
      <c r="BO66" s="14"/>
      <c r="BP66" s="97"/>
      <c r="BQ66" s="14"/>
      <c r="BR66" s="74"/>
    </row>
    <row r="67" spans="2:72" s="105" customFormat="1" ht="16" customHeight="1">
      <c r="B67" s="224" t="s">
        <v>474</v>
      </c>
      <c r="C67" s="224"/>
      <c r="D67" s="224"/>
      <c r="F67" s="225">
        <v>182000</v>
      </c>
      <c r="G67" s="68"/>
      <c r="H67" s="75">
        <f>$J$6</f>
        <v>340</v>
      </c>
      <c r="I67" s="68"/>
      <c r="J67" s="79">
        <f t="shared" si="49"/>
        <v>535.29411764705878</v>
      </c>
      <c r="K67" s="68"/>
      <c r="L67" s="70">
        <f t="shared" si="50"/>
        <v>3.580562659846547E-3</v>
      </c>
      <c r="M67" s="71"/>
      <c r="N67" s="71"/>
      <c r="P67" s="98"/>
      <c r="Q67" s="98"/>
      <c r="S67" s="98"/>
      <c r="T67" s="98"/>
      <c r="U67" s="98"/>
      <c r="V67" s="35"/>
      <c r="W67" s="14"/>
      <c r="X67" s="97"/>
      <c r="Y67" s="14"/>
      <c r="Z67" s="74"/>
      <c r="AD67" s="95">
        <v>312000</v>
      </c>
      <c r="AE67" s="98"/>
      <c r="AF67" s="75">
        <f t="shared" si="51"/>
        <v>340</v>
      </c>
      <c r="AG67" s="68"/>
      <c r="AH67" s="75">
        <f t="shared" si="52"/>
        <v>917.64705882352939</v>
      </c>
      <c r="AI67" s="68"/>
      <c r="AJ67" s="226">
        <f t="shared" si="53"/>
        <v>6.1381074168797949E-3</v>
      </c>
      <c r="AK67" s="71"/>
      <c r="AL67" s="71"/>
      <c r="AN67" s="69"/>
      <c r="AO67" s="98"/>
      <c r="AQ67" s="98"/>
      <c r="AR67" s="69"/>
      <c r="AS67" s="54"/>
      <c r="AT67" s="35" t="str">
        <f t="shared" si="54"/>
        <v/>
      </c>
      <c r="AU67" s="14"/>
      <c r="AV67" s="97" t="str">
        <f t="shared" si="55"/>
        <v/>
      </c>
      <c r="AW67" s="14"/>
      <c r="AX67" s="74" t="str">
        <f t="shared" si="56"/>
        <v/>
      </c>
      <c r="BB67" s="67">
        <f>AD67+F67</f>
        <v>494000</v>
      </c>
      <c r="BC67" s="68"/>
      <c r="BD67" s="75">
        <f>AH67+J67</f>
        <v>1452.9411764705883</v>
      </c>
      <c r="BE67" s="68"/>
      <c r="BF67" s="70">
        <f t="shared" si="57"/>
        <v>4.7715637979329666E-3</v>
      </c>
      <c r="BG67" s="71"/>
      <c r="BH67" s="71"/>
      <c r="BJ67" s="72">
        <f t="shared" si="58"/>
        <v>0</v>
      </c>
      <c r="BK67" s="54"/>
      <c r="BL67" s="72">
        <f t="shared" si="59"/>
        <v>0</v>
      </c>
      <c r="BM67" s="54"/>
      <c r="BN67" s="35">
        <f t="shared" si="60"/>
        <v>0</v>
      </c>
      <c r="BO67" s="14"/>
      <c r="BP67" s="97"/>
      <c r="BQ67" s="14"/>
      <c r="BR67" s="74"/>
    </row>
    <row r="68" spans="2:72" s="105" customFormat="1" ht="16" customHeight="1">
      <c r="B68" s="224" t="s">
        <v>475</v>
      </c>
      <c r="C68" s="224"/>
      <c r="D68" s="224"/>
      <c r="F68" s="225">
        <v>10500</v>
      </c>
      <c r="G68" s="68"/>
      <c r="H68" s="75">
        <f>$J$6</f>
        <v>340</v>
      </c>
      <c r="I68" s="68"/>
      <c r="J68" s="79">
        <f t="shared" si="49"/>
        <v>30.882352941176471</v>
      </c>
      <c r="K68" s="68"/>
      <c r="L68" s="70">
        <f t="shared" si="50"/>
        <v>2.0657092268345465E-4</v>
      </c>
      <c r="M68" s="71"/>
      <c r="N68" s="71"/>
      <c r="P68" s="98"/>
      <c r="Q68" s="98"/>
      <c r="S68" s="98"/>
      <c r="T68" s="98"/>
      <c r="U68" s="98"/>
      <c r="V68" s="35"/>
      <c r="W68" s="14"/>
      <c r="X68" s="97"/>
      <c r="Y68" s="14"/>
      <c r="Z68" s="74"/>
      <c r="AD68" s="95">
        <v>18000</v>
      </c>
      <c r="AE68" s="98"/>
      <c r="AF68" s="75">
        <f t="shared" si="51"/>
        <v>340</v>
      </c>
      <c r="AG68" s="68"/>
      <c r="AH68" s="75">
        <f t="shared" si="52"/>
        <v>52.941176470588232</v>
      </c>
      <c r="AI68" s="68"/>
      <c r="AJ68" s="226">
        <f t="shared" si="53"/>
        <v>3.5412158174306512E-4</v>
      </c>
      <c r="AK68" s="71"/>
      <c r="AL68" s="71"/>
      <c r="AN68" s="69"/>
      <c r="AO68" s="98"/>
      <c r="AQ68" s="98"/>
      <c r="AR68" s="69"/>
      <c r="AS68" s="54"/>
      <c r="AT68" s="35" t="str">
        <f t="shared" si="54"/>
        <v/>
      </c>
      <c r="AU68" s="14"/>
      <c r="AV68" s="97" t="str">
        <f t="shared" si="55"/>
        <v/>
      </c>
      <c r="AW68" s="14"/>
      <c r="AX68" s="74" t="str">
        <f t="shared" si="56"/>
        <v/>
      </c>
      <c r="BB68" s="67">
        <f>AD68+F68</f>
        <v>28500</v>
      </c>
      <c r="BC68" s="68"/>
      <c r="BD68" s="75">
        <f>AH68+J68</f>
        <v>83.823529411764696</v>
      </c>
      <c r="BE68" s="68"/>
      <c r="BF68" s="70">
        <f t="shared" si="57"/>
        <v>2.7528252680382497E-4</v>
      </c>
      <c r="BG68" s="71"/>
      <c r="BH68" s="71"/>
      <c r="BJ68" s="72">
        <f t="shared" si="58"/>
        <v>0</v>
      </c>
      <c r="BK68" s="54"/>
      <c r="BL68" s="72">
        <f t="shared" si="59"/>
        <v>0</v>
      </c>
      <c r="BM68" s="54"/>
      <c r="BN68" s="35">
        <f t="shared" si="60"/>
        <v>0</v>
      </c>
      <c r="BO68" s="14"/>
      <c r="BP68" s="97"/>
      <c r="BQ68" s="14"/>
      <c r="BR68" s="74"/>
    </row>
    <row r="69" spans="2:72" s="105" customFormat="1" ht="16" customHeight="1">
      <c r="B69" s="224" t="s">
        <v>476</v>
      </c>
      <c r="C69" s="224"/>
      <c r="D69" s="224"/>
      <c r="F69" s="225">
        <v>204400</v>
      </c>
      <c r="G69" s="68"/>
      <c r="H69" s="75">
        <f>$J$6</f>
        <v>340</v>
      </c>
      <c r="I69" s="68"/>
      <c r="J69" s="79">
        <f t="shared" si="49"/>
        <v>601.17647058823525</v>
      </c>
      <c r="K69" s="68"/>
      <c r="L69" s="70">
        <f t="shared" si="50"/>
        <v>4.0212472949045838E-3</v>
      </c>
      <c r="M69" s="71"/>
      <c r="N69" s="71"/>
      <c r="P69" s="98"/>
      <c r="Q69" s="98"/>
      <c r="S69" s="98"/>
      <c r="T69" s="98"/>
      <c r="U69" s="98"/>
      <c r="V69" s="35"/>
      <c r="W69" s="14"/>
      <c r="X69" s="97"/>
      <c r="Y69" s="14"/>
      <c r="Z69" s="74"/>
      <c r="AD69" s="95">
        <v>262800</v>
      </c>
      <c r="AE69" s="98"/>
      <c r="AF69" s="75">
        <f t="shared" si="51"/>
        <v>340</v>
      </c>
      <c r="AG69" s="68"/>
      <c r="AH69" s="75">
        <f t="shared" si="52"/>
        <v>772.94117647058829</v>
      </c>
      <c r="AI69" s="68"/>
      <c r="AJ69" s="226">
        <f t="shared" si="53"/>
        <v>5.1701750934487513E-3</v>
      </c>
      <c r="AK69" s="71"/>
      <c r="AL69" s="71"/>
      <c r="AN69" s="69"/>
      <c r="AO69" s="98"/>
      <c r="AQ69" s="98"/>
      <c r="AR69" s="69"/>
      <c r="AS69" s="54"/>
      <c r="AT69" s="35" t="str">
        <f t="shared" si="54"/>
        <v/>
      </c>
      <c r="AU69" s="14"/>
      <c r="AV69" s="97" t="str">
        <f t="shared" si="55"/>
        <v/>
      </c>
      <c r="AW69" s="14"/>
      <c r="AX69" s="74" t="str">
        <f t="shared" si="56"/>
        <v/>
      </c>
      <c r="BB69" s="67">
        <f>AD69+F69</f>
        <v>467200</v>
      </c>
      <c r="BC69" s="68"/>
      <c r="BD69" s="75">
        <f>AH69+J69</f>
        <v>1374.1176470588234</v>
      </c>
      <c r="BE69" s="68"/>
      <c r="BF69" s="70">
        <f t="shared" si="57"/>
        <v>4.5127016323770882E-3</v>
      </c>
      <c r="BG69" s="71"/>
      <c r="BH69" s="71"/>
      <c r="BJ69" s="72">
        <f t="shared" si="58"/>
        <v>0</v>
      </c>
      <c r="BK69" s="54"/>
      <c r="BL69" s="72">
        <f t="shared" si="59"/>
        <v>0</v>
      </c>
      <c r="BM69" s="54"/>
      <c r="BN69" s="35">
        <f t="shared" si="60"/>
        <v>0</v>
      </c>
      <c r="BO69" s="14"/>
      <c r="BP69" s="97"/>
      <c r="BQ69" s="14"/>
      <c r="BR69" s="74"/>
    </row>
    <row r="70" spans="2:72" s="105" customFormat="1" ht="16" customHeight="1" thickBot="1">
      <c r="B70" s="227" t="s">
        <v>477</v>
      </c>
      <c r="C70" s="227"/>
      <c r="D70" s="227"/>
      <c r="F70" s="228">
        <f>SUM(F65:F69)</f>
        <v>819200</v>
      </c>
      <c r="G70" s="68"/>
      <c r="H70" s="68"/>
      <c r="I70" s="68"/>
      <c r="J70" s="78">
        <f>SUM(J65:J69)</f>
        <v>2409.4117647058824</v>
      </c>
      <c r="K70" s="68"/>
      <c r="L70" s="229">
        <f>SUM(L65:L69)</f>
        <v>1.6116466653551053E-2</v>
      </c>
      <c r="M70" s="71"/>
      <c r="N70" s="71"/>
      <c r="P70" s="230">
        <v>287000</v>
      </c>
      <c r="Q70" s="98"/>
      <c r="R70" s="111">
        <v>407</v>
      </c>
      <c r="S70" s="98"/>
      <c r="T70" s="114">
        <f>P70/R70</f>
        <v>705.15970515970514</v>
      </c>
      <c r="U70" s="98"/>
      <c r="V70" s="83">
        <f t="shared" ref="V70" si="61">T70/$T$10</f>
        <v>4.5721306176470539E-3</v>
      </c>
      <c r="W70" s="14"/>
      <c r="X70" s="84">
        <f t="shared" ref="X70" si="62">T70-J70</f>
        <v>-1704.2520595461774</v>
      </c>
      <c r="Y70" s="14"/>
      <c r="Z70" s="85">
        <f t="shared" ref="Z70" si="63">X70/J70</f>
        <v>-0.70733117705773962</v>
      </c>
      <c r="AD70" s="228">
        <f>SUM(AD65:AD69)</f>
        <v>1299800</v>
      </c>
      <c r="AE70" s="231"/>
      <c r="AF70" s="68"/>
      <c r="AG70" s="68"/>
      <c r="AH70" s="232">
        <f>SUM(AH65:AH69)</f>
        <v>3822.9411764705883</v>
      </c>
      <c r="AI70" s="68"/>
      <c r="AJ70" s="233">
        <f>SUM(AJ65:AJ69)</f>
        <v>2.5571512886090893E-2</v>
      </c>
      <c r="AK70" s="71"/>
      <c r="AL70" s="71"/>
      <c r="AN70" s="234">
        <f>SUM(AN65:AN69)</f>
        <v>0</v>
      </c>
      <c r="AO70" s="98"/>
      <c r="AQ70" s="98"/>
      <c r="AR70" s="234">
        <f>SUM(AR65:AR69)</f>
        <v>0</v>
      </c>
      <c r="AS70" s="54"/>
      <c r="AT70" s="83">
        <f>SUM(AT65:AT69)</f>
        <v>0</v>
      </c>
      <c r="AU70" s="14"/>
      <c r="AV70" s="84">
        <f>SUM(AV65:AV69)</f>
        <v>0</v>
      </c>
      <c r="AW70" s="14"/>
      <c r="AX70" s="85" t="str">
        <f>IF(COUNT(AN65:AN69)=5,((AR70-AH70)/AH70),"")</f>
        <v/>
      </c>
      <c r="BB70" s="228">
        <f>SUM(BB65:BB69)</f>
        <v>2119000</v>
      </c>
      <c r="BC70" s="68"/>
      <c r="BD70" s="232">
        <f>SUM(BD65:BD69)</f>
        <v>6232.3529411764712</v>
      </c>
      <c r="BE70" s="68"/>
      <c r="BF70" s="233">
        <f>SUM(BF65:BF69)</f>
        <v>2.0467497343765094E-2</v>
      </c>
      <c r="BG70" s="71"/>
      <c r="BH70" s="71"/>
      <c r="BJ70" s="114">
        <f t="shared" si="58"/>
        <v>287000</v>
      </c>
      <c r="BK70" s="54"/>
      <c r="BL70" s="114">
        <f t="shared" si="59"/>
        <v>705.15970515970514</v>
      </c>
      <c r="BM70" s="98"/>
      <c r="BN70" s="83">
        <f t="shared" si="60"/>
        <v>1.7887012788466254E-3</v>
      </c>
      <c r="BO70" s="54"/>
      <c r="BP70" s="84">
        <f>BL70-BD70</f>
        <v>-5527.1932360167657</v>
      </c>
      <c r="BQ70" s="14"/>
      <c r="BR70" s="84">
        <f>SUM(BR65:BR69)</f>
        <v>0</v>
      </c>
      <c r="BS70" s="14"/>
      <c r="BT70" s="216"/>
    </row>
    <row r="71" spans="2:72" s="105" customFormat="1" ht="16" customHeight="1">
      <c r="B71" s="227"/>
      <c r="C71" s="227"/>
      <c r="D71" s="227"/>
      <c r="F71" s="235"/>
      <c r="G71" s="68"/>
      <c r="H71" s="68"/>
      <c r="I71" s="68"/>
      <c r="J71" s="79"/>
      <c r="K71" s="68"/>
      <c r="L71" s="70"/>
      <c r="M71" s="71"/>
      <c r="N71" s="71"/>
      <c r="P71" s="98"/>
      <c r="Q71" s="98"/>
      <c r="S71" s="98"/>
      <c r="T71" s="98"/>
      <c r="U71" s="98"/>
      <c r="V71" s="35"/>
      <c r="W71" s="14"/>
      <c r="X71" s="97"/>
      <c r="Y71" s="14"/>
      <c r="Z71" s="74"/>
      <c r="AD71" s="235"/>
      <c r="AE71" s="231"/>
      <c r="AF71" s="68"/>
      <c r="AG71" s="68"/>
      <c r="AH71" s="75"/>
      <c r="AI71" s="68"/>
      <c r="AJ71" s="226"/>
      <c r="AK71" s="71"/>
      <c r="AL71" s="71"/>
      <c r="AN71" s="98"/>
      <c r="AO71" s="98"/>
      <c r="AQ71" s="98"/>
      <c r="AR71" s="98"/>
      <c r="AS71" s="54"/>
      <c r="AT71" s="21"/>
      <c r="AU71" s="14"/>
      <c r="AV71" s="97"/>
      <c r="AW71" s="14"/>
      <c r="AX71" s="74"/>
      <c r="BB71" s="235"/>
      <c r="BC71" s="68"/>
      <c r="BD71" s="75"/>
      <c r="BE71" s="68"/>
      <c r="BF71" s="70"/>
      <c r="BG71" s="71"/>
      <c r="BH71" s="71"/>
      <c r="BJ71" s="98"/>
      <c r="BL71" s="96"/>
      <c r="BM71" s="54"/>
      <c r="BN71" s="35"/>
      <c r="BO71" s="14"/>
      <c r="BP71" s="14"/>
      <c r="BQ71" s="14"/>
      <c r="BR71" s="74"/>
    </row>
    <row r="72" spans="2:72" s="105" customFormat="1" ht="16" customHeight="1">
      <c r="B72" s="223" t="s">
        <v>478</v>
      </c>
      <c r="C72" s="223"/>
      <c r="D72" s="223"/>
      <c r="F72" s="236"/>
      <c r="G72" s="68"/>
      <c r="H72" s="68"/>
      <c r="I72" s="68"/>
      <c r="J72" s="79"/>
      <c r="K72" s="68"/>
      <c r="L72" s="70"/>
      <c r="M72" s="71"/>
      <c r="N72" s="71"/>
      <c r="P72" s="98"/>
      <c r="Q72" s="98"/>
      <c r="S72" s="98"/>
      <c r="T72" s="98"/>
      <c r="U72" s="98"/>
      <c r="V72" s="35"/>
      <c r="W72" s="14"/>
      <c r="X72" s="97"/>
      <c r="Y72" s="14"/>
      <c r="Z72" s="74"/>
      <c r="AD72" s="236"/>
      <c r="AE72" s="237"/>
      <c r="AF72" s="68"/>
      <c r="AG72" s="68"/>
      <c r="AH72" s="75"/>
      <c r="AI72" s="68"/>
      <c r="AJ72" s="226"/>
      <c r="AK72" s="71"/>
      <c r="AL72" s="71"/>
      <c r="AN72" s="98"/>
      <c r="AO72" s="98"/>
      <c r="AQ72" s="98"/>
      <c r="AR72" s="98"/>
      <c r="AS72" s="54"/>
      <c r="AT72" s="21"/>
      <c r="AU72" s="14"/>
      <c r="AV72" s="97"/>
      <c r="AW72" s="14"/>
      <c r="AX72" s="74"/>
      <c r="BB72" s="236"/>
      <c r="BC72" s="68"/>
      <c r="BD72" s="75"/>
      <c r="BE72" s="68"/>
      <c r="BF72" s="70"/>
      <c r="BG72" s="71"/>
      <c r="BH72" s="71"/>
      <c r="BJ72" s="98"/>
      <c r="BL72" s="96"/>
      <c r="BM72" s="54"/>
      <c r="BN72" s="35"/>
      <c r="BO72" s="14"/>
      <c r="BP72" s="14"/>
      <c r="BQ72" s="14"/>
      <c r="BR72" s="74"/>
    </row>
    <row r="73" spans="2:72" s="105" customFormat="1" ht="16" customHeight="1">
      <c r="B73" s="224" t="s">
        <v>479</v>
      </c>
      <c r="C73" s="224"/>
      <c r="D73" s="224"/>
      <c r="F73" s="225">
        <v>412500</v>
      </c>
      <c r="G73" s="68"/>
      <c r="H73" s="75">
        <f>$J$6</f>
        <v>340</v>
      </c>
      <c r="I73" s="68"/>
      <c r="J73" s="79">
        <f t="shared" ref="J73:J76" si="64">F73/H73</f>
        <v>1213.2352941176471</v>
      </c>
      <c r="K73" s="68"/>
      <c r="L73" s="70">
        <f t="shared" ref="L73:L76" si="65">J73/$J$10</f>
        <v>8.1152862482785759E-3</v>
      </c>
      <c r="M73" s="71"/>
      <c r="N73" s="71"/>
      <c r="P73" s="98"/>
      <c r="Q73" s="98"/>
      <c r="S73" s="98"/>
      <c r="T73" s="98"/>
      <c r="U73" s="98"/>
      <c r="V73" s="35"/>
      <c r="W73" s="14"/>
      <c r="X73" s="97"/>
      <c r="Y73" s="14"/>
      <c r="Z73" s="74"/>
      <c r="AD73" s="225">
        <v>693000</v>
      </c>
      <c r="AE73" s="231"/>
      <c r="AF73" s="75">
        <f t="shared" ref="AF73:AF76" si="66">$AH$6</f>
        <v>340</v>
      </c>
      <c r="AG73" s="68"/>
      <c r="AH73" s="75">
        <f t="shared" ref="AH73:AH76" si="67">AD73/AF73</f>
        <v>2038.2352941176471</v>
      </c>
      <c r="AI73" s="68"/>
      <c r="AJ73" s="226">
        <f t="shared" ref="AJ73:AJ76" si="68">AH73/$J$10</f>
        <v>1.3633680897108006E-2</v>
      </c>
      <c r="AK73" s="71"/>
      <c r="AL73" s="71"/>
      <c r="AN73" s="69"/>
      <c r="AO73" s="98"/>
      <c r="AQ73" s="98"/>
      <c r="AR73" s="69"/>
      <c r="AS73" s="54"/>
      <c r="AT73" s="21" t="str">
        <f t="shared" ref="AT73:AT76" si="69">IF(AR73="","",AR73/AR$10)</f>
        <v/>
      </c>
      <c r="AU73" s="14"/>
      <c r="AV73" s="97" t="str">
        <f t="shared" ref="AV73:AV76" si="70">IF(AR73="","",AR73-AH73)</f>
        <v/>
      </c>
      <c r="AW73" s="14"/>
      <c r="AX73" s="74" t="str">
        <f t="shared" ref="AX73:AX76" si="71">IF(AR73=0,"",((AR73-AH73)/AH73))</f>
        <v/>
      </c>
      <c r="BB73" s="67">
        <f>AD73+F73</f>
        <v>1105500</v>
      </c>
      <c r="BC73" s="68"/>
      <c r="BD73" s="75">
        <f>AH73+J73</f>
        <v>3251.4705882352941</v>
      </c>
      <c r="BE73" s="68"/>
      <c r="BF73" s="70">
        <f t="shared" ref="BF73:BF76" si="72">BD73/$BD$10</f>
        <v>1.0678064329179948E-2</v>
      </c>
      <c r="BG73" s="71"/>
      <c r="BH73" s="71"/>
      <c r="BJ73" s="72">
        <f t="shared" ref="BJ73:BJ76" si="73">AN73+P73</f>
        <v>0</v>
      </c>
      <c r="BK73" s="54"/>
      <c r="BL73" s="72">
        <f t="shared" ref="BL73:BL77" si="74">AR73+T73</f>
        <v>0</v>
      </c>
      <c r="BM73" s="54"/>
      <c r="BN73" s="35">
        <f t="shared" ref="BN73:BN77" si="75">BL73/$BL$10</f>
        <v>0</v>
      </c>
      <c r="BO73" s="14"/>
      <c r="BP73" s="97"/>
      <c r="BQ73" s="14"/>
      <c r="BR73" s="74"/>
    </row>
    <row r="74" spans="2:72" s="105" customFormat="1" ht="16" customHeight="1">
      <c r="B74" s="224" t="s">
        <v>474</v>
      </c>
      <c r="C74" s="224"/>
      <c r="D74" s="224"/>
      <c r="F74" s="225">
        <v>312000</v>
      </c>
      <c r="G74" s="68"/>
      <c r="H74" s="75">
        <f>$J$6</f>
        <v>340</v>
      </c>
      <c r="I74" s="68"/>
      <c r="J74" s="79">
        <f t="shared" si="64"/>
        <v>917.64705882352939</v>
      </c>
      <c r="K74" s="68"/>
      <c r="L74" s="70">
        <f t="shared" si="65"/>
        <v>6.1381074168797949E-3</v>
      </c>
      <c r="M74" s="71"/>
      <c r="N74" s="71"/>
      <c r="P74" s="98"/>
      <c r="Q74" s="98"/>
      <c r="S74" s="98"/>
      <c r="T74" s="98"/>
      <c r="U74" s="98"/>
      <c r="V74" s="35"/>
      <c r="W74" s="14"/>
      <c r="X74" s="97"/>
      <c r="Y74" s="14"/>
      <c r="Z74" s="74"/>
      <c r="AD74" s="225">
        <v>468000</v>
      </c>
      <c r="AE74" s="231"/>
      <c r="AF74" s="75">
        <f t="shared" si="66"/>
        <v>340</v>
      </c>
      <c r="AG74" s="68"/>
      <c r="AH74" s="75">
        <f t="shared" si="67"/>
        <v>1376.4705882352941</v>
      </c>
      <c r="AI74" s="68"/>
      <c r="AJ74" s="226">
        <f t="shared" si="68"/>
        <v>9.207161125319694E-3</v>
      </c>
      <c r="AK74" s="71"/>
      <c r="AL74" s="71"/>
      <c r="AN74" s="69"/>
      <c r="AO74" s="98"/>
      <c r="AQ74" s="98"/>
      <c r="AR74" s="69"/>
      <c r="AS74" s="54"/>
      <c r="AT74" s="21" t="str">
        <f t="shared" si="69"/>
        <v/>
      </c>
      <c r="AU74" s="14"/>
      <c r="AV74" s="97" t="str">
        <f t="shared" si="70"/>
        <v/>
      </c>
      <c r="AW74" s="14"/>
      <c r="AX74" s="74" t="str">
        <f t="shared" si="71"/>
        <v/>
      </c>
      <c r="BB74" s="67">
        <f>AD74+F74</f>
        <v>780000</v>
      </c>
      <c r="BC74" s="68"/>
      <c r="BD74" s="75">
        <f>AH74+J74</f>
        <v>2294.1176470588234</v>
      </c>
      <c r="BE74" s="68"/>
      <c r="BF74" s="70">
        <f t="shared" si="72"/>
        <v>7.53404810199942E-3</v>
      </c>
      <c r="BG74" s="71"/>
      <c r="BH74" s="71"/>
      <c r="BJ74" s="72">
        <f t="shared" si="73"/>
        <v>0</v>
      </c>
      <c r="BK74" s="54"/>
      <c r="BL74" s="72">
        <f t="shared" si="74"/>
        <v>0</v>
      </c>
      <c r="BM74" s="54"/>
      <c r="BN74" s="35">
        <f t="shared" si="75"/>
        <v>0</v>
      </c>
      <c r="BO74" s="14"/>
      <c r="BP74" s="97"/>
      <c r="BQ74" s="14"/>
      <c r="BR74" s="74"/>
    </row>
    <row r="75" spans="2:72" s="105" customFormat="1" ht="16" customHeight="1">
      <c r="B75" s="224" t="s">
        <v>475</v>
      </c>
      <c r="C75" s="224"/>
      <c r="D75" s="224"/>
      <c r="F75" s="225">
        <v>36000</v>
      </c>
      <c r="G75" s="68"/>
      <c r="H75" s="75">
        <f>$J$6</f>
        <v>340</v>
      </c>
      <c r="I75" s="68"/>
      <c r="J75" s="79">
        <f t="shared" si="64"/>
        <v>105.88235294117646</v>
      </c>
      <c r="K75" s="68"/>
      <c r="L75" s="70">
        <f t="shared" si="65"/>
        <v>7.0824316348613023E-4</v>
      </c>
      <c r="M75" s="71"/>
      <c r="N75" s="71"/>
      <c r="P75" s="98"/>
      <c r="Q75" s="98"/>
      <c r="S75" s="98"/>
      <c r="T75" s="98"/>
      <c r="U75" s="98"/>
      <c r="V75" s="35"/>
      <c r="W75" s="14"/>
      <c r="X75" s="97"/>
      <c r="Y75" s="14"/>
      <c r="Z75" s="74"/>
      <c r="AD75" s="225">
        <v>54000</v>
      </c>
      <c r="AE75" s="231"/>
      <c r="AF75" s="75">
        <f t="shared" si="66"/>
        <v>340</v>
      </c>
      <c r="AG75" s="68"/>
      <c r="AH75" s="75">
        <f t="shared" si="67"/>
        <v>158.8235294117647</v>
      </c>
      <c r="AI75" s="68"/>
      <c r="AJ75" s="226">
        <f t="shared" si="68"/>
        <v>1.0623647452291953E-3</v>
      </c>
      <c r="AK75" s="71"/>
      <c r="AL75" s="71"/>
      <c r="AN75" s="69"/>
      <c r="AO75" s="98"/>
      <c r="AQ75" s="98"/>
      <c r="AR75" s="69"/>
      <c r="AS75" s="54"/>
      <c r="AT75" s="21" t="str">
        <f t="shared" si="69"/>
        <v/>
      </c>
      <c r="AU75" s="14"/>
      <c r="AV75" s="97" t="str">
        <f t="shared" si="70"/>
        <v/>
      </c>
      <c r="AW75" s="14"/>
      <c r="AX75" s="74" t="str">
        <f t="shared" si="71"/>
        <v/>
      </c>
      <c r="BB75" s="67">
        <f>AD75+F75</f>
        <v>90000</v>
      </c>
      <c r="BC75" s="68"/>
      <c r="BD75" s="75">
        <f>AH75+J75</f>
        <v>264.70588235294116</v>
      </c>
      <c r="BE75" s="68"/>
      <c r="BF75" s="70">
        <f t="shared" si="72"/>
        <v>8.6931324253839456E-4</v>
      </c>
      <c r="BG75" s="71"/>
      <c r="BH75" s="71"/>
      <c r="BJ75" s="72">
        <f t="shared" si="73"/>
        <v>0</v>
      </c>
      <c r="BK75" s="54"/>
      <c r="BL75" s="72">
        <f t="shared" si="74"/>
        <v>0</v>
      </c>
      <c r="BM75" s="54"/>
      <c r="BN75" s="35">
        <f t="shared" si="75"/>
        <v>0</v>
      </c>
      <c r="BO75" s="14"/>
      <c r="BP75" s="97"/>
      <c r="BQ75" s="14"/>
      <c r="BR75" s="74"/>
    </row>
    <row r="76" spans="2:72" s="105" customFormat="1" ht="16" customHeight="1">
      <c r="B76" s="224" t="s">
        <v>476</v>
      </c>
      <c r="C76" s="224"/>
      <c r="D76" s="224"/>
      <c r="F76" s="225">
        <v>700800</v>
      </c>
      <c r="G76" s="68"/>
      <c r="H76" s="75">
        <f>$J$6</f>
        <v>340</v>
      </c>
      <c r="I76" s="68"/>
      <c r="J76" s="79">
        <f t="shared" si="64"/>
        <v>2061.1764705882351</v>
      </c>
      <c r="K76" s="68"/>
      <c r="L76" s="70">
        <f t="shared" si="65"/>
        <v>1.3787133582530002E-2</v>
      </c>
      <c r="M76" s="71"/>
      <c r="N76" s="71"/>
      <c r="P76" s="98"/>
      <c r="Q76" s="98"/>
      <c r="S76" s="98"/>
      <c r="T76" s="98"/>
      <c r="U76" s="98"/>
      <c r="V76" s="35"/>
      <c r="W76" s="14"/>
      <c r="X76" s="97"/>
      <c r="Y76" s="14"/>
      <c r="Z76" s="74"/>
      <c r="AD76" s="225">
        <v>788400</v>
      </c>
      <c r="AE76" s="231"/>
      <c r="AF76" s="75">
        <f t="shared" si="66"/>
        <v>340</v>
      </c>
      <c r="AG76" s="68"/>
      <c r="AH76" s="75">
        <f t="shared" si="67"/>
        <v>2318.8235294117649</v>
      </c>
      <c r="AI76" s="68"/>
      <c r="AJ76" s="226">
        <f t="shared" si="68"/>
        <v>1.5510525280346254E-2</v>
      </c>
      <c r="AK76" s="71"/>
      <c r="AL76" s="71"/>
      <c r="AN76" s="69"/>
      <c r="AO76" s="98"/>
      <c r="AQ76" s="98"/>
      <c r="AR76" s="69"/>
      <c r="AS76" s="54"/>
      <c r="AT76" s="21" t="str">
        <f t="shared" si="69"/>
        <v/>
      </c>
      <c r="AU76" s="14"/>
      <c r="AV76" s="97" t="str">
        <f t="shared" si="70"/>
        <v/>
      </c>
      <c r="AW76" s="14"/>
      <c r="AX76" s="74" t="str">
        <f t="shared" si="71"/>
        <v/>
      </c>
      <c r="BB76" s="67">
        <f>AD76+F76</f>
        <v>1489200</v>
      </c>
      <c r="BC76" s="68"/>
      <c r="BD76" s="75">
        <f>AH76+J76</f>
        <v>4380</v>
      </c>
      <c r="BE76" s="68"/>
      <c r="BF76" s="70">
        <f t="shared" si="72"/>
        <v>1.4384236453201971E-2</v>
      </c>
      <c r="BG76" s="71"/>
      <c r="BH76" s="71"/>
      <c r="BJ76" s="72">
        <f t="shared" si="73"/>
        <v>0</v>
      </c>
      <c r="BK76" s="54"/>
      <c r="BL76" s="72">
        <f t="shared" si="74"/>
        <v>0</v>
      </c>
      <c r="BM76" s="54"/>
      <c r="BN76" s="90">
        <f t="shared" si="75"/>
        <v>0</v>
      </c>
      <c r="BO76" s="14"/>
      <c r="BP76" s="97"/>
      <c r="BQ76" s="14"/>
      <c r="BR76" s="74"/>
    </row>
    <row r="77" spans="2:72" s="105" customFormat="1" ht="16" customHeight="1" thickBot="1">
      <c r="B77" s="227" t="s">
        <v>480</v>
      </c>
      <c r="C77" s="227"/>
      <c r="D77" s="227"/>
      <c r="F77" s="228">
        <f>SUM(F73:F76)</f>
        <v>1461300</v>
      </c>
      <c r="G77" s="68"/>
      <c r="H77" s="68"/>
      <c r="I77" s="68"/>
      <c r="J77" s="78">
        <f>SUM(J73:J76)</f>
        <v>4297.9411764705883</v>
      </c>
      <c r="K77" s="68"/>
      <c r="L77" s="229">
        <f>SUM(L73:L76)</f>
        <v>2.8748770411174504E-2</v>
      </c>
      <c r="M77" s="71"/>
      <c r="N77" s="71"/>
      <c r="P77" s="230">
        <v>1749578</v>
      </c>
      <c r="Q77" s="98"/>
      <c r="R77" s="111">
        <v>407</v>
      </c>
      <c r="S77" s="98"/>
      <c r="T77" s="114">
        <f>P77/R77</f>
        <v>4298.7174447174448</v>
      </c>
      <c r="U77" s="98"/>
      <c r="V77" s="83">
        <f t="shared" ref="V77" si="76">T77/$T$10</f>
        <v>2.7872122445162711E-2</v>
      </c>
      <c r="W77" s="14"/>
      <c r="X77" s="84">
        <f t="shared" ref="X77" si="77">T77-J77</f>
        <v>0.77626824685648899</v>
      </c>
      <c r="Y77" s="14"/>
      <c r="Z77" s="85">
        <f t="shared" ref="Z77" si="78">X77/J77</f>
        <v>1.806139765491044E-4</v>
      </c>
      <c r="AD77" s="228">
        <f>SUM(AD73:AD76)</f>
        <v>2003400</v>
      </c>
      <c r="AE77" s="231"/>
      <c r="AF77" s="68"/>
      <c r="AG77" s="68"/>
      <c r="AH77" s="232">
        <f>SUM(AH73:AH76)</f>
        <v>5892.3529411764712</v>
      </c>
      <c r="AI77" s="68"/>
      <c r="AJ77" s="233">
        <f>SUM(AJ73:AJ76)</f>
        <v>3.941373204800315E-2</v>
      </c>
      <c r="AK77" s="71"/>
      <c r="AL77" s="71"/>
      <c r="AN77" s="78">
        <f>SUM(AN73:AN76)</f>
        <v>0</v>
      </c>
      <c r="AO77" s="98"/>
      <c r="AQ77" s="98"/>
      <c r="AR77" s="78">
        <f>SUM(AR73:AR76)</f>
        <v>0</v>
      </c>
      <c r="AS77" s="54"/>
      <c r="AT77" s="83">
        <f>SUM(AT73:AT76)</f>
        <v>0</v>
      </c>
      <c r="AU77" s="14"/>
      <c r="AV77" s="84">
        <f>SUM(AV73:AV76)</f>
        <v>0</v>
      </c>
      <c r="AW77" s="14"/>
      <c r="AX77" s="85" t="str">
        <f>IF(COUNT(AN73:AN76)=4,((AR77-AH77)/AH77),"")</f>
        <v/>
      </c>
      <c r="BB77" s="228">
        <f>SUM(BB73:BB76)</f>
        <v>3464700</v>
      </c>
      <c r="BC77" s="68"/>
      <c r="BD77" s="232">
        <f>SUM(BD73:BD76)</f>
        <v>10190.294117647059</v>
      </c>
      <c r="BE77" s="68"/>
      <c r="BF77" s="233">
        <f>SUM(BF73:BF76)</f>
        <v>3.3465662126919732E-2</v>
      </c>
      <c r="BG77" s="71"/>
      <c r="BH77" s="71"/>
      <c r="BJ77" s="114">
        <v>287000</v>
      </c>
      <c r="BK77" s="114">
        <v>705.15970515970514</v>
      </c>
      <c r="BL77" s="114">
        <f t="shared" si="74"/>
        <v>4298.7174447174448</v>
      </c>
      <c r="BM77" s="98"/>
      <c r="BN77" s="83">
        <f t="shared" si="75"/>
        <v>1.0904085038473593E-2</v>
      </c>
      <c r="BO77" s="54"/>
      <c r="BP77" s="84">
        <f>BL77-BD77</f>
        <v>-5891.5766729296147</v>
      </c>
      <c r="BQ77" s="14"/>
      <c r="BR77" s="84">
        <f>SUM(BR73:BR76)</f>
        <v>0</v>
      </c>
      <c r="BS77" s="14"/>
      <c r="BT77" s="216"/>
    </row>
    <row r="78" spans="2:72" s="105" customFormat="1" ht="16" customHeight="1">
      <c r="B78" s="227"/>
      <c r="C78" s="227"/>
      <c r="D78" s="227"/>
      <c r="F78" s="235"/>
      <c r="G78" s="68"/>
      <c r="H78" s="68"/>
      <c r="I78" s="68"/>
      <c r="J78" s="79"/>
      <c r="K78" s="68"/>
      <c r="L78" s="70"/>
      <c r="M78" s="71"/>
      <c r="N78" s="71"/>
      <c r="P78" s="98"/>
      <c r="Q78" s="98"/>
      <c r="S78" s="98"/>
      <c r="T78" s="98"/>
      <c r="U78" s="98"/>
      <c r="V78" s="35"/>
      <c r="W78" s="14"/>
      <c r="X78" s="97"/>
      <c r="Y78" s="14"/>
      <c r="Z78" s="74"/>
      <c r="AD78" s="235"/>
      <c r="AE78" s="231"/>
      <c r="AF78" s="68"/>
      <c r="AG78" s="68"/>
      <c r="AH78" s="75"/>
      <c r="AI78" s="68"/>
      <c r="AJ78" s="226"/>
      <c r="AK78" s="71"/>
      <c r="AL78" s="71"/>
      <c r="AN78" s="98"/>
      <c r="AO78" s="98"/>
      <c r="AQ78" s="98"/>
      <c r="AR78" s="98"/>
      <c r="AS78" s="54"/>
      <c r="AT78" s="21"/>
      <c r="AU78" s="14"/>
      <c r="AV78" s="97"/>
      <c r="AW78" s="14"/>
      <c r="AX78" s="74"/>
      <c r="BB78" s="235"/>
      <c r="BC78" s="68"/>
      <c r="BD78" s="75"/>
      <c r="BE78" s="68"/>
      <c r="BF78" s="70"/>
      <c r="BG78" s="71"/>
      <c r="BH78" s="71"/>
      <c r="BJ78" s="98"/>
      <c r="BL78" s="96"/>
      <c r="BM78" s="54"/>
      <c r="BN78" s="35"/>
      <c r="BO78" s="14"/>
      <c r="BP78" s="14"/>
      <c r="BQ78" s="14"/>
      <c r="BR78" s="74"/>
    </row>
    <row r="79" spans="2:72" s="105" customFormat="1" ht="16" customHeight="1">
      <c r="B79" s="227" t="s">
        <v>481</v>
      </c>
      <c r="C79" s="227"/>
      <c r="D79" s="227"/>
      <c r="F79" s="236"/>
      <c r="G79" s="68"/>
      <c r="H79" s="68"/>
      <c r="I79" s="68"/>
      <c r="J79" s="79"/>
      <c r="K79" s="68"/>
      <c r="L79" s="70"/>
      <c r="M79" s="71"/>
      <c r="N79" s="71"/>
      <c r="P79" s="98"/>
      <c r="Q79" s="98"/>
      <c r="S79" s="98"/>
      <c r="T79" s="98"/>
      <c r="U79" s="98"/>
      <c r="V79" s="35"/>
      <c r="W79" s="14"/>
      <c r="X79" s="97"/>
      <c r="Y79" s="14"/>
      <c r="Z79" s="74"/>
      <c r="AD79" s="236"/>
      <c r="AE79" s="237"/>
      <c r="AF79" s="68"/>
      <c r="AG79" s="68"/>
      <c r="AH79" s="75"/>
      <c r="AI79" s="68"/>
      <c r="AJ79" s="226"/>
      <c r="AK79" s="71"/>
      <c r="AL79" s="71"/>
      <c r="AN79" s="98"/>
      <c r="AO79" s="98"/>
      <c r="AQ79" s="98"/>
      <c r="AR79" s="98"/>
      <c r="AS79" s="54"/>
      <c r="AT79" s="21"/>
      <c r="AU79" s="14"/>
      <c r="AV79" s="97"/>
      <c r="AW79" s="14"/>
      <c r="AX79" s="74"/>
      <c r="BB79" s="236"/>
      <c r="BC79" s="68"/>
      <c r="BD79" s="75"/>
      <c r="BE79" s="68"/>
      <c r="BF79" s="70"/>
      <c r="BG79" s="71"/>
      <c r="BH79" s="71"/>
      <c r="BJ79" s="98"/>
      <c r="BL79" s="96"/>
      <c r="BM79" s="54"/>
      <c r="BN79" s="35"/>
      <c r="BO79" s="14"/>
      <c r="BP79" s="14"/>
      <c r="BQ79" s="14"/>
      <c r="BR79" s="74"/>
    </row>
    <row r="80" spans="2:72" s="105" customFormat="1" ht="16" customHeight="1">
      <c r="B80" s="224" t="s">
        <v>482</v>
      </c>
      <c r="C80" s="224"/>
      <c r="D80" s="224"/>
      <c r="F80" s="225">
        <v>336000</v>
      </c>
      <c r="G80" s="68"/>
      <c r="H80" s="75">
        <f>$J$6</f>
        <v>340</v>
      </c>
      <c r="I80" s="68"/>
      <c r="J80" s="79">
        <f t="shared" ref="J80" si="79">F80/H80</f>
        <v>988.23529411764707</v>
      </c>
      <c r="K80" s="68"/>
      <c r="L80" s="70">
        <f>J80/$J$10</f>
        <v>6.6102695258705487E-3</v>
      </c>
      <c r="M80" s="71"/>
      <c r="N80" s="71"/>
      <c r="P80" s="98"/>
      <c r="Q80" s="98"/>
      <c r="S80" s="98"/>
      <c r="T80" s="98"/>
      <c r="U80" s="98"/>
      <c r="V80" s="35"/>
      <c r="W80" s="14"/>
      <c r="X80" s="97"/>
      <c r="Y80" s="14"/>
      <c r="Z80" s="74"/>
      <c r="AD80" s="225">
        <v>525000</v>
      </c>
      <c r="AE80" s="231"/>
      <c r="AF80" s="75">
        <f t="shared" ref="AF80" si="80">$AH$6</f>
        <v>340</v>
      </c>
      <c r="AG80" s="68"/>
      <c r="AH80" s="75">
        <f t="shared" ref="AH80" si="81">AD80/AF80</f>
        <v>1544.1176470588234</v>
      </c>
      <c r="AI80" s="68"/>
      <c r="AJ80" s="226">
        <f>AH80/$J$10</f>
        <v>1.0328546134172731E-2</v>
      </c>
      <c r="AK80" s="71"/>
      <c r="AL80" s="71"/>
      <c r="AN80" s="69"/>
      <c r="AO80" s="98"/>
      <c r="AQ80" s="98"/>
      <c r="AR80" s="69"/>
      <c r="AS80" s="54"/>
      <c r="AT80" s="21" t="str">
        <f t="shared" ref="AT80" si="82">IF(AR80="","",AR80/AR$10)</f>
        <v/>
      </c>
      <c r="AU80" s="14"/>
      <c r="AV80" s="97" t="str">
        <f>IF(AR80="","",AR80-AH80)</f>
        <v/>
      </c>
      <c r="AW80" s="14"/>
      <c r="AX80" s="74" t="str">
        <f t="shared" ref="AX80" si="83">IF(AR80=0,"",((AR80-AH80)/AH80))</f>
        <v/>
      </c>
      <c r="BB80" s="67">
        <f>AD80+F80</f>
        <v>861000</v>
      </c>
      <c r="BC80" s="68"/>
      <c r="BD80" s="75">
        <f>AH80+J80</f>
        <v>2532.3529411764703</v>
      </c>
      <c r="BE80" s="68"/>
      <c r="BF80" s="70">
        <f t="shared" ref="BF80" si="84">BD80/$BD$10</f>
        <v>8.3164300202839738E-3</v>
      </c>
      <c r="BG80" s="71"/>
      <c r="BH80" s="71"/>
      <c r="BJ80" s="72">
        <f t="shared" ref="BJ80" si="85">AN80+P80</f>
        <v>0</v>
      </c>
      <c r="BK80" s="54"/>
      <c r="BL80" s="72">
        <f t="shared" ref="BL80:BL81" si="86">AR80+T80</f>
        <v>0</v>
      </c>
      <c r="BM80" s="54"/>
      <c r="BN80" s="35">
        <f t="shared" ref="BN80:BN81" si="87">BL80/$BL$10</f>
        <v>0</v>
      </c>
      <c r="BO80" s="14"/>
      <c r="BP80" s="97"/>
      <c r="BQ80" s="14"/>
      <c r="BR80" s="74"/>
    </row>
    <row r="81" spans="2:72" s="105" customFormat="1" ht="16" customHeight="1" thickBot="1">
      <c r="B81" s="227" t="s">
        <v>483</v>
      </c>
      <c r="C81" s="227"/>
      <c r="D81" s="227"/>
      <c r="F81" s="228">
        <f>F80</f>
        <v>336000</v>
      </c>
      <c r="G81" s="68"/>
      <c r="H81" s="68"/>
      <c r="I81" s="68"/>
      <c r="J81" s="78">
        <f>J80</f>
        <v>988.23529411764707</v>
      </c>
      <c r="K81" s="68"/>
      <c r="L81" s="229">
        <f>L80</f>
        <v>6.6102695258705487E-3</v>
      </c>
      <c r="M81" s="71"/>
      <c r="N81" s="71"/>
      <c r="P81" s="230">
        <v>0</v>
      </c>
      <c r="Q81" s="98"/>
      <c r="R81" s="111">
        <v>407</v>
      </c>
      <c r="S81" s="98"/>
      <c r="T81" s="114">
        <f>P81/R81</f>
        <v>0</v>
      </c>
      <c r="U81" s="98"/>
      <c r="V81" s="83">
        <f t="shared" ref="V81" si="88">T81/$T$10</f>
        <v>0</v>
      </c>
      <c r="W81" s="14"/>
      <c r="X81" s="84">
        <f t="shared" ref="X81" si="89">T81-J81</f>
        <v>-988.23529411764707</v>
      </c>
      <c r="Y81" s="14"/>
      <c r="Z81" s="85">
        <f t="shared" ref="Z81" si="90">X81/J81</f>
        <v>-1</v>
      </c>
      <c r="AD81" s="228">
        <f>AD80</f>
        <v>525000</v>
      </c>
      <c r="AE81" s="231"/>
      <c r="AF81" s="68"/>
      <c r="AG81" s="68"/>
      <c r="AH81" s="232">
        <f>AH80</f>
        <v>1544.1176470588234</v>
      </c>
      <c r="AI81" s="68"/>
      <c r="AJ81" s="233">
        <f>AJ80</f>
        <v>1.0328546134172731E-2</v>
      </c>
      <c r="AK81" s="71"/>
      <c r="AL81" s="71"/>
      <c r="AN81" s="78">
        <f>AN80</f>
        <v>0</v>
      </c>
      <c r="AO81" s="98"/>
      <c r="AQ81" s="98"/>
      <c r="AR81" s="78">
        <f>AR80</f>
        <v>0</v>
      </c>
      <c r="AS81" s="54"/>
      <c r="AT81" s="83">
        <f>SUM(AT80:AT80)</f>
        <v>0</v>
      </c>
      <c r="AU81" s="14"/>
      <c r="AV81" s="84">
        <f>SUM(AV80:AV80)</f>
        <v>0</v>
      </c>
      <c r="AW81" s="14"/>
      <c r="AX81" s="85" t="str">
        <f>IF(COUNT(AN80:AN80)=1,((AR81-AH81)/AH81),"")</f>
        <v/>
      </c>
      <c r="BB81" s="228">
        <f>BB80</f>
        <v>861000</v>
      </c>
      <c r="BC81" s="68"/>
      <c r="BD81" s="232">
        <f>BD80</f>
        <v>2532.3529411764703</v>
      </c>
      <c r="BE81" s="68"/>
      <c r="BF81" s="233">
        <f>BF80</f>
        <v>8.3164300202839738E-3</v>
      </c>
      <c r="BG81" s="71"/>
      <c r="BH81" s="71"/>
      <c r="BJ81" s="114">
        <v>287000</v>
      </c>
      <c r="BK81" s="114">
        <v>705.15970515970514</v>
      </c>
      <c r="BL81" s="114">
        <f t="shared" si="86"/>
        <v>0</v>
      </c>
      <c r="BM81" s="98"/>
      <c r="BN81" s="83">
        <f t="shared" si="87"/>
        <v>0</v>
      </c>
      <c r="BO81" s="54"/>
      <c r="BP81" s="84">
        <f>BL81-BD81</f>
        <v>-2532.3529411764703</v>
      </c>
      <c r="BQ81" s="14"/>
      <c r="BR81" s="84">
        <f>SUM(BR80:BR80)</f>
        <v>0</v>
      </c>
      <c r="BS81" s="14"/>
      <c r="BT81" s="216"/>
    </row>
    <row r="82" spans="2:72" s="105" customFormat="1" ht="16" customHeight="1">
      <c r="B82" s="227"/>
      <c r="C82" s="227"/>
      <c r="D82" s="227"/>
      <c r="F82" s="235"/>
      <c r="G82" s="68"/>
      <c r="H82" s="68"/>
      <c r="I82" s="68"/>
      <c r="J82" s="79"/>
      <c r="K82" s="68"/>
      <c r="L82" s="70"/>
      <c r="M82" s="71"/>
      <c r="N82" s="71"/>
      <c r="P82" s="98"/>
      <c r="Q82" s="98"/>
      <c r="S82" s="98"/>
      <c r="T82" s="98"/>
      <c r="U82" s="98"/>
      <c r="V82" s="35"/>
      <c r="W82" s="14"/>
      <c r="X82" s="97"/>
      <c r="Y82" s="14"/>
      <c r="Z82" s="74"/>
      <c r="AD82" s="235"/>
      <c r="AE82" s="231"/>
      <c r="AF82" s="68"/>
      <c r="AG82" s="68"/>
      <c r="AH82" s="75"/>
      <c r="AI82" s="68"/>
      <c r="AJ82" s="226"/>
      <c r="AK82" s="71"/>
      <c r="AL82" s="71"/>
      <c r="AN82" s="98"/>
      <c r="AO82" s="98"/>
      <c r="AQ82" s="98"/>
      <c r="AR82" s="98"/>
      <c r="AS82" s="54"/>
      <c r="AT82" s="21"/>
      <c r="AU82" s="14"/>
      <c r="AV82" s="97"/>
      <c r="AW82" s="14"/>
      <c r="AX82" s="74"/>
      <c r="BB82" s="235"/>
      <c r="BC82" s="68"/>
      <c r="BD82" s="75"/>
      <c r="BE82" s="68"/>
      <c r="BF82" s="70"/>
      <c r="BG82" s="71"/>
      <c r="BH82" s="71"/>
      <c r="BJ82" s="98"/>
      <c r="BL82" s="96"/>
      <c r="BM82" s="54"/>
      <c r="BN82" s="35"/>
      <c r="BO82" s="14"/>
      <c r="BP82" s="14"/>
      <c r="BQ82" s="14"/>
      <c r="BR82" s="74"/>
    </row>
    <row r="83" spans="2:72" s="105" customFormat="1" ht="16" customHeight="1">
      <c r="B83" s="227" t="s">
        <v>339</v>
      </c>
      <c r="C83" s="227"/>
      <c r="D83" s="227"/>
      <c r="F83" s="236"/>
      <c r="G83" s="68"/>
      <c r="H83" s="68"/>
      <c r="I83" s="68"/>
      <c r="J83" s="79"/>
      <c r="K83" s="68"/>
      <c r="L83" s="70"/>
      <c r="M83" s="71"/>
      <c r="N83" s="71"/>
      <c r="P83" s="98"/>
      <c r="Q83" s="98"/>
      <c r="S83" s="98"/>
      <c r="T83" s="98"/>
      <c r="U83" s="98"/>
      <c r="V83" s="35"/>
      <c r="W83" s="14"/>
      <c r="X83" s="97"/>
      <c r="Y83" s="14"/>
      <c r="Z83" s="74"/>
      <c r="AD83" s="236"/>
      <c r="AE83" s="237"/>
      <c r="AF83" s="68"/>
      <c r="AG83" s="68"/>
      <c r="AH83" s="75"/>
      <c r="AI83" s="68"/>
      <c r="AJ83" s="226"/>
      <c r="AK83" s="71"/>
      <c r="AL83" s="71"/>
      <c r="AN83" s="98"/>
      <c r="AO83" s="98"/>
      <c r="AQ83" s="98"/>
      <c r="AR83" s="98"/>
      <c r="AS83" s="54"/>
      <c r="AT83" s="21"/>
      <c r="AU83" s="14"/>
      <c r="AV83" s="97"/>
      <c r="AW83" s="14"/>
      <c r="AX83" s="74"/>
      <c r="BB83" s="236"/>
      <c r="BC83" s="68"/>
      <c r="BD83" s="75"/>
      <c r="BE83" s="68"/>
      <c r="BF83" s="70"/>
      <c r="BG83" s="71"/>
      <c r="BH83" s="71"/>
      <c r="BJ83" s="98"/>
      <c r="BL83" s="96"/>
      <c r="BM83" s="54"/>
      <c r="BN83" s="35"/>
      <c r="BO83" s="14"/>
      <c r="BP83" s="14"/>
      <c r="BQ83" s="14"/>
      <c r="BR83" s="74"/>
    </row>
    <row r="84" spans="2:72" s="105" customFormat="1" ht="16" customHeight="1">
      <c r="B84" s="224" t="s">
        <v>484</v>
      </c>
      <c r="C84" s="224"/>
      <c r="D84" s="224"/>
      <c r="F84" s="225">
        <v>25000</v>
      </c>
      <c r="G84" s="68"/>
      <c r="H84" s="75">
        <f t="shared" ref="H84:H91" si="91">$J$6</f>
        <v>340</v>
      </c>
      <c r="I84" s="68"/>
      <c r="J84" s="79">
        <f t="shared" ref="J84:J91" si="92">F84/H84</f>
        <v>73.529411764705884</v>
      </c>
      <c r="K84" s="68"/>
      <c r="L84" s="70">
        <f t="shared" ref="L84:L91" si="93">J84/$J$10</f>
        <v>4.918355301987016E-4</v>
      </c>
      <c r="M84" s="71"/>
      <c r="N84" s="71"/>
      <c r="P84" s="98"/>
      <c r="Q84" s="98"/>
      <c r="S84" s="98"/>
      <c r="T84" s="98"/>
      <c r="U84" s="98"/>
      <c r="V84" s="35"/>
      <c r="W84" s="14"/>
      <c r="X84" s="97"/>
      <c r="Y84" s="14"/>
      <c r="Z84" s="74"/>
      <c r="AD84" s="225">
        <v>37500</v>
      </c>
      <c r="AE84" s="231"/>
      <c r="AF84" s="75">
        <f t="shared" ref="AF84:AF91" si="94">$AH$6</f>
        <v>340</v>
      </c>
      <c r="AG84" s="68"/>
      <c r="AH84" s="75">
        <f t="shared" ref="AH84:AH91" si="95">AD84/AF84</f>
        <v>110.29411764705883</v>
      </c>
      <c r="AI84" s="68"/>
      <c r="AJ84" s="226">
        <f t="shared" ref="AJ84:AJ91" si="96">AH84/$J$10</f>
        <v>7.3775329529805235E-4</v>
      </c>
      <c r="AK84" s="71"/>
      <c r="AL84" s="71"/>
      <c r="AN84" s="69"/>
      <c r="AO84" s="98"/>
      <c r="AQ84" s="98"/>
      <c r="AR84" s="69"/>
      <c r="AS84" s="54"/>
      <c r="AT84" s="21" t="str">
        <f t="shared" ref="AT84:AT91" si="97">IF(AR84="","",AR84/AR$10)</f>
        <v/>
      </c>
      <c r="AU84" s="14"/>
      <c r="AV84" s="97" t="str">
        <f t="shared" ref="AV84:AV91" si="98">IF(AR84="","",AR84-AH84)</f>
        <v/>
      </c>
      <c r="AW84" s="14"/>
      <c r="AX84" s="74" t="str">
        <f t="shared" ref="AX84:AX91" si="99">IF(AR84=0,"",((AR84-AH84)/AH84))</f>
        <v/>
      </c>
      <c r="BB84" s="67">
        <f t="shared" ref="BB84:BB91" si="100">AD84+F84</f>
        <v>62500</v>
      </c>
      <c r="BC84" s="68"/>
      <c r="BD84" s="75">
        <f t="shared" ref="BD84:BD91" si="101">AH84+J84</f>
        <v>183.8235294117647</v>
      </c>
      <c r="BE84" s="68"/>
      <c r="BF84" s="70">
        <f t="shared" ref="BF84:BF91" si="102">BD84/$BD$10</f>
        <v>6.0368975176277402E-4</v>
      </c>
      <c r="BG84" s="71"/>
      <c r="BH84" s="71"/>
      <c r="BJ84" s="72">
        <f t="shared" ref="BJ84:BJ91" si="103">AN84+P84</f>
        <v>0</v>
      </c>
      <c r="BK84" s="54"/>
      <c r="BL84" s="72">
        <f t="shared" ref="BL84:BL92" si="104">AR84+T84</f>
        <v>0</v>
      </c>
      <c r="BM84" s="54"/>
      <c r="BN84" s="35">
        <f t="shared" ref="BN84:BN92" si="105">BL84/$BL$10</f>
        <v>0</v>
      </c>
      <c r="BO84" s="14"/>
      <c r="BP84" s="97"/>
      <c r="BQ84" s="14"/>
      <c r="BR84" s="74"/>
    </row>
    <row r="85" spans="2:72" s="105" customFormat="1" ht="16" customHeight="1">
      <c r="B85" s="224" t="s">
        <v>485</v>
      </c>
      <c r="C85" s="224"/>
      <c r="D85" s="224"/>
      <c r="F85" s="225">
        <v>1250</v>
      </c>
      <c r="G85" s="68"/>
      <c r="H85" s="75">
        <f t="shared" si="91"/>
        <v>340</v>
      </c>
      <c r="I85" s="68"/>
      <c r="J85" s="79">
        <f t="shared" si="92"/>
        <v>3.6764705882352939</v>
      </c>
      <c r="K85" s="68"/>
      <c r="L85" s="70">
        <f t="shared" si="93"/>
        <v>2.4591776509935076E-5</v>
      </c>
      <c r="M85" s="71"/>
      <c r="N85" s="71"/>
      <c r="P85" s="98"/>
      <c r="Q85" s="98"/>
      <c r="S85" s="98"/>
      <c r="T85" s="98"/>
      <c r="U85" s="98"/>
      <c r="V85" s="35"/>
      <c r="W85" s="14"/>
      <c r="X85" s="97"/>
      <c r="Y85" s="14"/>
      <c r="Z85" s="74"/>
      <c r="AD85" s="225">
        <v>1875</v>
      </c>
      <c r="AE85" s="231"/>
      <c r="AF85" s="75">
        <f t="shared" si="94"/>
        <v>340</v>
      </c>
      <c r="AG85" s="68"/>
      <c r="AH85" s="75">
        <f t="shared" si="95"/>
        <v>5.5147058823529411</v>
      </c>
      <c r="AI85" s="68"/>
      <c r="AJ85" s="226">
        <f t="shared" si="96"/>
        <v>3.6887664764902618E-5</v>
      </c>
      <c r="AK85" s="71"/>
      <c r="AL85" s="71"/>
      <c r="AN85" s="69"/>
      <c r="AO85" s="98"/>
      <c r="AQ85" s="98"/>
      <c r="AR85" s="69"/>
      <c r="AS85" s="54"/>
      <c r="AT85" s="21" t="str">
        <f t="shared" si="97"/>
        <v/>
      </c>
      <c r="AU85" s="14"/>
      <c r="AV85" s="97" t="str">
        <f t="shared" si="98"/>
        <v/>
      </c>
      <c r="AW85" s="14"/>
      <c r="AX85" s="74" t="str">
        <f t="shared" si="99"/>
        <v/>
      </c>
      <c r="BB85" s="67">
        <f t="shared" si="100"/>
        <v>3125</v>
      </c>
      <c r="BC85" s="68"/>
      <c r="BD85" s="75">
        <f t="shared" si="101"/>
        <v>9.1911764705882355</v>
      </c>
      <c r="BE85" s="68"/>
      <c r="BF85" s="70">
        <f t="shared" si="102"/>
        <v>3.0184487588138706E-5</v>
      </c>
      <c r="BG85" s="71"/>
      <c r="BH85" s="71"/>
      <c r="BJ85" s="72">
        <f t="shared" si="103"/>
        <v>0</v>
      </c>
      <c r="BK85" s="54"/>
      <c r="BL85" s="72">
        <f t="shared" si="104"/>
        <v>0</v>
      </c>
      <c r="BM85" s="54"/>
      <c r="BN85" s="35">
        <f t="shared" si="105"/>
        <v>0</v>
      </c>
      <c r="BO85" s="14"/>
      <c r="BP85" s="97"/>
      <c r="BQ85" s="14"/>
      <c r="BR85" s="74"/>
    </row>
    <row r="86" spans="2:72" s="105" customFormat="1" ht="16" customHeight="1">
      <c r="B86" s="224" t="s">
        <v>486</v>
      </c>
      <c r="C86" s="224"/>
      <c r="D86" s="224"/>
      <c r="F86" s="225">
        <v>10000</v>
      </c>
      <c r="G86" s="68"/>
      <c r="H86" s="75">
        <f t="shared" si="91"/>
        <v>340</v>
      </c>
      <c r="I86" s="68"/>
      <c r="J86" s="79">
        <f t="shared" si="92"/>
        <v>29.411764705882351</v>
      </c>
      <c r="K86" s="68"/>
      <c r="L86" s="70">
        <f t="shared" si="93"/>
        <v>1.9673421207948061E-4</v>
      </c>
      <c r="M86" s="71"/>
      <c r="N86" s="71"/>
      <c r="P86" s="98"/>
      <c r="Q86" s="98"/>
      <c r="S86" s="98"/>
      <c r="T86" s="98"/>
      <c r="U86" s="98"/>
      <c r="V86" s="35"/>
      <c r="W86" s="14"/>
      <c r="X86" s="97"/>
      <c r="Y86" s="14"/>
      <c r="Z86" s="74"/>
      <c r="AD86" s="225">
        <v>10000</v>
      </c>
      <c r="AE86" s="231"/>
      <c r="AF86" s="75">
        <f t="shared" si="94"/>
        <v>340</v>
      </c>
      <c r="AG86" s="68"/>
      <c r="AH86" s="75">
        <f t="shared" si="95"/>
        <v>29.411764705882351</v>
      </c>
      <c r="AI86" s="68"/>
      <c r="AJ86" s="226">
        <f t="shared" si="96"/>
        <v>1.9673421207948061E-4</v>
      </c>
      <c r="AK86" s="71"/>
      <c r="AL86" s="71"/>
      <c r="AN86" s="69"/>
      <c r="AO86" s="98"/>
      <c r="AQ86" s="98"/>
      <c r="AR86" s="69"/>
      <c r="AS86" s="54"/>
      <c r="AT86" s="21" t="str">
        <f t="shared" si="97"/>
        <v/>
      </c>
      <c r="AU86" s="14"/>
      <c r="AV86" s="97" t="str">
        <f t="shared" si="98"/>
        <v/>
      </c>
      <c r="AW86" s="14"/>
      <c r="AX86" s="74" t="str">
        <f t="shared" si="99"/>
        <v/>
      </c>
      <c r="BB86" s="67">
        <f t="shared" si="100"/>
        <v>20000</v>
      </c>
      <c r="BC86" s="68"/>
      <c r="BD86" s="75">
        <f t="shared" si="101"/>
        <v>58.823529411764703</v>
      </c>
      <c r="BE86" s="68"/>
      <c r="BF86" s="70">
        <f t="shared" si="102"/>
        <v>1.9318072056408769E-4</v>
      </c>
      <c r="BG86" s="71"/>
      <c r="BH86" s="71"/>
      <c r="BJ86" s="72">
        <f t="shared" si="103"/>
        <v>0</v>
      </c>
      <c r="BK86" s="54"/>
      <c r="BL86" s="72">
        <f t="shared" si="104"/>
        <v>0</v>
      </c>
      <c r="BM86" s="54"/>
      <c r="BN86" s="35">
        <f t="shared" si="105"/>
        <v>0</v>
      </c>
      <c r="BO86" s="14"/>
      <c r="BP86" s="97"/>
      <c r="BQ86" s="14"/>
      <c r="BR86" s="74"/>
    </row>
    <row r="87" spans="2:72" s="105" customFormat="1" ht="16" customHeight="1">
      <c r="B87" s="224" t="s">
        <v>487</v>
      </c>
      <c r="C87" s="224"/>
      <c r="D87" s="224"/>
      <c r="F87" s="225">
        <v>12000</v>
      </c>
      <c r="G87" s="68"/>
      <c r="H87" s="75">
        <f t="shared" si="91"/>
        <v>340</v>
      </c>
      <c r="I87" s="68"/>
      <c r="J87" s="79">
        <f t="shared" si="92"/>
        <v>35.294117647058826</v>
      </c>
      <c r="K87" s="68"/>
      <c r="L87" s="70">
        <f t="shared" si="93"/>
        <v>2.3608105449537676E-4</v>
      </c>
      <c r="M87" s="71"/>
      <c r="N87" s="71"/>
      <c r="P87" s="98"/>
      <c r="Q87" s="98"/>
      <c r="S87" s="98"/>
      <c r="T87" s="98"/>
      <c r="U87" s="98"/>
      <c r="V87" s="35"/>
      <c r="W87" s="14"/>
      <c r="X87" s="97"/>
      <c r="Y87" s="14"/>
      <c r="Z87" s="74"/>
      <c r="AD87" s="225">
        <v>18000</v>
      </c>
      <c r="AE87" s="231"/>
      <c r="AF87" s="75">
        <f t="shared" si="94"/>
        <v>340</v>
      </c>
      <c r="AG87" s="68"/>
      <c r="AH87" s="75">
        <f t="shared" si="95"/>
        <v>52.941176470588232</v>
      </c>
      <c r="AI87" s="68"/>
      <c r="AJ87" s="226">
        <f t="shared" si="96"/>
        <v>3.5412158174306512E-4</v>
      </c>
      <c r="AK87" s="71"/>
      <c r="AL87" s="71"/>
      <c r="AN87" s="69"/>
      <c r="AO87" s="98"/>
      <c r="AQ87" s="98"/>
      <c r="AR87" s="69"/>
      <c r="AS87" s="54"/>
      <c r="AT87" s="21" t="str">
        <f t="shared" si="97"/>
        <v/>
      </c>
      <c r="AU87" s="14"/>
      <c r="AV87" s="97" t="str">
        <f t="shared" si="98"/>
        <v/>
      </c>
      <c r="AW87" s="14"/>
      <c r="AX87" s="74" t="str">
        <f t="shared" si="99"/>
        <v/>
      </c>
      <c r="BB87" s="67">
        <f t="shared" si="100"/>
        <v>30000</v>
      </c>
      <c r="BC87" s="68"/>
      <c r="BD87" s="75">
        <f t="shared" si="101"/>
        <v>88.235294117647058</v>
      </c>
      <c r="BE87" s="68"/>
      <c r="BF87" s="70">
        <f t="shared" si="102"/>
        <v>2.8977108084613158E-4</v>
      </c>
      <c r="BG87" s="71"/>
      <c r="BH87" s="71"/>
      <c r="BJ87" s="72">
        <f t="shared" si="103"/>
        <v>0</v>
      </c>
      <c r="BK87" s="54"/>
      <c r="BL87" s="72">
        <f t="shared" si="104"/>
        <v>0</v>
      </c>
      <c r="BM87" s="54"/>
      <c r="BN87" s="35">
        <f t="shared" si="105"/>
        <v>0</v>
      </c>
      <c r="BO87" s="14"/>
      <c r="BP87" s="97"/>
      <c r="BQ87" s="14"/>
      <c r="BR87" s="74"/>
    </row>
    <row r="88" spans="2:72" s="105" customFormat="1" ht="16" customHeight="1">
      <c r="B88" s="224" t="s">
        <v>488</v>
      </c>
      <c r="C88" s="224"/>
      <c r="D88" s="224"/>
      <c r="F88" s="225">
        <v>4000</v>
      </c>
      <c r="G88" s="68"/>
      <c r="H88" s="75">
        <f t="shared" si="91"/>
        <v>340</v>
      </c>
      <c r="I88" s="68"/>
      <c r="J88" s="79">
        <f t="shared" si="92"/>
        <v>11.764705882352942</v>
      </c>
      <c r="K88" s="68"/>
      <c r="L88" s="70">
        <f t="shared" si="93"/>
        <v>7.8693684831792254E-5</v>
      </c>
      <c r="M88" s="71"/>
      <c r="N88" s="71"/>
      <c r="P88" s="98"/>
      <c r="Q88" s="98"/>
      <c r="S88" s="98"/>
      <c r="T88" s="98"/>
      <c r="U88" s="98"/>
      <c r="V88" s="35"/>
      <c r="W88" s="14"/>
      <c r="X88" s="97"/>
      <c r="Y88" s="14"/>
      <c r="Z88" s="74"/>
      <c r="AD88" s="225">
        <v>6000</v>
      </c>
      <c r="AE88" s="231"/>
      <c r="AF88" s="75">
        <f t="shared" si="94"/>
        <v>340</v>
      </c>
      <c r="AG88" s="68"/>
      <c r="AH88" s="75">
        <f t="shared" si="95"/>
        <v>17.647058823529413</v>
      </c>
      <c r="AI88" s="68"/>
      <c r="AJ88" s="226">
        <f t="shared" si="96"/>
        <v>1.1804052724768838E-4</v>
      </c>
      <c r="AK88" s="71"/>
      <c r="AL88" s="71"/>
      <c r="AN88" s="69"/>
      <c r="AO88" s="98"/>
      <c r="AQ88" s="98"/>
      <c r="AR88" s="69"/>
      <c r="AS88" s="54"/>
      <c r="AT88" s="21" t="str">
        <f t="shared" si="97"/>
        <v/>
      </c>
      <c r="AU88" s="14"/>
      <c r="AV88" s="97" t="str">
        <f t="shared" si="98"/>
        <v/>
      </c>
      <c r="AW88" s="14"/>
      <c r="AX88" s="74" t="str">
        <f t="shared" si="99"/>
        <v/>
      </c>
      <c r="BB88" s="67">
        <f t="shared" si="100"/>
        <v>10000</v>
      </c>
      <c r="BC88" s="68"/>
      <c r="BD88" s="75">
        <f t="shared" si="101"/>
        <v>29.411764705882355</v>
      </c>
      <c r="BE88" s="68"/>
      <c r="BF88" s="70">
        <f t="shared" si="102"/>
        <v>9.6590360282043858E-5</v>
      </c>
      <c r="BG88" s="71"/>
      <c r="BH88" s="71"/>
      <c r="BJ88" s="72">
        <f t="shared" si="103"/>
        <v>0</v>
      </c>
      <c r="BK88" s="54"/>
      <c r="BL88" s="72">
        <f t="shared" si="104"/>
        <v>0</v>
      </c>
      <c r="BM88" s="54"/>
      <c r="BN88" s="35">
        <f t="shared" si="105"/>
        <v>0</v>
      </c>
      <c r="BO88" s="14"/>
      <c r="BP88" s="97"/>
      <c r="BQ88" s="14"/>
      <c r="BR88" s="74"/>
    </row>
    <row r="89" spans="2:72" s="105" customFormat="1" ht="16" customHeight="1">
      <c r="B89" s="224" t="s">
        <v>489</v>
      </c>
      <c r="C89" s="224"/>
      <c r="D89" s="224"/>
      <c r="F89" s="225">
        <v>100000</v>
      </c>
      <c r="G89" s="68"/>
      <c r="H89" s="75">
        <f t="shared" si="91"/>
        <v>340</v>
      </c>
      <c r="I89" s="68"/>
      <c r="J89" s="79">
        <f t="shared" si="92"/>
        <v>294.11764705882354</v>
      </c>
      <c r="K89" s="68"/>
      <c r="L89" s="70">
        <f t="shared" si="93"/>
        <v>1.9673421207948064E-3</v>
      </c>
      <c r="M89" s="71"/>
      <c r="N89" s="71"/>
      <c r="P89" s="98"/>
      <c r="Q89" s="98"/>
      <c r="S89" s="98"/>
      <c r="T89" s="98"/>
      <c r="U89" s="98"/>
      <c r="V89" s="35"/>
      <c r="W89" s="14"/>
      <c r="X89" s="97"/>
      <c r="Y89" s="14"/>
      <c r="Z89" s="74"/>
      <c r="AD89" s="225">
        <v>100000</v>
      </c>
      <c r="AE89" s="231"/>
      <c r="AF89" s="75">
        <f t="shared" si="94"/>
        <v>340</v>
      </c>
      <c r="AG89" s="68"/>
      <c r="AH89" s="75">
        <f t="shared" si="95"/>
        <v>294.11764705882354</v>
      </c>
      <c r="AI89" s="68"/>
      <c r="AJ89" s="226">
        <f t="shared" si="96"/>
        <v>1.9673421207948064E-3</v>
      </c>
      <c r="AK89" s="71"/>
      <c r="AL89" s="71"/>
      <c r="AN89" s="69"/>
      <c r="AO89" s="98"/>
      <c r="AQ89" s="98"/>
      <c r="AR89" s="69"/>
      <c r="AS89" s="54"/>
      <c r="AT89" s="21" t="str">
        <f t="shared" si="97"/>
        <v/>
      </c>
      <c r="AU89" s="14"/>
      <c r="AV89" s="97" t="str">
        <f t="shared" si="98"/>
        <v/>
      </c>
      <c r="AW89" s="14"/>
      <c r="AX89" s="74" t="str">
        <f t="shared" si="99"/>
        <v/>
      </c>
      <c r="BB89" s="67">
        <f t="shared" si="100"/>
        <v>200000</v>
      </c>
      <c r="BC89" s="68"/>
      <c r="BD89" s="75">
        <f t="shared" si="101"/>
        <v>588.23529411764707</v>
      </c>
      <c r="BE89" s="68"/>
      <c r="BF89" s="70">
        <f t="shared" si="102"/>
        <v>1.9318072056408772E-3</v>
      </c>
      <c r="BG89" s="71"/>
      <c r="BH89" s="71"/>
      <c r="BJ89" s="72">
        <f t="shared" si="103"/>
        <v>0</v>
      </c>
      <c r="BK89" s="54"/>
      <c r="BL89" s="72">
        <f t="shared" si="104"/>
        <v>0</v>
      </c>
      <c r="BM89" s="54"/>
      <c r="BN89" s="35">
        <f t="shared" si="105"/>
        <v>0</v>
      </c>
      <c r="BO89" s="14"/>
      <c r="BP89" s="97"/>
      <c r="BQ89" s="14"/>
      <c r="BR89" s="74"/>
    </row>
    <row r="90" spans="2:72" s="105" customFormat="1" ht="16" customHeight="1">
      <c r="B90" s="224" t="s">
        <v>490</v>
      </c>
      <c r="C90" s="224"/>
      <c r="D90" s="224"/>
      <c r="F90" s="225">
        <v>10000</v>
      </c>
      <c r="G90" s="68"/>
      <c r="H90" s="75">
        <f t="shared" si="91"/>
        <v>340</v>
      </c>
      <c r="I90" s="68"/>
      <c r="J90" s="79">
        <f t="shared" si="92"/>
        <v>29.411764705882351</v>
      </c>
      <c r="K90" s="68"/>
      <c r="L90" s="70">
        <f t="shared" si="93"/>
        <v>1.9673421207948061E-4</v>
      </c>
      <c r="M90" s="71"/>
      <c r="N90" s="71"/>
      <c r="P90" s="98"/>
      <c r="Q90" s="98"/>
      <c r="S90" s="98"/>
      <c r="T90" s="98"/>
      <c r="U90" s="98"/>
      <c r="V90" s="35"/>
      <c r="W90" s="14"/>
      <c r="X90" s="97"/>
      <c r="Y90" s="14"/>
      <c r="Z90" s="74"/>
      <c r="AD90" s="225">
        <v>15000</v>
      </c>
      <c r="AE90" s="231"/>
      <c r="AF90" s="75">
        <f t="shared" si="94"/>
        <v>340</v>
      </c>
      <c r="AG90" s="68"/>
      <c r="AH90" s="75">
        <f t="shared" si="95"/>
        <v>44.117647058823529</v>
      </c>
      <c r="AI90" s="68"/>
      <c r="AJ90" s="226">
        <f t="shared" si="96"/>
        <v>2.9510131811922094E-4</v>
      </c>
      <c r="AK90" s="71"/>
      <c r="AL90" s="71"/>
      <c r="AN90" s="69"/>
      <c r="AO90" s="98"/>
      <c r="AQ90" s="98"/>
      <c r="AR90" s="69"/>
      <c r="AS90" s="54"/>
      <c r="AT90" s="21" t="str">
        <f t="shared" si="97"/>
        <v/>
      </c>
      <c r="AU90" s="14"/>
      <c r="AV90" s="97" t="str">
        <f t="shared" si="98"/>
        <v/>
      </c>
      <c r="AW90" s="14"/>
      <c r="AX90" s="74" t="str">
        <f t="shared" si="99"/>
        <v/>
      </c>
      <c r="BB90" s="67">
        <f t="shared" si="100"/>
        <v>25000</v>
      </c>
      <c r="BC90" s="68"/>
      <c r="BD90" s="75">
        <f t="shared" si="101"/>
        <v>73.529411764705884</v>
      </c>
      <c r="BE90" s="68"/>
      <c r="BF90" s="70">
        <f t="shared" si="102"/>
        <v>2.4147590070510965E-4</v>
      </c>
      <c r="BG90" s="71"/>
      <c r="BH90" s="71"/>
      <c r="BJ90" s="72">
        <f t="shared" si="103"/>
        <v>0</v>
      </c>
      <c r="BK90" s="54"/>
      <c r="BL90" s="72">
        <f t="shared" si="104"/>
        <v>0</v>
      </c>
      <c r="BM90" s="54"/>
      <c r="BN90" s="35">
        <f t="shared" si="105"/>
        <v>0</v>
      </c>
      <c r="BO90" s="14"/>
      <c r="BP90" s="97"/>
      <c r="BQ90" s="14"/>
      <c r="BR90" s="74"/>
    </row>
    <row r="91" spans="2:72" s="105" customFormat="1" ht="16" customHeight="1">
      <c r="B91" s="224" t="s">
        <v>491</v>
      </c>
      <c r="C91" s="224"/>
      <c r="D91" s="224"/>
      <c r="F91" s="225">
        <v>2000</v>
      </c>
      <c r="G91" s="68"/>
      <c r="H91" s="75">
        <f t="shared" si="91"/>
        <v>340</v>
      </c>
      <c r="I91" s="68"/>
      <c r="J91" s="79">
        <f t="shared" si="92"/>
        <v>5.882352941176471</v>
      </c>
      <c r="K91" s="68"/>
      <c r="L91" s="70">
        <f t="shared" si="93"/>
        <v>3.9346842415896127E-5</v>
      </c>
      <c r="M91" s="71"/>
      <c r="N91" s="71"/>
      <c r="P91" s="98"/>
      <c r="Q91" s="98"/>
      <c r="S91" s="98"/>
      <c r="T91" s="98"/>
      <c r="U91" s="98"/>
      <c r="V91" s="35"/>
      <c r="W91" s="14"/>
      <c r="X91" s="97"/>
      <c r="Y91" s="14"/>
      <c r="Z91" s="74"/>
      <c r="AD91" s="225">
        <v>3000</v>
      </c>
      <c r="AE91" s="231"/>
      <c r="AF91" s="75">
        <f t="shared" si="94"/>
        <v>340</v>
      </c>
      <c r="AG91" s="68"/>
      <c r="AH91" s="75">
        <f t="shared" si="95"/>
        <v>8.8235294117647065</v>
      </c>
      <c r="AI91" s="68"/>
      <c r="AJ91" s="226">
        <f t="shared" si="96"/>
        <v>5.9020263623844191E-5</v>
      </c>
      <c r="AK91" s="71"/>
      <c r="AL91" s="71"/>
      <c r="AN91" s="69"/>
      <c r="AO91" s="98"/>
      <c r="AQ91" s="98"/>
      <c r="AR91" s="69"/>
      <c r="AS91" s="54"/>
      <c r="AT91" s="21" t="str">
        <f t="shared" si="97"/>
        <v/>
      </c>
      <c r="AU91" s="14"/>
      <c r="AV91" s="97" t="str">
        <f t="shared" si="98"/>
        <v/>
      </c>
      <c r="AW91" s="14"/>
      <c r="AX91" s="74" t="str">
        <f t="shared" si="99"/>
        <v/>
      </c>
      <c r="BB91" s="67">
        <f t="shared" si="100"/>
        <v>5000</v>
      </c>
      <c r="BC91" s="68"/>
      <c r="BD91" s="75">
        <f t="shared" si="101"/>
        <v>14.705882352941178</v>
      </c>
      <c r="BE91" s="68"/>
      <c r="BF91" s="70">
        <f t="shared" si="102"/>
        <v>4.8295180141021929E-5</v>
      </c>
      <c r="BG91" s="71"/>
      <c r="BH91" s="71"/>
      <c r="BJ91" s="72">
        <f t="shared" si="103"/>
        <v>0</v>
      </c>
      <c r="BK91" s="54"/>
      <c r="BL91" s="72">
        <f t="shared" si="104"/>
        <v>0</v>
      </c>
      <c r="BM91" s="54"/>
      <c r="BN91" s="35">
        <f t="shared" si="105"/>
        <v>0</v>
      </c>
      <c r="BO91" s="14"/>
      <c r="BP91" s="97"/>
      <c r="BQ91" s="14"/>
      <c r="BR91" s="74"/>
    </row>
    <row r="92" spans="2:72" s="105" customFormat="1" ht="16" customHeight="1" thickBot="1">
      <c r="B92" s="227" t="s">
        <v>492</v>
      </c>
      <c r="C92" s="227"/>
      <c r="D92" s="227"/>
      <c r="F92" s="228">
        <f>SUM(F84:F91)</f>
        <v>164250</v>
      </c>
      <c r="G92" s="68"/>
      <c r="H92" s="68"/>
      <c r="I92" s="68"/>
      <c r="J92" s="78">
        <f>SUM(J84:J91)</f>
        <v>483.08823529411768</v>
      </c>
      <c r="K92" s="68"/>
      <c r="L92" s="229">
        <f>SUM(L84:L91)</f>
        <v>3.2313594334054696E-3</v>
      </c>
      <c r="M92" s="71"/>
      <c r="N92" s="71"/>
      <c r="P92" s="230">
        <v>826155</v>
      </c>
      <c r="Q92" s="98"/>
      <c r="R92" s="111">
        <v>407</v>
      </c>
      <c r="S92" s="98"/>
      <c r="T92" s="114">
        <f>P92/R92</f>
        <v>2029.8648648648648</v>
      </c>
      <c r="U92" s="98"/>
      <c r="V92" s="83">
        <f t="shared" ref="V92" si="106">T92/$T$10</f>
        <v>1.316128421749896E-2</v>
      </c>
      <c r="W92" s="14"/>
      <c r="X92" s="84">
        <f t="shared" ref="X92" si="107">T92-J92</f>
        <v>1546.776629570747</v>
      </c>
      <c r="Y92" s="14"/>
      <c r="Z92" s="85">
        <f t="shared" ref="Z92" si="108">X92/J92</f>
        <v>3.2018511662347273</v>
      </c>
      <c r="AD92" s="228">
        <f>SUM(AD84:AD91)</f>
        <v>191375</v>
      </c>
      <c r="AE92" s="231"/>
      <c r="AF92" s="68"/>
      <c r="AG92" s="68"/>
      <c r="AH92" s="232">
        <f>SUM(AH84:AH91)</f>
        <v>562.86764705882354</v>
      </c>
      <c r="AI92" s="68"/>
      <c r="AJ92" s="233">
        <f>SUM(AJ84:AJ91)</f>
        <v>3.7650009836710605E-3</v>
      </c>
      <c r="AK92" s="71"/>
      <c r="AL92" s="71"/>
      <c r="AN92" s="78">
        <f>SUM(AN84:AN91)</f>
        <v>0</v>
      </c>
      <c r="AO92" s="98"/>
      <c r="AQ92" s="98"/>
      <c r="AR92" s="78">
        <f>SUM(AR84:AR91)</f>
        <v>0</v>
      </c>
      <c r="AS92" s="54"/>
      <c r="AT92" s="83">
        <f>SUM(AT84:AT91)</f>
        <v>0</v>
      </c>
      <c r="AU92" s="14"/>
      <c r="AV92" s="84">
        <f>SUM(AV84:AV91)</f>
        <v>0</v>
      </c>
      <c r="AW92" s="14"/>
      <c r="AX92" s="85" t="str">
        <f>IF(COUNT(AN84:AN91)=8,((AR92-AH92)/AH92),"")</f>
        <v/>
      </c>
      <c r="BB92" s="228">
        <f>SUM(BB84:BB91)</f>
        <v>355625</v>
      </c>
      <c r="BC92" s="68"/>
      <c r="BD92" s="232">
        <f>SUM(BD84:BD91)</f>
        <v>1045.9558823529412</v>
      </c>
      <c r="BE92" s="68"/>
      <c r="BF92" s="233">
        <f>SUM(BF84:BF91)</f>
        <v>3.4349946875301845E-3</v>
      </c>
      <c r="BG92" s="71"/>
      <c r="BH92" s="71"/>
      <c r="BJ92" s="114">
        <v>287000</v>
      </c>
      <c r="BK92" s="98"/>
      <c r="BL92" s="114">
        <f t="shared" si="104"/>
        <v>2029.8648648648648</v>
      </c>
      <c r="BM92" s="98"/>
      <c r="BN92" s="83">
        <f t="shared" si="105"/>
        <v>5.1489355575802575E-3</v>
      </c>
      <c r="BO92" s="54"/>
      <c r="BP92" s="84">
        <f>BL92-BD92</f>
        <v>983.90898251192357</v>
      </c>
      <c r="BQ92" s="14"/>
      <c r="BR92" s="84">
        <f>SUM(BR84:BR91)</f>
        <v>0</v>
      </c>
      <c r="BS92" s="14"/>
      <c r="BT92" s="216"/>
    </row>
    <row r="93" spans="2:72" s="105" customFormat="1" ht="16" customHeight="1">
      <c r="B93" s="227"/>
      <c r="C93" s="227"/>
      <c r="D93" s="227"/>
      <c r="F93" s="235"/>
      <c r="G93" s="68"/>
      <c r="H93" s="68"/>
      <c r="I93" s="68"/>
      <c r="J93" s="75"/>
      <c r="K93" s="68"/>
      <c r="L93" s="70"/>
      <c r="M93" s="71"/>
      <c r="N93" s="71"/>
      <c r="P93" s="98"/>
      <c r="Q93" s="98"/>
      <c r="S93" s="98"/>
      <c r="T93" s="98"/>
      <c r="U93" s="98"/>
      <c r="V93" s="35"/>
      <c r="W93" s="14"/>
      <c r="X93" s="97"/>
      <c r="Y93" s="14"/>
      <c r="Z93" s="74"/>
      <c r="AD93" s="235"/>
      <c r="AE93" s="231"/>
      <c r="AF93" s="68"/>
      <c r="AG93" s="68"/>
      <c r="AH93" s="75"/>
      <c r="AI93" s="68"/>
      <c r="AJ93" s="226"/>
      <c r="AK93" s="71"/>
      <c r="AL93" s="71"/>
      <c r="AN93" s="98"/>
      <c r="AO93" s="98"/>
      <c r="AQ93" s="98"/>
      <c r="AR93" s="96"/>
      <c r="AS93" s="54"/>
      <c r="AT93" s="35"/>
      <c r="AU93" s="14"/>
      <c r="AV93" s="97"/>
      <c r="AW93" s="14"/>
      <c r="AX93" s="74"/>
      <c r="BB93" s="235"/>
      <c r="BC93" s="68"/>
      <c r="BD93" s="75"/>
      <c r="BE93" s="68"/>
      <c r="BF93" s="226"/>
      <c r="BG93" s="71"/>
      <c r="BH93" s="71"/>
      <c r="BJ93" s="98"/>
      <c r="BL93" s="96"/>
      <c r="BM93" s="54"/>
      <c r="BN93" s="35"/>
      <c r="BO93" s="14"/>
      <c r="BP93" s="14"/>
      <c r="BQ93" s="14"/>
      <c r="BR93" s="74"/>
    </row>
    <row r="94" spans="2:72" s="105" customFormat="1" ht="16" customHeight="1">
      <c r="B94" s="227" t="s">
        <v>493</v>
      </c>
      <c r="C94" s="227"/>
      <c r="D94" s="227"/>
      <c r="F94" s="235"/>
      <c r="G94" s="68"/>
      <c r="H94" s="68"/>
      <c r="I94" s="68"/>
      <c r="J94" s="75"/>
      <c r="K94" s="68"/>
      <c r="L94" s="70"/>
      <c r="M94" s="71"/>
      <c r="N94" s="71"/>
      <c r="P94" s="98"/>
      <c r="Q94" s="98"/>
      <c r="S94" s="98"/>
      <c r="T94" s="98"/>
      <c r="U94" s="98"/>
      <c r="V94" s="35"/>
      <c r="W94" s="14"/>
      <c r="X94" s="97"/>
      <c r="Y94" s="14"/>
      <c r="Z94" s="74"/>
      <c r="AD94" s="235"/>
      <c r="AE94" s="231"/>
      <c r="AF94" s="68"/>
      <c r="AG94" s="68"/>
      <c r="AH94" s="75"/>
      <c r="AI94" s="68"/>
      <c r="AJ94" s="226"/>
      <c r="AK94" s="71"/>
      <c r="AL94" s="71"/>
      <c r="AN94" s="98"/>
      <c r="AO94" s="98"/>
      <c r="AQ94" s="98"/>
      <c r="AR94" s="96"/>
      <c r="AS94" s="54"/>
      <c r="AT94" s="35"/>
      <c r="AU94" s="14"/>
      <c r="AV94" s="97"/>
      <c r="AW94" s="14"/>
      <c r="AX94" s="74"/>
      <c r="BB94" s="235"/>
      <c r="BC94" s="68"/>
      <c r="BD94" s="75"/>
      <c r="BE94" s="68"/>
      <c r="BF94" s="226"/>
      <c r="BG94" s="71"/>
      <c r="BH94" s="71"/>
      <c r="BJ94" s="98"/>
      <c r="BL94" s="96"/>
      <c r="BM94" s="54"/>
      <c r="BN94" s="35"/>
      <c r="BO94" s="14"/>
      <c r="BP94" s="14"/>
      <c r="BQ94" s="14"/>
      <c r="BR94" s="74"/>
    </row>
    <row r="95" spans="2:72" s="105" customFormat="1" ht="16" customHeight="1">
      <c r="B95" s="238" t="s">
        <v>373</v>
      </c>
      <c r="C95" s="238"/>
      <c r="D95" s="238"/>
      <c r="F95" s="95">
        <v>11000</v>
      </c>
      <c r="G95" s="68"/>
      <c r="H95" s="111">
        <v>407</v>
      </c>
      <c r="I95" s="68"/>
      <c r="J95" s="79">
        <f t="shared" ref="J95:J96" si="109">F95/H95</f>
        <v>27.027027027027028</v>
      </c>
      <c r="K95" s="68"/>
      <c r="L95" s="70">
        <f t="shared" ref="L95:L96" si="110">J95/$J$10</f>
        <v>1.8078278947844165E-4</v>
      </c>
      <c r="M95" s="71"/>
      <c r="N95" s="71"/>
      <c r="P95" s="69">
        <v>11000</v>
      </c>
      <c r="Q95" s="98"/>
      <c r="R95" s="111">
        <v>407</v>
      </c>
      <c r="S95" s="98"/>
      <c r="T95" s="98">
        <f>P95/R95</f>
        <v>27.027027027027028</v>
      </c>
      <c r="U95" s="98"/>
      <c r="V95" s="35">
        <f t="shared" ref="V95:V96" si="111">T95/$T$10</f>
        <v>1.7523845572863273E-4</v>
      </c>
      <c r="W95" s="14"/>
      <c r="X95" s="97">
        <f t="shared" ref="X95:X96" si="112">T95-J95</f>
        <v>0</v>
      </c>
      <c r="Y95" s="14"/>
      <c r="Z95" s="74">
        <f t="shared" ref="Z95:Z96" si="113">X95/J95</f>
        <v>0</v>
      </c>
      <c r="AD95" s="95">
        <v>11000</v>
      </c>
      <c r="AE95" s="68"/>
      <c r="AF95" s="111">
        <v>407</v>
      </c>
      <c r="AG95" s="68"/>
      <c r="AH95" s="79">
        <f t="shared" ref="AH95:AH96" si="114">AD95/AF95</f>
        <v>27.027027027027028</v>
      </c>
      <c r="AI95" s="68"/>
      <c r="AJ95" s="70">
        <f t="shared" ref="AJ95:AJ96" si="115">AH95/$J$10</f>
        <v>1.8078278947844165E-4</v>
      </c>
      <c r="AK95" s="71"/>
      <c r="AL95" s="71"/>
      <c r="AN95" s="69"/>
      <c r="AO95" s="98"/>
      <c r="AQ95" s="98"/>
      <c r="AR95" s="69"/>
      <c r="AS95" s="54"/>
      <c r="AT95" s="35" t="str">
        <f t="shared" ref="AT95:AT96" si="116">IF(AR95="","",AR95/AR$10)</f>
        <v/>
      </c>
      <c r="AU95" s="14"/>
      <c r="AV95" s="97" t="str">
        <f t="shared" ref="AV95:AV96" si="117">IF(AR95="","",AR95-AH95)</f>
        <v/>
      </c>
      <c r="AW95" s="14"/>
      <c r="AX95" s="74" t="str">
        <f t="shared" ref="AX95:AX96" si="118">IF(AR95=0,"",((AR95-AH95)/AH95))</f>
        <v/>
      </c>
      <c r="BB95" s="235"/>
      <c r="BC95" s="68"/>
      <c r="BD95" s="75"/>
      <c r="BE95" s="68"/>
      <c r="BF95" s="226"/>
      <c r="BG95" s="71"/>
      <c r="BH95" s="71"/>
      <c r="BJ95" s="72">
        <f t="shared" ref="BJ95:BJ96" si="119">AN95+P95</f>
        <v>11000</v>
      </c>
      <c r="BK95" s="54"/>
      <c r="BL95" s="72">
        <f t="shared" ref="BL95:BL97" si="120">AR95+T95</f>
        <v>27.027027027027028</v>
      </c>
      <c r="BM95" s="54"/>
      <c r="BN95" s="35">
        <f t="shared" ref="BN95:BN96" si="121">BL95/$BL$10</f>
        <v>6.855649500805882E-5</v>
      </c>
      <c r="BO95" s="14"/>
      <c r="BP95" s="97"/>
      <c r="BQ95" s="14"/>
      <c r="BR95" s="74" t="str">
        <f t="shared" ref="BR95:BR96" si="122">IF(BB95=0,"",((BL95-BD95)/BD95))</f>
        <v/>
      </c>
    </row>
    <row r="96" spans="2:72" s="105" customFormat="1" ht="16" customHeight="1">
      <c r="B96" s="238" t="s">
        <v>494</v>
      </c>
      <c r="C96" s="238"/>
      <c r="D96" s="238"/>
      <c r="F96" s="95">
        <v>407000</v>
      </c>
      <c r="G96" s="68"/>
      <c r="H96" s="111">
        <v>407</v>
      </c>
      <c r="I96" s="68"/>
      <c r="J96" s="79">
        <f t="shared" si="109"/>
        <v>1000</v>
      </c>
      <c r="K96" s="68"/>
      <c r="L96" s="70">
        <f t="shared" si="110"/>
        <v>6.688963210702341E-3</v>
      </c>
      <c r="M96" s="71"/>
      <c r="N96" s="71"/>
      <c r="P96" s="69">
        <v>407000</v>
      </c>
      <c r="Q96" s="98"/>
      <c r="R96" s="111">
        <v>407</v>
      </c>
      <c r="S96" s="98"/>
      <c r="T96" s="98">
        <f>P96/R96</f>
        <v>1000</v>
      </c>
      <c r="U96" s="98"/>
      <c r="V96" s="35">
        <f t="shared" si="111"/>
        <v>6.4838228619594112E-3</v>
      </c>
      <c r="W96" s="14"/>
      <c r="X96" s="97">
        <f t="shared" si="112"/>
        <v>0</v>
      </c>
      <c r="Y96" s="14"/>
      <c r="Z96" s="74">
        <f t="shared" si="113"/>
        <v>0</v>
      </c>
      <c r="AD96" s="95">
        <v>407000</v>
      </c>
      <c r="AE96" s="68"/>
      <c r="AF96" s="111">
        <v>407</v>
      </c>
      <c r="AG96" s="68"/>
      <c r="AH96" s="79">
        <f t="shared" si="114"/>
        <v>1000</v>
      </c>
      <c r="AI96" s="68"/>
      <c r="AJ96" s="70">
        <f t="shared" si="115"/>
        <v>6.688963210702341E-3</v>
      </c>
      <c r="AK96" s="71"/>
      <c r="AL96" s="71"/>
      <c r="AN96" s="69"/>
      <c r="AO96" s="98"/>
      <c r="AQ96" s="98"/>
      <c r="AR96" s="69"/>
      <c r="AS96" s="54"/>
      <c r="AT96" s="35" t="str">
        <f t="shared" si="116"/>
        <v/>
      </c>
      <c r="AU96" s="14"/>
      <c r="AV96" s="97" t="str">
        <f t="shared" si="117"/>
        <v/>
      </c>
      <c r="AW96" s="14"/>
      <c r="AX96" s="74" t="str">
        <f t="shared" si="118"/>
        <v/>
      </c>
      <c r="BB96" s="235"/>
      <c r="BC96" s="68"/>
      <c r="BD96" s="75"/>
      <c r="BE96" s="68"/>
      <c r="BF96" s="226"/>
      <c r="BG96" s="71"/>
      <c r="BH96" s="71"/>
      <c r="BJ96" s="72">
        <f t="shared" si="119"/>
        <v>407000</v>
      </c>
      <c r="BK96" s="54"/>
      <c r="BL96" s="72">
        <f t="shared" si="120"/>
        <v>1000</v>
      </c>
      <c r="BM96" s="54"/>
      <c r="BN96" s="35">
        <f t="shared" si="121"/>
        <v>2.536590315298176E-3</v>
      </c>
      <c r="BO96" s="14"/>
      <c r="BP96" s="97"/>
      <c r="BQ96" s="14"/>
      <c r="BR96" s="74" t="str">
        <f t="shared" si="122"/>
        <v/>
      </c>
    </row>
    <row r="97" spans="2:70" s="105" customFormat="1" thickBot="1">
      <c r="B97" s="227" t="s">
        <v>495</v>
      </c>
      <c r="C97" s="227"/>
      <c r="D97" s="227"/>
      <c r="F97" s="239">
        <f>SUM(F95:F96)</f>
        <v>418000</v>
      </c>
      <c r="G97" s="68"/>
      <c r="H97" s="68"/>
      <c r="I97" s="68"/>
      <c r="J97" s="78">
        <f>SUM(J95:J96)</f>
        <v>1027.0270270270271</v>
      </c>
      <c r="K97" s="68"/>
      <c r="L97" s="229">
        <f>SUM(L89:L96)</f>
        <v>1.2304528608876436E-2</v>
      </c>
      <c r="M97" s="71"/>
      <c r="N97" s="71"/>
      <c r="P97" s="114">
        <f>SUM(P95:P96)</f>
        <v>418000</v>
      </c>
      <c r="Q97" s="98"/>
      <c r="R97" s="111"/>
      <c r="S97" s="98"/>
      <c r="T97" s="114">
        <f>SUM(T95:T96)</f>
        <v>1027.0270270270271</v>
      </c>
      <c r="U97" s="98"/>
      <c r="V97" s="83">
        <f>SUM(V95:V96)</f>
        <v>6.6590613176880442E-3</v>
      </c>
      <c r="W97" s="14"/>
      <c r="X97" s="84">
        <f>SUM(X95:X96)</f>
        <v>0</v>
      </c>
      <c r="Y97" s="14"/>
      <c r="Z97" s="85">
        <f>X97/J97</f>
        <v>0</v>
      </c>
      <c r="AD97" s="239">
        <f>SUM(AD95:AD96)</f>
        <v>418000</v>
      </c>
      <c r="AE97" s="68"/>
      <c r="AF97" s="68"/>
      <c r="AG97" s="68"/>
      <c r="AH97" s="78">
        <f>SUM(AH95:AH96)</f>
        <v>1027.0270270270271</v>
      </c>
      <c r="AI97" s="68"/>
      <c r="AJ97" s="229">
        <f>SUM(AJ89:AJ96)</f>
        <v>1.2956210686389715E-2</v>
      </c>
      <c r="AK97" s="71"/>
      <c r="AL97" s="71"/>
      <c r="AN97" s="114">
        <f>SUM(AN95:AN96)</f>
        <v>0</v>
      </c>
      <c r="AO97" s="98"/>
      <c r="AQ97" s="98"/>
      <c r="AR97" s="114">
        <f>SUM(AR95:AR96)</f>
        <v>0</v>
      </c>
      <c r="AS97" s="54"/>
      <c r="AT97" s="83">
        <f>SUM(AT95:AT96)</f>
        <v>0</v>
      </c>
      <c r="AU97" s="14"/>
      <c r="AV97" s="84">
        <f>SUM(AV95:AV96)</f>
        <v>0</v>
      </c>
      <c r="AW97" s="14"/>
      <c r="AX97" s="216" t="str">
        <f>IF(COUNT(AN95:AN96)=2,((AR97-AH97)/AH97),"")</f>
        <v/>
      </c>
      <c r="BB97" s="235"/>
      <c r="BC97" s="68"/>
      <c r="BD97" s="75"/>
      <c r="BE97" s="68"/>
      <c r="BF97" s="226"/>
      <c r="BG97" s="71"/>
      <c r="BH97" s="71"/>
      <c r="BJ97" s="114">
        <f>SUM(BJ95:BJ96)</f>
        <v>418000</v>
      </c>
      <c r="BK97" s="98"/>
      <c r="BL97" s="114">
        <f t="shared" si="120"/>
        <v>1027.0270270270271</v>
      </c>
      <c r="BM97" s="98"/>
      <c r="BN97" s="240">
        <f>SUM(BN95:BN96)</f>
        <v>2.6051468103062349E-3</v>
      </c>
      <c r="BO97" s="54"/>
      <c r="BP97" s="84">
        <f>BL97-BD97</f>
        <v>1027.0270270270271</v>
      </c>
      <c r="BQ97" s="14"/>
      <c r="BR97" s="84">
        <f>SUM(BR95:BR96)</f>
        <v>0</v>
      </c>
    </row>
    <row r="98" spans="2:70" s="105" customFormat="1" ht="15">
      <c r="B98" s="117"/>
      <c r="C98" s="117"/>
      <c r="D98" s="117"/>
      <c r="F98" s="222"/>
      <c r="G98" s="68"/>
      <c r="H98" s="68"/>
      <c r="I98" s="68"/>
      <c r="J98" s="75"/>
      <c r="K98" s="68"/>
      <c r="L98" s="70"/>
      <c r="M98" s="71"/>
      <c r="N98" s="71"/>
      <c r="P98" s="98"/>
      <c r="Q98" s="98"/>
      <c r="S98" s="98"/>
      <c r="T98" s="98"/>
      <c r="U98" s="98"/>
      <c r="V98" s="35"/>
      <c r="W98" s="14"/>
      <c r="X98" s="97"/>
      <c r="Y98" s="14"/>
      <c r="Z98" s="74"/>
      <c r="AD98" s="222"/>
      <c r="AE98" s="98"/>
      <c r="AF98" s="68"/>
      <c r="AG98" s="68"/>
      <c r="AH98" s="75"/>
      <c r="AI98" s="68"/>
      <c r="AJ98" s="70"/>
      <c r="AK98" s="71"/>
      <c r="AL98" s="71"/>
      <c r="AN98" s="98"/>
      <c r="AO98" s="98"/>
      <c r="AQ98" s="98"/>
      <c r="AR98" s="96"/>
      <c r="AS98" s="54"/>
      <c r="AT98" s="35"/>
      <c r="AU98" s="14"/>
      <c r="AV98" s="97"/>
      <c r="AW98" s="14"/>
      <c r="AX98" s="74"/>
      <c r="BB98" s="67"/>
      <c r="BC98" s="68"/>
      <c r="BD98" s="75"/>
      <c r="BE98" s="68"/>
      <c r="BF98" s="70"/>
      <c r="BG98" s="71"/>
      <c r="BH98" s="71"/>
      <c r="BJ98" s="98"/>
      <c r="BL98" s="96"/>
      <c r="BM98" s="54"/>
      <c r="BN98" s="35"/>
      <c r="BO98" s="14"/>
      <c r="BP98" s="14"/>
      <c r="BQ98" s="14"/>
      <c r="BR98" s="74"/>
    </row>
    <row r="99" spans="2:70" s="33" customFormat="1" thickBot="1">
      <c r="B99" s="200" t="s">
        <v>496</v>
      </c>
      <c r="C99" s="263"/>
      <c r="D99" s="263"/>
      <c r="F99" s="77">
        <f>F97+F92+F81+F77+F70</f>
        <v>3198750</v>
      </c>
      <c r="G99" s="105"/>
      <c r="H99" s="105"/>
      <c r="I99" s="105"/>
      <c r="J99" s="78">
        <f>J97+J92+J81+J77+J70</f>
        <v>9205.7034976152627</v>
      </c>
      <c r="K99" s="79"/>
      <c r="L99" s="80">
        <f>L92+L81+L77+L70</f>
        <v>5.4706866024001571E-2</v>
      </c>
      <c r="M99" s="81"/>
      <c r="N99" s="82">
        <f>J99/J$118</f>
        <v>4.8893073175054133E-2</v>
      </c>
      <c r="P99" s="78">
        <f>P97+P92+P81+P77+P70</f>
        <v>3280733</v>
      </c>
      <c r="Q99" s="98"/>
      <c r="R99" s="105"/>
      <c r="S99" s="98"/>
      <c r="T99" s="78">
        <f>T97+T92+T81+T77+T70</f>
        <v>8060.7690417690419</v>
      </c>
      <c r="U99" s="79"/>
      <c r="V99" s="241">
        <f>V97+V92+V81+V77+V70</f>
        <v>5.2264598597996773E-2</v>
      </c>
      <c r="X99" s="242">
        <f>X97+X92+X81+X77+X70</f>
        <v>-1144.934455846221</v>
      </c>
      <c r="Y99" s="14"/>
      <c r="Z99" s="85">
        <f t="shared" ref="Z99" si="123">X99/J99</f>
        <v>-0.12437229334431814</v>
      </c>
      <c r="AD99" s="77">
        <f>AD97+AD92+AD81+AD77+AD70</f>
        <v>4437575</v>
      </c>
      <c r="AE99" s="98"/>
      <c r="AF99" s="105"/>
      <c r="AG99" s="105"/>
      <c r="AH99" s="78">
        <f>AH97+AH92+AH81+AH77+AH70</f>
        <v>12849.306438791733</v>
      </c>
      <c r="AI99" s="79"/>
      <c r="AJ99" s="80">
        <f>AJ97+AJ92+AJ81+AJ77+AJ70</f>
        <v>9.2035002738327543E-2</v>
      </c>
      <c r="AK99" s="81"/>
      <c r="AL99" s="82">
        <f>AH99/AH$118</f>
        <v>4.8097566812604541E-2</v>
      </c>
      <c r="AN99" s="78">
        <f>AN97+AN92+AN81+AN77+AN70</f>
        <v>0</v>
      </c>
      <c r="AO99" s="98"/>
      <c r="AP99" s="105"/>
      <c r="AQ99" s="98"/>
      <c r="AR99" s="78">
        <f>AR97+AR92+AR81+AR77+AR70</f>
        <v>0</v>
      </c>
      <c r="AS99" s="79"/>
      <c r="AT99" s="218">
        <f>AT97+AT92+AT81+AT77+AT70</f>
        <v>0</v>
      </c>
      <c r="AV99" s="242">
        <f>AV97+AV92+AV81+AV77+AV70</f>
        <v>0</v>
      </c>
      <c r="AX99" s="85">
        <f t="shared" ref="AX99" si="124">AV99/AH99</f>
        <v>0</v>
      </c>
      <c r="BB99" s="77">
        <f>BB92+BB81+BB77+BB70</f>
        <v>6800325</v>
      </c>
      <c r="BC99" s="105"/>
      <c r="BD99" s="78">
        <f>BD92+BD81+BD77+BD70</f>
        <v>20000.955882352944</v>
      </c>
      <c r="BE99" s="79"/>
      <c r="BF99" s="80">
        <f>BF92+BF81+BF77+BF70</f>
        <v>6.5684584178498984E-2</v>
      </c>
      <c r="BG99" s="81"/>
      <c r="BH99" s="82">
        <f>BD99/BD$118</f>
        <v>4.4115294720490132E-2</v>
      </c>
      <c r="BJ99" s="78">
        <f>BJ97+BJ92+BJ81+BJ77+BJ70</f>
        <v>1566000</v>
      </c>
      <c r="BK99" s="105"/>
      <c r="BL99" s="78">
        <f>BL97+BL92+BL81+BL77+BL70</f>
        <v>8060.7690417690419</v>
      </c>
      <c r="BM99" s="79"/>
      <c r="BN99" s="218">
        <f>BN97+BN92+BN81+BN77+BN70</f>
        <v>2.0446868685206714E-2</v>
      </c>
      <c r="BR99" s="85" t="str">
        <f>IF(COUNT(#REF!)=6,((BJ99-BB99)/BB99),"")</f>
        <v/>
      </c>
    </row>
    <row r="100" spans="2:70" s="33" customFormat="1" ht="15">
      <c r="B100" s="115"/>
      <c r="C100" s="115"/>
      <c r="D100" s="115"/>
      <c r="F100" s="104"/>
      <c r="G100" s="105"/>
      <c r="H100" s="105"/>
      <c r="I100" s="105"/>
      <c r="J100" s="105"/>
      <c r="K100" s="105"/>
      <c r="L100" s="106"/>
      <c r="P100" s="96"/>
      <c r="Q100" s="96"/>
      <c r="R100" s="105"/>
      <c r="S100" s="96"/>
      <c r="T100" s="96"/>
      <c r="U100" s="96"/>
      <c r="V100" s="107"/>
      <c r="X100" s="108"/>
      <c r="Z100" s="109"/>
      <c r="AD100" s="104"/>
      <c r="AE100" s="105"/>
      <c r="AF100" s="105"/>
      <c r="AG100" s="105"/>
      <c r="AH100" s="105"/>
      <c r="AI100" s="105"/>
      <c r="AJ100" s="106"/>
      <c r="AN100" s="96"/>
      <c r="AO100" s="96"/>
      <c r="AP100" s="105"/>
      <c r="AQ100" s="96"/>
      <c r="AR100" s="96"/>
      <c r="AS100" s="105"/>
      <c r="AT100" s="107"/>
      <c r="AV100" s="108"/>
      <c r="AX100" s="109"/>
      <c r="BB100" s="104"/>
      <c r="BC100" s="105"/>
      <c r="BD100" s="105"/>
      <c r="BE100" s="105"/>
      <c r="BF100" s="106"/>
      <c r="BJ100" s="96"/>
      <c r="BK100" s="105"/>
      <c r="BL100" s="96"/>
      <c r="BM100" s="105"/>
      <c r="BN100" s="107"/>
      <c r="BR100" s="109"/>
    </row>
    <row r="101" spans="2:70" thickBot="1">
      <c r="B101" s="118" t="s">
        <v>374</v>
      </c>
      <c r="C101" s="134"/>
      <c r="D101" s="134"/>
      <c r="F101" s="119">
        <f>SUM(F21+F37+F56+F99)</f>
        <v>40997407.18</v>
      </c>
      <c r="G101" s="75"/>
      <c r="H101" s="75"/>
      <c r="I101" s="75"/>
      <c r="J101" s="120">
        <f>SUM(J21+J37+J56+J99)</f>
        <v>134871.67691284869</v>
      </c>
      <c r="K101" s="121"/>
      <c r="L101" s="122">
        <f>SUM(L21+L37+L56+L99)</f>
        <v>0.89528193903559627</v>
      </c>
      <c r="M101" s="123"/>
      <c r="N101" s="82">
        <f>J101/J$118</f>
        <v>0.71632665230315329</v>
      </c>
      <c r="P101" s="124">
        <f>SUM(P21+P37+P56+P99)</f>
        <v>68680066</v>
      </c>
      <c r="Q101" s="128"/>
      <c r="R101" s="75"/>
      <c r="S101" s="128"/>
      <c r="T101" s="124">
        <f>SUM(T21+T37+T56+T99)</f>
        <v>181252.74201474199</v>
      </c>
      <c r="U101" s="243"/>
      <c r="V101" s="125">
        <f>SUM(V21+V37+V56+V99)</f>
        <v>1.1752106724680154</v>
      </c>
      <c r="X101" s="84">
        <f t="shared" ref="X101" si="125">T101-J101</f>
        <v>46381.065101893299</v>
      </c>
      <c r="Z101" s="85">
        <f t="shared" ref="Z101" si="126">X101/J101</f>
        <v>0.34389032718755169</v>
      </c>
      <c r="AB101" s="14"/>
      <c r="AD101" s="119">
        <f>SUM(AD37+AD56+AD99)</f>
        <v>35037575</v>
      </c>
      <c r="AE101" s="128"/>
      <c r="AF101" s="75"/>
      <c r="AG101" s="75"/>
      <c r="AH101" s="120">
        <f>SUM(AH21+AH37+AH56+AH99)</f>
        <v>192600.30643879174</v>
      </c>
      <c r="AI101" s="121"/>
      <c r="AJ101" s="122">
        <f>SUM(AJ21+AJ37+AJ56+AJ99)</f>
        <v>1.2517188737060696</v>
      </c>
      <c r="AK101" s="123"/>
      <c r="AL101" s="82">
        <f>AH101/AH$118</f>
        <v>0.72094211085987492</v>
      </c>
      <c r="AN101" s="124">
        <f>SUM(AN37+AN56+AN99)</f>
        <v>46246668</v>
      </c>
      <c r="AO101" s="128"/>
      <c r="AP101" s="75"/>
      <c r="AQ101" s="128"/>
      <c r="AR101" s="120">
        <f>SUM(AR21+AR37+AR56+AR99)</f>
        <v>189821.17690417689</v>
      </c>
      <c r="AS101" s="121"/>
      <c r="AT101" s="125">
        <f>SUM(AT21+AT37+AT56+AT99)</f>
        <v>0.79092157043407041</v>
      </c>
      <c r="AV101" s="84">
        <f>AR101-AH101</f>
        <v>-2779.1295346148545</v>
      </c>
      <c r="AX101" s="85">
        <f t="shared" ref="AX101" si="127">AV101/AH101</f>
        <v>-1.4429517719890338E-2</v>
      </c>
      <c r="BB101" s="119">
        <f>SUM(BB37+BB56+BB99)</f>
        <v>62706382.18</v>
      </c>
      <c r="BC101" s="75"/>
      <c r="BD101" s="120">
        <f>SUM(BD21+BD37+BD56+BD99)</f>
        <v>325417.92929758638</v>
      </c>
      <c r="BE101" s="121"/>
      <c r="BF101" s="122">
        <f>SUM(BF21+BF37+BF56+BF99)</f>
        <v>1.0686959911250784</v>
      </c>
      <c r="BG101" s="123"/>
      <c r="BH101" s="82">
        <f>BD101/BD$118</f>
        <v>0.71776108815684225</v>
      </c>
      <c r="BJ101" s="126">
        <f>SUM(BJ37+BJ56+BJ99)</f>
        <v>100719401</v>
      </c>
      <c r="BK101" s="75"/>
      <c r="BL101" s="120">
        <f>SUM(BL21+BL37+BL56+BL99)</f>
        <v>371073.91891891888</v>
      </c>
      <c r="BM101" s="121"/>
      <c r="BN101" s="125">
        <f>SUM(BN21+BN37+BN56+BN99)</f>
        <v>0.94126250898947039</v>
      </c>
      <c r="BR101" s="85" t="str">
        <f>IF(COUNT(BJ25:BJ99)=27,((BJ101-BB101)/BB101),"")</f>
        <v/>
      </c>
    </row>
    <row r="102" spans="2:70" ht="15">
      <c r="B102" s="134"/>
      <c r="C102" s="134"/>
      <c r="D102" s="134"/>
      <c r="F102" s="244"/>
      <c r="G102" s="75"/>
      <c r="H102" s="75"/>
      <c r="I102" s="75"/>
      <c r="J102" s="245"/>
      <c r="K102" s="121"/>
      <c r="L102" s="246"/>
      <c r="M102" s="123"/>
      <c r="N102" s="82"/>
      <c r="P102" s="243"/>
      <c r="Q102" s="128"/>
      <c r="R102" s="75"/>
      <c r="S102" s="128"/>
      <c r="T102" s="243"/>
      <c r="U102" s="243"/>
      <c r="V102" s="247"/>
      <c r="X102" s="215"/>
      <c r="Z102" s="216"/>
      <c r="AB102" s="14"/>
      <c r="AD102" s="244"/>
      <c r="AE102" s="128"/>
      <c r="AF102" s="75"/>
      <c r="AG102" s="75"/>
      <c r="AH102" s="245"/>
      <c r="AI102" s="121"/>
      <c r="AJ102" s="246"/>
      <c r="AK102" s="123"/>
      <c r="AL102" s="82"/>
      <c r="AN102" s="243"/>
      <c r="AO102" s="128"/>
      <c r="AP102" s="75"/>
      <c r="AQ102" s="128"/>
      <c r="AR102" s="245"/>
      <c r="AS102" s="121"/>
      <c r="AT102" s="247"/>
      <c r="AV102" s="248"/>
      <c r="AX102" s="216"/>
      <c r="BB102" s="244"/>
      <c r="BC102" s="75"/>
      <c r="BD102" s="245"/>
      <c r="BE102" s="121"/>
      <c r="BF102" s="246"/>
      <c r="BG102" s="123"/>
      <c r="BH102" s="82"/>
      <c r="BJ102" s="128"/>
      <c r="BK102" s="75"/>
      <c r="BL102" s="245"/>
      <c r="BM102" s="121"/>
      <c r="BN102" s="247"/>
      <c r="BR102" s="216"/>
    </row>
    <row r="103" spans="2:70" thickBot="1">
      <c r="B103" s="118" t="s">
        <v>497</v>
      </c>
      <c r="C103" s="134"/>
      <c r="D103" s="134"/>
      <c r="F103" s="119">
        <f>F101-F21</f>
        <v>28504807.18</v>
      </c>
      <c r="G103" s="75"/>
      <c r="H103" s="75"/>
      <c r="I103" s="75"/>
      <c r="J103" s="124">
        <f>J101-J21</f>
        <v>93229.676912848692</v>
      </c>
      <c r="K103" s="121"/>
      <c r="L103" s="122">
        <f>L101-L21</f>
        <v>0.61674013301552932</v>
      </c>
      <c r="M103" s="123"/>
      <c r="N103" s="82"/>
      <c r="P103" s="124">
        <f>P101-P21</f>
        <v>56187466</v>
      </c>
      <c r="Q103" s="128"/>
      <c r="R103" s="75"/>
      <c r="S103" s="128"/>
      <c r="T103" s="124">
        <f>T101-T21</f>
        <v>138052.74201474199</v>
      </c>
      <c r="U103" s="243"/>
      <c r="V103" s="249">
        <f>V101-V21</f>
        <v>0.89510952483136874</v>
      </c>
      <c r="X103" s="84">
        <f t="shared" ref="X103" si="128">T103-J103</f>
        <v>44823.065101893299</v>
      </c>
      <c r="Z103" s="85">
        <f t="shared" ref="Z103" si="129">X103/J103</f>
        <v>0.48078108372931505</v>
      </c>
      <c r="AB103" s="14"/>
      <c r="AD103" s="119">
        <f>AD101-AD21</f>
        <v>11712275</v>
      </c>
      <c r="AE103" s="75"/>
      <c r="AF103" s="75"/>
      <c r="AG103" s="75"/>
      <c r="AH103" s="124">
        <f>AH101-AH21</f>
        <v>114849.30643879174</v>
      </c>
      <c r="AI103" s="121"/>
      <c r="AJ103" s="122">
        <f>AJ101-AJ21</f>
        <v>0.75009951886735993</v>
      </c>
      <c r="AK103" s="123"/>
      <c r="AL103" s="82"/>
      <c r="AN103" s="124">
        <f>AN101-AN21</f>
        <v>23388768</v>
      </c>
      <c r="AO103" s="128"/>
      <c r="AP103" s="75"/>
      <c r="AQ103" s="128"/>
      <c r="AR103" s="124">
        <f>AR101-AR21</f>
        <v>113628.17690417689</v>
      </c>
      <c r="AS103" s="243"/>
      <c r="AT103" s="249">
        <f>AT101-AT21</f>
        <v>0.4734507371007371</v>
      </c>
      <c r="AV103" s="84">
        <f>AR103-AH103</f>
        <v>-1221.1295346148545</v>
      </c>
      <c r="AX103" s="85">
        <f t="shared" ref="AX103" si="130">AV103/AH103</f>
        <v>-1.0632450229602807E-2</v>
      </c>
      <c r="BB103" s="119">
        <f>BB101-BB21</f>
        <v>26888482.18</v>
      </c>
      <c r="BC103" s="75"/>
      <c r="BD103" s="124">
        <f>BD101-BD21</f>
        <v>206024.92929758638</v>
      </c>
      <c r="BE103" s="121"/>
      <c r="BF103" s="122">
        <f>BF101-BF21</f>
        <v>0.67660075302984035</v>
      </c>
      <c r="BG103" s="123"/>
      <c r="BH103" s="82"/>
      <c r="BJ103" s="124">
        <f>BJ101-BJ21</f>
        <v>65368901</v>
      </c>
      <c r="BK103" s="75"/>
      <c r="BL103" s="124">
        <f>BL101-BL21</f>
        <v>251680.91891891888</v>
      </c>
      <c r="BM103" s="243"/>
      <c r="BN103" s="249">
        <f>BN101-BN21</f>
        <v>0.63841138147507526</v>
      </c>
      <c r="BP103" s="84">
        <f>BL103-BD103</f>
        <v>45655.989621332497</v>
      </c>
      <c r="BR103" s="85">
        <f t="shared" ref="BR103" si="131">BP103/BB103</f>
        <v>1.6979757100343883E-3</v>
      </c>
    </row>
    <row r="104" spans="2:70" ht="15">
      <c r="B104" s="66"/>
      <c r="C104" s="66"/>
      <c r="D104" s="66"/>
      <c r="F104" s="93"/>
      <c r="G104" s="54"/>
      <c r="H104" s="54"/>
      <c r="I104" s="54"/>
      <c r="J104" s="54"/>
      <c r="K104" s="54"/>
      <c r="L104" s="94"/>
      <c r="P104" s="75"/>
      <c r="Q104" s="96"/>
      <c r="R104" s="54"/>
      <c r="S104" s="96"/>
      <c r="T104" s="75"/>
      <c r="U104" s="75"/>
      <c r="V104" s="90"/>
      <c r="X104" s="73"/>
      <c r="Z104" s="91"/>
      <c r="AB104" s="14"/>
      <c r="AD104" s="93"/>
      <c r="AE104" s="105"/>
      <c r="AF104" s="54"/>
      <c r="AG104" s="54"/>
      <c r="AH104" s="54"/>
      <c r="AI104" s="54"/>
      <c r="AJ104" s="94"/>
      <c r="AN104" s="75"/>
      <c r="AO104" s="96"/>
      <c r="AP104" s="54"/>
      <c r="AQ104" s="96"/>
      <c r="AR104" s="75"/>
      <c r="AS104" s="54"/>
      <c r="AT104" s="90"/>
      <c r="AV104" s="73"/>
      <c r="AX104" s="91"/>
      <c r="BB104" s="93"/>
      <c r="BC104" s="54"/>
      <c r="BD104" s="54"/>
      <c r="BE104" s="54"/>
      <c r="BF104" s="94"/>
      <c r="BJ104" s="96"/>
      <c r="BK104" s="54"/>
      <c r="BL104" s="75"/>
      <c r="BM104" s="54"/>
      <c r="BN104" s="90"/>
      <c r="BR104" s="91"/>
    </row>
    <row r="105" spans="2:70" s="33" customFormat="1" ht="15">
      <c r="B105" s="115" t="s">
        <v>375</v>
      </c>
      <c r="C105" s="115"/>
      <c r="D105" s="115"/>
      <c r="F105" s="95">
        <v>2780750</v>
      </c>
      <c r="G105" s="68"/>
      <c r="H105" s="75">
        <f>$J$7</f>
        <v>340</v>
      </c>
      <c r="I105" s="68"/>
      <c r="J105" s="75">
        <f>J99*1.05</f>
        <v>9665.988672496027</v>
      </c>
      <c r="K105" s="68"/>
      <c r="L105" s="70">
        <f>J105/$J$10</f>
        <v>6.4655442625391482E-2</v>
      </c>
      <c r="M105" s="71"/>
      <c r="N105" s="71"/>
      <c r="P105" s="98"/>
      <c r="Q105" s="98"/>
      <c r="R105" s="105"/>
      <c r="S105" s="98"/>
      <c r="T105" s="98"/>
      <c r="U105" s="98"/>
      <c r="V105" s="107"/>
      <c r="W105" s="105"/>
      <c r="X105" s="250"/>
      <c r="Y105" s="105"/>
      <c r="Z105" s="251"/>
      <c r="AD105" s="95">
        <v>4019575</v>
      </c>
      <c r="AE105" s="98"/>
      <c r="AF105" s="75">
        <f>$AH$7</f>
        <v>340</v>
      </c>
      <c r="AG105" s="68"/>
      <c r="AH105" s="75">
        <f>AH99*1.05</f>
        <v>13491.771760731321</v>
      </c>
      <c r="AI105" s="68"/>
      <c r="AJ105" s="70">
        <f t="shared" ref="AJ105:AJ106" si="132">AH105/$AH$10</f>
        <v>8.7043688778911749E-2</v>
      </c>
      <c r="AK105" s="71"/>
      <c r="AL105" s="71"/>
      <c r="AN105" s="98"/>
      <c r="AO105" s="98"/>
      <c r="AP105" s="105"/>
      <c r="AQ105" s="98"/>
      <c r="AR105" s="96"/>
      <c r="AS105" s="105"/>
      <c r="AT105" s="107"/>
      <c r="AU105" s="14"/>
      <c r="AV105" s="97"/>
      <c r="AW105" s="14"/>
      <c r="AX105" s="74" t="str">
        <f>IF(AN105=0,"",((AN105-AD105)/AD105))</f>
        <v/>
      </c>
      <c r="BB105" s="67">
        <f>AD105+F105</f>
        <v>6800325</v>
      </c>
      <c r="BC105" s="68"/>
      <c r="BD105" s="75">
        <f>AH105+J105</f>
        <v>23157.760433227348</v>
      </c>
      <c r="BE105" s="68"/>
      <c r="BF105" s="70">
        <f>BD105/$BD$10</f>
        <v>7.6051758401403435E-2</v>
      </c>
      <c r="BG105" s="71"/>
      <c r="BH105" s="71"/>
      <c r="BJ105" s="98"/>
      <c r="BK105" s="105"/>
      <c r="BL105" s="96"/>
      <c r="BM105" s="54"/>
      <c r="BN105" s="35"/>
      <c r="BO105" s="14"/>
      <c r="BP105" s="14"/>
      <c r="BQ105" s="14"/>
      <c r="BR105" s="74"/>
    </row>
    <row r="106" spans="2:70" s="33" customFormat="1" ht="15">
      <c r="B106" s="115" t="s">
        <v>376</v>
      </c>
      <c r="C106" s="115"/>
      <c r="D106" s="115"/>
      <c r="F106" s="95">
        <v>2780750</v>
      </c>
      <c r="G106" s="68"/>
      <c r="H106" s="75">
        <f>$J$7</f>
        <v>340</v>
      </c>
      <c r="I106" s="68"/>
      <c r="J106" s="75">
        <f>J105*1.05</f>
        <v>10149.288106120828</v>
      </c>
      <c r="K106" s="68"/>
      <c r="L106" s="70">
        <f>J106/$J$10</f>
        <v>6.7888214756661056E-2</v>
      </c>
      <c r="M106" s="71"/>
      <c r="N106" s="71"/>
      <c r="P106" s="98"/>
      <c r="Q106" s="98"/>
      <c r="R106" s="105"/>
      <c r="S106" s="98"/>
      <c r="T106" s="98"/>
      <c r="U106" s="98"/>
      <c r="V106" s="107"/>
      <c r="W106" s="105"/>
      <c r="X106" s="250"/>
      <c r="Y106" s="105"/>
      <c r="Z106" s="251"/>
      <c r="AD106" s="95">
        <v>4019575</v>
      </c>
      <c r="AE106" s="98"/>
      <c r="AF106" s="75">
        <f>$AH$7</f>
        <v>340</v>
      </c>
      <c r="AG106" s="68"/>
      <c r="AH106" s="75">
        <f>AH105*1.05</f>
        <v>14166.360348767887</v>
      </c>
      <c r="AI106" s="68"/>
      <c r="AJ106" s="70">
        <f t="shared" si="132"/>
        <v>9.1395873217857332E-2</v>
      </c>
      <c r="AK106" s="71"/>
      <c r="AL106" s="71"/>
      <c r="AN106" s="98"/>
      <c r="AO106" s="98"/>
      <c r="AP106" s="105"/>
      <c r="AQ106" s="98"/>
      <c r="AR106" s="96"/>
      <c r="AS106" s="105"/>
      <c r="AT106" s="107"/>
      <c r="AU106" s="14"/>
      <c r="AV106" s="97"/>
      <c r="AW106" s="14"/>
      <c r="AX106" s="74" t="str">
        <f>IF(AN106=0,"",((AN106-AD106)/AD106))</f>
        <v/>
      </c>
      <c r="BB106" s="67">
        <f>AD106+F106</f>
        <v>6800325</v>
      </c>
      <c r="BC106" s="68"/>
      <c r="BD106" s="75">
        <f>AH106+J106</f>
        <v>24315.648454888717</v>
      </c>
      <c r="BE106" s="68"/>
      <c r="BF106" s="70">
        <f>BD106/$BD$10</f>
        <v>7.9854346321473618E-2</v>
      </c>
      <c r="BG106" s="71"/>
      <c r="BH106" s="71"/>
      <c r="BJ106" s="98"/>
      <c r="BK106" s="105"/>
      <c r="BL106" s="96"/>
      <c r="BM106" s="54"/>
      <c r="BN106" s="35"/>
      <c r="BO106" s="14"/>
      <c r="BP106" s="14"/>
      <c r="BQ106" s="14"/>
      <c r="BR106" s="74"/>
    </row>
    <row r="107" spans="2:70" s="33" customFormat="1" thickBot="1">
      <c r="B107" s="118" t="s">
        <v>377</v>
      </c>
      <c r="C107" s="134"/>
      <c r="D107" s="134"/>
      <c r="F107" s="127">
        <f>SUM(F105:F106)</f>
        <v>5561500</v>
      </c>
      <c r="G107" s="105"/>
      <c r="H107" s="105"/>
      <c r="I107" s="105"/>
      <c r="J107" s="126">
        <f>SUM(J105:J106)</f>
        <v>19815.276778616855</v>
      </c>
      <c r="K107" s="128"/>
      <c r="L107" s="129">
        <f>SUM(L105:L106)</f>
        <v>0.13254365738205254</v>
      </c>
      <c r="M107" s="130"/>
      <c r="N107" s="82">
        <f>J107/J$118</f>
        <v>0.10524234000930403</v>
      </c>
      <c r="P107" s="128"/>
      <c r="Q107" s="128"/>
      <c r="R107" s="105"/>
      <c r="S107" s="128"/>
      <c r="T107" s="128"/>
      <c r="U107" s="128"/>
      <c r="V107" s="252"/>
      <c r="W107" s="105"/>
      <c r="X107" s="253"/>
      <c r="Y107" s="105"/>
      <c r="Z107" s="251"/>
      <c r="AD107" s="127">
        <f>SUM(AD105:AD106)</f>
        <v>8039150</v>
      </c>
      <c r="AE107" s="128"/>
      <c r="AF107" s="105"/>
      <c r="AG107" s="105"/>
      <c r="AH107" s="126">
        <f>SUM(AH105:AH106)</f>
        <v>27658.132109499209</v>
      </c>
      <c r="AI107" s="128"/>
      <c r="AJ107" s="129">
        <f>SUM(AJ105:AJ106)</f>
        <v>0.17843956199676908</v>
      </c>
      <c r="AK107" s="130"/>
      <c r="AL107" s="82">
        <f>AH107/AH$118</f>
        <v>0.10353001256413129</v>
      </c>
      <c r="AN107" s="128"/>
      <c r="AO107" s="128"/>
      <c r="AP107" s="105"/>
      <c r="AQ107" s="128"/>
      <c r="AR107" s="128"/>
      <c r="AS107" s="128"/>
      <c r="AT107" s="252"/>
      <c r="AV107" s="253"/>
      <c r="AX107" s="85" t="str">
        <f>IF(COUNT(AN105:AN106)=2,((AN107-AD107)/AD107),"")</f>
        <v/>
      </c>
      <c r="BB107" s="127">
        <f>SUM(BB105:BB106)</f>
        <v>13600650</v>
      </c>
      <c r="BC107" s="105"/>
      <c r="BD107" s="126">
        <f>SUM(BD105:BD106)</f>
        <v>47473.408888116064</v>
      </c>
      <c r="BE107" s="128"/>
      <c r="BF107" s="129">
        <f>SUM(BF105:BF106)</f>
        <v>0.15590610472287705</v>
      </c>
      <c r="BG107" s="130"/>
      <c r="BH107" s="82">
        <f>BD107/BD$118</f>
        <v>0.10471016669425295</v>
      </c>
      <c r="BJ107" s="126">
        <f>SUM(BJ105:BJ106)</f>
        <v>0</v>
      </c>
      <c r="BK107" s="105"/>
      <c r="BL107" s="126">
        <f>SUM(BL105:BL106)</f>
        <v>0</v>
      </c>
      <c r="BM107" s="128"/>
      <c r="BN107" s="131">
        <f>SUM(BN105:BN106)</f>
        <v>0</v>
      </c>
      <c r="BR107" s="85" t="str">
        <f>IF(COUNT(BJ105:BJ106)=2,((BJ107-BB107)/BB107),"")</f>
        <v/>
      </c>
    </row>
    <row r="108" spans="2:70" s="33" customFormat="1" ht="15">
      <c r="B108" s="115"/>
      <c r="C108" s="115"/>
      <c r="D108" s="115"/>
      <c r="F108" s="132"/>
      <c r="G108" s="128"/>
      <c r="H108" s="128"/>
      <c r="I108" s="128"/>
      <c r="J108" s="128"/>
      <c r="K108" s="128"/>
      <c r="L108" s="133"/>
      <c r="M108" s="128"/>
      <c r="N108" s="128"/>
      <c r="P108" s="96"/>
      <c r="Q108" s="96"/>
      <c r="R108" s="105"/>
      <c r="S108" s="96"/>
      <c r="T108" s="96"/>
      <c r="U108" s="96"/>
      <c r="V108" s="107"/>
      <c r="W108" s="105"/>
      <c r="X108" s="136"/>
      <c r="Y108" s="105"/>
      <c r="Z108" s="254"/>
      <c r="AD108" s="132"/>
      <c r="AE108" s="128"/>
      <c r="AF108" s="128"/>
      <c r="AG108" s="128"/>
      <c r="AH108" s="128"/>
      <c r="AI108" s="128"/>
      <c r="AJ108" s="133"/>
      <c r="AK108" s="128"/>
      <c r="AL108" s="128"/>
      <c r="AN108" s="96"/>
      <c r="AO108" s="96"/>
      <c r="AP108" s="105"/>
      <c r="AQ108" s="96"/>
      <c r="AR108" s="96"/>
      <c r="AS108" s="105"/>
      <c r="AT108" s="107"/>
      <c r="AV108" s="108"/>
      <c r="AX108" s="109"/>
      <c r="BB108" s="132"/>
      <c r="BC108" s="128"/>
      <c r="BD108" s="128"/>
      <c r="BE108" s="128"/>
      <c r="BF108" s="133"/>
      <c r="BG108" s="128"/>
      <c r="BH108" s="128"/>
      <c r="BJ108" s="96"/>
      <c r="BK108" s="105"/>
      <c r="BL108" s="96"/>
      <c r="BM108" s="105"/>
      <c r="BN108" s="107"/>
      <c r="BR108" s="109"/>
    </row>
    <row r="109" spans="2:70" s="33" customFormat="1" ht="15">
      <c r="B109" s="115" t="s">
        <v>378</v>
      </c>
      <c r="C109" s="115"/>
      <c r="D109" s="115"/>
      <c r="F109" s="95">
        <v>2780750</v>
      </c>
      <c r="G109" s="68"/>
      <c r="H109" s="75">
        <f>$J$7</f>
        <v>340</v>
      </c>
      <c r="I109" s="68"/>
      <c r="J109" s="75">
        <f>J106*1.05</f>
        <v>10656.75251142687</v>
      </c>
      <c r="K109" s="68"/>
      <c r="L109" s="70">
        <f>J109/$J$10</f>
        <v>7.1282625494494115E-2</v>
      </c>
      <c r="M109" s="71"/>
      <c r="N109" s="71"/>
      <c r="P109" s="98"/>
      <c r="Q109" s="98"/>
      <c r="R109" s="105"/>
      <c r="S109" s="98"/>
      <c r="T109" s="98"/>
      <c r="U109" s="98"/>
      <c r="V109" s="107"/>
      <c r="W109" s="105"/>
      <c r="X109" s="250"/>
      <c r="Y109" s="105"/>
      <c r="Z109" s="251"/>
      <c r="AD109" s="95">
        <v>4019575</v>
      </c>
      <c r="AE109" s="98"/>
      <c r="AF109" s="75">
        <f>$AH$7</f>
        <v>340</v>
      </c>
      <c r="AG109" s="68"/>
      <c r="AH109" s="75">
        <f>AH106*1.05</f>
        <v>14874.678366206281</v>
      </c>
      <c r="AI109" s="68"/>
      <c r="AJ109" s="70">
        <f t="shared" ref="AJ109:AJ110" si="133">AH109/$AH$10</f>
        <v>9.5965666878750203E-2</v>
      </c>
      <c r="AK109" s="71"/>
      <c r="AL109" s="71"/>
      <c r="AN109" s="98"/>
      <c r="AO109" s="98"/>
      <c r="AP109" s="105"/>
      <c r="AQ109" s="98"/>
      <c r="AR109" s="96"/>
      <c r="AS109" s="105"/>
      <c r="AT109" s="107"/>
      <c r="AU109" s="14"/>
      <c r="AV109" s="97"/>
      <c r="AW109" s="14"/>
      <c r="AX109" s="74" t="str">
        <f>IF(AN109=0,"",((AN109-AD109)/AD109))</f>
        <v/>
      </c>
      <c r="BB109" s="67">
        <f>AD109+F109</f>
        <v>6800325</v>
      </c>
      <c r="BC109" s="68"/>
      <c r="BD109" s="75">
        <f>AH109+J109</f>
        <v>25531.430877633153</v>
      </c>
      <c r="BE109" s="68"/>
      <c r="BF109" s="70">
        <f>BD109/$BD$10</f>
        <v>8.3847063637547306E-2</v>
      </c>
      <c r="BG109" s="71"/>
      <c r="BH109" s="71"/>
      <c r="BJ109" s="98"/>
      <c r="BK109" s="105"/>
      <c r="BL109" s="96"/>
      <c r="BM109" s="54"/>
      <c r="BN109" s="35"/>
      <c r="BO109" s="14"/>
      <c r="BP109" s="14"/>
      <c r="BQ109" s="14"/>
      <c r="BR109" s="74"/>
    </row>
    <row r="110" spans="2:70" s="33" customFormat="1" ht="15">
      <c r="B110" s="115" t="s">
        <v>379</v>
      </c>
      <c r="C110" s="115"/>
      <c r="D110" s="115"/>
      <c r="F110" s="95">
        <v>2780750</v>
      </c>
      <c r="G110" s="68"/>
      <c r="H110" s="75">
        <f>$J$7</f>
        <v>340</v>
      </c>
      <c r="I110" s="68"/>
      <c r="J110" s="75">
        <f>J109*1.05</f>
        <v>11189.590136998215</v>
      </c>
      <c r="K110" s="68"/>
      <c r="L110" s="70">
        <f>J110/$J$10</f>
        <v>7.4846756769218828E-2</v>
      </c>
      <c r="M110" s="71"/>
      <c r="N110" s="71"/>
      <c r="P110" s="98"/>
      <c r="Q110" s="98"/>
      <c r="R110" s="105"/>
      <c r="S110" s="98"/>
      <c r="T110" s="98"/>
      <c r="U110" s="98"/>
      <c r="V110" s="107"/>
      <c r="W110" s="105"/>
      <c r="X110" s="250"/>
      <c r="Y110" s="105"/>
      <c r="Z110" s="251"/>
      <c r="AD110" s="95">
        <v>4019575</v>
      </c>
      <c r="AE110" s="98"/>
      <c r="AF110" s="75">
        <f>$AH$7</f>
        <v>340</v>
      </c>
      <c r="AG110" s="68"/>
      <c r="AH110" s="75">
        <f>AH109*1.05</f>
        <v>15618.412284516595</v>
      </c>
      <c r="AI110" s="68"/>
      <c r="AJ110" s="70">
        <f t="shared" si="133"/>
        <v>0.10076395022268771</v>
      </c>
      <c r="AK110" s="71"/>
      <c r="AL110" s="71"/>
      <c r="AN110" s="98"/>
      <c r="AO110" s="98"/>
      <c r="AP110" s="105"/>
      <c r="AQ110" s="98"/>
      <c r="AR110" s="96"/>
      <c r="AS110" s="105"/>
      <c r="AT110" s="107"/>
      <c r="AU110" s="14"/>
      <c r="AV110" s="97"/>
      <c r="AW110" s="14"/>
      <c r="AX110" s="74" t="str">
        <f>IF(AN110=0,"",((AN110-AD110)/AD110))</f>
        <v/>
      </c>
      <c r="BB110" s="67">
        <f>AD110+F110</f>
        <v>6800325</v>
      </c>
      <c r="BC110" s="68"/>
      <c r="BD110" s="75">
        <f>AH110+J110</f>
        <v>26808.002421514808</v>
      </c>
      <c r="BE110" s="68"/>
      <c r="BF110" s="70">
        <f>BD110/$BD$10</f>
        <v>8.8039416819424662E-2</v>
      </c>
      <c r="BG110" s="71"/>
      <c r="BH110" s="71"/>
      <c r="BJ110" s="98"/>
      <c r="BK110" s="105"/>
      <c r="BL110" s="96"/>
      <c r="BM110" s="54"/>
      <c r="BN110" s="35"/>
      <c r="BO110" s="14"/>
      <c r="BP110" s="14"/>
      <c r="BQ110" s="14"/>
      <c r="BR110" s="74"/>
    </row>
    <row r="111" spans="2:70" s="33" customFormat="1" thickBot="1">
      <c r="B111" s="118" t="s">
        <v>380</v>
      </c>
      <c r="C111" s="134"/>
      <c r="D111" s="134"/>
      <c r="F111" s="127">
        <f>SUM(F109:F110)</f>
        <v>5561500</v>
      </c>
      <c r="G111" s="105"/>
      <c r="H111" s="105"/>
      <c r="I111" s="105"/>
      <c r="J111" s="126">
        <f>SUM(J109:J110)</f>
        <v>21846.342648425085</v>
      </c>
      <c r="K111" s="128"/>
      <c r="L111" s="129">
        <f>SUM(L109:L110)</f>
        <v>0.14612938226371294</v>
      </c>
      <c r="M111" s="130"/>
      <c r="N111" s="82">
        <f>J111/J$118</f>
        <v>0.11602967986025771</v>
      </c>
      <c r="P111" s="128"/>
      <c r="Q111" s="128"/>
      <c r="R111" s="105"/>
      <c r="S111" s="128"/>
      <c r="T111" s="128"/>
      <c r="U111" s="128"/>
      <c r="V111" s="252"/>
      <c r="W111" s="105"/>
      <c r="X111" s="253"/>
      <c r="Y111" s="105"/>
      <c r="Z111" s="251"/>
      <c r="AD111" s="127">
        <f>SUM(AD109:AD110)</f>
        <v>8039150</v>
      </c>
      <c r="AE111" s="128"/>
      <c r="AF111" s="105"/>
      <c r="AG111" s="105"/>
      <c r="AH111" s="126">
        <f>SUM(AH109:AH110)</f>
        <v>30493.090650722876</v>
      </c>
      <c r="AI111" s="128"/>
      <c r="AJ111" s="129">
        <f>SUM(AJ109:AJ110)</f>
        <v>0.19672961710143791</v>
      </c>
      <c r="AK111" s="130"/>
      <c r="AL111" s="82">
        <f>AH111/AH$118</f>
        <v>0.11414183885195474</v>
      </c>
      <c r="AN111" s="128"/>
      <c r="AO111" s="128"/>
      <c r="AP111" s="105"/>
      <c r="AQ111" s="128"/>
      <c r="AR111" s="128"/>
      <c r="AS111" s="128"/>
      <c r="AT111" s="252"/>
      <c r="AV111" s="253"/>
      <c r="AX111" s="85" t="str">
        <f>IF(COUNT(AN109:AN110)=2,((AN111-AD111)/AD111),"")</f>
        <v/>
      </c>
      <c r="BB111" s="127">
        <f>SUM(BB109:BB110)</f>
        <v>13600650</v>
      </c>
      <c r="BC111" s="105"/>
      <c r="BD111" s="126">
        <f>SUM(BD109:BD110)</f>
        <v>52339.43329914796</v>
      </c>
      <c r="BE111" s="128"/>
      <c r="BF111" s="129">
        <f>SUM(BF109:BF110)</f>
        <v>0.17188648045697197</v>
      </c>
      <c r="BG111" s="130"/>
      <c r="BH111" s="82">
        <f>BD111/BD$118</f>
        <v>0.11544295878041388</v>
      </c>
      <c r="BJ111" s="126">
        <f>SUM(BJ109:BJ110)</f>
        <v>0</v>
      </c>
      <c r="BK111" s="105"/>
      <c r="BL111" s="126">
        <f>SUM(BL109:BL110)</f>
        <v>0</v>
      </c>
      <c r="BM111" s="128"/>
      <c r="BN111" s="131">
        <f>SUM(BN109:BN110)</f>
        <v>0</v>
      </c>
      <c r="BR111" s="85" t="str">
        <f>IF(COUNT(BJ109:BJ110)=2,((BJ111-BB111)/BB111),"")</f>
        <v/>
      </c>
    </row>
    <row r="112" spans="2:70" s="33" customFormat="1" ht="16" customHeight="1">
      <c r="B112" s="115"/>
      <c r="C112" s="115"/>
      <c r="D112" s="115"/>
      <c r="F112" s="132"/>
      <c r="G112" s="128"/>
      <c r="H112" s="128"/>
      <c r="I112" s="128"/>
      <c r="J112" s="128"/>
      <c r="K112" s="128"/>
      <c r="L112" s="133"/>
      <c r="M112" s="128"/>
      <c r="N112" s="128"/>
      <c r="P112" s="96"/>
      <c r="Q112" s="96"/>
      <c r="R112" s="105"/>
      <c r="S112" s="96"/>
      <c r="T112" s="96"/>
      <c r="U112" s="96"/>
      <c r="V112" s="107"/>
      <c r="W112" s="105"/>
      <c r="X112" s="136"/>
      <c r="Y112" s="105"/>
      <c r="Z112" s="254"/>
      <c r="AD112" s="132"/>
      <c r="AE112" s="128"/>
      <c r="AF112" s="128"/>
      <c r="AG112" s="128"/>
      <c r="AH112" s="128"/>
      <c r="AI112" s="128"/>
      <c r="AJ112" s="133"/>
      <c r="AK112" s="128"/>
      <c r="AL112" s="128"/>
      <c r="AN112" s="96"/>
      <c r="AO112" s="96"/>
      <c r="AP112" s="105"/>
      <c r="AQ112" s="96"/>
      <c r="AR112" s="96"/>
      <c r="AS112" s="105"/>
      <c r="AT112" s="107"/>
      <c r="AV112" s="108"/>
      <c r="AX112" s="109"/>
      <c r="BB112" s="132"/>
      <c r="BC112" s="128"/>
      <c r="BD112" s="128"/>
      <c r="BE112" s="128"/>
      <c r="BF112" s="133"/>
      <c r="BG112" s="128"/>
      <c r="BH112" s="128"/>
      <c r="BJ112" s="96"/>
      <c r="BK112" s="105"/>
      <c r="BL112" s="96"/>
      <c r="BM112" s="105"/>
      <c r="BN112" s="107"/>
      <c r="BR112" s="109"/>
    </row>
    <row r="113" spans="2:70" s="33" customFormat="1" ht="16" customHeight="1">
      <c r="B113" s="115" t="s">
        <v>381</v>
      </c>
      <c r="C113" s="115"/>
      <c r="D113" s="115"/>
      <c r="F113" s="95">
        <v>2780750</v>
      </c>
      <c r="G113" s="68"/>
      <c r="H113" s="75">
        <f>$J$7</f>
        <v>340</v>
      </c>
      <c r="I113" s="68"/>
      <c r="J113" s="75">
        <f>J110*1.05</f>
        <v>11749.069643848126</v>
      </c>
      <c r="K113" s="68"/>
      <c r="L113" s="70">
        <f>J113/$J$10</f>
        <v>7.858909460767978E-2</v>
      </c>
      <c r="M113" s="71"/>
      <c r="N113" s="71"/>
      <c r="P113" s="98"/>
      <c r="Q113" s="98"/>
      <c r="R113" s="105"/>
      <c r="S113" s="98"/>
      <c r="T113" s="98"/>
      <c r="U113" s="98"/>
      <c r="V113" s="107"/>
      <c r="W113" s="105"/>
      <c r="X113" s="250"/>
      <c r="Y113" s="105"/>
      <c r="Z113" s="251"/>
      <c r="AD113" s="95">
        <v>4019575</v>
      </c>
      <c r="AE113" s="98"/>
      <c r="AF113" s="75">
        <f>$AH$7</f>
        <v>340</v>
      </c>
      <c r="AG113" s="68"/>
      <c r="AH113" s="75">
        <f>AH110*1.05</f>
        <v>16399.332898742425</v>
      </c>
      <c r="AI113" s="68"/>
      <c r="AJ113" s="70">
        <f t="shared" ref="AJ113" si="134">AH113/$AH$10</f>
        <v>0.1058021477338221</v>
      </c>
      <c r="AK113" s="71"/>
      <c r="AL113" s="71"/>
      <c r="AN113" s="98"/>
      <c r="AO113" s="98"/>
      <c r="AP113" s="105"/>
      <c r="AQ113" s="98"/>
      <c r="AR113" s="96"/>
      <c r="AS113" s="105"/>
      <c r="AT113" s="107"/>
      <c r="AU113" s="14"/>
      <c r="AV113" s="97"/>
      <c r="AW113" s="14"/>
      <c r="AX113" s="74" t="str">
        <f t="shared" ref="AX113" si="135">IF(AN113=0,"",((AN113-AD113)/AD113))</f>
        <v/>
      </c>
      <c r="BB113" s="67">
        <f>AD113+F113</f>
        <v>6800325</v>
      </c>
      <c r="BC113" s="68"/>
      <c r="BD113" s="75">
        <f>AH113+J113</f>
        <v>28148.402542590549</v>
      </c>
      <c r="BE113" s="68"/>
      <c r="BF113" s="70">
        <f>BD113/$BD$10</f>
        <v>9.2441387660395891E-2</v>
      </c>
      <c r="BG113" s="71"/>
      <c r="BH113" s="71"/>
      <c r="BJ113" s="98"/>
      <c r="BK113" s="105"/>
      <c r="BL113" s="96"/>
      <c r="BM113" s="54"/>
      <c r="BN113" s="35"/>
      <c r="BO113" s="14"/>
      <c r="BP113" s="14"/>
      <c r="BQ113" s="14"/>
      <c r="BR113" s="74"/>
    </row>
    <row r="114" spans="2:70" s="33" customFormat="1" ht="16" customHeight="1" thickBot="1">
      <c r="B114" s="118" t="s">
        <v>382</v>
      </c>
      <c r="C114" s="134"/>
      <c r="D114" s="134"/>
      <c r="F114" s="127">
        <f>SUM(F113:F113)</f>
        <v>2780750</v>
      </c>
      <c r="G114" s="105"/>
      <c r="H114" s="105"/>
      <c r="I114" s="105"/>
      <c r="J114" s="126">
        <f>SUM(J113:J113)</f>
        <v>11749.069643848126</v>
      </c>
      <c r="K114" s="128"/>
      <c r="L114" s="129">
        <f>SUM(L113:L113)</f>
        <v>7.858909460767978E-2</v>
      </c>
      <c r="M114" s="130"/>
      <c r="N114" s="82">
        <f>J114/J$118</f>
        <v>6.2401327827284948E-2</v>
      </c>
      <c r="P114" s="128"/>
      <c r="Q114" s="128"/>
      <c r="R114" s="105"/>
      <c r="S114" s="128"/>
      <c r="T114" s="128"/>
      <c r="U114" s="128"/>
      <c r="V114" s="252"/>
      <c r="W114" s="105"/>
      <c r="X114" s="253"/>
      <c r="Y114" s="105"/>
      <c r="Z114" s="251"/>
      <c r="AD114" s="127">
        <f>SUM(AD113:AD113)</f>
        <v>4019575</v>
      </c>
      <c r="AE114" s="128"/>
      <c r="AF114" s="128"/>
      <c r="AG114" s="105"/>
      <c r="AH114" s="126">
        <f>SUM(AH113:AH113)</f>
        <v>16399.332898742425</v>
      </c>
      <c r="AI114" s="128"/>
      <c r="AJ114" s="129">
        <f>SUM(AJ113:AJ113)</f>
        <v>0.1058021477338221</v>
      </c>
      <c r="AK114" s="130"/>
      <c r="AL114" s="82">
        <f>AH114/AH$118</f>
        <v>6.1386037724039076E-2</v>
      </c>
      <c r="AN114" s="128"/>
      <c r="AO114" s="128"/>
      <c r="AP114" s="105"/>
      <c r="AQ114" s="128"/>
      <c r="AR114" s="128"/>
      <c r="AS114" s="128"/>
      <c r="AT114" s="252"/>
      <c r="AV114" s="253"/>
      <c r="AX114" s="85" t="str">
        <f>IF(COUNT(AN113:AN113)=2,((AN114-AD114)/AD114),"")</f>
        <v/>
      </c>
      <c r="BB114" s="127">
        <f>SUM(BB113:BB113)</f>
        <v>6800325</v>
      </c>
      <c r="BC114" s="105"/>
      <c r="BD114" s="126">
        <f>SUM(BD113:BD113)</f>
        <v>28148.402542590549</v>
      </c>
      <c r="BE114" s="128"/>
      <c r="BF114" s="129">
        <f>SUM(BF113:BF113)</f>
        <v>9.2441387660395891E-2</v>
      </c>
      <c r="BG114" s="130"/>
      <c r="BH114" s="82">
        <f>BD114/BD$118</f>
        <v>6.2085786368490881E-2</v>
      </c>
      <c r="BJ114" s="126">
        <f>SUM(BJ113:BJ113)</f>
        <v>0</v>
      </c>
      <c r="BK114" s="105"/>
      <c r="BL114" s="126">
        <f>SUM(BL113:BL113)</f>
        <v>0</v>
      </c>
      <c r="BM114" s="128"/>
      <c r="BN114" s="131">
        <f>SUM(BN113:BN113)</f>
        <v>0</v>
      </c>
      <c r="BR114" s="85" t="str">
        <f>IF(COUNT(BJ113:BJ113)=2,((BJ114-BB114)/BB114),"")</f>
        <v/>
      </c>
    </row>
    <row r="115" spans="2:70" s="33" customFormat="1" ht="16" customHeight="1">
      <c r="B115" s="134"/>
      <c r="C115" s="134"/>
      <c r="D115" s="134"/>
      <c r="F115" s="132"/>
      <c r="G115" s="105"/>
      <c r="H115" s="105"/>
      <c r="I115" s="105"/>
      <c r="J115" s="128"/>
      <c r="K115" s="128"/>
      <c r="L115" s="135"/>
      <c r="M115" s="130"/>
      <c r="N115" s="89"/>
      <c r="P115" s="96"/>
      <c r="Q115" s="96"/>
      <c r="R115" s="105"/>
      <c r="S115" s="96"/>
      <c r="T115" s="96"/>
      <c r="U115" s="96"/>
      <c r="V115" s="107"/>
      <c r="W115" s="105"/>
      <c r="X115" s="136"/>
      <c r="Y115" s="105"/>
      <c r="Z115" s="254"/>
      <c r="AD115" s="132"/>
      <c r="AE115" s="128"/>
      <c r="AF115" s="128"/>
      <c r="AG115" s="105"/>
      <c r="AH115" s="128"/>
      <c r="AI115" s="128"/>
      <c r="AJ115" s="135"/>
      <c r="AK115" s="130"/>
      <c r="AL115" s="89"/>
      <c r="AN115" s="96"/>
      <c r="AO115" s="96"/>
      <c r="AP115" s="105"/>
      <c r="AQ115" s="96"/>
      <c r="AR115" s="96"/>
      <c r="AS115" s="105"/>
      <c r="AT115" s="107"/>
      <c r="AV115" s="136"/>
      <c r="AX115" s="109"/>
      <c r="BB115" s="132"/>
      <c r="BC115" s="105"/>
      <c r="BD115" s="128"/>
      <c r="BE115" s="128"/>
      <c r="BF115" s="135"/>
      <c r="BG115" s="130"/>
      <c r="BH115" s="89"/>
      <c r="BJ115" s="96"/>
      <c r="BK115" s="105"/>
      <c r="BL115" s="96"/>
      <c r="BM115" s="105"/>
      <c r="BN115" s="107"/>
      <c r="BR115" s="109"/>
    </row>
    <row r="116" spans="2:70" s="33" customFormat="1" ht="16" customHeight="1" thickBot="1">
      <c r="B116" s="118" t="s">
        <v>383</v>
      </c>
      <c r="C116" s="134"/>
      <c r="D116" s="134"/>
      <c r="F116" s="127">
        <f>F114+F111+F107+F99</f>
        <v>17102500</v>
      </c>
      <c r="G116" s="105"/>
      <c r="H116" s="105"/>
      <c r="I116" s="105"/>
      <c r="J116" s="126">
        <f>J114+J111+J107+J99</f>
        <v>62616.392568505333</v>
      </c>
      <c r="K116" s="128"/>
      <c r="L116" s="129">
        <f>L114+L111+L107+L99</f>
        <v>0.41196900027744687</v>
      </c>
      <c r="M116" s="130"/>
      <c r="N116" s="82">
        <f>J116/J$118</f>
        <v>0.33256642087190086</v>
      </c>
      <c r="P116" s="128"/>
      <c r="Q116" s="128"/>
      <c r="R116" s="105"/>
      <c r="S116" s="128"/>
      <c r="T116" s="128"/>
      <c r="U116" s="128"/>
      <c r="V116" s="252"/>
      <c r="W116" s="105"/>
      <c r="X116" s="253"/>
      <c r="Y116" s="105"/>
      <c r="Z116" s="251"/>
      <c r="AD116" s="127">
        <f>AD114+AD111+AD107+AD99</f>
        <v>24535450</v>
      </c>
      <c r="AE116" s="128"/>
      <c r="AF116" s="128"/>
      <c r="AG116" s="105"/>
      <c r="AH116" s="126">
        <f>AH114+AH111+AH107+AH99</f>
        <v>87399.862097756239</v>
      </c>
      <c r="AI116" s="128"/>
      <c r="AJ116" s="129">
        <f>AJ114+AJ111+AJ107+AJ99</f>
        <v>0.57300632957035669</v>
      </c>
      <c r="AK116" s="130"/>
      <c r="AL116" s="82">
        <f>AH116/AH$118</f>
        <v>0.32715545595272966</v>
      </c>
      <c r="AN116" s="128"/>
      <c r="AO116" s="128"/>
      <c r="AP116" s="105"/>
      <c r="AQ116" s="128"/>
      <c r="AR116" s="128"/>
      <c r="AS116" s="128"/>
      <c r="AT116" s="252"/>
      <c r="AV116" s="253"/>
      <c r="AX116" s="85" t="str">
        <f>IF(COUNT(AN105:AN114)=9,((AN116-AD116)/AD116),"")</f>
        <v/>
      </c>
      <c r="BB116" s="127">
        <f>BB114+BB111+BB107+BB99</f>
        <v>40801950</v>
      </c>
      <c r="BC116" s="105"/>
      <c r="BD116" s="126">
        <f>BD114+BD111+BD107+BD99</f>
        <v>147962.20061220753</v>
      </c>
      <c r="BE116" s="128"/>
      <c r="BF116" s="129">
        <f>BF114+BF111+BF107+BF99</f>
        <v>0.48591855701874387</v>
      </c>
      <c r="BG116" s="130"/>
      <c r="BH116" s="82">
        <f>BD116/BD$118</f>
        <v>0.32635420656364789</v>
      </c>
      <c r="BJ116" s="126">
        <f>BJ114+BJ111+BJ107+BJ99</f>
        <v>1566000</v>
      </c>
      <c r="BK116" s="105"/>
      <c r="BL116" s="126">
        <f>BL114+BL111+BL107+BL99</f>
        <v>8060.7690417690419</v>
      </c>
      <c r="BM116" s="128"/>
      <c r="BN116" s="131">
        <f>BN114+BN111+BN107+BN99</f>
        <v>2.0446868685206714E-2</v>
      </c>
      <c r="BR116" s="85" t="str">
        <f>IF(COUNT(BJ105:BJ114)=9,((BJ116-BB116)/BB116),"")</f>
        <v/>
      </c>
    </row>
    <row r="117" spans="2:70" s="33" customFormat="1" ht="16" customHeight="1">
      <c r="B117" s="115"/>
      <c r="C117" s="115"/>
      <c r="D117" s="115"/>
      <c r="F117" s="104"/>
      <c r="G117" s="105"/>
      <c r="H117" s="105"/>
      <c r="I117" s="105"/>
      <c r="J117" s="128"/>
      <c r="K117" s="128"/>
      <c r="L117" s="133"/>
      <c r="M117" s="128"/>
      <c r="N117" s="128"/>
      <c r="P117" s="96"/>
      <c r="Q117" s="96"/>
      <c r="R117" s="105"/>
      <c r="S117" s="96"/>
      <c r="T117" s="96"/>
      <c r="U117" s="96"/>
      <c r="V117" s="107"/>
      <c r="W117" s="105"/>
      <c r="X117" s="136"/>
      <c r="Y117" s="105"/>
      <c r="Z117" s="254"/>
      <c r="AD117" s="104"/>
      <c r="AE117" s="105"/>
      <c r="AF117" s="105"/>
      <c r="AG117" s="105"/>
      <c r="AH117" s="128"/>
      <c r="AI117" s="128"/>
      <c r="AJ117" s="133"/>
      <c r="AK117" s="128"/>
      <c r="AL117" s="128"/>
      <c r="AN117" s="96"/>
      <c r="AO117" s="96"/>
      <c r="AP117" s="105"/>
      <c r="AQ117" s="96"/>
      <c r="AR117" s="96"/>
      <c r="AS117" s="105"/>
      <c r="AT117" s="107"/>
      <c r="AV117" s="136"/>
      <c r="AX117" s="109"/>
      <c r="BB117" s="104"/>
      <c r="BC117" s="105"/>
      <c r="BD117" s="128"/>
      <c r="BE117" s="128"/>
      <c r="BF117" s="133"/>
      <c r="BG117" s="128"/>
      <c r="BH117" s="128"/>
      <c r="BJ117" s="96"/>
      <c r="BK117" s="105"/>
      <c r="BL117" s="96"/>
      <c r="BM117" s="105"/>
      <c r="BN117" s="107"/>
      <c r="BR117" s="109"/>
    </row>
    <row r="118" spans="2:70" ht="16" customHeight="1" thickBot="1">
      <c r="B118" s="137" t="s">
        <v>319</v>
      </c>
      <c r="C118" s="115"/>
      <c r="D118" s="115"/>
      <c r="F118" s="77">
        <f>F114+F111+F107+F101</f>
        <v>54901157.18</v>
      </c>
      <c r="G118" s="54"/>
      <c r="H118" s="54"/>
      <c r="I118" s="54"/>
      <c r="J118" s="78">
        <f>J114+J111+J107+J101</f>
        <v>188282.36598373877</v>
      </c>
      <c r="K118" s="79"/>
      <c r="L118" s="80">
        <f>L114+L111+L107+L101</f>
        <v>1.2525440732890416</v>
      </c>
      <c r="M118" s="81"/>
      <c r="N118" s="82">
        <f>J118/J$118</f>
        <v>1</v>
      </c>
      <c r="P118" s="98"/>
      <c r="Q118" s="98"/>
      <c r="R118" s="54"/>
      <c r="S118" s="79"/>
      <c r="T118" s="98"/>
      <c r="U118" s="98"/>
      <c r="V118" s="255"/>
      <c r="W118" s="105"/>
      <c r="X118" s="250"/>
      <c r="Y118" s="105"/>
      <c r="Z118" s="251"/>
      <c r="AB118" s="14"/>
      <c r="AD118" s="77">
        <f>AD114+AD111+AD107+AD101</f>
        <v>55135450</v>
      </c>
      <c r="AE118" s="98"/>
      <c r="AF118" s="98"/>
      <c r="AG118" s="54"/>
      <c r="AH118" s="78">
        <f>AH114+AH111+AH107+AH101</f>
        <v>267150.86209775624</v>
      </c>
      <c r="AI118" s="79"/>
      <c r="AJ118" s="80">
        <f>AJ114+AJ111+AJ107+AJ101</f>
        <v>1.7326902005380986</v>
      </c>
      <c r="AK118" s="81"/>
      <c r="AL118" s="82">
        <f>AH118/AH$118</f>
        <v>1</v>
      </c>
      <c r="AN118" s="98"/>
      <c r="AO118" s="98"/>
      <c r="AP118" s="105"/>
      <c r="AQ118" s="98"/>
      <c r="AR118" s="98"/>
      <c r="AS118" s="98"/>
      <c r="AT118" s="255"/>
      <c r="AV118" s="215"/>
      <c r="AX118" s="85" t="str">
        <f>IF(COUNT(AN25:AQ116)=38,((AN118-AD118)/AD118),"")</f>
        <v/>
      </c>
      <c r="BB118" s="77">
        <f>BB114+BB111+BB107+BB101</f>
        <v>96708007.180000007</v>
      </c>
      <c r="BC118" s="54"/>
      <c r="BD118" s="78">
        <f>BD114+BD111+BD107+BD101</f>
        <v>453379.17402744095</v>
      </c>
      <c r="BE118" s="79"/>
      <c r="BF118" s="80">
        <f>BF114+BF111+BF107+BF101</f>
        <v>1.4889299639653233</v>
      </c>
      <c r="BG118" s="81"/>
      <c r="BH118" s="82">
        <f>BD118/BD$118</f>
        <v>1</v>
      </c>
      <c r="BJ118" s="78">
        <f>BJ114+BJ111+BJ107+BJ101</f>
        <v>100719401</v>
      </c>
      <c r="BK118" s="54"/>
      <c r="BL118" s="78">
        <f>BL114+BL111+BL107+BL101</f>
        <v>371073.91891891888</v>
      </c>
      <c r="BM118" s="79"/>
      <c r="BN118" s="83">
        <f>BN114+BN111+BN107+BN101</f>
        <v>0.94126250898947039</v>
      </c>
      <c r="BR118" s="85" t="str">
        <f>IF(COUNT(BJ25:BK116)=38,((BJ118-BB118)/BB118),"")</f>
        <v/>
      </c>
    </row>
    <row r="119" spans="2:70" ht="16" customHeight="1">
      <c r="F119" s="138"/>
      <c r="G119" s="139"/>
      <c r="H119" s="139"/>
      <c r="I119" s="139"/>
      <c r="J119" s="139"/>
      <c r="K119" s="139"/>
      <c r="L119" s="140"/>
      <c r="Q119" s="72"/>
      <c r="R119" s="14"/>
      <c r="T119" s="96"/>
      <c r="U119" s="96"/>
      <c r="V119" s="107"/>
      <c r="W119" s="105"/>
      <c r="X119" s="105"/>
      <c r="Y119" s="105"/>
      <c r="Z119" s="105"/>
      <c r="AB119" s="14"/>
      <c r="AD119" s="138"/>
      <c r="AE119" s="256"/>
      <c r="AF119" s="256"/>
      <c r="AG119" s="139"/>
      <c r="AH119" s="139"/>
      <c r="AI119" s="139"/>
      <c r="AJ119" s="140"/>
      <c r="AO119" s="33"/>
      <c r="AQ119" s="33"/>
      <c r="BB119" s="138"/>
      <c r="BC119" s="139"/>
      <c r="BD119" s="139"/>
      <c r="BE119" s="139"/>
      <c r="BF119" s="140"/>
    </row>
    <row r="120" spans="2:70" ht="16" customHeight="1">
      <c r="Q120" s="72"/>
      <c r="R120" s="14"/>
      <c r="T120" s="96"/>
      <c r="U120" s="96"/>
      <c r="AB120" s="14"/>
      <c r="AO120" s="33"/>
    </row>
    <row r="121" spans="2:70" ht="16" customHeight="1">
      <c r="H121" s="257" t="s">
        <v>384</v>
      </c>
      <c r="J121" s="258">
        <f>J101-J20</f>
        <v>93229.676912848692</v>
      </c>
      <c r="Q121" s="72"/>
      <c r="R121" s="58" t="s">
        <v>498</v>
      </c>
      <c r="T121" s="20">
        <f>J103+T20</f>
        <v>136429.67691284869</v>
      </c>
      <c r="AB121" s="14"/>
      <c r="AF121" s="257" t="s">
        <v>384</v>
      </c>
      <c r="AH121" s="258">
        <f>AH101-AH20</f>
        <v>114849.30643879174</v>
      </c>
      <c r="AO121" s="33"/>
      <c r="AP121" s="58" t="s">
        <v>499</v>
      </c>
      <c r="AQ121" s="34"/>
      <c r="AR121" s="20">
        <f>IF(AR101&lt;(AH103+AR20),AR101,AH103+AR20)</f>
        <v>189821.17690417689</v>
      </c>
      <c r="BB121" s="257" t="s">
        <v>384</v>
      </c>
      <c r="BD121" s="258">
        <f>BD101-BD20</f>
        <v>206024.92929758638</v>
      </c>
      <c r="BE121" s="54"/>
      <c r="BF121" s="54"/>
      <c r="BG121" s="54"/>
      <c r="BJ121" s="58" t="s">
        <v>499</v>
      </c>
      <c r="BK121" s="34"/>
      <c r="BL121" s="20">
        <f>AR121+T121</f>
        <v>326250.85381702555</v>
      </c>
      <c r="BN121" s="34"/>
    </row>
    <row r="122" spans="2:70" ht="16" customHeight="1">
      <c r="H122" s="257" t="s">
        <v>500</v>
      </c>
      <c r="J122" s="258">
        <f>J121+J21</f>
        <v>134871.67691284869</v>
      </c>
      <c r="Q122" s="72"/>
      <c r="R122" s="58" t="s">
        <v>501</v>
      </c>
      <c r="T122" s="20">
        <f>X103</f>
        <v>44823.065101893299</v>
      </c>
      <c r="AB122" s="14"/>
      <c r="AF122" s="257" t="s">
        <v>500</v>
      </c>
      <c r="AH122" s="258">
        <f>AH121+AH21</f>
        <v>192600.30643879174</v>
      </c>
      <c r="AO122" s="33"/>
      <c r="AP122" s="58" t="s">
        <v>502</v>
      </c>
      <c r="AQ122" s="34"/>
      <c r="AR122" s="20">
        <f>IF(AV103&lt;0,0,AV103)</f>
        <v>0</v>
      </c>
      <c r="BB122" s="257" t="s">
        <v>500</v>
      </c>
      <c r="BD122" s="258">
        <f>BD121+BD21</f>
        <v>325417.92929758638</v>
      </c>
      <c r="BE122" s="54"/>
      <c r="BF122" s="54"/>
      <c r="BG122" s="54"/>
      <c r="BJ122" s="58" t="s">
        <v>502</v>
      </c>
      <c r="BK122" s="34"/>
      <c r="BL122" s="20">
        <f>AR122+T122</f>
        <v>44823.065101893299</v>
      </c>
    </row>
    <row r="123" spans="2:70" ht="16" customHeight="1" thickBot="1">
      <c r="Q123" s="72"/>
      <c r="R123" s="72"/>
      <c r="T123" s="78">
        <f>SUM(T121:T122)</f>
        <v>181252.74201474199</v>
      </c>
      <c r="AB123" s="14"/>
      <c r="AO123" s="33"/>
      <c r="AP123" s="72"/>
      <c r="AQ123" s="34"/>
      <c r="AR123" s="78">
        <f>SUM(AR121:AR122)</f>
        <v>189821.17690417689</v>
      </c>
      <c r="BB123" s="141"/>
      <c r="BC123" s="54"/>
      <c r="BD123" s="54"/>
      <c r="BE123" s="54"/>
      <c r="BF123" s="54"/>
      <c r="BG123" s="54"/>
      <c r="BJ123" s="72"/>
      <c r="BK123" s="34"/>
      <c r="BL123" s="78">
        <f>SUM(BL121:BL122)</f>
        <v>371073.91891891882</v>
      </c>
    </row>
    <row r="124" spans="2:70" ht="16" customHeight="1" thickBot="1">
      <c r="AB124" s="14"/>
      <c r="AO124" s="33"/>
      <c r="BB124" s="259" t="s">
        <v>503</v>
      </c>
      <c r="BC124" s="54"/>
      <c r="BD124" s="260">
        <v>200433</v>
      </c>
      <c r="BE124" s="54"/>
      <c r="BF124" s="54"/>
      <c r="BG124" s="54"/>
    </row>
    <row r="125" spans="2:70" ht="16" customHeight="1">
      <c r="R125" s="178" t="s">
        <v>325</v>
      </c>
      <c r="T125" s="20">
        <f>T20</f>
        <v>43200</v>
      </c>
      <c r="AB125" s="14"/>
      <c r="AO125" s="33"/>
      <c r="AP125" s="178" t="s">
        <v>325</v>
      </c>
      <c r="AQ125" s="34"/>
      <c r="AR125" s="20">
        <f>AR20</f>
        <v>76193</v>
      </c>
      <c r="BB125" s="257"/>
      <c r="BC125" s="54"/>
      <c r="BD125" s="79"/>
      <c r="BE125" s="54"/>
      <c r="BF125" s="54"/>
      <c r="BG125" s="54"/>
      <c r="BJ125" s="178" t="s">
        <v>325</v>
      </c>
      <c r="BK125" s="34"/>
      <c r="BL125" s="20">
        <f t="shared" ref="BL125:BL126" si="136">AR125+T125</f>
        <v>119393</v>
      </c>
    </row>
    <row r="126" spans="2:70" ht="16" customHeight="1">
      <c r="R126" s="178" t="s">
        <v>504</v>
      </c>
      <c r="T126" s="20">
        <f>T103</f>
        <v>138052.74201474199</v>
      </c>
      <c r="AB126" s="14"/>
      <c r="AO126" s="33"/>
      <c r="AP126" s="178" t="s">
        <v>504</v>
      </c>
      <c r="AQ126" s="34"/>
      <c r="AR126" s="20">
        <f>AR103</f>
        <v>113628.17690417689</v>
      </c>
      <c r="BB126" s="54"/>
      <c r="BC126" s="54"/>
      <c r="BD126" s="54"/>
      <c r="BE126" s="54"/>
      <c r="BF126" s="54"/>
      <c r="BG126" s="54"/>
      <c r="BJ126" s="178" t="s">
        <v>504</v>
      </c>
      <c r="BK126" s="34"/>
      <c r="BL126" s="20">
        <f t="shared" si="136"/>
        <v>251680.91891891888</v>
      </c>
    </row>
    <row r="127" spans="2:70" ht="16" customHeight="1" thickBot="1">
      <c r="T127" s="78">
        <f>SUM(T125:T126)</f>
        <v>181252.74201474199</v>
      </c>
      <c r="AP127" s="34"/>
      <c r="AQ127" s="34"/>
      <c r="AR127" s="78">
        <f>SUM(AR125:AR126)</f>
        <v>189821.17690417689</v>
      </c>
      <c r="BB127" s="54"/>
      <c r="BC127" s="54"/>
      <c r="BD127" s="54"/>
      <c r="BE127" s="54"/>
      <c r="BF127" s="54"/>
      <c r="BG127" s="54"/>
      <c r="BJ127" s="34"/>
      <c r="BK127" s="34"/>
      <c r="BL127" s="78">
        <f>SUM(BL125:BL126)</f>
        <v>371073.91891891888</v>
      </c>
    </row>
    <row r="128" spans="2:70" ht="16" customHeight="1">
      <c r="AP128" s="34"/>
      <c r="AQ128" s="34"/>
      <c r="AR128" s="34"/>
      <c r="BB128" s="54"/>
      <c r="BC128" s="54"/>
      <c r="BD128" s="54"/>
      <c r="BE128" s="54"/>
      <c r="BF128" s="54"/>
      <c r="BG128" s="54"/>
      <c r="BJ128" s="34"/>
      <c r="BK128" s="34"/>
      <c r="BL128" s="34"/>
    </row>
    <row r="129" spans="18:64" s="14" customFormat="1" ht="16" customHeight="1">
      <c r="R129" s="34"/>
      <c r="S129" s="34"/>
      <c r="T129" s="34"/>
      <c r="U129" s="34"/>
      <c r="V129" s="35"/>
      <c r="AB129"/>
      <c r="AE129" s="33"/>
      <c r="AF129" s="33"/>
      <c r="AP129" s="34"/>
      <c r="AQ129" s="34"/>
      <c r="AR129" s="34"/>
      <c r="BB129" s="141"/>
      <c r="BC129" s="54"/>
      <c r="BD129" s="54"/>
      <c r="BE129" s="54"/>
      <c r="BF129" s="54"/>
      <c r="BG129" s="54"/>
      <c r="BJ129" s="34"/>
      <c r="BK129" s="34"/>
      <c r="BL129" s="34"/>
    </row>
    <row r="130" spans="18:64" s="14" customFormat="1" ht="16" customHeight="1" thickBot="1">
      <c r="R130" s="178" t="s">
        <v>504</v>
      </c>
      <c r="S130" s="34"/>
      <c r="T130" s="78">
        <f>T126</f>
        <v>138052.74201474199</v>
      </c>
      <c r="U130" s="34"/>
      <c r="V130" s="35"/>
      <c r="AB130"/>
      <c r="AE130" s="33"/>
      <c r="AF130" s="33"/>
      <c r="AP130" s="178" t="s">
        <v>504</v>
      </c>
      <c r="AQ130" s="34"/>
      <c r="AR130" s="78">
        <f>AR126</f>
        <v>113628.17690417689</v>
      </c>
      <c r="BB130" s="54"/>
      <c r="BC130" s="54"/>
      <c r="BD130" s="54"/>
      <c r="BE130" s="54"/>
      <c r="BF130" s="54"/>
      <c r="BG130" s="54"/>
      <c r="BJ130" s="178" t="s">
        <v>504</v>
      </c>
      <c r="BK130" s="34"/>
      <c r="BL130" s="78">
        <f>BL126</f>
        <v>251680.91891891888</v>
      </c>
    </row>
    <row r="131" spans="18:64" s="14" customFormat="1" ht="16" customHeight="1">
      <c r="R131" s="178" t="s">
        <v>505</v>
      </c>
      <c r="S131" s="34"/>
      <c r="T131" s="20">
        <f>T121-T125</f>
        <v>93229.676912848692</v>
      </c>
      <c r="U131" s="34"/>
      <c r="V131" s="35"/>
      <c r="X131" s="261"/>
      <c r="Y131" s="261"/>
      <c r="Z131" s="261"/>
      <c r="AB131"/>
      <c r="AE131" s="33"/>
      <c r="AF131" s="33"/>
      <c r="AP131" s="178" t="s">
        <v>505</v>
      </c>
      <c r="AQ131" s="34"/>
      <c r="AR131" s="20">
        <f>IF((AR103-AH103)&lt;0,AR103,AR121-AR125)</f>
        <v>113628.17690417689</v>
      </c>
      <c r="BB131" s="141"/>
      <c r="BC131" s="54"/>
      <c r="BD131" s="54"/>
      <c r="BE131" s="54"/>
      <c r="BF131" s="54"/>
      <c r="BG131" s="54"/>
      <c r="BJ131" s="178" t="s">
        <v>505</v>
      </c>
      <c r="BK131" s="34"/>
      <c r="BL131" s="20">
        <f t="shared" ref="BL131:BL132" si="137">AR131+T131</f>
        <v>206857.85381702558</v>
      </c>
    </row>
    <row r="132" spans="18:64" s="14" customFormat="1" ht="16" customHeight="1">
      <c r="R132" s="178" t="s">
        <v>506</v>
      </c>
      <c r="S132" s="34"/>
      <c r="T132" s="20">
        <f>T130-T131</f>
        <v>44823.065101893299</v>
      </c>
      <c r="U132" s="34"/>
      <c r="V132" s="35"/>
      <c r="AB132"/>
      <c r="AE132" s="33"/>
      <c r="AF132" s="33"/>
      <c r="AP132" s="178" t="s">
        <v>506</v>
      </c>
      <c r="AQ132" s="34"/>
      <c r="AR132" s="20">
        <f>AR130-AR131</f>
        <v>0</v>
      </c>
      <c r="BB132" s="54"/>
      <c r="BC132" s="54"/>
      <c r="BD132" s="54"/>
      <c r="BE132" s="54"/>
      <c r="BF132" s="54"/>
      <c r="BG132" s="54"/>
      <c r="BJ132" s="178" t="s">
        <v>506</v>
      </c>
      <c r="BK132" s="34"/>
      <c r="BL132" s="20">
        <f t="shared" si="137"/>
        <v>44823.065101893299</v>
      </c>
    </row>
    <row r="133" spans="18:64" s="14" customFormat="1" ht="16" customHeight="1">
      <c r="R133" s="34"/>
      <c r="S133" s="34"/>
      <c r="T133" s="34"/>
      <c r="U133" s="34"/>
      <c r="V133" s="35"/>
      <c r="AB133"/>
      <c r="AE133" s="33"/>
      <c r="AF133" s="33"/>
      <c r="BB133" s="143"/>
      <c r="BC133" s="54"/>
      <c r="BD133" s="54"/>
      <c r="BE133" s="54"/>
      <c r="BF133" s="143"/>
      <c r="BG133" s="54"/>
    </row>
    <row r="134" spans="18:64" s="14" customFormat="1" ht="16" customHeight="1" thickBot="1">
      <c r="R134" s="34"/>
      <c r="S134" s="34"/>
      <c r="T134" s="34"/>
      <c r="U134" s="34"/>
      <c r="V134" s="35"/>
      <c r="AB134"/>
      <c r="AE134" s="33"/>
      <c r="AF134" s="33"/>
      <c r="BB134" s="54"/>
      <c r="BC134" s="54"/>
      <c r="BD134" s="54"/>
      <c r="BE134" s="54"/>
      <c r="BF134" s="54"/>
      <c r="BG134" s="54"/>
      <c r="BJ134" s="259" t="s">
        <v>503</v>
      </c>
      <c r="BK134" s="54"/>
    </row>
    <row r="135" spans="18:64" s="14" customFormat="1" ht="16" customHeight="1" thickBot="1">
      <c r="R135" s="34"/>
      <c r="S135" s="34"/>
      <c r="T135" s="34"/>
      <c r="U135" s="34"/>
      <c r="V135" s="35"/>
      <c r="AB135"/>
      <c r="AE135" s="33"/>
      <c r="AF135" s="33"/>
      <c r="BB135" s="141"/>
      <c r="BC135" s="54"/>
      <c r="BD135" s="141"/>
      <c r="BE135" s="54"/>
      <c r="BF135" s="54"/>
      <c r="BG135" s="54"/>
      <c r="BJ135" s="262">
        <v>41509</v>
      </c>
      <c r="BL135" s="260">
        <v>200433</v>
      </c>
    </row>
    <row r="136" spans="18:64" s="14" customFormat="1" ht="16" customHeight="1">
      <c r="R136" s="34"/>
      <c r="S136" s="34"/>
      <c r="T136" s="34"/>
      <c r="U136" s="34"/>
      <c r="V136" s="35"/>
      <c r="AB136"/>
      <c r="AE136" s="33"/>
      <c r="AF136" s="33"/>
      <c r="BB136" s="142"/>
      <c r="BC136" s="54"/>
      <c r="BD136" s="54"/>
      <c r="BE136" s="54"/>
      <c r="BF136" s="54"/>
      <c r="BG136" s="54"/>
    </row>
    <row r="137" spans="18:64" s="14" customFormat="1" ht="16" customHeight="1" thickBot="1">
      <c r="R137" s="34"/>
      <c r="S137" s="34"/>
      <c r="T137" s="34"/>
      <c r="U137" s="34"/>
      <c r="V137" s="35"/>
      <c r="AB137"/>
      <c r="AE137" s="33"/>
      <c r="AF137" s="33"/>
      <c r="BB137" s="144"/>
      <c r="BC137" s="54"/>
      <c r="BD137" s="54"/>
      <c r="BE137" s="54"/>
      <c r="BF137" s="54"/>
      <c r="BG137" s="54"/>
      <c r="BJ137" s="178" t="s">
        <v>507</v>
      </c>
      <c r="BL137" s="78">
        <f>BL131-BL135</f>
        <v>6424.8538170255779</v>
      </c>
    </row>
    <row r="138" spans="18:64" s="14" customFormat="1" ht="16" customHeight="1">
      <c r="R138" s="34"/>
      <c r="S138" s="34"/>
      <c r="T138" s="34"/>
      <c r="U138" s="34"/>
      <c r="V138" s="35"/>
      <c r="AB138"/>
      <c r="AE138" s="33"/>
      <c r="AF138" s="33"/>
      <c r="BB138" s="54"/>
      <c r="BC138" s="54"/>
      <c r="BD138" s="54"/>
      <c r="BE138" s="54"/>
      <c r="BF138" s="54"/>
      <c r="BG138" s="54"/>
    </row>
    <row r="139" spans="18:64" s="14" customFormat="1" ht="16" customHeight="1">
      <c r="R139" s="34"/>
      <c r="S139" s="34"/>
      <c r="T139" s="34"/>
      <c r="U139" s="34"/>
      <c r="V139" s="35"/>
      <c r="AB139"/>
      <c r="AE139" s="33"/>
      <c r="AF139" s="33"/>
      <c r="BB139" s="54"/>
      <c r="BC139" s="54"/>
      <c r="BD139" s="54"/>
      <c r="BE139" s="54"/>
      <c r="BF139" s="54"/>
      <c r="BG139" s="54"/>
    </row>
    <row r="140" spans="18:64" s="14" customFormat="1" ht="16" customHeight="1">
      <c r="R140" s="34"/>
      <c r="S140" s="34"/>
      <c r="T140" s="34"/>
      <c r="U140" s="34"/>
      <c r="V140" s="35"/>
      <c r="AB140"/>
      <c r="AE140" s="33"/>
      <c r="AF140" s="33"/>
      <c r="BB140" s="54"/>
      <c r="BC140" s="54"/>
      <c r="BD140" s="54"/>
      <c r="BE140" s="54"/>
      <c r="BF140" s="54"/>
      <c r="BG140" s="54"/>
    </row>
    <row r="141" spans="18:64" s="14" customFormat="1" ht="16" customHeight="1">
      <c r="R141" s="34"/>
      <c r="S141" s="34"/>
      <c r="T141" s="34"/>
      <c r="U141" s="34"/>
      <c r="V141" s="35"/>
      <c r="AB141"/>
      <c r="AE141" s="33"/>
      <c r="AF141" s="33"/>
      <c r="BB141" s="141"/>
      <c r="BC141" s="54"/>
      <c r="BD141" s="54"/>
      <c r="BE141" s="54"/>
      <c r="BF141" s="54"/>
      <c r="BG141" s="54"/>
    </row>
    <row r="142" spans="18:64" s="14" customFormat="1" ht="16" customHeight="1">
      <c r="R142" s="34"/>
      <c r="S142" s="34"/>
      <c r="T142" s="34"/>
      <c r="U142" s="34"/>
      <c r="V142" s="35"/>
      <c r="AB142"/>
      <c r="AE142" s="33"/>
      <c r="AF142" s="33"/>
      <c r="BB142" s="54"/>
      <c r="BC142" s="54"/>
      <c r="BD142" s="54"/>
      <c r="BE142" s="54"/>
      <c r="BF142" s="54"/>
      <c r="BG142" s="54"/>
    </row>
    <row r="143" spans="18:64" s="14" customFormat="1" ht="16" customHeight="1">
      <c r="R143" s="34"/>
      <c r="S143" s="34"/>
      <c r="T143" s="34"/>
      <c r="U143" s="34"/>
      <c r="V143" s="35"/>
      <c r="AB143"/>
      <c r="AE143" s="33"/>
      <c r="AF143" s="33"/>
      <c r="BB143" s="141"/>
      <c r="BC143" s="54"/>
      <c r="BD143" s="54"/>
      <c r="BE143" s="54"/>
      <c r="BF143" s="54"/>
      <c r="BG143" s="54"/>
    </row>
    <row r="144" spans="18:64" s="14" customFormat="1" ht="16" customHeight="1">
      <c r="R144" s="34"/>
      <c r="S144" s="34"/>
      <c r="T144" s="34"/>
      <c r="U144" s="34"/>
      <c r="V144" s="35"/>
      <c r="AB144"/>
      <c r="AE144" s="33"/>
      <c r="AF144" s="33"/>
      <c r="BB144" s="54"/>
      <c r="BC144" s="54"/>
      <c r="BD144" s="54"/>
      <c r="BE144" s="54"/>
      <c r="BF144" s="54"/>
      <c r="BG144" s="54"/>
    </row>
    <row r="145" spans="54:59" s="14" customFormat="1" ht="16" customHeight="1">
      <c r="BB145" s="143"/>
      <c r="BC145" s="54"/>
      <c r="BD145" s="54"/>
      <c r="BE145" s="54"/>
      <c r="BF145" s="143"/>
      <c r="BG145" s="54"/>
    </row>
    <row r="146" spans="54:59" s="14" customFormat="1" ht="16" customHeight="1">
      <c r="BB146" s="142"/>
      <c r="BC146" s="54"/>
      <c r="BD146" s="54"/>
      <c r="BE146" s="54"/>
      <c r="BF146" s="54"/>
      <c r="BG146" s="54"/>
    </row>
    <row r="147" spans="54:59" s="14" customFormat="1" ht="16" customHeight="1">
      <c r="BB147" s="141"/>
      <c r="BC147" s="54"/>
      <c r="BD147" s="141"/>
      <c r="BE147" s="54"/>
      <c r="BF147" s="54"/>
      <c r="BG147" s="54"/>
    </row>
    <row r="148" spans="54:59" s="14" customFormat="1" ht="16" customHeight="1">
      <c r="BB148" s="54"/>
      <c r="BC148" s="54"/>
      <c r="BD148" s="54"/>
      <c r="BE148" s="54"/>
      <c r="BF148" s="54"/>
      <c r="BG148" s="54"/>
    </row>
    <row r="149" spans="54:59" s="14" customFormat="1" ht="16" customHeight="1">
      <c r="BB149" s="144"/>
      <c r="BC149" s="54"/>
      <c r="BD149" s="54"/>
      <c r="BE149" s="54"/>
      <c r="BF149" s="54"/>
      <c r="BG149" s="54"/>
    </row>
    <row r="150" spans="54:59" s="14" customFormat="1" ht="16" customHeight="1">
      <c r="BB150" s="54"/>
      <c r="BC150" s="54"/>
      <c r="BD150" s="54"/>
      <c r="BE150" s="54"/>
      <c r="BF150" s="54"/>
      <c r="BG150" s="54"/>
    </row>
    <row r="151" spans="54:59" s="14" customFormat="1" ht="16" customHeight="1">
      <c r="BB151" s="54"/>
      <c r="BC151" s="54"/>
      <c r="BD151" s="141"/>
      <c r="BE151" s="54"/>
      <c r="BF151" s="143"/>
      <c r="BG151" s="54"/>
    </row>
    <row r="152" spans="54:59" s="14" customFormat="1" ht="16" customHeight="1">
      <c r="BB152" s="54"/>
      <c r="BC152" s="54"/>
      <c r="BD152" s="54"/>
      <c r="BE152" s="54"/>
      <c r="BF152" s="54"/>
      <c r="BG152" s="54"/>
    </row>
    <row r="153" spans="54:59" s="14" customFormat="1" ht="16" customHeight="1">
      <c r="BB153" s="141"/>
      <c r="BC153" s="54"/>
      <c r="BD153" s="54"/>
      <c r="BE153" s="54"/>
      <c r="BF153" s="54"/>
      <c r="BG153" s="54"/>
    </row>
    <row r="154" spans="54:59" s="14" customFormat="1" ht="16" customHeight="1">
      <c r="BB154" s="54"/>
      <c r="BC154" s="54"/>
      <c r="BD154" s="54"/>
      <c r="BE154" s="54"/>
      <c r="BF154" s="54"/>
      <c r="BG154" s="54"/>
    </row>
    <row r="155" spans="54:59" s="14" customFormat="1" ht="16" customHeight="1">
      <c r="BB155" s="141"/>
      <c r="BC155" s="54"/>
      <c r="BD155" s="54"/>
      <c r="BE155" s="54"/>
      <c r="BF155" s="54"/>
      <c r="BG155" s="54"/>
    </row>
    <row r="156" spans="54:59" s="14" customFormat="1" ht="16" customHeight="1">
      <c r="BB156" s="54"/>
      <c r="BC156" s="54"/>
      <c r="BD156" s="54"/>
      <c r="BE156" s="54"/>
      <c r="BF156" s="54"/>
      <c r="BG156" s="54"/>
    </row>
    <row r="157" spans="54:59" s="14" customFormat="1" ht="16" customHeight="1">
      <c r="BB157" s="141"/>
      <c r="BC157" s="54"/>
      <c r="BD157" s="54"/>
      <c r="BE157" s="54"/>
      <c r="BF157" s="54"/>
      <c r="BG157" s="54"/>
    </row>
    <row r="158" spans="54:59" s="14" customFormat="1" ht="16" customHeight="1">
      <c r="BB158" s="54"/>
      <c r="BC158" s="54"/>
      <c r="BD158" s="54"/>
      <c r="BE158" s="54"/>
      <c r="BF158" s="54"/>
      <c r="BG158" s="54"/>
    </row>
    <row r="159" spans="54:59" s="14" customFormat="1" ht="16" customHeight="1">
      <c r="BB159" s="54"/>
      <c r="BC159" s="54"/>
      <c r="BD159" s="54"/>
      <c r="BE159" s="54"/>
      <c r="BF159" s="54"/>
      <c r="BG159" s="54"/>
    </row>
    <row r="160" spans="54:59" s="14" customFormat="1" ht="16" customHeight="1">
      <c r="BB160" s="54"/>
      <c r="BC160" s="54"/>
      <c r="BD160" s="54"/>
      <c r="BE160" s="54"/>
      <c r="BF160" s="54"/>
      <c r="BG160" s="54"/>
    </row>
  </sheetData>
  <mergeCells count="3">
    <mergeCell ref="F12:L13"/>
    <mergeCell ref="AD12:AJ13"/>
    <mergeCell ref="BB12:BF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I314"/>
  <sheetViews>
    <sheetView workbookViewId="0">
      <pane xSplit="5" ySplit="19" topLeftCell="F287" activePane="bottomRight" state="frozen"/>
      <selection pane="topRight" activeCell="F1" sqref="F1"/>
      <selection pane="bottomLeft" activeCell="A20" sqref="A20"/>
      <selection pane="bottomRight" activeCell="F298" sqref="F298"/>
    </sheetView>
  </sheetViews>
  <sheetFormatPr baseColWidth="10" defaultColWidth="9.1640625" defaultRowHeight="16" customHeight="1" x14ac:dyDescent="0"/>
  <cols>
    <col min="1" max="1" width="7.5" style="291" customWidth="1"/>
    <col min="2" max="2" width="66.33203125" style="313" bestFit="1" customWidth="1"/>
    <col min="3" max="3" width="0.83203125" style="291" customWidth="1"/>
    <col min="4" max="4" width="19" style="291" customWidth="1"/>
    <col min="5" max="5" width="0.83203125" style="291" customWidth="1"/>
    <col min="6" max="6" width="17.5" style="291" customWidth="1"/>
    <col min="7" max="7" width="0.83203125" style="291" customWidth="1"/>
    <col min="8" max="8" width="10.6640625" style="291" customWidth="1"/>
    <col min="9" max="9" width="0.83203125" style="291" customWidth="1"/>
    <col min="10" max="10" width="15.6640625" style="291" customWidth="1"/>
    <col min="11" max="11" width="0.83203125" style="291" customWidth="1"/>
    <col min="12" max="12" width="15.6640625" style="291" customWidth="1"/>
    <col min="13" max="13" width="0.83203125" style="291" customWidth="1"/>
    <col min="14" max="14" width="7.6640625" style="291" customWidth="1"/>
    <col min="15" max="15" width="0.83203125" style="291" customWidth="1"/>
    <col min="16" max="16" width="15.6640625" style="296" customWidth="1"/>
    <col min="17" max="17" width="15.6640625" style="301" customWidth="1"/>
    <col min="18" max="18" width="0.83203125" style="291" customWidth="1"/>
    <col min="19" max="19" width="15.6640625" style="296" customWidth="1"/>
    <col min="20" max="20" width="0.83203125" style="291" customWidth="1"/>
    <col min="21" max="21" width="15.6640625" style="296" customWidth="1"/>
    <col min="22" max="22" width="0.83203125" style="291" customWidth="1"/>
    <col min="23" max="23" width="10.6640625" style="291" customWidth="1"/>
    <col min="24" max="24" width="0.83203125" style="291" customWidth="1"/>
    <col min="25" max="25" width="15.6640625" style="296" customWidth="1"/>
    <col min="26" max="26" width="0.83203125" style="291" customWidth="1"/>
    <col min="27" max="27" width="15.6640625" style="302" customWidth="1"/>
    <col min="28" max="28" width="0.83203125" style="291" customWidth="1"/>
    <col min="29" max="29" width="15.6640625" style="291" customWidth="1"/>
    <col min="30" max="30" width="0.83203125" style="291" customWidth="1"/>
    <col min="31" max="31" width="15.6640625" style="291" customWidth="1"/>
    <col min="32" max="32" width="0.83203125" style="291" customWidth="1"/>
    <col min="33" max="33" width="15.6640625" style="291" customWidth="1"/>
    <col min="34" max="34" width="0.83203125" style="291" customWidth="1"/>
    <col min="35" max="35" width="5.6640625" style="484" customWidth="1"/>
    <col min="36" max="16384" width="9.1640625" style="291"/>
  </cols>
  <sheetData>
    <row r="1" spans="2:35" s="271" customFormat="1" ht="16" customHeight="1">
      <c r="P1" s="272"/>
      <c r="Q1" s="273"/>
      <c r="S1" s="272"/>
      <c r="U1" s="272"/>
      <c r="Y1" s="272"/>
      <c r="AA1" s="274"/>
    </row>
    <row r="2" spans="2:35" s="271" customFormat="1" ht="16" customHeight="1">
      <c r="B2" s="275" t="s">
        <v>518</v>
      </c>
      <c r="C2" s="276"/>
      <c r="D2" s="276"/>
      <c r="E2" s="276"/>
      <c r="F2" s="276"/>
      <c r="G2" s="276"/>
      <c r="H2" s="276"/>
      <c r="I2" s="276"/>
      <c r="J2" s="276"/>
      <c r="K2" s="276"/>
      <c r="L2" s="276"/>
      <c r="M2" s="276"/>
      <c r="N2" s="276"/>
      <c r="O2" s="276"/>
      <c r="P2" s="277"/>
      <c r="Q2" s="273"/>
      <c r="R2" s="276"/>
      <c r="S2" s="277"/>
      <c r="T2" s="276"/>
      <c r="U2" s="277"/>
      <c r="V2" s="276"/>
      <c r="W2" s="276"/>
      <c r="X2" s="276"/>
      <c r="Y2" s="277"/>
      <c r="Z2" s="276"/>
      <c r="AA2" s="278"/>
      <c r="AB2" s="276"/>
      <c r="AC2" s="276"/>
      <c r="AD2" s="276"/>
      <c r="AE2" s="276"/>
      <c r="AF2" s="276"/>
      <c r="AG2" s="276"/>
      <c r="AH2" s="279"/>
    </row>
    <row r="3" spans="2:35" s="271" customFormat="1" ht="16" customHeight="1">
      <c r="B3" s="280"/>
      <c r="P3" s="272"/>
      <c r="Q3" s="273"/>
      <c r="S3" s="272"/>
      <c r="U3" s="272"/>
      <c r="Y3" s="272"/>
      <c r="AA3" s="274"/>
    </row>
    <row r="4" spans="2:35" s="271" customFormat="1" ht="16" customHeight="1" thickBot="1">
      <c r="B4" s="281"/>
      <c r="K4" s="282"/>
      <c r="Q4" s="279"/>
      <c r="AA4" s="274"/>
    </row>
    <row r="5" spans="2:35" s="271" customFormat="1" ht="16" customHeight="1" thickBot="1">
      <c r="B5" s="283" t="s">
        <v>450</v>
      </c>
      <c r="F5" s="283" t="s">
        <v>519</v>
      </c>
      <c r="J5" s="284">
        <v>400</v>
      </c>
      <c r="K5" s="282"/>
      <c r="P5" s="283" t="s">
        <v>520</v>
      </c>
      <c r="S5" s="284">
        <v>420</v>
      </c>
      <c r="U5" s="271" t="s">
        <v>521</v>
      </c>
    </row>
    <row r="6" spans="2:35" s="271" customFormat="1" ht="16" customHeight="1" thickBot="1">
      <c r="B6" s="281"/>
      <c r="F6" s="283" t="s">
        <v>522</v>
      </c>
      <c r="J6" s="284">
        <v>420</v>
      </c>
      <c r="K6" s="282"/>
      <c r="P6" s="283" t="s">
        <v>523</v>
      </c>
      <c r="S6" s="284">
        <v>420</v>
      </c>
      <c r="U6" s="271" t="s">
        <v>524</v>
      </c>
    </row>
    <row r="7" spans="2:35" s="271" customFormat="1" ht="16" customHeight="1" thickBot="1">
      <c r="B7" s="281"/>
      <c r="Q7" s="279"/>
      <c r="AA7" s="274"/>
    </row>
    <row r="8" spans="2:35" s="271" customFormat="1" ht="16" customHeight="1" thickBot="1">
      <c r="B8" s="281" t="s">
        <v>525</v>
      </c>
      <c r="F8" s="285" t="s">
        <v>526</v>
      </c>
      <c r="G8" s="286"/>
      <c r="J8" s="287">
        <v>396900</v>
      </c>
      <c r="K8" s="282"/>
      <c r="P8" s="285" t="s">
        <v>527</v>
      </c>
      <c r="S8" s="287"/>
      <c r="AA8" s="274"/>
    </row>
    <row r="9" spans="2:35" s="271" customFormat="1" ht="16" customHeight="1">
      <c r="B9" s="281"/>
      <c r="F9" s="283"/>
      <c r="J9" s="288"/>
      <c r="K9" s="282"/>
      <c r="P9" s="283" t="s">
        <v>528</v>
      </c>
      <c r="S9" s="289" t="str">
        <f>IF(S8="","",(S8-J8)/J8)</f>
        <v/>
      </c>
      <c r="AA9" s="274"/>
    </row>
    <row r="10" spans="2:35" s="271" customFormat="1" ht="16" customHeight="1">
      <c r="B10" s="281"/>
      <c r="F10" s="283"/>
      <c r="J10" s="288"/>
      <c r="K10" s="282"/>
      <c r="P10" s="285" t="s">
        <v>529</v>
      </c>
      <c r="S10" s="290" t="str">
        <f>IF(S8="","",S8-J8)</f>
        <v/>
      </c>
      <c r="AA10" s="274"/>
    </row>
    <row r="11" spans="2:35" ht="16" customHeight="1">
      <c r="B11" s="292"/>
      <c r="F11" s="293"/>
      <c r="G11" s="293"/>
      <c r="H11" s="293"/>
      <c r="I11" s="293"/>
      <c r="J11" s="293"/>
      <c r="K11" s="293"/>
      <c r="L11" s="293"/>
      <c r="M11" s="294"/>
      <c r="N11" s="294"/>
      <c r="P11" s="291"/>
      <c r="Q11" s="295"/>
      <c r="S11" s="291"/>
      <c r="U11" s="291"/>
      <c r="V11" s="296"/>
      <c r="Y11" s="297"/>
      <c r="Z11" s="298"/>
      <c r="AA11" s="297"/>
      <c r="AB11" s="299"/>
      <c r="AC11" s="297"/>
      <c r="AD11" s="297"/>
      <c r="AE11" s="297"/>
      <c r="AF11" s="297"/>
      <c r="AG11" s="297"/>
      <c r="AI11" s="291"/>
    </row>
    <row r="12" spans="2:35" ht="16" customHeight="1">
      <c r="B12" s="292"/>
      <c r="F12" s="572" t="s">
        <v>348</v>
      </c>
      <c r="G12" s="573"/>
      <c r="H12" s="573"/>
      <c r="I12" s="573"/>
      <c r="J12" s="573"/>
      <c r="K12" s="573"/>
      <c r="L12" s="574"/>
      <c r="M12" s="294"/>
      <c r="N12" s="294"/>
      <c r="P12" s="572" t="s">
        <v>530</v>
      </c>
      <c r="Q12" s="573"/>
      <c r="R12" s="573"/>
      <c r="S12" s="573"/>
      <c r="T12" s="573"/>
      <c r="U12" s="573"/>
      <c r="V12" s="573"/>
      <c r="W12" s="573"/>
      <c r="X12" s="573"/>
      <c r="Y12" s="573"/>
      <c r="Z12" s="573"/>
      <c r="AA12" s="573"/>
      <c r="AB12" s="573"/>
      <c r="AC12" s="573"/>
      <c r="AD12" s="573"/>
      <c r="AE12" s="573"/>
      <c r="AF12" s="573"/>
      <c r="AG12" s="574"/>
      <c r="AI12" s="291"/>
    </row>
    <row r="13" spans="2:35" ht="16" customHeight="1">
      <c r="B13" s="292"/>
      <c r="F13" s="575"/>
      <c r="G13" s="576"/>
      <c r="H13" s="576"/>
      <c r="I13" s="576"/>
      <c r="J13" s="576"/>
      <c r="K13" s="576"/>
      <c r="L13" s="577"/>
      <c r="M13" s="294"/>
      <c r="N13" s="294"/>
      <c r="P13" s="575"/>
      <c r="Q13" s="576"/>
      <c r="R13" s="576"/>
      <c r="S13" s="576"/>
      <c r="T13" s="576"/>
      <c r="U13" s="576"/>
      <c r="V13" s="576"/>
      <c r="W13" s="576"/>
      <c r="X13" s="576"/>
      <c r="Y13" s="576"/>
      <c r="Z13" s="576"/>
      <c r="AA13" s="576"/>
      <c r="AB13" s="576"/>
      <c r="AC13" s="576"/>
      <c r="AD13" s="576"/>
      <c r="AE13" s="576"/>
      <c r="AF13" s="576"/>
      <c r="AG13" s="577"/>
      <c r="AI13" s="291"/>
    </row>
    <row r="14" spans="2:35" ht="16" customHeight="1">
      <c r="B14" s="300"/>
      <c r="F14" s="294"/>
      <c r="G14" s="294"/>
      <c r="H14" s="294"/>
      <c r="I14" s="294"/>
      <c r="J14" s="294"/>
      <c r="K14" s="294"/>
      <c r="L14" s="294"/>
      <c r="M14" s="294"/>
      <c r="N14" s="294"/>
      <c r="AI14" s="291"/>
    </row>
    <row r="15" spans="2:35" ht="16" customHeight="1">
      <c r="B15" s="300"/>
      <c r="F15" s="303" t="s">
        <v>349</v>
      </c>
      <c r="G15" s="304"/>
      <c r="H15" s="305" t="s">
        <v>350</v>
      </c>
      <c r="I15" s="304"/>
      <c r="J15" s="305" t="s">
        <v>351</v>
      </c>
      <c r="K15" s="306"/>
      <c r="L15" s="307" t="s">
        <v>352</v>
      </c>
      <c r="M15" s="308"/>
      <c r="N15" s="308" t="s">
        <v>353</v>
      </c>
      <c r="O15" s="309"/>
      <c r="P15" s="310" t="s">
        <v>354</v>
      </c>
      <c r="Q15" s="311" t="s">
        <v>355</v>
      </c>
      <c r="R15" s="309"/>
      <c r="S15" s="308" t="s">
        <v>356</v>
      </c>
      <c r="T15" s="309"/>
      <c r="U15" s="308" t="s">
        <v>357</v>
      </c>
      <c r="W15" s="308" t="s">
        <v>531</v>
      </c>
      <c r="X15" s="309"/>
      <c r="Y15" s="308" t="s">
        <v>532</v>
      </c>
      <c r="Z15" s="309"/>
      <c r="AA15" s="308" t="s">
        <v>533</v>
      </c>
      <c r="AB15" s="309"/>
      <c r="AC15" s="308" t="s">
        <v>534</v>
      </c>
      <c r="AD15" s="308"/>
      <c r="AE15" s="308" t="s">
        <v>535</v>
      </c>
      <c r="AG15" s="308" t="s">
        <v>536</v>
      </c>
      <c r="AI15" s="291"/>
    </row>
    <row r="16" spans="2:35" ht="16" customHeight="1">
      <c r="B16" s="300"/>
      <c r="F16" s="312"/>
      <c r="G16" s="313"/>
      <c r="H16" s="313"/>
      <c r="I16" s="313"/>
      <c r="J16" s="314"/>
      <c r="K16" s="314"/>
      <c r="L16" s="315" t="s">
        <v>320</v>
      </c>
      <c r="M16" s="316"/>
      <c r="N16" s="316"/>
      <c r="P16" s="317"/>
      <c r="Q16" s="318"/>
      <c r="S16" s="319" t="s">
        <v>506</v>
      </c>
      <c r="U16" s="319" t="s">
        <v>505</v>
      </c>
      <c r="Y16" s="317"/>
      <c r="AA16" s="320" t="s">
        <v>320</v>
      </c>
      <c r="AC16" s="316" t="s">
        <v>358</v>
      </c>
      <c r="AD16" s="316"/>
      <c r="AE16" s="316" t="s">
        <v>358</v>
      </c>
      <c r="AG16" s="316" t="s">
        <v>358</v>
      </c>
      <c r="AI16" s="291"/>
    </row>
    <row r="17" spans="2:35" ht="16" customHeight="1">
      <c r="B17" s="300"/>
      <c r="D17" s="32" t="s">
        <v>385</v>
      </c>
      <c r="F17" s="321" t="s">
        <v>359</v>
      </c>
      <c r="G17" s="322"/>
      <c r="H17" s="323" t="s">
        <v>461</v>
      </c>
      <c r="I17" s="322"/>
      <c r="J17" s="316" t="s">
        <v>359</v>
      </c>
      <c r="K17" s="316"/>
      <c r="L17" s="315" t="s">
        <v>359</v>
      </c>
      <c r="M17" s="316"/>
      <c r="N17" s="316"/>
      <c r="O17" s="324"/>
      <c r="P17" s="319" t="s">
        <v>358</v>
      </c>
      <c r="Q17" s="325" t="s">
        <v>537</v>
      </c>
      <c r="R17" s="324"/>
      <c r="S17" s="319" t="s">
        <v>358</v>
      </c>
      <c r="T17" s="324"/>
      <c r="U17" s="319" t="s">
        <v>358</v>
      </c>
      <c r="V17" s="324"/>
      <c r="W17" s="323" t="s">
        <v>461</v>
      </c>
      <c r="X17" s="324"/>
      <c r="Y17" s="319" t="s">
        <v>358</v>
      </c>
      <c r="Z17" s="324"/>
      <c r="AA17" s="320" t="s">
        <v>358</v>
      </c>
      <c r="AB17" s="324"/>
      <c r="AC17" s="316" t="s">
        <v>360</v>
      </c>
      <c r="AD17" s="316"/>
      <c r="AE17" s="316" t="s">
        <v>360</v>
      </c>
      <c r="AG17" s="316" t="s">
        <v>360</v>
      </c>
      <c r="AI17" s="291"/>
    </row>
    <row r="18" spans="2:35" ht="16" customHeight="1">
      <c r="B18" s="300"/>
      <c r="D18" s="145" t="s">
        <v>386</v>
      </c>
      <c r="F18" s="321" t="s">
        <v>361</v>
      </c>
      <c r="G18" s="322"/>
      <c r="H18" s="323" t="s">
        <v>462</v>
      </c>
      <c r="I18" s="322"/>
      <c r="J18" s="316" t="s">
        <v>362</v>
      </c>
      <c r="K18" s="316"/>
      <c r="L18" s="315" t="s">
        <v>362</v>
      </c>
      <c r="M18" s="316"/>
      <c r="N18" s="316"/>
      <c r="O18" s="324"/>
      <c r="P18" s="319" t="s">
        <v>361</v>
      </c>
      <c r="Q18" s="325" t="s">
        <v>538</v>
      </c>
      <c r="R18" s="324"/>
      <c r="S18" s="319" t="s">
        <v>361</v>
      </c>
      <c r="T18" s="324"/>
      <c r="U18" s="319" t="s">
        <v>361</v>
      </c>
      <c r="V18" s="324"/>
      <c r="W18" s="323" t="s">
        <v>462</v>
      </c>
      <c r="X18" s="324"/>
      <c r="Y18" s="319" t="s">
        <v>362</v>
      </c>
      <c r="Z18" s="324"/>
      <c r="AA18" s="320" t="s">
        <v>362</v>
      </c>
      <c r="AB18" s="324"/>
      <c r="AC18" s="316" t="s">
        <v>361</v>
      </c>
      <c r="AD18" s="316"/>
      <c r="AE18" s="320" t="s">
        <v>362</v>
      </c>
      <c r="AG18" s="316" t="s">
        <v>463</v>
      </c>
      <c r="AI18" s="291"/>
    </row>
    <row r="19" spans="2:35" ht="16" customHeight="1">
      <c r="B19" s="326"/>
      <c r="F19" s="327"/>
      <c r="G19" s="313"/>
      <c r="H19" s="313"/>
      <c r="I19" s="313"/>
      <c r="J19" s="328"/>
      <c r="K19" s="328"/>
      <c r="L19" s="329"/>
      <c r="M19" s="330"/>
      <c r="N19" s="331"/>
      <c r="P19" s="328"/>
      <c r="Q19" s="332"/>
      <c r="S19" s="328"/>
      <c r="U19" s="328"/>
      <c r="V19" s="313"/>
      <c r="W19" s="313"/>
      <c r="X19" s="313"/>
      <c r="Y19" s="328"/>
      <c r="Z19" s="328"/>
      <c r="AA19" s="333"/>
      <c r="AC19" s="334"/>
      <c r="AD19" s="334"/>
      <c r="AE19" s="334"/>
      <c r="AG19" s="335"/>
      <c r="AI19" s="291"/>
    </row>
    <row r="20" spans="2:35" ht="16" customHeight="1">
      <c r="B20" s="336" t="s">
        <v>539</v>
      </c>
      <c r="C20" s="337"/>
      <c r="D20" s="337"/>
      <c r="E20" s="337"/>
      <c r="F20" s="338"/>
      <c r="G20" s="337"/>
      <c r="H20" s="337"/>
      <c r="I20" s="337"/>
      <c r="J20" s="339"/>
      <c r="K20" s="339"/>
      <c r="L20" s="340"/>
      <c r="M20" s="341"/>
      <c r="N20" s="342"/>
      <c r="O20" s="337"/>
      <c r="P20" s="339"/>
      <c r="Q20" s="339"/>
      <c r="R20" s="337"/>
      <c r="S20" s="339"/>
      <c r="T20" s="337"/>
      <c r="U20" s="339"/>
      <c r="V20" s="337"/>
      <c r="W20" s="337"/>
      <c r="X20" s="337"/>
      <c r="Y20" s="339"/>
      <c r="Z20" s="339"/>
      <c r="AA20" s="343"/>
      <c r="AB20" s="337"/>
      <c r="AC20" s="344"/>
      <c r="AD20" s="344"/>
      <c r="AE20" s="344"/>
      <c r="AF20" s="337"/>
      <c r="AG20" s="345"/>
      <c r="AI20" s="291"/>
    </row>
    <row r="21" spans="2:35" ht="16" customHeight="1">
      <c r="B21" s="346"/>
      <c r="F21" s="327"/>
      <c r="G21" s="313"/>
      <c r="H21" s="313"/>
      <c r="I21" s="313"/>
      <c r="J21" s="328"/>
      <c r="K21" s="328"/>
      <c r="L21" s="329"/>
      <c r="M21" s="330"/>
      <c r="N21" s="331"/>
      <c r="P21" s="328"/>
      <c r="Q21" s="332"/>
      <c r="S21" s="328"/>
      <c r="U21" s="328"/>
      <c r="V21" s="313"/>
      <c r="W21" s="313"/>
      <c r="X21" s="313"/>
      <c r="Y21" s="328"/>
      <c r="Z21" s="328"/>
      <c r="AA21" s="333"/>
      <c r="AC21" s="334"/>
      <c r="AD21" s="334"/>
      <c r="AE21" s="334"/>
      <c r="AG21" s="335"/>
      <c r="AI21" s="291"/>
    </row>
    <row r="22" spans="2:35" ht="16" customHeight="1">
      <c r="B22" s="347" t="s">
        <v>363</v>
      </c>
      <c r="F22" s="348">
        <v>44844000</v>
      </c>
      <c r="G22" s="313"/>
      <c r="H22" s="313">
        <f t="shared" ref="H22" si="0">J$5</f>
        <v>400</v>
      </c>
      <c r="I22" s="313"/>
      <c r="J22" s="349">
        <f t="shared" ref="J22" si="1">F22/H22</f>
        <v>112110</v>
      </c>
      <c r="K22" s="313"/>
      <c r="L22" s="350">
        <f t="shared" ref="L22" si="2">J22/$J$8</f>
        <v>0.28246409674981104</v>
      </c>
      <c r="M22" s="330"/>
      <c r="N22" s="331"/>
      <c r="P22" s="328"/>
      <c r="Q22" s="332"/>
      <c r="S22" s="328"/>
      <c r="U22" s="328"/>
      <c r="V22" s="313"/>
      <c r="W22" s="313"/>
      <c r="X22" s="313"/>
      <c r="Y22" s="328"/>
      <c r="Z22" s="328"/>
      <c r="AA22" s="333"/>
      <c r="AC22" s="334"/>
      <c r="AD22" s="334"/>
      <c r="AE22" s="334"/>
      <c r="AG22" s="335"/>
      <c r="AI22" s="291"/>
    </row>
    <row r="23" spans="2:35" ht="16" customHeight="1" thickBot="1">
      <c r="B23" s="351" t="s">
        <v>540</v>
      </c>
      <c r="D23" s="291" t="s">
        <v>325</v>
      </c>
      <c r="F23" s="352">
        <f>SUM(F19:F22)</f>
        <v>44844000</v>
      </c>
      <c r="G23" s="313"/>
      <c r="H23" s="313"/>
      <c r="I23" s="313"/>
      <c r="J23" s="353">
        <f>SUM(J19:J22)</f>
        <v>112110</v>
      </c>
      <c r="K23" s="313"/>
      <c r="L23" s="354">
        <f>SUM(L19:L22)</f>
        <v>0.28246409674981104</v>
      </c>
      <c r="M23" s="330"/>
      <c r="N23" s="331">
        <f>J23/$J$310</f>
        <v>0.28887743542167038</v>
      </c>
      <c r="P23" s="328"/>
      <c r="Q23" s="332"/>
      <c r="S23" s="328"/>
      <c r="U23" s="328"/>
      <c r="V23" s="313"/>
      <c r="W23" s="313"/>
      <c r="X23" s="313"/>
      <c r="Y23" s="328"/>
      <c r="Z23" s="328"/>
      <c r="AA23" s="333"/>
      <c r="AC23" s="334"/>
      <c r="AD23" s="334"/>
      <c r="AE23" s="334"/>
      <c r="AG23" s="335"/>
      <c r="AI23" s="291"/>
    </row>
    <row r="24" spans="2:35" ht="16" customHeight="1">
      <c r="B24" s="326"/>
      <c r="F24" s="327"/>
      <c r="G24" s="313"/>
      <c r="H24" s="313"/>
      <c r="I24" s="313"/>
      <c r="J24" s="328"/>
      <c r="K24" s="328"/>
      <c r="L24" s="329"/>
      <c r="M24" s="330"/>
      <c r="N24" s="331"/>
      <c r="P24" s="328"/>
      <c r="Q24" s="332"/>
      <c r="S24" s="328"/>
      <c r="U24" s="328"/>
      <c r="V24" s="313"/>
      <c r="W24" s="313"/>
      <c r="X24" s="313"/>
      <c r="Y24" s="328"/>
      <c r="Z24" s="328"/>
      <c r="AA24" s="333"/>
      <c r="AC24" s="334"/>
      <c r="AD24" s="334"/>
      <c r="AE24" s="334"/>
      <c r="AG24" s="335"/>
      <c r="AI24" s="291"/>
    </row>
    <row r="25" spans="2:35" ht="16" customHeight="1">
      <c r="B25" s="336" t="s">
        <v>541</v>
      </c>
      <c r="C25" s="337"/>
      <c r="D25" s="337"/>
      <c r="E25" s="337"/>
      <c r="F25" s="355"/>
      <c r="G25" s="337"/>
      <c r="H25" s="337"/>
      <c r="I25" s="337"/>
      <c r="J25" s="337"/>
      <c r="K25" s="337"/>
      <c r="L25" s="356"/>
      <c r="M25" s="337"/>
      <c r="N25" s="337"/>
      <c r="O25" s="337"/>
      <c r="P25" s="357"/>
      <c r="Q25" s="357"/>
      <c r="R25" s="337"/>
      <c r="S25" s="357"/>
      <c r="T25" s="337"/>
      <c r="U25" s="357"/>
      <c r="V25" s="337"/>
      <c r="W25" s="337"/>
      <c r="X25" s="337"/>
      <c r="Y25" s="358"/>
      <c r="Z25" s="337"/>
      <c r="AA25" s="359"/>
      <c r="AB25" s="337"/>
      <c r="AC25" s="360"/>
      <c r="AD25" s="360"/>
      <c r="AE25" s="360"/>
      <c r="AF25" s="337"/>
      <c r="AG25" s="361"/>
      <c r="AI25" s="291"/>
    </row>
    <row r="26" spans="2:35" ht="16" customHeight="1">
      <c r="B26" s="362"/>
      <c r="F26" s="363"/>
      <c r="G26" s="313"/>
      <c r="H26" s="313"/>
      <c r="I26" s="313"/>
      <c r="J26" s="313"/>
      <c r="K26" s="313"/>
      <c r="L26" s="364"/>
      <c r="P26" s="365"/>
      <c r="Q26" s="366"/>
      <c r="S26" s="365"/>
      <c r="U26" s="365"/>
      <c r="V26" s="313"/>
      <c r="W26" s="313"/>
      <c r="X26" s="313"/>
      <c r="Y26" s="349"/>
      <c r="Z26" s="313"/>
      <c r="AA26" s="367"/>
      <c r="AC26" s="368"/>
      <c r="AD26" s="368"/>
      <c r="AE26" s="368"/>
      <c r="AG26" s="369"/>
      <c r="AI26" s="291"/>
    </row>
    <row r="27" spans="2:35" ht="16" customHeight="1">
      <c r="B27" s="370" t="s">
        <v>542</v>
      </c>
      <c r="C27" s="371"/>
      <c r="D27" s="371"/>
      <c r="E27" s="371"/>
      <c r="F27" s="372"/>
      <c r="G27" s="373"/>
      <c r="H27" s="373"/>
      <c r="I27" s="373"/>
      <c r="J27" s="373"/>
      <c r="K27" s="373"/>
      <c r="L27" s="374"/>
      <c r="M27" s="371"/>
      <c r="N27" s="371"/>
      <c r="O27" s="371"/>
      <c r="P27" s="375"/>
      <c r="Q27" s="375"/>
      <c r="R27" s="371"/>
      <c r="S27" s="375"/>
      <c r="T27" s="371"/>
      <c r="U27" s="375"/>
      <c r="V27" s="373"/>
      <c r="W27" s="373"/>
      <c r="X27" s="373"/>
      <c r="Y27" s="376"/>
      <c r="Z27" s="373"/>
      <c r="AA27" s="377"/>
      <c r="AB27" s="371"/>
      <c r="AC27" s="378"/>
      <c r="AD27" s="378"/>
      <c r="AE27" s="378"/>
      <c r="AF27" s="371"/>
      <c r="AG27" s="379"/>
      <c r="AI27" s="291"/>
    </row>
    <row r="28" spans="2:35" ht="16" customHeight="1">
      <c r="B28" s="380"/>
      <c r="F28" s="363"/>
      <c r="G28" s="313"/>
      <c r="H28" s="313"/>
      <c r="I28" s="313"/>
      <c r="J28" s="313"/>
      <c r="K28" s="313"/>
      <c r="L28" s="364"/>
      <c r="P28" s="365"/>
      <c r="Q28" s="366"/>
      <c r="S28" s="365"/>
      <c r="U28" s="365"/>
      <c r="V28" s="313"/>
      <c r="W28" s="313"/>
      <c r="X28" s="313"/>
      <c r="Y28" s="349"/>
      <c r="Z28" s="313"/>
      <c r="AA28" s="367"/>
      <c r="AC28" s="368"/>
      <c r="AD28" s="368"/>
      <c r="AE28" s="368"/>
      <c r="AG28" s="369"/>
      <c r="AI28" s="291"/>
    </row>
    <row r="29" spans="2:35" ht="16" customHeight="1">
      <c r="B29" s="381" t="s">
        <v>543</v>
      </c>
      <c r="C29" s="382"/>
      <c r="D29" s="382"/>
      <c r="E29" s="382"/>
      <c r="F29" s="383"/>
      <c r="G29" s="384"/>
      <c r="H29" s="384"/>
      <c r="I29" s="384"/>
      <c r="J29" s="384"/>
      <c r="K29" s="384"/>
      <c r="L29" s="385"/>
      <c r="M29" s="382"/>
      <c r="N29" s="382"/>
      <c r="O29" s="382"/>
      <c r="P29" s="386"/>
      <c r="Q29" s="386"/>
      <c r="R29" s="382"/>
      <c r="S29" s="386"/>
      <c r="T29" s="382"/>
      <c r="U29" s="386"/>
      <c r="V29" s="384"/>
      <c r="W29" s="384"/>
      <c r="X29" s="384"/>
      <c r="Y29" s="387"/>
      <c r="Z29" s="384"/>
      <c r="AA29" s="388"/>
      <c r="AB29" s="382"/>
      <c r="AC29" s="389"/>
      <c r="AD29" s="389"/>
      <c r="AE29" s="389"/>
      <c r="AF29" s="382"/>
      <c r="AG29" s="390"/>
      <c r="AI29" s="291"/>
    </row>
    <row r="30" spans="2:35" ht="16" customHeight="1">
      <c r="B30" s="391"/>
      <c r="F30" s="363"/>
      <c r="G30" s="313"/>
      <c r="H30" s="313"/>
      <c r="I30" s="313"/>
      <c r="J30" s="313"/>
      <c r="K30" s="313"/>
      <c r="L30" s="364"/>
      <c r="P30" s="365"/>
      <c r="Q30" s="366"/>
      <c r="S30" s="365"/>
      <c r="U30" s="365"/>
      <c r="V30" s="313"/>
      <c r="W30" s="313"/>
      <c r="X30" s="313"/>
      <c r="Y30" s="349"/>
      <c r="Z30" s="313"/>
      <c r="AA30" s="367"/>
      <c r="AC30" s="368"/>
      <c r="AD30" s="368"/>
      <c r="AE30" s="368"/>
      <c r="AG30" s="369"/>
      <c r="AI30" s="291"/>
    </row>
    <row r="31" spans="2:35" ht="16" customHeight="1">
      <c r="B31" s="392" t="s">
        <v>544</v>
      </c>
      <c r="C31" s="382"/>
      <c r="D31" s="382"/>
      <c r="E31" s="382"/>
      <c r="F31" s="383"/>
      <c r="G31" s="384"/>
      <c r="H31" s="384"/>
      <c r="I31" s="384"/>
      <c r="J31" s="384"/>
      <c r="K31" s="384"/>
      <c r="L31" s="385"/>
      <c r="M31" s="382"/>
      <c r="N31" s="382"/>
      <c r="O31" s="382"/>
      <c r="P31" s="386"/>
      <c r="Q31" s="386"/>
      <c r="R31" s="382"/>
      <c r="S31" s="386"/>
      <c r="T31" s="382"/>
      <c r="U31" s="386"/>
      <c r="V31" s="384"/>
      <c r="W31" s="384"/>
      <c r="X31" s="384"/>
      <c r="Y31" s="387"/>
      <c r="Z31" s="384"/>
      <c r="AA31" s="388"/>
      <c r="AB31" s="382"/>
      <c r="AC31" s="389"/>
      <c r="AD31" s="389"/>
      <c r="AE31" s="389"/>
      <c r="AF31" s="382"/>
      <c r="AG31" s="390"/>
      <c r="AI31" s="291"/>
    </row>
    <row r="32" spans="2:35" ht="16" customHeight="1">
      <c r="B32" s="393"/>
      <c r="F32" s="363"/>
      <c r="G32" s="313"/>
      <c r="H32" s="313"/>
      <c r="I32" s="313"/>
      <c r="J32" s="313"/>
      <c r="K32" s="313"/>
      <c r="L32" s="364"/>
      <c r="P32" s="365"/>
      <c r="Q32" s="366"/>
      <c r="S32" s="365"/>
      <c r="U32" s="365"/>
      <c r="V32" s="313"/>
      <c r="W32" s="313"/>
      <c r="X32" s="313"/>
      <c r="Y32" s="349"/>
      <c r="Z32" s="313"/>
      <c r="AA32" s="367"/>
      <c r="AC32" s="368"/>
      <c r="AD32" s="368"/>
      <c r="AE32" s="368"/>
      <c r="AG32" s="369"/>
      <c r="AI32" s="291"/>
    </row>
    <row r="33" spans="2:35" ht="16" customHeight="1">
      <c r="B33" s="394" t="s">
        <v>545</v>
      </c>
      <c r="F33" s="348">
        <v>93500</v>
      </c>
      <c r="G33" s="313"/>
      <c r="H33" s="313">
        <f>J$5</f>
        <v>400</v>
      </c>
      <c r="I33" s="313"/>
      <c r="J33" s="349">
        <f>F33/H33</f>
        <v>233.75</v>
      </c>
      <c r="K33" s="313"/>
      <c r="L33" s="350">
        <f>J33/$J$8</f>
        <v>5.8893927941546984E-4</v>
      </c>
      <c r="P33" s="365"/>
      <c r="Q33" s="366"/>
      <c r="S33" s="365"/>
      <c r="U33" s="365"/>
      <c r="V33" s="313"/>
      <c r="W33" s="313"/>
      <c r="X33" s="313"/>
      <c r="Y33" s="349"/>
      <c r="Z33" s="313"/>
      <c r="AA33" s="367"/>
      <c r="AC33" s="368"/>
      <c r="AD33" s="368"/>
      <c r="AE33" s="368"/>
      <c r="AG33" s="369"/>
      <c r="AI33" s="291"/>
    </row>
    <row r="34" spans="2:35" ht="16" customHeight="1">
      <c r="B34" s="395" t="s">
        <v>546</v>
      </c>
      <c r="F34" s="348">
        <v>3400</v>
      </c>
      <c r="G34" s="313"/>
      <c r="H34" s="313">
        <f t="shared" ref="H34:H37" si="3">J$5</f>
        <v>400</v>
      </c>
      <c r="I34" s="313"/>
      <c r="J34" s="349">
        <f t="shared" ref="J34:J37" si="4">F34/H34</f>
        <v>8.5</v>
      </c>
      <c r="K34" s="313"/>
      <c r="L34" s="350">
        <f t="shared" ref="L34:L37" si="5">J34/$J$8</f>
        <v>2.1415973796926177E-5</v>
      </c>
      <c r="P34" s="365"/>
      <c r="Q34" s="366"/>
      <c r="S34" s="365"/>
      <c r="U34" s="365"/>
      <c r="V34" s="313"/>
      <c r="W34" s="313"/>
      <c r="X34" s="313"/>
      <c r="Y34" s="349"/>
      <c r="Z34" s="313"/>
      <c r="AA34" s="367"/>
      <c r="AC34" s="368"/>
      <c r="AD34" s="368"/>
      <c r="AE34" s="368"/>
      <c r="AG34" s="369"/>
      <c r="AI34" s="291"/>
    </row>
    <row r="35" spans="2:35" ht="16" customHeight="1">
      <c r="B35" s="394" t="s">
        <v>547</v>
      </c>
      <c r="F35" s="348">
        <v>1700</v>
      </c>
      <c r="G35" s="313"/>
      <c r="H35" s="313">
        <f t="shared" si="3"/>
        <v>400</v>
      </c>
      <c r="I35" s="313"/>
      <c r="J35" s="349">
        <f t="shared" si="4"/>
        <v>4.25</v>
      </c>
      <c r="K35" s="313"/>
      <c r="L35" s="350">
        <f t="shared" si="5"/>
        <v>1.0707986898463088E-5</v>
      </c>
      <c r="P35" s="365"/>
      <c r="Q35" s="366"/>
      <c r="S35" s="365"/>
      <c r="U35" s="365"/>
      <c r="V35" s="313"/>
      <c r="W35" s="313"/>
      <c r="X35" s="313"/>
      <c r="Y35" s="349"/>
      <c r="Z35" s="313"/>
      <c r="AA35" s="367"/>
      <c r="AC35" s="368"/>
      <c r="AD35" s="368"/>
      <c r="AE35" s="368"/>
      <c r="AG35" s="369"/>
      <c r="AI35" s="291"/>
    </row>
    <row r="36" spans="2:35" ht="16" customHeight="1">
      <c r="B36" s="394" t="s">
        <v>473</v>
      </c>
      <c r="F36" s="348">
        <v>23200</v>
      </c>
      <c r="G36" s="313"/>
      <c r="H36" s="313">
        <f t="shared" si="3"/>
        <v>400</v>
      </c>
      <c r="I36" s="313"/>
      <c r="J36" s="349">
        <f t="shared" si="4"/>
        <v>58</v>
      </c>
      <c r="K36" s="313"/>
      <c r="L36" s="350">
        <f t="shared" si="5"/>
        <v>1.4613252708490804E-4</v>
      </c>
      <c r="P36" s="365"/>
      <c r="Q36" s="366"/>
      <c r="S36" s="365"/>
      <c r="U36" s="365"/>
      <c r="V36" s="313"/>
      <c r="W36" s="313"/>
      <c r="X36" s="313"/>
      <c r="Y36" s="349"/>
      <c r="Z36" s="313"/>
      <c r="AA36" s="367"/>
      <c r="AC36" s="368"/>
      <c r="AD36" s="368"/>
      <c r="AE36" s="368"/>
      <c r="AG36" s="369"/>
      <c r="AI36" s="291"/>
    </row>
    <row r="37" spans="2:35" ht="16" customHeight="1">
      <c r="B37" s="394" t="s">
        <v>476</v>
      </c>
      <c r="F37" s="348">
        <v>42670</v>
      </c>
      <c r="G37" s="313"/>
      <c r="H37" s="313">
        <f t="shared" si="3"/>
        <v>400</v>
      </c>
      <c r="I37" s="313"/>
      <c r="J37" s="349">
        <f t="shared" si="4"/>
        <v>106.675</v>
      </c>
      <c r="K37" s="313"/>
      <c r="L37" s="350">
        <f t="shared" si="5"/>
        <v>2.6877047115142353E-4</v>
      </c>
      <c r="P37" s="365"/>
      <c r="Q37" s="366"/>
      <c r="S37" s="365"/>
      <c r="U37" s="365"/>
      <c r="V37" s="313"/>
      <c r="W37" s="313"/>
      <c r="X37" s="313"/>
      <c r="Y37" s="349"/>
      <c r="Z37" s="313"/>
      <c r="AA37" s="367"/>
      <c r="AC37" s="368"/>
      <c r="AD37" s="368"/>
      <c r="AE37" s="368"/>
      <c r="AG37" s="369"/>
      <c r="AI37" s="291"/>
    </row>
    <row r="38" spans="2:35" ht="16" customHeight="1" thickBot="1">
      <c r="B38" s="396" t="s">
        <v>338</v>
      </c>
      <c r="F38" s="352">
        <f>SUM(F33:F37)</f>
        <v>164470</v>
      </c>
      <c r="G38" s="313"/>
      <c r="H38" s="313"/>
      <c r="I38" s="313"/>
      <c r="J38" s="353">
        <f>SUM(J33:J37)</f>
        <v>411.17500000000001</v>
      </c>
      <c r="K38" s="313"/>
      <c r="L38" s="354">
        <f>SUM(L33:L37)</f>
        <v>1.0359662383471907E-3</v>
      </c>
      <c r="N38" s="331">
        <f>J38/$J$310</f>
        <v>1.0594878200830017E-3</v>
      </c>
      <c r="P38" s="365"/>
      <c r="Q38" s="366"/>
      <c r="S38" s="365"/>
      <c r="U38" s="365"/>
      <c r="V38" s="313"/>
      <c r="W38" s="313"/>
      <c r="X38" s="313"/>
      <c r="Y38" s="349"/>
      <c r="Z38" s="313"/>
      <c r="AA38" s="367"/>
      <c r="AC38" s="368"/>
      <c r="AD38" s="368"/>
      <c r="AE38" s="368"/>
      <c r="AG38" s="369"/>
      <c r="AI38" s="291"/>
    </row>
    <row r="39" spans="2:35" ht="16" customHeight="1">
      <c r="B39" s="393"/>
      <c r="F39" s="363"/>
      <c r="G39" s="313"/>
      <c r="H39" s="313"/>
      <c r="I39" s="313"/>
      <c r="J39" s="349"/>
      <c r="K39" s="313"/>
      <c r="L39" s="397"/>
      <c r="P39" s="365"/>
      <c r="Q39" s="366"/>
      <c r="S39" s="365"/>
      <c r="U39" s="365"/>
      <c r="V39" s="313"/>
      <c r="W39" s="313"/>
      <c r="X39" s="313"/>
      <c r="Y39" s="349"/>
      <c r="Z39" s="313"/>
      <c r="AA39" s="367"/>
      <c r="AC39" s="368"/>
      <c r="AD39" s="368"/>
      <c r="AE39" s="368"/>
      <c r="AG39" s="369"/>
      <c r="AI39" s="291"/>
    </row>
    <row r="40" spans="2:35" ht="16" customHeight="1">
      <c r="B40" s="392" t="s">
        <v>548</v>
      </c>
      <c r="C40" s="382"/>
      <c r="D40" s="382"/>
      <c r="E40" s="382"/>
      <c r="F40" s="383"/>
      <c r="G40" s="384"/>
      <c r="H40" s="384"/>
      <c r="I40" s="384"/>
      <c r="J40" s="387"/>
      <c r="K40" s="384"/>
      <c r="L40" s="398"/>
      <c r="M40" s="382"/>
      <c r="N40" s="382"/>
      <c r="O40" s="382"/>
      <c r="P40" s="386"/>
      <c r="Q40" s="386"/>
      <c r="R40" s="382"/>
      <c r="S40" s="386"/>
      <c r="T40" s="382"/>
      <c r="U40" s="386"/>
      <c r="V40" s="384"/>
      <c r="W40" s="384"/>
      <c r="X40" s="384"/>
      <c r="Y40" s="387"/>
      <c r="Z40" s="384"/>
      <c r="AA40" s="388"/>
      <c r="AB40" s="382"/>
      <c r="AC40" s="389"/>
      <c r="AD40" s="389"/>
      <c r="AE40" s="389"/>
      <c r="AF40" s="382"/>
      <c r="AG40" s="390"/>
      <c r="AI40" s="291"/>
    </row>
    <row r="41" spans="2:35" ht="16" customHeight="1">
      <c r="B41" s="393"/>
      <c r="F41" s="363"/>
      <c r="G41" s="313"/>
      <c r="H41" s="313"/>
      <c r="I41" s="313"/>
      <c r="J41" s="349"/>
      <c r="K41" s="313"/>
      <c r="L41" s="397"/>
      <c r="P41" s="365"/>
      <c r="Q41" s="366"/>
      <c r="S41" s="365"/>
      <c r="U41" s="365"/>
      <c r="V41" s="313"/>
      <c r="W41" s="313"/>
      <c r="X41" s="313"/>
      <c r="Y41" s="349"/>
      <c r="Z41" s="313"/>
      <c r="AA41" s="367"/>
      <c r="AC41" s="368"/>
      <c r="AD41" s="368"/>
      <c r="AE41" s="368"/>
      <c r="AG41" s="369"/>
      <c r="AI41" s="291"/>
    </row>
    <row r="42" spans="2:35" ht="16" customHeight="1">
      <c r="B42" s="394" t="s">
        <v>549</v>
      </c>
      <c r="F42" s="348">
        <v>0</v>
      </c>
      <c r="G42" s="313"/>
      <c r="H42" s="313">
        <f t="shared" ref="H42:H48" si="6">J$5</f>
        <v>400</v>
      </c>
      <c r="I42" s="313"/>
      <c r="J42" s="349">
        <f t="shared" ref="J42:J48" si="7">F42/H42</f>
        <v>0</v>
      </c>
      <c r="K42" s="313"/>
      <c r="L42" s="397">
        <f t="shared" ref="L42:L48" si="8">J42/$J$8</f>
        <v>0</v>
      </c>
      <c r="P42" s="365"/>
      <c r="Q42" s="366"/>
      <c r="S42" s="365"/>
      <c r="U42" s="365"/>
      <c r="V42" s="313"/>
      <c r="W42" s="313"/>
      <c r="X42" s="313"/>
      <c r="Y42" s="349"/>
      <c r="Z42" s="313"/>
      <c r="AA42" s="367"/>
      <c r="AC42" s="368"/>
      <c r="AD42" s="368"/>
      <c r="AE42" s="368"/>
      <c r="AG42" s="369"/>
      <c r="AI42" s="291"/>
    </row>
    <row r="43" spans="2:35" ht="16" customHeight="1">
      <c r="B43" s="394" t="s">
        <v>550</v>
      </c>
      <c r="F43" s="348">
        <v>0</v>
      </c>
      <c r="G43" s="313"/>
      <c r="H43" s="313">
        <f t="shared" si="6"/>
        <v>400</v>
      </c>
      <c r="I43" s="313"/>
      <c r="J43" s="349">
        <f t="shared" si="7"/>
        <v>0</v>
      </c>
      <c r="K43" s="313"/>
      <c r="L43" s="397">
        <f t="shared" si="8"/>
        <v>0</v>
      </c>
      <c r="P43" s="365"/>
      <c r="Q43" s="366"/>
      <c r="S43" s="365"/>
      <c r="U43" s="365"/>
      <c r="V43" s="313"/>
      <c r="W43" s="313"/>
      <c r="X43" s="313"/>
      <c r="Y43" s="349"/>
      <c r="Z43" s="313"/>
      <c r="AA43" s="367"/>
      <c r="AC43" s="368"/>
      <c r="AD43" s="368"/>
      <c r="AE43" s="368"/>
      <c r="AG43" s="369"/>
      <c r="AI43" s="291"/>
    </row>
    <row r="44" spans="2:35" ht="16" customHeight="1">
      <c r="B44" s="394" t="s">
        <v>551</v>
      </c>
      <c r="F44" s="348">
        <v>76500</v>
      </c>
      <c r="G44" s="313"/>
      <c r="H44" s="313">
        <f t="shared" si="6"/>
        <v>400</v>
      </c>
      <c r="I44" s="313"/>
      <c r="J44" s="349">
        <f t="shared" si="7"/>
        <v>191.25</v>
      </c>
      <c r="K44" s="313"/>
      <c r="L44" s="397">
        <f t="shared" si="8"/>
        <v>4.8185941043083901E-4</v>
      </c>
      <c r="P44" s="365"/>
      <c r="Q44" s="366"/>
      <c r="S44" s="365"/>
      <c r="U44" s="365"/>
      <c r="V44" s="313"/>
      <c r="W44" s="313"/>
      <c r="X44" s="313"/>
      <c r="Y44" s="349"/>
      <c r="Z44" s="313"/>
      <c r="AA44" s="367"/>
      <c r="AC44" s="368"/>
      <c r="AD44" s="368"/>
      <c r="AE44" s="368"/>
      <c r="AG44" s="369"/>
      <c r="AI44" s="291"/>
    </row>
    <row r="45" spans="2:35" ht="16" customHeight="1">
      <c r="B45" s="395" t="s">
        <v>546</v>
      </c>
      <c r="F45" s="348">
        <v>30600</v>
      </c>
      <c r="G45" s="313"/>
      <c r="H45" s="313">
        <f t="shared" si="6"/>
        <v>400</v>
      </c>
      <c r="I45" s="313"/>
      <c r="J45" s="349">
        <f t="shared" si="7"/>
        <v>76.5</v>
      </c>
      <c r="K45" s="313"/>
      <c r="L45" s="397">
        <f t="shared" si="8"/>
        <v>1.9274376417233559E-4</v>
      </c>
      <c r="P45" s="365"/>
      <c r="Q45" s="366"/>
      <c r="S45" s="365"/>
      <c r="U45" s="365"/>
      <c r="V45" s="313"/>
      <c r="W45" s="313"/>
      <c r="X45" s="313"/>
      <c r="Y45" s="349"/>
      <c r="Z45" s="313"/>
      <c r="AA45" s="367"/>
      <c r="AC45" s="368"/>
      <c r="AD45" s="368"/>
      <c r="AE45" s="368"/>
      <c r="AG45" s="369"/>
      <c r="AI45" s="291"/>
    </row>
    <row r="46" spans="2:35" ht="16" customHeight="1">
      <c r="B46" s="394" t="s">
        <v>547</v>
      </c>
      <c r="F46" s="348">
        <v>15300</v>
      </c>
      <c r="G46" s="313"/>
      <c r="H46" s="313">
        <f t="shared" si="6"/>
        <v>400</v>
      </c>
      <c r="I46" s="313"/>
      <c r="J46" s="349">
        <f t="shared" si="7"/>
        <v>38.25</v>
      </c>
      <c r="K46" s="313"/>
      <c r="L46" s="397">
        <f t="shared" si="8"/>
        <v>9.6371882086167796E-5</v>
      </c>
      <c r="P46" s="365"/>
      <c r="Q46" s="366"/>
      <c r="S46" s="365"/>
      <c r="U46" s="365"/>
      <c r="V46" s="313"/>
      <c r="W46" s="313"/>
      <c r="X46" s="313"/>
      <c r="Y46" s="349"/>
      <c r="Z46" s="313"/>
      <c r="AA46" s="367"/>
      <c r="AC46" s="368"/>
      <c r="AD46" s="368"/>
      <c r="AE46" s="368"/>
      <c r="AG46" s="369"/>
      <c r="AI46" s="291"/>
    </row>
    <row r="47" spans="2:35" ht="16" customHeight="1">
      <c r="B47" s="394" t="s">
        <v>473</v>
      </c>
      <c r="F47" s="348">
        <v>172800</v>
      </c>
      <c r="G47" s="313"/>
      <c r="H47" s="313">
        <f t="shared" si="6"/>
        <v>400</v>
      </c>
      <c r="I47" s="313"/>
      <c r="J47" s="349">
        <f t="shared" si="7"/>
        <v>432</v>
      </c>
      <c r="K47" s="313"/>
      <c r="L47" s="397">
        <f t="shared" si="8"/>
        <v>1.0884353741496598E-3</v>
      </c>
      <c r="P47" s="365"/>
      <c r="Q47" s="366"/>
      <c r="S47" s="365"/>
      <c r="U47" s="365"/>
      <c r="V47" s="313"/>
      <c r="W47" s="313"/>
      <c r="X47" s="313"/>
      <c r="Y47" s="349"/>
      <c r="Z47" s="313"/>
      <c r="AA47" s="367"/>
      <c r="AC47" s="368"/>
      <c r="AD47" s="368"/>
      <c r="AE47" s="368"/>
      <c r="AG47" s="369"/>
      <c r="AI47" s="291"/>
    </row>
    <row r="48" spans="2:35" ht="16" customHeight="1">
      <c r="B48" s="394" t="s">
        <v>476</v>
      </c>
      <c r="F48" s="348">
        <v>230418</v>
      </c>
      <c r="G48" s="313"/>
      <c r="H48" s="313">
        <f t="shared" si="6"/>
        <v>400</v>
      </c>
      <c r="I48" s="313"/>
      <c r="J48" s="349">
        <f t="shared" si="7"/>
        <v>576.04499999999996</v>
      </c>
      <c r="K48" s="313"/>
      <c r="L48" s="397">
        <f t="shared" si="8"/>
        <v>1.451360544217687E-3</v>
      </c>
      <c r="P48" s="365"/>
      <c r="Q48" s="366"/>
      <c r="S48" s="365"/>
      <c r="U48" s="365"/>
      <c r="V48" s="313"/>
      <c r="W48" s="313"/>
      <c r="X48" s="313"/>
      <c r="Y48" s="349"/>
      <c r="Z48" s="313"/>
      <c r="AA48" s="367"/>
      <c r="AC48" s="368"/>
      <c r="AD48" s="368"/>
      <c r="AE48" s="368"/>
      <c r="AG48" s="369"/>
      <c r="AI48" s="291"/>
    </row>
    <row r="49" spans="2:35" ht="16" customHeight="1" thickBot="1">
      <c r="B49" s="396" t="s">
        <v>338</v>
      </c>
      <c r="F49" s="352">
        <f>SUM(F42:F48)</f>
        <v>525618</v>
      </c>
      <c r="G49" s="313"/>
      <c r="H49" s="313"/>
      <c r="I49" s="313"/>
      <c r="J49" s="353">
        <f>SUM(J42:J48)</f>
        <v>1314.0450000000001</v>
      </c>
      <c r="K49" s="313"/>
      <c r="L49" s="354">
        <f>SUM(L42:L48)</f>
        <v>3.3107709750566892E-3</v>
      </c>
      <c r="N49" s="331">
        <f>J49/$J$310</f>
        <v>3.3859419287188375E-3</v>
      </c>
      <c r="P49" s="365"/>
      <c r="Q49" s="366"/>
      <c r="S49" s="365"/>
      <c r="U49" s="365"/>
      <c r="V49" s="313"/>
      <c r="W49" s="313"/>
      <c r="X49" s="313"/>
      <c r="Y49" s="349"/>
      <c r="Z49" s="313"/>
      <c r="AA49" s="367"/>
      <c r="AC49" s="368"/>
      <c r="AD49" s="368"/>
      <c r="AE49" s="368"/>
      <c r="AG49" s="369"/>
      <c r="AI49" s="291"/>
    </row>
    <row r="50" spans="2:35" ht="16" customHeight="1">
      <c r="B50" s="393"/>
      <c r="F50" s="363"/>
      <c r="G50" s="313"/>
      <c r="H50" s="313"/>
      <c r="I50" s="313"/>
      <c r="J50" s="349"/>
      <c r="K50" s="313"/>
      <c r="L50" s="397"/>
      <c r="P50" s="365"/>
      <c r="Q50" s="366"/>
      <c r="S50" s="365"/>
      <c r="U50" s="365"/>
      <c r="V50" s="313"/>
      <c r="W50" s="313"/>
      <c r="X50" s="313"/>
      <c r="Y50" s="349"/>
      <c r="Z50" s="313"/>
      <c r="AA50" s="367"/>
      <c r="AC50" s="368"/>
      <c r="AD50" s="368"/>
      <c r="AE50" s="368"/>
      <c r="AG50" s="369"/>
      <c r="AI50" s="291"/>
    </row>
    <row r="51" spans="2:35" ht="16" customHeight="1">
      <c r="B51" s="392" t="s">
        <v>552</v>
      </c>
      <c r="C51" s="382"/>
      <c r="D51" s="382"/>
      <c r="E51" s="382"/>
      <c r="F51" s="383"/>
      <c r="G51" s="384"/>
      <c r="H51" s="384"/>
      <c r="I51" s="384"/>
      <c r="J51" s="387"/>
      <c r="K51" s="384"/>
      <c r="L51" s="398"/>
      <c r="M51" s="382"/>
      <c r="N51" s="382"/>
      <c r="O51" s="382"/>
      <c r="P51" s="386"/>
      <c r="Q51" s="386"/>
      <c r="R51" s="382"/>
      <c r="S51" s="386"/>
      <c r="T51" s="382"/>
      <c r="U51" s="386"/>
      <c r="V51" s="384"/>
      <c r="W51" s="384"/>
      <c r="X51" s="384"/>
      <c r="Y51" s="387"/>
      <c r="Z51" s="384"/>
      <c r="AA51" s="388"/>
      <c r="AB51" s="382"/>
      <c r="AC51" s="389"/>
      <c r="AD51" s="389"/>
      <c r="AE51" s="389"/>
      <c r="AF51" s="382"/>
      <c r="AG51" s="390"/>
      <c r="AI51" s="291"/>
    </row>
    <row r="52" spans="2:35" ht="16" customHeight="1">
      <c r="B52" s="393"/>
      <c r="F52" s="363"/>
      <c r="G52" s="313"/>
      <c r="H52" s="313"/>
      <c r="I52" s="313"/>
      <c r="J52" s="349"/>
      <c r="K52" s="313"/>
      <c r="L52" s="397"/>
      <c r="P52" s="365"/>
      <c r="Q52" s="366"/>
      <c r="S52" s="365"/>
      <c r="U52" s="365"/>
      <c r="V52" s="313"/>
      <c r="W52" s="313"/>
      <c r="X52" s="313"/>
      <c r="Y52" s="349"/>
      <c r="Z52" s="313"/>
      <c r="AA52" s="367"/>
      <c r="AC52" s="368"/>
      <c r="AD52" s="368"/>
      <c r="AE52" s="368"/>
      <c r="AG52" s="369"/>
      <c r="AI52" s="291"/>
    </row>
    <row r="53" spans="2:35" ht="16" customHeight="1">
      <c r="B53" s="394" t="s">
        <v>553</v>
      </c>
      <c r="F53" s="348">
        <v>749700</v>
      </c>
      <c r="G53" s="313"/>
      <c r="H53" s="313">
        <f t="shared" ref="H53:H58" si="9">J$5</f>
        <v>400</v>
      </c>
      <c r="I53" s="313"/>
      <c r="J53" s="349">
        <f t="shared" ref="J53:J58" si="10">F53/H53</f>
        <v>1874.25</v>
      </c>
      <c r="K53" s="313"/>
      <c r="L53" s="397">
        <f t="shared" ref="L53:L58" si="11">J53/$J$8</f>
        <v>4.7222222222222223E-3</v>
      </c>
      <c r="P53" s="365"/>
      <c r="Q53" s="366"/>
      <c r="S53" s="365"/>
      <c r="U53" s="365"/>
      <c r="V53" s="313"/>
      <c r="W53" s="313"/>
      <c r="X53" s="313"/>
      <c r="Y53" s="349"/>
      <c r="Z53" s="313"/>
      <c r="AA53" s="367"/>
      <c r="AC53" s="368"/>
      <c r="AD53" s="368"/>
      <c r="AE53" s="368"/>
      <c r="AG53" s="369"/>
      <c r="AI53" s="291"/>
    </row>
    <row r="54" spans="2:35" ht="16" customHeight="1">
      <c r="B54" s="394" t="s">
        <v>551</v>
      </c>
      <c r="F54" s="348">
        <v>68000</v>
      </c>
      <c r="G54" s="313"/>
      <c r="H54" s="313">
        <f t="shared" si="9"/>
        <v>400</v>
      </c>
      <c r="I54" s="313"/>
      <c r="J54" s="349">
        <f t="shared" si="10"/>
        <v>170</v>
      </c>
      <c r="K54" s="313"/>
      <c r="L54" s="397">
        <f t="shared" si="11"/>
        <v>4.2831947593852354E-4</v>
      </c>
      <c r="P54" s="365"/>
      <c r="Q54" s="366"/>
      <c r="S54" s="365"/>
      <c r="U54" s="365"/>
      <c r="V54" s="313"/>
      <c r="W54" s="313"/>
      <c r="X54" s="313"/>
      <c r="Y54" s="349"/>
      <c r="Z54" s="313"/>
      <c r="AA54" s="367"/>
      <c r="AC54" s="368"/>
      <c r="AD54" s="368"/>
      <c r="AE54" s="368"/>
      <c r="AG54" s="369"/>
      <c r="AI54" s="291"/>
    </row>
    <row r="55" spans="2:35" ht="16" customHeight="1">
      <c r="B55" s="395" t="s">
        <v>546</v>
      </c>
      <c r="F55" s="348">
        <v>27200</v>
      </c>
      <c r="G55" s="313"/>
      <c r="H55" s="313">
        <f t="shared" si="9"/>
        <v>400</v>
      </c>
      <c r="I55" s="313"/>
      <c r="J55" s="349">
        <f t="shared" si="10"/>
        <v>68</v>
      </c>
      <c r="K55" s="313"/>
      <c r="L55" s="397">
        <f t="shared" si="11"/>
        <v>1.7132779037540942E-4</v>
      </c>
      <c r="P55" s="365"/>
      <c r="Q55" s="366"/>
      <c r="S55" s="365"/>
      <c r="U55" s="365"/>
      <c r="V55" s="313"/>
      <c r="W55" s="313"/>
      <c r="X55" s="313"/>
      <c r="Y55" s="349"/>
      <c r="Z55" s="313"/>
      <c r="AA55" s="367"/>
      <c r="AC55" s="368"/>
      <c r="AD55" s="368"/>
      <c r="AE55" s="368"/>
      <c r="AG55" s="369"/>
      <c r="AI55" s="291"/>
    </row>
    <row r="56" spans="2:35" ht="16" customHeight="1">
      <c r="B56" s="394" t="s">
        <v>547</v>
      </c>
      <c r="F56" s="348">
        <v>13600</v>
      </c>
      <c r="G56" s="313"/>
      <c r="H56" s="313">
        <f t="shared" si="9"/>
        <v>400</v>
      </c>
      <c r="I56" s="313"/>
      <c r="J56" s="349">
        <f t="shared" si="10"/>
        <v>34</v>
      </c>
      <c r="K56" s="313"/>
      <c r="L56" s="397">
        <f t="shared" si="11"/>
        <v>8.5663895187704708E-5</v>
      </c>
      <c r="P56" s="365"/>
      <c r="Q56" s="366"/>
      <c r="S56" s="365"/>
      <c r="U56" s="365"/>
      <c r="V56" s="313"/>
      <c r="W56" s="313"/>
      <c r="X56" s="313"/>
      <c r="Y56" s="349"/>
      <c r="Z56" s="313"/>
      <c r="AA56" s="367"/>
      <c r="AC56" s="368"/>
      <c r="AD56" s="368"/>
      <c r="AE56" s="368"/>
      <c r="AG56" s="369"/>
      <c r="AI56" s="291"/>
    </row>
    <row r="57" spans="2:35" ht="16" customHeight="1">
      <c r="B57" s="394" t="s">
        <v>473</v>
      </c>
      <c r="F57" s="348">
        <v>202000</v>
      </c>
      <c r="G57" s="313"/>
      <c r="H57" s="313">
        <f t="shared" si="9"/>
        <v>400</v>
      </c>
      <c r="I57" s="313"/>
      <c r="J57" s="349">
        <f t="shared" si="10"/>
        <v>505</v>
      </c>
      <c r="K57" s="313"/>
      <c r="L57" s="397">
        <f t="shared" si="11"/>
        <v>1.2723607961703199E-3</v>
      </c>
      <c r="P57" s="365"/>
      <c r="Q57" s="366"/>
      <c r="S57" s="365"/>
      <c r="U57" s="365"/>
      <c r="V57" s="313"/>
      <c r="W57" s="313"/>
      <c r="X57" s="313"/>
      <c r="Y57" s="349"/>
      <c r="Z57" s="313"/>
      <c r="AA57" s="367"/>
      <c r="AC57" s="368"/>
      <c r="AD57" s="368"/>
      <c r="AE57" s="368"/>
      <c r="AG57" s="369"/>
      <c r="AI57" s="291"/>
    </row>
    <row r="58" spans="2:35" ht="16" customHeight="1">
      <c r="B58" s="394" t="s">
        <v>476</v>
      </c>
      <c r="F58" s="348">
        <v>341360</v>
      </c>
      <c r="G58" s="313"/>
      <c r="H58" s="313">
        <f t="shared" si="9"/>
        <v>400</v>
      </c>
      <c r="I58" s="313"/>
      <c r="J58" s="349">
        <f t="shared" si="10"/>
        <v>853.4</v>
      </c>
      <c r="K58" s="313"/>
      <c r="L58" s="397">
        <f t="shared" si="11"/>
        <v>2.1501637692113882E-3</v>
      </c>
      <c r="P58" s="365"/>
      <c r="Q58" s="366"/>
      <c r="S58" s="365"/>
      <c r="U58" s="365"/>
      <c r="V58" s="313"/>
      <c r="W58" s="313"/>
      <c r="X58" s="313"/>
      <c r="Y58" s="349"/>
      <c r="Z58" s="313"/>
      <c r="AA58" s="367"/>
      <c r="AC58" s="368"/>
      <c r="AD58" s="368"/>
      <c r="AE58" s="368"/>
      <c r="AG58" s="369"/>
      <c r="AI58" s="291"/>
    </row>
    <row r="59" spans="2:35" ht="16" customHeight="1" thickBot="1">
      <c r="B59" s="396" t="s">
        <v>338</v>
      </c>
      <c r="F59" s="352">
        <f>SUM(F53:F58)</f>
        <v>1401860</v>
      </c>
      <c r="G59" s="313"/>
      <c r="H59" s="313"/>
      <c r="I59" s="313"/>
      <c r="J59" s="353">
        <f>SUM(J53:J58)</f>
        <v>3504.65</v>
      </c>
      <c r="K59" s="313"/>
      <c r="L59" s="354">
        <f>SUM(L53:L58)</f>
        <v>8.830057949105569E-3</v>
      </c>
      <c r="N59" s="331">
        <f>J59/$J$310</f>
        <v>9.0305441445951047E-3</v>
      </c>
      <c r="P59" s="365"/>
      <c r="Q59" s="366"/>
      <c r="S59" s="365"/>
      <c r="U59" s="365"/>
      <c r="V59" s="313"/>
      <c r="W59" s="313"/>
      <c r="X59" s="313"/>
      <c r="Y59" s="349"/>
      <c r="Z59" s="313"/>
      <c r="AA59" s="367"/>
      <c r="AC59" s="368"/>
      <c r="AD59" s="368"/>
      <c r="AE59" s="368"/>
      <c r="AG59" s="369"/>
      <c r="AI59" s="291"/>
    </row>
    <row r="60" spans="2:35" ht="16" customHeight="1">
      <c r="B60" s="393"/>
      <c r="F60" s="363"/>
      <c r="G60" s="313"/>
      <c r="H60" s="313"/>
      <c r="I60" s="313"/>
      <c r="J60" s="349"/>
      <c r="K60" s="313"/>
      <c r="L60" s="397"/>
      <c r="P60" s="365"/>
      <c r="Q60" s="366"/>
      <c r="S60" s="365"/>
      <c r="U60" s="365"/>
      <c r="V60" s="313"/>
      <c r="W60" s="313"/>
      <c r="X60" s="313"/>
      <c r="Y60" s="349"/>
      <c r="Z60" s="313"/>
      <c r="AA60" s="367"/>
      <c r="AC60" s="368"/>
      <c r="AD60" s="368"/>
      <c r="AE60" s="368"/>
      <c r="AG60" s="369"/>
      <c r="AI60" s="291"/>
    </row>
    <row r="61" spans="2:35" ht="16" customHeight="1" thickBot="1">
      <c r="B61" s="396" t="s">
        <v>554</v>
      </c>
      <c r="D61" s="291" t="s">
        <v>387</v>
      </c>
      <c r="F61" s="352">
        <f>F59+F49+F38</f>
        <v>2091948</v>
      </c>
      <c r="G61" s="313"/>
      <c r="H61" s="313"/>
      <c r="I61" s="313"/>
      <c r="J61" s="353">
        <f>J59+J49+J38</f>
        <v>5229.87</v>
      </c>
      <c r="K61" s="313"/>
      <c r="L61" s="354">
        <f>L59+L49+L38</f>
        <v>1.3176795162509448E-2</v>
      </c>
      <c r="N61" s="331">
        <f>J61/$J$310</f>
        <v>1.3475973893396942E-2</v>
      </c>
      <c r="P61" s="365"/>
      <c r="Q61" s="366"/>
      <c r="S61" s="365"/>
      <c r="U61" s="365"/>
      <c r="V61" s="313"/>
      <c r="W61" s="313"/>
      <c r="X61" s="313"/>
      <c r="Y61" s="349"/>
      <c r="Z61" s="313"/>
      <c r="AA61" s="367"/>
      <c r="AC61" s="368"/>
      <c r="AD61" s="368"/>
      <c r="AE61" s="368"/>
      <c r="AG61" s="369"/>
      <c r="AI61" s="291"/>
    </row>
    <row r="62" spans="2:35" ht="16" customHeight="1">
      <c r="B62" s="399"/>
      <c r="F62" s="363"/>
      <c r="G62" s="313"/>
      <c r="H62" s="313"/>
      <c r="I62" s="313"/>
      <c r="J62" s="349"/>
      <c r="K62" s="313"/>
      <c r="L62" s="397"/>
      <c r="P62" s="365"/>
      <c r="Q62" s="366"/>
      <c r="S62" s="365"/>
      <c r="U62" s="365"/>
      <c r="V62" s="313"/>
      <c r="W62" s="313"/>
      <c r="X62" s="313"/>
      <c r="Y62" s="349"/>
      <c r="Z62" s="313"/>
      <c r="AA62" s="367"/>
      <c r="AC62" s="368"/>
      <c r="AD62" s="368"/>
      <c r="AE62" s="368"/>
      <c r="AG62" s="369"/>
      <c r="AI62" s="291"/>
    </row>
    <row r="63" spans="2:35" ht="16" customHeight="1">
      <c r="B63" s="400" t="s">
        <v>555</v>
      </c>
      <c r="C63" s="382"/>
      <c r="D63" s="382"/>
      <c r="E63" s="382"/>
      <c r="F63" s="383"/>
      <c r="G63" s="384"/>
      <c r="H63" s="384"/>
      <c r="I63" s="384"/>
      <c r="J63" s="387"/>
      <c r="K63" s="384"/>
      <c r="L63" s="398"/>
      <c r="M63" s="382"/>
      <c r="N63" s="382"/>
      <c r="O63" s="382"/>
      <c r="P63" s="386"/>
      <c r="Q63" s="386"/>
      <c r="R63" s="382"/>
      <c r="S63" s="386"/>
      <c r="T63" s="382"/>
      <c r="U63" s="386"/>
      <c r="V63" s="384"/>
      <c r="W63" s="384"/>
      <c r="X63" s="384"/>
      <c r="Y63" s="387"/>
      <c r="Z63" s="384"/>
      <c r="AA63" s="388"/>
      <c r="AB63" s="382"/>
      <c r="AC63" s="389"/>
      <c r="AD63" s="389"/>
      <c r="AE63" s="389"/>
      <c r="AF63" s="382"/>
      <c r="AG63" s="390"/>
      <c r="AI63" s="291"/>
    </row>
    <row r="64" spans="2:35" ht="16" customHeight="1">
      <c r="B64" s="399"/>
      <c r="F64" s="363"/>
      <c r="G64" s="313"/>
      <c r="H64" s="313"/>
      <c r="I64" s="313"/>
      <c r="J64" s="349"/>
      <c r="K64" s="313"/>
      <c r="L64" s="397"/>
      <c r="P64" s="365"/>
      <c r="Q64" s="366"/>
      <c r="S64" s="365"/>
      <c r="U64" s="365"/>
      <c r="V64" s="313"/>
      <c r="W64" s="313"/>
      <c r="X64" s="313"/>
      <c r="Y64" s="349"/>
      <c r="Z64" s="313"/>
      <c r="AA64" s="367"/>
      <c r="AC64" s="368"/>
      <c r="AD64" s="368"/>
      <c r="AE64" s="368"/>
      <c r="AG64" s="369"/>
      <c r="AI64" s="291"/>
    </row>
    <row r="65" spans="2:35" ht="16" customHeight="1">
      <c r="B65" s="401" t="s">
        <v>556</v>
      </c>
      <c r="F65" s="363"/>
      <c r="G65" s="313"/>
      <c r="H65" s="313"/>
      <c r="I65" s="313"/>
      <c r="J65" s="349"/>
      <c r="K65" s="313"/>
      <c r="L65" s="397"/>
      <c r="P65" s="365"/>
      <c r="Q65" s="366"/>
      <c r="S65" s="365"/>
      <c r="U65" s="365"/>
      <c r="V65" s="313"/>
      <c r="W65" s="313"/>
      <c r="X65" s="313"/>
      <c r="Y65" s="349"/>
      <c r="Z65" s="313"/>
      <c r="AA65" s="367"/>
      <c r="AC65" s="368"/>
      <c r="AD65" s="368"/>
      <c r="AE65" s="368"/>
      <c r="AG65" s="369"/>
      <c r="AI65" s="291"/>
    </row>
    <row r="66" spans="2:35" ht="16" customHeight="1">
      <c r="B66" s="394" t="s">
        <v>557</v>
      </c>
      <c r="F66" s="348">
        <v>3748500</v>
      </c>
      <c r="G66" s="313"/>
      <c r="H66" s="313">
        <f t="shared" ref="H66:H69" si="12">J$5</f>
        <v>400</v>
      </c>
      <c r="I66" s="313"/>
      <c r="J66" s="349">
        <f t="shared" ref="J66:J69" si="13">F66/H66</f>
        <v>9371.25</v>
      </c>
      <c r="K66" s="313"/>
      <c r="L66" s="397">
        <f t="shared" ref="L66:L69" si="14">J66/$J$8</f>
        <v>2.361111111111111E-2</v>
      </c>
      <c r="P66" s="365"/>
      <c r="Q66" s="366"/>
      <c r="S66" s="365"/>
      <c r="U66" s="365"/>
      <c r="V66" s="313"/>
      <c r="W66" s="313"/>
      <c r="X66" s="313"/>
      <c r="Y66" s="349"/>
      <c r="Z66" s="313"/>
      <c r="AA66" s="367"/>
      <c r="AC66" s="368"/>
      <c r="AD66" s="368"/>
      <c r="AE66" s="368"/>
      <c r="AG66" s="369"/>
      <c r="AI66" s="291"/>
    </row>
    <row r="67" spans="2:35" ht="16" customHeight="1">
      <c r="B67" s="394" t="s">
        <v>558</v>
      </c>
      <c r="F67" s="348">
        <v>574200</v>
      </c>
      <c r="G67" s="313"/>
      <c r="H67" s="313">
        <f t="shared" si="12"/>
        <v>400</v>
      </c>
      <c r="I67" s="313"/>
      <c r="J67" s="349">
        <f t="shared" si="13"/>
        <v>1435.5</v>
      </c>
      <c r="K67" s="313"/>
      <c r="L67" s="397">
        <f t="shared" si="14"/>
        <v>3.6167800453514739E-3</v>
      </c>
      <c r="P67" s="365"/>
      <c r="Q67" s="366"/>
      <c r="S67" s="365"/>
      <c r="U67" s="365"/>
      <c r="V67" s="313"/>
      <c r="W67" s="313"/>
      <c r="X67" s="313"/>
      <c r="Y67" s="349"/>
      <c r="Z67" s="313"/>
      <c r="AA67" s="367"/>
      <c r="AC67" s="368"/>
      <c r="AD67" s="368"/>
      <c r="AE67" s="368"/>
      <c r="AG67" s="369"/>
      <c r="AI67" s="291"/>
    </row>
    <row r="68" spans="2:35" ht="16" customHeight="1">
      <c r="B68" s="394" t="s">
        <v>547</v>
      </c>
      <c r="F68" s="348">
        <v>3400</v>
      </c>
      <c r="G68" s="313"/>
      <c r="H68" s="313">
        <f t="shared" si="12"/>
        <v>400</v>
      </c>
      <c r="I68" s="313"/>
      <c r="J68" s="349">
        <f t="shared" si="13"/>
        <v>8.5</v>
      </c>
      <c r="K68" s="313"/>
      <c r="L68" s="397">
        <f t="shared" si="14"/>
        <v>2.1415973796926177E-5</v>
      </c>
      <c r="P68" s="365"/>
      <c r="Q68" s="366"/>
      <c r="S68" s="365"/>
      <c r="U68" s="365"/>
      <c r="V68" s="313"/>
      <c r="W68" s="313"/>
      <c r="X68" s="313"/>
      <c r="Y68" s="349"/>
      <c r="Z68" s="313"/>
      <c r="AA68" s="367"/>
      <c r="AC68" s="368"/>
      <c r="AD68" s="368"/>
      <c r="AE68" s="368"/>
      <c r="AG68" s="369"/>
      <c r="AI68" s="291"/>
    </row>
    <row r="69" spans="2:35" ht="16" customHeight="1">
      <c r="B69" s="394" t="s">
        <v>476</v>
      </c>
      <c r="F69" s="348">
        <v>213250</v>
      </c>
      <c r="G69" s="313"/>
      <c r="H69" s="313">
        <f t="shared" si="12"/>
        <v>400</v>
      </c>
      <c r="I69" s="313"/>
      <c r="J69" s="349">
        <f t="shared" si="13"/>
        <v>533.125</v>
      </c>
      <c r="K69" s="313"/>
      <c r="L69" s="397">
        <f t="shared" si="14"/>
        <v>1.3432224741748552E-3</v>
      </c>
      <c r="P69" s="365"/>
      <c r="Q69" s="366"/>
      <c r="S69" s="365"/>
      <c r="U69" s="365"/>
      <c r="V69" s="313"/>
      <c r="W69" s="313"/>
      <c r="X69" s="313"/>
      <c r="Y69" s="349"/>
      <c r="Z69" s="313"/>
      <c r="AA69" s="367"/>
      <c r="AC69" s="368"/>
      <c r="AD69" s="368"/>
      <c r="AE69" s="368"/>
      <c r="AG69" s="369"/>
      <c r="AI69" s="291"/>
    </row>
    <row r="70" spans="2:35" ht="16" customHeight="1" thickBot="1">
      <c r="B70" s="402" t="s">
        <v>559</v>
      </c>
      <c r="F70" s="352">
        <f>SUM(F66:F69)</f>
        <v>4539350</v>
      </c>
      <c r="G70" s="313"/>
      <c r="H70" s="313"/>
      <c r="I70" s="313"/>
      <c r="J70" s="353">
        <f>SUM(J66:J69)</f>
        <v>11348.375</v>
      </c>
      <c r="K70" s="313"/>
      <c r="L70" s="354">
        <f>SUM(L66:L69)</f>
        <v>2.8592529604434362E-2</v>
      </c>
      <c r="N70" s="331">
        <f>J70/$J$310</f>
        <v>2.9241722114025499E-2</v>
      </c>
      <c r="P70" s="365"/>
      <c r="Q70" s="366"/>
      <c r="S70" s="365"/>
      <c r="U70" s="365"/>
      <c r="V70" s="313"/>
      <c r="W70" s="313"/>
      <c r="X70" s="313"/>
      <c r="Y70" s="349"/>
      <c r="Z70" s="313"/>
      <c r="AA70" s="367"/>
      <c r="AC70" s="368"/>
      <c r="AD70" s="368"/>
      <c r="AE70" s="368"/>
      <c r="AG70" s="369"/>
      <c r="AI70" s="291"/>
    </row>
    <row r="71" spans="2:35" ht="16" customHeight="1">
      <c r="B71" s="394"/>
      <c r="F71" s="363"/>
      <c r="G71" s="313"/>
      <c r="H71" s="313"/>
      <c r="I71" s="313"/>
      <c r="J71" s="349"/>
      <c r="K71" s="313"/>
      <c r="L71" s="397"/>
      <c r="P71" s="365"/>
      <c r="Q71" s="366"/>
      <c r="S71" s="365"/>
      <c r="U71" s="365"/>
      <c r="V71" s="313"/>
      <c r="W71" s="313"/>
      <c r="X71" s="313"/>
      <c r="Y71" s="349"/>
      <c r="Z71" s="313"/>
      <c r="AA71" s="367"/>
      <c r="AC71" s="368"/>
      <c r="AD71" s="368"/>
      <c r="AE71" s="368"/>
      <c r="AG71" s="369"/>
      <c r="AI71" s="291"/>
    </row>
    <row r="72" spans="2:35" ht="16" customHeight="1">
      <c r="B72" s="403" t="s">
        <v>560</v>
      </c>
      <c r="F72" s="363"/>
      <c r="G72" s="313"/>
      <c r="H72" s="313"/>
      <c r="I72" s="313"/>
      <c r="J72" s="349"/>
      <c r="K72" s="313"/>
      <c r="L72" s="397"/>
      <c r="P72" s="365"/>
      <c r="Q72" s="366"/>
      <c r="S72" s="365"/>
      <c r="U72" s="365"/>
      <c r="V72" s="313"/>
      <c r="W72" s="313"/>
      <c r="X72" s="313"/>
      <c r="Y72" s="349"/>
      <c r="Z72" s="313"/>
      <c r="AA72" s="367"/>
      <c r="AC72" s="368"/>
      <c r="AD72" s="368"/>
      <c r="AE72" s="368"/>
      <c r="AG72" s="369"/>
      <c r="AI72" s="291"/>
    </row>
    <row r="73" spans="2:35" ht="16" customHeight="1">
      <c r="B73" s="394" t="s">
        <v>484</v>
      </c>
      <c r="F73" s="348">
        <v>300000</v>
      </c>
      <c r="G73" s="313"/>
      <c r="H73" s="313">
        <f t="shared" ref="H73:H81" si="15">J$5</f>
        <v>400</v>
      </c>
      <c r="I73" s="313"/>
      <c r="J73" s="349">
        <f t="shared" ref="J73:J81" si="16">F73/H73</f>
        <v>750</v>
      </c>
      <c r="K73" s="313"/>
      <c r="L73" s="397">
        <f t="shared" ref="L73:L81" si="17">J73/$J$8</f>
        <v>1.889644746787604E-3</v>
      </c>
      <c r="P73" s="365"/>
      <c r="Q73" s="366"/>
      <c r="S73" s="365"/>
      <c r="U73" s="365"/>
      <c r="V73" s="313"/>
      <c r="W73" s="313"/>
      <c r="X73" s="313"/>
      <c r="Y73" s="349"/>
      <c r="Z73" s="313"/>
      <c r="AA73" s="367"/>
      <c r="AC73" s="368"/>
      <c r="AD73" s="368"/>
      <c r="AE73" s="368"/>
      <c r="AG73" s="369"/>
      <c r="AI73" s="291"/>
    </row>
    <row r="74" spans="2:35" ht="16" customHeight="1">
      <c r="B74" s="394" t="s">
        <v>485</v>
      </c>
      <c r="F74" s="348">
        <v>25000</v>
      </c>
      <c r="G74" s="313"/>
      <c r="H74" s="313">
        <f t="shared" si="15"/>
        <v>400</v>
      </c>
      <c r="I74" s="313"/>
      <c r="J74" s="349">
        <f t="shared" si="16"/>
        <v>62.5</v>
      </c>
      <c r="K74" s="313"/>
      <c r="L74" s="397">
        <f t="shared" si="17"/>
        <v>1.5747039556563366E-4</v>
      </c>
      <c r="P74" s="365"/>
      <c r="Q74" s="366"/>
      <c r="S74" s="365"/>
      <c r="U74" s="365"/>
      <c r="V74" s="313"/>
      <c r="W74" s="313"/>
      <c r="X74" s="313"/>
      <c r="Y74" s="349"/>
      <c r="Z74" s="313"/>
      <c r="AA74" s="367"/>
      <c r="AC74" s="368"/>
      <c r="AD74" s="368"/>
      <c r="AE74" s="368"/>
      <c r="AG74" s="369"/>
      <c r="AI74" s="291"/>
    </row>
    <row r="75" spans="2:35" ht="16" customHeight="1">
      <c r="B75" s="394" t="s">
        <v>561</v>
      </c>
      <c r="F75" s="348">
        <v>7500</v>
      </c>
      <c r="G75" s="313"/>
      <c r="H75" s="313">
        <f t="shared" si="15"/>
        <v>400</v>
      </c>
      <c r="I75" s="313"/>
      <c r="J75" s="349">
        <f t="shared" si="16"/>
        <v>18.75</v>
      </c>
      <c r="K75" s="313"/>
      <c r="L75" s="397">
        <f t="shared" si="17"/>
        <v>4.72411186696901E-5</v>
      </c>
      <c r="P75" s="365"/>
      <c r="Q75" s="366"/>
      <c r="S75" s="365"/>
      <c r="U75" s="365"/>
      <c r="V75" s="313"/>
      <c r="W75" s="313"/>
      <c r="X75" s="313"/>
      <c r="Y75" s="349"/>
      <c r="Z75" s="313"/>
      <c r="AA75" s="367"/>
      <c r="AC75" s="368"/>
      <c r="AD75" s="368"/>
      <c r="AE75" s="368"/>
      <c r="AG75" s="369"/>
      <c r="AI75" s="291"/>
    </row>
    <row r="76" spans="2:35" ht="16" customHeight="1">
      <c r="B76" s="394" t="s">
        <v>491</v>
      </c>
      <c r="F76" s="348">
        <v>75000</v>
      </c>
      <c r="G76" s="313"/>
      <c r="H76" s="313">
        <f t="shared" si="15"/>
        <v>400</v>
      </c>
      <c r="I76" s="313"/>
      <c r="J76" s="349">
        <f t="shared" si="16"/>
        <v>187.5</v>
      </c>
      <c r="K76" s="313"/>
      <c r="L76" s="397">
        <f t="shared" si="17"/>
        <v>4.72411186696901E-4</v>
      </c>
      <c r="P76" s="365"/>
      <c r="Q76" s="366"/>
      <c r="S76" s="365"/>
      <c r="U76" s="365"/>
      <c r="V76" s="313"/>
      <c r="W76" s="313"/>
      <c r="X76" s="313"/>
      <c r="Y76" s="349"/>
      <c r="Z76" s="313"/>
      <c r="AA76" s="367"/>
      <c r="AC76" s="368"/>
      <c r="AD76" s="368"/>
      <c r="AE76" s="368"/>
      <c r="AG76" s="369"/>
      <c r="AI76" s="291"/>
    </row>
    <row r="77" spans="2:35" ht="16" customHeight="1">
      <c r="B77" s="394" t="s">
        <v>486</v>
      </c>
      <c r="F77" s="348">
        <v>325000</v>
      </c>
      <c r="G77" s="313"/>
      <c r="H77" s="313">
        <f t="shared" si="15"/>
        <v>400</v>
      </c>
      <c r="I77" s="313"/>
      <c r="J77" s="349">
        <f t="shared" si="16"/>
        <v>812.5</v>
      </c>
      <c r="K77" s="313"/>
      <c r="L77" s="397">
        <f t="shared" si="17"/>
        <v>2.0471151423532377E-3</v>
      </c>
      <c r="P77" s="365"/>
      <c r="Q77" s="366"/>
      <c r="S77" s="365"/>
      <c r="U77" s="365"/>
      <c r="V77" s="313"/>
      <c r="W77" s="313"/>
      <c r="X77" s="313"/>
      <c r="Y77" s="349"/>
      <c r="Z77" s="313"/>
      <c r="AA77" s="367"/>
      <c r="AC77" s="368"/>
      <c r="AD77" s="368"/>
      <c r="AE77" s="368"/>
      <c r="AG77" s="369"/>
      <c r="AI77" s="291"/>
    </row>
    <row r="78" spans="2:35" ht="16" customHeight="1">
      <c r="B78" s="394" t="s">
        <v>487</v>
      </c>
      <c r="F78" s="348">
        <v>10000</v>
      </c>
      <c r="G78" s="313"/>
      <c r="H78" s="313">
        <f t="shared" si="15"/>
        <v>400</v>
      </c>
      <c r="I78" s="313"/>
      <c r="J78" s="349">
        <f t="shared" si="16"/>
        <v>25</v>
      </c>
      <c r="K78" s="313"/>
      <c r="L78" s="397">
        <f t="shared" si="17"/>
        <v>6.2988158226253471E-5</v>
      </c>
      <c r="P78" s="365"/>
      <c r="Q78" s="366"/>
      <c r="S78" s="365"/>
      <c r="U78" s="365"/>
      <c r="V78" s="313"/>
      <c r="W78" s="313"/>
      <c r="X78" s="313"/>
      <c r="Y78" s="349"/>
      <c r="Z78" s="313"/>
      <c r="AA78" s="367"/>
      <c r="AC78" s="368"/>
      <c r="AD78" s="368"/>
      <c r="AE78" s="368"/>
      <c r="AG78" s="369"/>
      <c r="AI78" s="291"/>
    </row>
    <row r="79" spans="2:35" ht="16" customHeight="1">
      <c r="B79" s="394" t="s">
        <v>488</v>
      </c>
      <c r="F79" s="348">
        <v>4000</v>
      </c>
      <c r="G79" s="313"/>
      <c r="H79" s="313">
        <f t="shared" si="15"/>
        <v>400</v>
      </c>
      <c r="I79" s="313"/>
      <c r="J79" s="349">
        <f t="shared" si="16"/>
        <v>10</v>
      </c>
      <c r="K79" s="313"/>
      <c r="L79" s="397">
        <f t="shared" si="17"/>
        <v>2.5195263290501386E-5</v>
      </c>
      <c r="P79" s="365"/>
      <c r="Q79" s="366"/>
      <c r="S79" s="365"/>
      <c r="U79" s="365"/>
      <c r="V79" s="313"/>
      <c r="W79" s="313"/>
      <c r="X79" s="313"/>
      <c r="Y79" s="349"/>
      <c r="Z79" s="313"/>
      <c r="AA79" s="367"/>
      <c r="AC79" s="368"/>
      <c r="AD79" s="368"/>
      <c r="AE79" s="368"/>
      <c r="AG79" s="369"/>
      <c r="AI79" s="291"/>
    </row>
    <row r="80" spans="2:35" ht="16" customHeight="1">
      <c r="B80" s="394" t="s">
        <v>489</v>
      </c>
      <c r="F80" s="348">
        <v>800000</v>
      </c>
      <c r="G80" s="313"/>
      <c r="H80" s="313">
        <f t="shared" si="15"/>
        <v>400</v>
      </c>
      <c r="I80" s="313"/>
      <c r="J80" s="349">
        <f t="shared" si="16"/>
        <v>2000</v>
      </c>
      <c r="K80" s="313"/>
      <c r="L80" s="397">
        <f t="shared" si="17"/>
        <v>5.039052658100277E-3</v>
      </c>
      <c r="P80" s="365"/>
      <c r="Q80" s="366"/>
      <c r="S80" s="365"/>
      <c r="U80" s="365"/>
      <c r="V80" s="313"/>
      <c r="W80" s="313"/>
      <c r="X80" s="313"/>
      <c r="Y80" s="349"/>
      <c r="Z80" s="313"/>
      <c r="AA80" s="367"/>
      <c r="AC80" s="368"/>
      <c r="AD80" s="368"/>
      <c r="AE80" s="368"/>
      <c r="AG80" s="369"/>
      <c r="AI80" s="291"/>
    </row>
    <row r="81" spans="2:35" ht="16" customHeight="1">
      <c r="B81" s="394" t="s">
        <v>562</v>
      </c>
      <c r="F81" s="348">
        <v>35000</v>
      </c>
      <c r="G81" s="313"/>
      <c r="H81" s="313">
        <f t="shared" si="15"/>
        <v>400</v>
      </c>
      <c r="I81" s="313"/>
      <c r="J81" s="349">
        <f t="shared" si="16"/>
        <v>87.5</v>
      </c>
      <c r="K81" s="313"/>
      <c r="L81" s="397">
        <f t="shared" si="17"/>
        <v>2.2045855379188711E-4</v>
      </c>
      <c r="P81" s="365"/>
      <c r="Q81" s="366"/>
      <c r="S81" s="365"/>
      <c r="U81" s="365"/>
      <c r="V81" s="313"/>
      <c r="W81" s="313"/>
      <c r="X81" s="313"/>
      <c r="Y81" s="349"/>
      <c r="Z81" s="313"/>
      <c r="AA81" s="367"/>
      <c r="AC81" s="368"/>
      <c r="AD81" s="368"/>
      <c r="AE81" s="368"/>
      <c r="AG81" s="369"/>
      <c r="AI81" s="291"/>
    </row>
    <row r="82" spans="2:35" ht="16" customHeight="1" thickBot="1">
      <c r="B82" s="402" t="s">
        <v>563</v>
      </c>
      <c r="F82" s="352">
        <f>SUM(F73:F81)</f>
        <v>1581500</v>
      </c>
      <c r="G82" s="313"/>
      <c r="H82" s="313"/>
      <c r="I82" s="313"/>
      <c r="J82" s="353">
        <f>SUM(J73:J81)</f>
        <v>3953.75</v>
      </c>
      <c r="K82" s="313"/>
      <c r="L82" s="354">
        <f>SUM(L73:L81)</f>
        <v>9.9615772234819856E-3</v>
      </c>
      <c r="N82" s="331">
        <f>J82/$J$310</f>
        <v>1.0187754529465964E-2</v>
      </c>
      <c r="P82" s="365"/>
      <c r="Q82" s="366"/>
      <c r="S82" s="365"/>
      <c r="U82" s="365"/>
      <c r="V82" s="313"/>
      <c r="W82" s="313"/>
      <c r="X82" s="313"/>
      <c r="Y82" s="349"/>
      <c r="Z82" s="313"/>
      <c r="AA82" s="367"/>
      <c r="AC82" s="368"/>
      <c r="AD82" s="368"/>
      <c r="AE82" s="368"/>
      <c r="AG82" s="369"/>
      <c r="AI82" s="291"/>
    </row>
    <row r="83" spans="2:35" ht="16" customHeight="1">
      <c r="B83" s="404"/>
      <c r="F83" s="363"/>
      <c r="G83" s="313"/>
      <c r="H83" s="313"/>
      <c r="I83" s="313"/>
      <c r="J83" s="349"/>
      <c r="K83" s="313"/>
      <c r="L83" s="397"/>
      <c r="P83" s="365"/>
      <c r="Q83" s="366"/>
      <c r="S83" s="365"/>
      <c r="U83" s="365"/>
      <c r="V83" s="313"/>
      <c r="W83" s="313"/>
      <c r="X83" s="313"/>
      <c r="Y83" s="349"/>
      <c r="Z83" s="313"/>
      <c r="AA83" s="367"/>
      <c r="AC83" s="368"/>
      <c r="AD83" s="368"/>
      <c r="AE83" s="368"/>
      <c r="AG83" s="369"/>
      <c r="AI83" s="291"/>
    </row>
    <row r="84" spans="2:35" ht="16" customHeight="1">
      <c r="B84" s="403" t="s">
        <v>564</v>
      </c>
      <c r="F84" s="363"/>
      <c r="G84" s="313"/>
      <c r="H84" s="313"/>
      <c r="I84" s="313"/>
      <c r="J84" s="349"/>
      <c r="K84" s="313"/>
      <c r="L84" s="397"/>
      <c r="P84" s="365"/>
      <c r="Q84" s="366"/>
      <c r="S84" s="365"/>
      <c r="U84" s="365"/>
      <c r="V84" s="313"/>
      <c r="W84" s="313"/>
      <c r="X84" s="313"/>
      <c r="Y84" s="349"/>
      <c r="Z84" s="313"/>
      <c r="AA84" s="367"/>
      <c r="AC84" s="368"/>
      <c r="AD84" s="368"/>
      <c r="AE84" s="368"/>
      <c r="AG84" s="369"/>
      <c r="AI84" s="291"/>
    </row>
    <row r="85" spans="2:35" ht="16" customHeight="1">
      <c r="B85" s="395" t="s">
        <v>565</v>
      </c>
      <c r="F85" s="348">
        <v>1500000</v>
      </c>
      <c r="G85" s="313"/>
      <c r="H85" s="313">
        <f t="shared" ref="H85:H88" si="18">J$5</f>
        <v>400</v>
      </c>
      <c r="I85" s="313"/>
      <c r="J85" s="349">
        <f t="shared" ref="J85:J88" si="19">F85/H85</f>
        <v>3750</v>
      </c>
      <c r="K85" s="313"/>
      <c r="L85" s="397">
        <f t="shared" ref="L85:L88" si="20">J85/$J$8</f>
        <v>9.4482237339380201E-3</v>
      </c>
      <c r="P85" s="365"/>
      <c r="Q85" s="366"/>
      <c r="S85" s="365"/>
      <c r="U85" s="365"/>
      <c r="V85" s="313"/>
      <c r="W85" s="313"/>
      <c r="X85" s="313"/>
      <c r="Y85" s="349"/>
      <c r="Z85" s="313"/>
      <c r="AA85" s="367"/>
      <c r="AC85" s="368"/>
      <c r="AD85" s="368"/>
      <c r="AE85" s="368"/>
      <c r="AG85" s="369"/>
      <c r="AI85" s="291"/>
    </row>
    <row r="86" spans="2:35" ht="16" customHeight="1">
      <c r="B86" s="395" t="s">
        <v>566</v>
      </c>
      <c r="F86" s="348">
        <v>3354000</v>
      </c>
      <c r="G86" s="313"/>
      <c r="H86" s="313">
        <f t="shared" si="18"/>
        <v>400</v>
      </c>
      <c r="I86" s="313"/>
      <c r="J86" s="349">
        <f t="shared" si="19"/>
        <v>8385</v>
      </c>
      <c r="K86" s="313"/>
      <c r="L86" s="397">
        <f t="shared" si="20"/>
        <v>2.1126228269085411E-2</v>
      </c>
      <c r="P86" s="365"/>
      <c r="Q86" s="366"/>
      <c r="S86" s="365"/>
      <c r="U86" s="365"/>
      <c r="V86" s="313"/>
      <c r="W86" s="313"/>
      <c r="X86" s="313"/>
      <c r="Y86" s="349"/>
      <c r="Z86" s="313"/>
      <c r="AA86" s="367"/>
      <c r="AC86" s="368"/>
      <c r="AD86" s="368"/>
      <c r="AE86" s="368"/>
      <c r="AG86" s="369"/>
      <c r="AI86" s="291"/>
    </row>
    <row r="87" spans="2:35" ht="16" customHeight="1">
      <c r="B87" s="395" t="s">
        <v>567</v>
      </c>
      <c r="F87" s="348">
        <v>360000</v>
      </c>
      <c r="G87" s="313"/>
      <c r="H87" s="313">
        <f t="shared" si="18"/>
        <v>400</v>
      </c>
      <c r="I87" s="313"/>
      <c r="J87" s="349">
        <f t="shared" si="19"/>
        <v>900</v>
      </c>
      <c r="K87" s="313"/>
      <c r="L87" s="397">
        <f t="shared" si="20"/>
        <v>2.2675736961451248E-3</v>
      </c>
      <c r="P87" s="365"/>
      <c r="Q87" s="366"/>
      <c r="S87" s="365"/>
      <c r="U87" s="365"/>
      <c r="V87" s="313"/>
      <c r="W87" s="313"/>
      <c r="X87" s="313"/>
      <c r="Y87" s="349"/>
      <c r="Z87" s="313"/>
      <c r="AA87" s="367"/>
      <c r="AC87" s="368"/>
      <c r="AD87" s="368"/>
      <c r="AE87" s="368"/>
      <c r="AG87" s="369"/>
      <c r="AI87" s="291"/>
    </row>
    <row r="88" spans="2:35" ht="16" customHeight="1">
      <c r="B88" s="405" t="s">
        <v>568</v>
      </c>
      <c r="F88" s="348">
        <v>220000</v>
      </c>
      <c r="G88" s="313"/>
      <c r="H88" s="313">
        <f t="shared" si="18"/>
        <v>400</v>
      </c>
      <c r="I88" s="313"/>
      <c r="J88" s="349">
        <f t="shared" si="19"/>
        <v>550</v>
      </c>
      <c r="K88" s="313"/>
      <c r="L88" s="397">
        <f t="shared" si="20"/>
        <v>1.3857394809775761E-3</v>
      </c>
      <c r="P88" s="365"/>
      <c r="Q88" s="366"/>
      <c r="S88" s="365"/>
      <c r="U88" s="365"/>
      <c r="V88" s="313"/>
      <c r="W88" s="313"/>
      <c r="X88" s="313"/>
      <c r="Y88" s="349"/>
      <c r="Z88" s="313"/>
      <c r="AA88" s="367"/>
      <c r="AC88" s="368"/>
      <c r="AD88" s="368"/>
      <c r="AE88" s="368"/>
      <c r="AG88" s="369"/>
      <c r="AI88" s="291"/>
    </row>
    <row r="89" spans="2:35" ht="16" customHeight="1" thickBot="1">
      <c r="B89" s="406" t="s">
        <v>569</v>
      </c>
      <c r="F89" s="352">
        <f>SUM(F85:F88)</f>
        <v>5434000</v>
      </c>
      <c r="G89" s="313"/>
      <c r="H89" s="313"/>
      <c r="I89" s="313"/>
      <c r="J89" s="353">
        <f>SUM(J85:J88)</f>
        <v>13585</v>
      </c>
      <c r="K89" s="313"/>
      <c r="L89" s="354">
        <f>SUM(L85:L88)</f>
        <v>3.4227765180146127E-2</v>
      </c>
      <c r="N89" s="331">
        <f>J89/$J$310</f>
        <v>3.500490554101679E-2</v>
      </c>
      <c r="P89" s="365"/>
      <c r="Q89" s="366"/>
      <c r="S89" s="365"/>
      <c r="U89" s="365"/>
      <c r="V89" s="313"/>
      <c r="W89" s="313"/>
      <c r="X89" s="313"/>
      <c r="Y89" s="349"/>
      <c r="Z89" s="313"/>
      <c r="AA89" s="367"/>
      <c r="AC89" s="368"/>
      <c r="AD89" s="368"/>
      <c r="AE89" s="368"/>
      <c r="AG89" s="369"/>
      <c r="AI89" s="291"/>
    </row>
    <row r="90" spans="2:35" ht="16" customHeight="1">
      <c r="B90" s="395"/>
      <c r="F90" s="363"/>
      <c r="G90" s="313"/>
      <c r="H90" s="313"/>
      <c r="I90" s="313"/>
      <c r="J90" s="349"/>
      <c r="K90" s="313"/>
      <c r="L90" s="397"/>
      <c r="P90" s="365"/>
      <c r="Q90" s="366"/>
      <c r="S90" s="365"/>
      <c r="U90" s="365"/>
      <c r="V90" s="313"/>
      <c r="W90" s="313"/>
      <c r="X90" s="313"/>
      <c r="Y90" s="349"/>
      <c r="Z90" s="313"/>
      <c r="AA90" s="367"/>
      <c r="AC90" s="368"/>
      <c r="AD90" s="368"/>
      <c r="AE90" s="368"/>
      <c r="AG90" s="369"/>
      <c r="AI90" s="291"/>
    </row>
    <row r="91" spans="2:35" ht="16" customHeight="1" thickBot="1">
      <c r="B91" s="407" t="s">
        <v>570</v>
      </c>
      <c r="D91" s="291" t="s">
        <v>326</v>
      </c>
      <c r="F91" s="352">
        <f>F89+F82+F70</f>
        <v>11554850</v>
      </c>
      <c r="G91" s="313"/>
      <c r="H91" s="313"/>
      <c r="I91" s="313"/>
      <c r="J91" s="353">
        <f>J89+J82+J70</f>
        <v>28887.125</v>
      </c>
      <c r="K91" s="313"/>
      <c r="L91" s="354">
        <f>L89+L82+L70</f>
        <v>7.2781872008062465E-2</v>
      </c>
      <c r="N91" s="331">
        <f>J91/$J$310</f>
        <v>7.4434382184508249E-2</v>
      </c>
      <c r="P91" s="365"/>
      <c r="Q91" s="366"/>
      <c r="S91" s="365"/>
      <c r="U91" s="365"/>
      <c r="V91" s="313"/>
      <c r="W91" s="313"/>
      <c r="X91" s="313"/>
      <c r="Y91" s="349"/>
      <c r="Z91" s="313"/>
      <c r="AA91" s="367"/>
      <c r="AC91" s="368"/>
      <c r="AD91" s="368"/>
      <c r="AE91" s="368"/>
      <c r="AG91" s="369"/>
      <c r="AI91" s="291"/>
    </row>
    <row r="92" spans="2:35" ht="16" customHeight="1">
      <c r="B92" s="393"/>
      <c r="F92" s="363"/>
      <c r="G92" s="313"/>
      <c r="H92" s="313"/>
      <c r="I92" s="313"/>
      <c r="J92" s="349"/>
      <c r="K92" s="313"/>
      <c r="L92" s="397"/>
      <c r="P92" s="365"/>
      <c r="Q92" s="366"/>
      <c r="S92" s="365"/>
      <c r="U92" s="365"/>
      <c r="V92" s="313"/>
      <c r="W92" s="313"/>
      <c r="X92" s="313"/>
      <c r="Y92" s="349"/>
      <c r="Z92" s="313"/>
      <c r="AA92" s="367"/>
      <c r="AC92" s="368"/>
      <c r="AD92" s="368"/>
      <c r="AE92" s="368"/>
      <c r="AG92" s="369"/>
      <c r="AI92" s="291"/>
    </row>
    <row r="93" spans="2:35" ht="16" customHeight="1">
      <c r="B93" s="408" t="s">
        <v>571</v>
      </c>
      <c r="C93" s="382"/>
      <c r="D93" s="382"/>
      <c r="E93" s="382"/>
      <c r="F93" s="383"/>
      <c r="G93" s="384"/>
      <c r="H93" s="384"/>
      <c r="I93" s="384"/>
      <c r="J93" s="387"/>
      <c r="K93" s="384"/>
      <c r="L93" s="398"/>
      <c r="M93" s="382"/>
      <c r="N93" s="382"/>
      <c r="O93" s="382"/>
      <c r="P93" s="386"/>
      <c r="Q93" s="386"/>
      <c r="R93" s="382"/>
      <c r="S93" s="386"/>
      <c r="T93" s="382"/>
      <c r="U93" s="386"/>
      <c r="V93" s="384"/>
      <c r="W93" s="384"/>
      <c r="X93" s="384"/>
      <c r="Y93" s="387"/>
      <c r="Z93" s="384"/>
      <c r="AA93" s="388"/>
      <c r="AB93" s="382"/>
      <c r="AC93" s="389"/>
      <c r="AD93" s="389"/>
      <c r="AE93" s="389"/>
      <c r="AF93" s="382"/>
      <c r="AG93" s="390"/>
      <c r="AI93" s="291"/>
    </row>
    <row r="94" spans="2:35" ht="16" customHeight="1">
      <c r="B94" s="399"/>
      <c r="F94" s="363"/>
      <c r="G94" s="313"/>
      <c r="H94" s="313"/>
      <c r="I94" s="313"/>
      <c r="J94" s="349"/>
      <c r="K94" s="313"/>
      <c r="L94" s="397"/>
      <c r="P94" s="365"/>
      <c r="Q94" s="366"/>
      <c r="S94" s="365"/>
      <c r="U94" s="365"/>
      <c r="V94" s="313"/>
      <c r="W94" s="313"/>
      <c r="X94" s="313"/>
      <c r="Y94" s="349"/>
      <c r="Z94" s="313"/>
      <c r="AA94" s="367"/>
      <c r="AC94" s="368"/>
      <c r="AD94" s="368"/>
      <c r="AE94" s="368"/>
      <c r="AG94" s="369"/>
      <c r="AI94" s="291"/>
    </row>
    <row r="95" spans="2:35" ht="16" customHeight="1">
      <c r="B95" s="394" t="s">
        <v>572</v>
      </c>
      <c r="F95" s="348">
        <v>450000</v>
      </c>
      <c r="G95" s="313"/>
      <c r="H95" s="313">
        <f t="shared" ref="H95:H96" si="21">J$5</f>
        <v>400</v>
      </c>
      <c r="I95" s="313"/>
      <c r="J95" s="349">
        <f t="shared" ref="J95:J96" si="22">F95/H95</f>
        <v>1125</v>
      </c>
      <c r="K95" s="313"/>
      <c r="L95" s="397">
        <f t="shared" ref="L95:L96" si="23">J95/$J$8</f>
        <v>2.8344671201814059E-3</v>
      </c>
      <c r="P95" s="365"/>
      <c r="Q95" s="366"/>
      <c r="S95" s="365"/>
      <c r="U95" s="365"/>
      <c r="V95" s="313"/>
      <c r="W95" s="313"/>
      <c r="X95" s="313"/>
      <c r="Y95" s="349"/>
      <c r="Z95" s="313"/>
      <c r="AA95" s="367"/>
      <c r="AC95" s="368"/>
      <c r="AD95" s="368"/>
      <c r="AE95" s="368"/>
      <c r="AG95" s="369"/>
      <c r="AI95" s="291"/>
    </row>
    <row r="96" spans="2:35" ht="16" customHeight="1">
      <c r="B96" s="394" t="s">
        <v>573</v>
      </c>
      <c r="F96" s="348">
        <v>2100000</v>
      </c>
      <c r="G96" s="313"/>
      <c r="H96" s="313">
        <f t="shared" si="21"/>
        <v>400</v>
      </c>
      <c r="I96" s="313"/>
      <c r="J96" s="349">
        <f t="shared" si="22"/>
        <v>5250</v>
      </c>
      <c r="K96" s="313"/>
      <c r="L96" s="397">
        <f t="shared" si="23"/>
        <v>1.3227513227513227E-2</v>
      </c>
      <c r="P96" s="365"/>
      <c r="Q96" s="366"/>
      <c r="S96" s="365"/>
      <c r="U96" s="365"/>
      <c r="V96" s="313"/>
      <c r="W96" s="313"/>
      <c r="X96" s="313"/>
      <c r="Y96" s="349"/>
      <c r="Z96" s="313"/>
      <c r="AA96" s="367"/>
      <c r="AC96" s="368"/>
      <c r="AD96" s="368"/>
      <c r="AE96" s="368"/>
      <c r="AG96" s="369"/>
      <c r="AI96" s="291"/>
    </row>
    <row r="97" spans="2:35" ht="16" customHeight="1" thickBot="1">
      <c r="B97" s="396" t="s">
        <v>574</v>
      </c>
      <c r="D97" s="291" t="s">
        <v>326</v>
      </c>
      <c r="F97" s="352">
        <f>SUM(F95:F96)</f>
        <v>2550000</v>
      </c>
      <c r="G97" s="313"/>
      <c r="H97" s="313"/>
      <c r="I97" s="313"/>
      <c r="J97" s="353">
        <f>SUM(J95:J96)</f>
        <v>6375</v>
      </c>
      <c r="K97" s="313"/>
      <c r="L97" s="354">
        <f>SUM(L95:L96)</f>
        <v>1.6061980347694634E-2</v>
      </c>
      <c r="N97" s="331">
        <f>J97/$J$310</f>
        <v>1.6426667119910345E-2</v>
      </c>
      <c r="P97" s="365"/>
      <c r="Q97" s="366"/>
      <c r="S97" s="365"/>
      <c r="U97" s="365"/>
      <c r="V97" s="313"/>
      <c r="W97" s="313"/>
      <c r="X97" s="313"/>
      <c r="Y97" s="349"/>
      <c r="Z97" s="313"/>
      <c r="AA97" s="367"/>
      <c r="AC97" s="368"/>
      <c r="AD97" s="368"/>
      <c r="AE97" s="368"/>
      <c r="AG97" s="369"/>
      <c r="AI97" s="291"/>
    </row>
    <row r="98" spans="2:35" ht="16" customHeight="1">
      <c r="B98" s="393"/>
      <c r="F98" s="348"/>
      <c r="G98" s="313"/>
      <c r="H98" s="313"/>
      <c r="I98" s="313"/>
      <c r="J98" s="349"/>
      <c r="K98" s="313"/>
      <c r="L98" s="397"/>
      <c r="N98" s="331"/>
      <c r="P98" s="365"/>
      <c r="Q98" s="366"/>
      <c r="S98" s="365"/>
      <c r="U98" s="365"/>
      <c r="V98" s="313"/>
      <c r="W98" s="313"/>
      <c r="X98" s="313"/>
      <c r="Y98" s="349"/>
      <c r="Z98" s="313"/>
      <c r="AA98" s="367"/>
      <c r="AC98" s="368"/>
      <c r="AD98" s="368"/>
      <c r="AE98" s="368"/>
      <c r="AG98" s="369"/>
      <c r="AI98" s="291"/>
    </row>
    <row r="99" spans="2:35" ht="16" customHeight="1">
      <c r="B99" s="408" t="s">
        <v>575</v>
      </c>
      <c r="C99" s="382"/>
      <c r="D99" s="382"/>
      <c r="E99" s="382"/>
      <c r="F99" s="409"/>
      <c r="G99" s="384"/>
      <c r="H99" s="384"/>
      <c r="I99" s="384"/>
      <c r="J99" s="387"/>
      <c r="K99" s="384"/>
      <c r="L99" s="398"/>
      <c r="M99" s="382"/>
      <c r="N99" s="410"/>
      <c r="O99" s="382"/>
      <c r="P99" s="386"/>
      <c r="Q99" s="386"/>
      <c r="R99" s="382"/>
      <c r="S99" s="386"/>
      <c r="T99" s="382"/>
      <c r="U99" s="386"/>
      <c r="V99" s="384"/>
      <c r="W99" s="384"/>
      <c r="X99" s="384"/>
      <c r="Y99" s="387"/>
      <c r="Z99" s="384"/>
      <c r="AA99" s="388"/>
      <c r="AB99" s="382"/>
      <c r="AC99" s="389"/>
      <c r="AD99" s="389"/>
      <c r="AE99" s="389"/>
      <c r="AF99" s="382"/>
      <c r="AG99" s="390"/>
      <c r="AI99" s="291"/>
    </row>
    <row r="100" spans="2:35" ht="16" customHeight="1">
      <c r="B100" s="393"/>
      <c r="F100" s="348"/>
      <c r="G100" s="313"/>
      <c r="H100" s="313"/>
      <c r="I100" s="313"/>
      <c r="J100" s="349"/>
      <c r="K100" s="313"/>
      <c r="L100" s="397"/>
      <c r="N100" s="331"/>
      <c r="P100" s="365"/>
      <c r="Q100" s="366"/>
      <c r="S100" s="365"/>
      <c r="U100" s="365"/>
      <c r="V100" s="313"/>
      <c r="W100" s="313"/>
      <c r="X100" s="313"/>
      <c r="Y100" s="349"/>
      <c r="Z100" s="313"/>
      <c r="AA100" s="367"/>
      <c r="AC100" s="368"/>
      <c r="AD100" s="368"/>
      <c r="AE100" s="368"/>
      <c r="AG100" s="369"/>
      <c r="AI100" s="291"/>
    </row>
    <row r="101" spans="2:35" ht="16" customHeight="1">
      <c r="B101" s="395" t="s">
        <v>576</v>
      </c>
      <c r="F101" s="348">
        <v>175000</v>
      </c>
      <c r="G101" s="313"/>
      <c r="H101" s="313">
        <f t="shared" ref="H101" si="24">J$5</f>
        <v>400</v>
      </c>
      <c r="I101" s="313"/>
      <c r="J101" s="349">
        <f t="shared" ref="J101" si="25">F101/H101</f>
        <v>437.5</v>
      </c>
      <c r="K101" s="313"/>
      <c r="L101" s="397">
        <f t="shared" ref="L101" si="26">J101/$J$8</f>
        <v>1.1022927689594356E-3</v>
      </c>
      <c r="N101" s="331"/>
      <c r="P101" s="365"/>
      <c r="Q101" s="366"/>
      <c r="S101" s="365"/>
      <c r="U101" s="365"/>
      <c r="V101" s="313"/>
      <c r="W101" s="313"/>
      <c r="X101" s="313"/>
      <c r="Y101" s="349"/>
      <c r="Z101" s="313"/>
      <c r="AA101" s="367"/>
      <c r="AC101" s="368"/>
      <c r="AD101" s="368"/>
      <c r="AE101" s="368"/>
      <c r="AG101" s="369"/>
      <c r="AI101" s="291"/>
    </row>
    <row r="102" spans="2:35" ht="16" customHeight="1" thickBot="1">
      <c r="B102" s="396" t="s">
        <v>577</v>
      </c>
      <c r="D102" s="291" t="s">
        <v>326</v>
      </c>
      <c r="F102" s="352">
        <f>F101</f>
        <v>175000</v>
      </c>
      <c r="G102" s="313"/>
      <c r="H102" s="313"/>
      <c r="I102" s="313"/>
      <c r="J102" s="353">
        <f>J101</f>
        <v>437.5</v>
      </c>
      <c r="K102" s="313"/>
      <c r="L102" s="354">
        <f>L101</f>
        <v>1.1022927689594356E-3</v>
      </c>
      <c r="N102" s="331"/>
      <c r="P102" s="365"/>
      <c r="Q102" s="366"/>
      <c r="S102" s="365"/>
      <c r="U102" s="365"/>
      <c r="V102" s="313"/>
      <c r="W102" s="313"/>
      <c r="X102" s="313"/>
      <c r="Y102" s="349"/>
      <c r="Z102" s="313"/>
      <c r="AA102" s="367"/>
      <c r="AC102" s="368"/>
      <c r="AD102" s="368"/>
      <c r="AE102" s="368"/>
      <c r="AG102" s="369"/>
      <c r="AI102" s="291"/>
    </row>
    <row r="103" spans="2:35" ht="16" customHeight="1">
      <c r="B103" s="393"/>
      <c r="F103" s="363"/>
      <c r="G103" s="313"/>
      <c r="H103" s="313"/>
      <c r="I103" s="313"/>
      <c r="J103" s="349"/>
      <c r="K103" s="313"/>
      <c r="L103" s="397"/>
      <c r="P103" s="365"/>
      <c r="Q103" s="366"/>
      <c r="S103" s="365"/>
      <c r="U103" s="365"/>
      <c r="V103" s="313"/>
      <c r="W103" s="313"/>
      <c r="X103" s="313"/>
      <c r="Y103" s="349"/>
      <c r="Z103" s="313"/>
      <c r="AA103" s="367"/>
      <c r="AC103" s="368"/>
      <c r="AD103" s="368"/>
      <c r="AE103" s="368"/>
      <c r="AG103" s="369"/>
      <c r="AI103" s="291"/>
    </row>
    <row r="104" spans="2:35" ht="16" customHeight="1">
      <c r="B104" s="408" t="s">
        <v>578</v>
      </c>
      <c r="C104" s="382"/>
      <c r="D104" s="382"/>
      <c r="E104" s="382"/>
      <c r="F104" s="383"/>
      <c r="G104" s="384"/>
      <c r="H104" s="384"/>
      <c r="I104" s="384"/>
      <c r="J104" s="387"/>
      <c r="K104" s="384"/>
      <c r="L104" s="398"/>
      <c r="M104" s="382"/>
      <c r="N104" s="382"/>
      <c r="O104" s="382"/>
      <c r="P104" s="386"/>
      <c r="Q104" s="386"/>
      <c r="R104" s="382"/>
      <c r="S104" s="386"/>
      <c r="T104" s="382"/>
      <c r="U104" s="386"/>
      <c r="V104" s="384"/>
      <c r="W104" s="384"/>
      <c r="X104" s="384"/>
      <c r="Y104" s="387"/>
      <c r="Z104" s="384"/>
      <c r="AA104" s="388"/>
      <c r="AB104" s="382"/>
      <c r="AC104" s="389"/>
      <c r="AD104" s="389"/>
      <c r="AE104" s="389"/>
      <c r="AF104" s="382"/>
      <c r="AG104" s="390"/>
      <c r="AI104" s="291"/>
    </row>
    <row r="105" spans="2:35" ht="16" customHeight="1">
      <c r="B105" s="399"/>
      <c r="F105" s="363"/>
      <c r="G105" s="313"/>
      <c r="H105" s="313"/>
      <c r="I105" s="313"/>
      <c r="J105" s="349"/>
      <c r="K105" s="313"/>
      <c r="L105" s="397"/>
      <c r="P105" s="365"/>
      <c r="Q105" s="366"/>
      <c r="S105" s="365"/>
      <c r="U105" s="365"/>
      <c r="V105" s="313"/>
      <c r="W105" s="313"/>
      <c r="X105" s="313"/>
      <c r="Y105" s="349"/>
      <c r="Z105" s="313"/>
      <c r="AA105" s="367"/>
      <c r="AC105" s="368"/>
      <c r="AD105" s="368"/>
      <c r="AE105" s="368"/>
      <c r="AG105" s="369"/>
      <c r="AI105" s="291"/>
    </row>
    <row r="106" spans="2:35" ht="16" customHeight="1">
      <c r="B106" s="395" t="s">
        <v>579</v>
      </c>
      <c r="F106" s="348">
        <v>2200000</v>
      </c>
      <c r="G106" s="313"/>
      <c r="H106" s="313">
        <f t="shared" ref="H106:H111" si="27">J$5</f>
        <v>400</v>
      </c>
      <c r="I106" s="313"/>
      <c r="J106" s="349">
        <f t="shared" ref="J106:J111" si="28">F106/H106</f>
        <v>5500</v>
      </c>
      <c r="K106" s="313"/>
      <c r="L106" s="397">
        <f t="shared" ref="L106:L111" si="29">J106/$J$8</f>
        <v>1.3857394809775762E-2</v>
      </c>
      <c r="P106" s="365"/>
      <c r="Q106" s="366"/>
      <c r="S106" s="365"/>
      <c r="U106" s="365"/>
      <c r="V106" s="313"/>
      <c r="W106" s="313"/>
      <c r="X106" s="313"/>
      <c r="Y106" s="349"/>
      <c r="Z106" s="313"/>
      <c r="AA106" s="367"/>
      <c r="AC106" s="368"/>
      <c r="AD106" s="368"/>
      <c r="AE106" s="368"/>
      <c r="AG106" s="369"/>
      <c r="AI106" s="291"/>
    </row>
    <row r="107" spans="2:35" ht="16" customHeight="1">
      <c r="B107" s="395" t="s">
        <v>580</v>
      </c>
      <c r="F107" s="348">
        <v>3850000</v>
      </c>
      <c r="G107" s="313"/>
      <c r="H107" s="313">
        <f t="shared" si="27"/>
        <v>400</v>
      </c>
      <c r="I107" s="313"/>
      <c r="J107" s="349">
        <f t="shared" si="28"/>
        <v>9625</v>
      </c>
      <c r="K107" s="313"/>
      <c r="L107" s="397">
        <f t="shared" si="29"/>
        <v>2.4250440917107582E-2</v>
      </c>
      <c r="P107" s="365"/>
      <c r="Q107" s="366"/>
      <c r="S107" s="365"/>
      <c r="U107" s="365"/>
      <c r="V107" s="313"/>
      <c r="W107" s="313"/>
      <c r="X107" s="313"/>
      <c r="Y107" s="349"/>
      <c r="Z107" s="313"/>
      <c r="AA107" s="367"/>
      <c r="AC107" s="368"/>
      <c r="AD107" s="368"/>
      <c r="AE107" s="368"/>
      <c r="AG107" s="369"/>
      <c r="AI107" s="291"/>
    </row>
    <row r="108" spans="2:35" ht="16" customHeight="1">
      <c r="B108" s="395" t="s">
        <v>581</v>
      </c>
      <c r="F108" s="348">
        <v>770000</v>
      </c>
      <c r="G108" s="313"/>
      <c r="H108" s="313">
        <f t="shared" si="27"/>
        <v>400</v>
      </c>
      <c r="I108" s="313"/>
      <c r="J108" s="349">
        <f t="shared" si="28"/>
        <v>1925</v>
      </c>
      <c r="K108" s="313"/>
      <c r="L108" s="397">
        <f t="shared" si="29"/>
        <v>4.8500881834215165E-3</v>
      </c>
      <c r="P108" s="365"/>
      <c r="Q108" s="366"/>
      <c r="S108" s="365"/>
      <c r="U108" s="365"/>
      <c r="V108" s="313"/>
      <c r="W108" s="313"/>
      <c r="X108" s="313"/>
      <c r="Y108" s="349"/>
      <c r="Z108" s="313"/>
      <c r="AA108" s="367"/>
      <c r="AC108" s="368"/>
      <c r="AD108" s="368"/>
      <c r="AE108" s="368"/>
      <c r="AG108" s="369"/>
      <c r="AI108" s="291"/>
    </row>
    <row r="109" spans="2:35" ht="16" customHeight="1">
      <c r="B109" s="395" t="s">
        <v>582</v>
      </c>
      <c r="F109" s="348">
        <v>1837500</v>
      </c>
      <c r="G109" s="313"/>
      <c r="H109" s="313">
        <f t="shared" si="27"/>
        <v>400</v>
      </c>
      <c r="I109" s="313"/>
      <c r="J109" s="349">
        <f t="shared" si="28"/>
        <v>4593.75</v>
      </c>
      <c r="K109" s="313"/>
      <c r="L109" s="397">
        <f t="shared" si="29"/>
        <v>1.1574074074074073E-2</v>
      </c>
      <c r="P109" s="365"/>
      <c r="Q109" s="366"/>
      <c r="S109" s="365"/>
      <c r="U109" s="365"/>
      <c r="V109" s="313"/>
      <c r="W109" s="313"/>
      <c r="X109" s="313"/>
      <c r="Y109" s="349"/>
      <c r="Z109" s="313"/>
      <c r="AA109" s="367"/>
      <c r="AC109" s="368"/>
      <c r="AD109" s="368"/>
      <c r="AE109" s="368"/>
      <c r="AG109" s="369"/>
      <c r="AI109" s="291"/>
    </row>
    <row r="110" spans="2:35" ht="16" customHeight="1">
      <c r="B110" s="395" t="s">
        <v>583</v>
      </c>
      <c r="F110" s="348">
        <v>1100000</v>
      </c>
      <c r="G110" s="313"/>
      <c r="H110" s="313">
        <f t="shared" si="27"/>
        <v>400</v>
      </c>
      <c r="I110" s="313"/>
      <c r="J110" s="349">
        <f t="shared" si="28"/>
        <v>2750</v>
      </c>
      <c r="K110" s="313"/>
      <c r="L110" s="397">
        <f t="shared" si="29"/>
        <v>6.9286974048878812E-3</v>
      </c>
      <c r="P110" s="365"/>
      <c r="Q110" s="366"/>
      <c r="S110" s="365"/>
      <c r="U110" s="365"/>
      <c r="V110" s="313"/>
      <c r="W110" s="313"/>
      <c r="X110" s="313"/>
      <c r="Y110" s="349"/>
      <c r="Z110" s="313"/>
      <c r="AA110" s="367"/>
      <c r="AC110" s="368"/>
      <c r="AD110" s="368"/>
      <c r="AE110" s="368"/>
      <c r="AG110" s="369"/>
      <c r="AI110" s="291"/>
    </row>
    <row r="111" spans="2:35" ht="16" customHeight="1">
      <c r="B111" s="395" t="s">
        <v>584</v>
      </c>
      <c r="F111" s="348">
        <v>1233000</v>
      </c>
      <c r="G111" s="313"/>
      <c r="H111" s="313">
        <f t="shared" si="27"/>
        <v>400</v>
      </c>
      <c r="I111" s="313"/>
      <c r="J111" s="349">
        <f t="shared" si="28"/>
        <v>3082.5</v>
      </c>
      <c r="K111" s="313"/>
      <c r="L111" s="397">
        <f t="shared" si="29"/>
        <v>7.7664399092970526E-3</v>
      </c>
      <c r="P111" s="365"/>
      <c r="Q111" s="366"/>
      <c r="S111" s="365"/>
      <c r="U111" s="365"/>
      <c r="V111" s="313"/>
      <c r="W111" s="313"/>
      <c r="X111" s="313"/>
      <c r="Y111" s="349"/>
      <c r="Z111" s="313"/>
      <c r="AA111" s="367"/>
      <c r="AC111" s="368"/>
      <c r="AD111" s="368"/>
      <c r="AE111" s="368"/>
      <c r="AG111" s="369"/>
      <c r="AI111" s="291"/>
    </row>
    <row r="112" spans="2:35" ht="16" customHeight="1" thickBot="1">
      <c r="B112" s="396" t="s">
        <v>577</v>
      </c>
      <c r="D112" s="291" t="s">
        <v>326</v>
      </c>
      <c r="F112" s="352">
        <f>SUM(F106:F111)</f>
        <v>10990500</v>
      </c>
      <c r="G112" s="313"/>
      <c r="H112" s="313"/>
      <c r="I112" s="313"/>
      <c r="J112" s="353">
        <f>SUM(J106:J111)</f>
        <v>27476.25</v>
      </c>
      <c r="K112" s="313"/>
      <c r="L112" s="354">
        <f>SUM(L106:L111)</f>
        <v>6.9227135298563877E-2</v>
      </c>
      <c r="N112" s="331">
        <f>J112/$J$310</f>
        <v>7.079893528681358E-2</v>
      </c>
      <c r="P112" s="365"/>
      <c r="Q112" s="366"/>
      <c r="S112" s="365"/>
      <c r="U112" s="365"/>
      <c r="V112" s="313"/>
      <c r="W112" s="313"/>
      <c r="X112" s="313"/>
      <c r="Y112" s="349"/>
      <c r="Z112" s="313"/>
      <c r="AA112" s="367"/>
      <c r="AC112" s="368"/>
      <c r="AD112" s="368"/>
      <c r="AE112" s="368"/>
      <c r="AG112" s="369"/>
      <c r="AI112" s="291"/>
    </row>
    <row r="113" spans="2:35" ht="16" customHeight="1">
      <c r="B113" s="393"/>
      <c r="F113" s="363"/>
      <c r="G113" s="313"/>
      <c r="H113" s="313"/>
      <c r="I113" s="313"/>
      <c r="J113" s="349"/>
      <c r="K113" s="313"/>
      <c r="L113" s="397"/>
      <c r="P113" s="365"/>
      <c r="Q113" s="366"/>
      <c r="S113" s="365"/>
      <c r="U113" s="365"/>
      <c r="V113" s="313"/>
      <c r="W113" s="313"/>
      <c r="X113" s="313"/>
      <c r="Y113" s="349"/>
      <c r="Z113" s="313"/>
      <c r="AA113" s="367"/>
      <c r="AC113" s="368"/>
      <c r="AD113" s="368"/>
      <c r="AE113" s="368"/>
      <c r="AG113" s="369"/>
      <c r="AI113" s="291"/>
    </row>
    <row r="114" spans="2:35" ht="16" customHeight="1">
      <c r="B114" s="408" t="s">
        <v>585</v>
      </c>
      <c r="C114" s="382"/>
      <c r="D114" s="382"/>
      <c r="E114" s="382"/>
      <c r="F114" s="383"/>
      <c r="G114" s="384"/>
      <c r="H114" s="384"/>
      <c r="I114" s="384"/>
      <c r="J114" s="387"/>
      <c r="K114" s="384"/>
      <c r="L114" s="398"/>
      <c r="M114" s="382"/>
      <c r="N114" s="382"/>
      <c r="O114" s="382"/>
      <c r="P114" s="386"/>
      <c r="Q114" s="386"/>
      <c r="R114" s="382"/>
      <c r="S114" s="386"/>
      <c r="T114" s="382"/>
      <c r="U114" s="386"/>
      <c r="V114" s="384"/>
      <c r="W114" s="384"/>
      <c r="X114" s="384"/>
      <c r="Y114" s="387"/>
      <c r="Z114" s="384"/>
      <c r="AA114" s="388"/>
      <c r="AB114" s="382"/>
      <c r="AC114" s="389"/>
      <c r="AD114" s="389"/>
      <c r="AE114" s="389"/>
      <c r="AF114" s="382"/>
      <c r="AG114" s="390"/>
      <c r="AI114" s="291"/>
    </row>
    <row r="115" spans="2:35" ht="16" customHeight="1">
      <c r="B115" s="399"/>
      <c r="F115" s="363"/>
      <c r="G115" s="313"/>
      <c r="H115" s="313"/>
      <c r="I115" s="313"/>
      <c r="J115" s="349"/>
      <c r="K115" s="313"/>
      <c r="L115" s="397"/>
      <c r="P115" s="365"/>
      <c r="Q115" s="366"/>
      <c r="S115" s="365"/>
      <c r="U115" s="365"/>
      <c r="V115" s="313"/>
      <c r="W115" s="313"/>
      <c r="X115" s="313"/>
      <c r="Y115" s="349"/>
      <c r="Z115" s="313"/>
      <c r="AA115" s="367"/>
      <c r="AC115" s="368"/>
      <c r="AD115" s="368"/>
      <c r="AE115" s="368"/>
      <c r="AG115" s="369"/>
      <c r="AI115" s="291"/>
    </row>
    <row r="116" spans="2:35" ht="16" customHeight="1">
      <c r="B116" s="394" t="s">
        <v>586</v>
      </c>
      <c r="F116" s="348">
        <v>625000</v>
      </c>
      <c r="G116" s="313"/>
      <c r="H116" s="313">
        <f t="shared" ref="H116:H117" si="30">J$5</f>
        <v>400</v>
      </c>
      <c r="I116" s="313"/>
      <c r="J116" s="349">
        <f t="shared" ref="J116:J117" si="31">F116/H116</f>
        <v>1562.5</v>
      </c>
      <c r="K116" s="313"/>
      <c r="L116" s="397">
        <f t="shared" ref="L116:L117" si="32">J116/$J$8</f>
        <v>3.9367598891408414E-3</v>
      </c>
      <c r="P116" s="365"/>
      <c r="Q116" s="366"/>
      <c r="S116" s="365"/>
      <c r="U116" s="365"/>
      <c r="V116" s="313"/>
      <c r="W116" s="313"/>
      <c r="X116" s="313"/>
      <c r="Y116" s="349"/>
      <c r="Z116" s="313"/>
      <c r="AA116" s="367"/>
      <c r="AC116" s="368"/>
      <c r="AD116" s="368"/>
      <c r="AE116" s="368"/>
      <c r="AG116" s="369"/>
      <c r="AI116" s="291"/>
    </row>
    <row r="117" spans="2:35" ht="16" customHeight="1">
      <c r="B117" s="394" t="s">
        <v>587</v>
      </c>
      <c r="F117" s="348">
        <v>600000</v>
      </c>
      <c r="G117" s="313"/>
      <c r="H117" s="313">
        <f t="shared" si="30"/>
        <v>400</v>
      </c>
      <c r="I117" s="313"/>
      <c r="J117" s="349">
        <f t="shared" si="31"/>
        <v>1500</v>
      </c>
      <c r="K117" s="313"/>
      <c r="L117" s="397">
        <f t="shared" si="32"/>
        <v>3.779289493575208E-3</v>
      </c>
      <c r="P117" s="365"/>
      <c r="Q117" s="366"/>
      <c r="S117" s="365"/>
      <c r="U117" s="365"/>
      <c r="V117" s="313"/>
      <c r="W117" s="313"/>
      <c r="X117" s="313"/>
      <c r="Y117" s="349"/>
      <c r="Z117" s="313"/>
      <c r="AA117" s="367"/>
      <c r="AC117" s="368"/>
      <c r="AD117" s="368"/>
      <c r="AE117" s="368"/>
      <c r="AG117" s="369"/>
      <c r="AI117" s="291"/>
    </row>
    <row r="118" spans="2:35" ht="16" customHeight="1" thickBot="1">
      <c r="B118" s="396" t="s">
        <v>588</v>
      </c>
      <c r="D118" s="291" t="s">
        <v>323</v>
      </c>
      <c r="F118" s="352">
        <f>SUM(F116:F117)</f>
        <v>1225000</v>
      </c>
      <c r="G118" s="313"/>
      <c r="H118" s="313"/>
      <c r="I118" s="313"/>
      <c r="J118" s="353">
        <f>SUM(J116:J117)</f>
        <v>3062.5</v>
      </c>
      <c r="K118" s="313"/>
      <c r="L118" s="354">
        <f>SUM(L116:L117)</f>
        <v>7.716049382716049E-3</v>
      </c>
      <c r="N118" s="331">
        <f>J118/$J$310</f>
        <v>7.8912420478000674E-3</v>
      </c>
      <c r="P118" s="365"/>
      <c r="Q118" s="366"/>
      <c r="S118" s="365"/>
      <c r="U118" s="365"/>
      <c r="V118" s="313"/>
      <c r="W118" s="313"/>
      <c r="X118" s="313"/>
      <c r="Y118" s="349"/>
      <c r="Z118" s="313"/>
      <c r="AA118" s="367"/>
      <c r="AC118" s="368"/>
      <c r="AD118" s="368"/>
      <c r="AE118" s="368"/>
      <c r="AG118" s="369"/>
      <c r="AI118" s="291"/>
    </row>
    <row r="119" spans="2:35" ht="16" customHeight="1">
      <c r="B119" s="399"/>
      <c r="F119" s="363"/>
      <c r="G119" s="313"/>
      <c r="H119" s="313"/>
      <c r="I119" s="313"/>
      <c r="J119" s="349"/>
      <c r="K119" s="313"/>
      <c r="L119" s="397"/>
      <c r="P119" s="365"/>
      <c r="Q119" s="366"/>
      <c r="S119" s="365"/>
      <c r="U119" s="365"/>
      <c r="V119" s="313"/>
      <c r="W119" s="313"/>
      <c r="X119" s="313"/>
      <c r="Y119" s="349"/>
      <c r="Z119" s="313"/>
      <c r="AA119" s="367"/>
      <c r="AC119" s="368"/>
      <c r="AD119" s="368"/>
      <c r="AE119" s="368"/>
      <c r="AG119" s="369"/>
      <c r="AI119" s="291"/>
    </row>
    <row r="120" spans="2:35" ht="16" customHeight="1">
      <c r="B120" s="408" t="s">
        <v>589</v>
      </c>
      <c r="C120" s="382"/>
      <c r="D120" s="382"/>
      <c r="E120" s="382"/>
      <c r="F120" s="383"/>
      <c r="G120" s="384"/>
      <c r="H120" s="384"/>
      <c r="I120" s="384"/>
      <c r="J120" s="387"/>
      <c r="K120" s="384"/>
      <c r="L120" s="398"/>
      <c r="M120" s="382"/>
      <c r="N120" s="382"/>
      <c r="O120" s="382"/>
      <c r="P120" s="386"/>
      <c r="Q120" s="386"/>
      <c r="R120" s="382"/>
      <c r="S120" s="386"/>
      <c r="T120" s="382"/>
      <c r="U120" s="386"/>
      <c r="V120" s="384"/>
      <c r="W120" s="384"/>
      <c r="X120" s="384"/>
      <c r="Y120" s="387"/>
      <c r="Z120" s="384"/>
      <c r="AA120" s="388"/>
      <c r="AB120" s="382"/>
      <c r="AC120" s="389"/>
      <c r="AD120" s="389"/>
      <c r="AE120" s="389"/>
      <c r="AF120" s="382"/>
      <c r="AG120" s="390"/>
      <c r="AI120" s="291"/>
    </row>
    <row r="121" spans="2:35" ht="16" customHeight="1">
      <c r="B121" s="399"/>
      <c r="F121" s="363"/>
      <c r="G121" s="313"/>
      <c r="H121" s="313"/>
      <c r="I121" s="313"/>
      <c r="J121" s="349"/>
      <c r="K121" s="313"/>
      <c r="L121" s="397"/>
      <c r="P121" s="365"/>
      <c r="Q121" s="366"/>
      <c r="S121" s="365"/>
      <c r="U121" s="365"/>
      <c r="V121" s="313"/>
      <c r="W121" s="313"/>
      <c r="X121" s="313"/>
      <c r="Y121" s="349"/>
      <c r="Z121" s="313"/>
      <c r="AA121" s="367"/>
      <c r="AC121" s="368"/>
      <c r="AD121" s="368"/>
      <c r="AE121" s="368"/>
      <c r="AG121" s="369"/>
      <c r="AI121" s="291"/>
    </row>
    <row r="122" spans="2:35" ht="16" customHeight="1">
      <c r="B122" s="395" t="s">
        <v>590</v>
      </c>
      <c r="F122" s="348">
        <v>2520000</v>
      </c>
      <c r="G122" s="313"/>
      <c r="H122" s="313">
        <f t="shared" ref="H122:H124" si="33">J$5</f>
        <v>400</v>
      </c>
      <c r="I122" s="313"/>
      <c r="J122" s="349">
        <f t="shared" ref="J122:J124" si="34">F122/H122</f>
        <v>6300</v>
      </c>
      <c r="K122" s="313"/>
      <c r="L122" s="397">
        <f t="shared" ref="L122:L124" si="35">J122/$J$8</f>
        <v>1.5873015873015872E-2</v>
      </c>
      <c r="P122" s="365"/>
      <c r="Q122" s="366"/>
      <c r="S122" s="365"/>
      <c r="U122" s="365"/>
      <c r="V122" s="313"/>
      <c r="W122" s="313"/>
      <c r="X122" s="313"/>
      <c r="Y122" s="349"/>
      <c r="Z122" s="313"/>
      <c r="AA122" s="367"/>
      <c r="AC122" s="368"/>
      <c r="AD122" s="368"/>
      <c r="AE122" s="368"/>
      <c r="AG122" s="369"/>
      <c r="AI122" s="291"/>
    </row>
    <row r="123" spans="2:35" ht="16" customHeight="1">
      <c r="B123" s="395" t="s">
        <v>476</v>
      </c>
      <c r="F123" s="348">
        <v>1344105</v>
      </c>
      <c r="G123" s="313"/>
      <c r="H123" s="313">
        <f t="shared" si="33"/>
        <v>400</v>
      </c>
      <c r="I123" s="313"/>
      <c r="J123" s="349">
        <f t="shared" si="34"/>
        <v>3360.2624999999998</v>
      </c>
      <c r="K123" s="313"/>
      <c r="L123" s="397">
        <f t="shared" si="35"/>
        <v>8.4662698412698405E-3</v>
      </c>
      <c r="P123" s="365"/>
      <c r="Q123" s="366"/>
      <c r="S123" s="365"/>
      <c r="U123" s="365"/>
      <c r="V123" s="313"/>
      <c r="W123" s="313"/>
      <c r="X123" s="313"/>
      <c r="Y123" s="349"/>
      <c r="Z123" s="313"/>
      <c r="AA123" s="367"/>
      <c r="AC123" s="368"/>
      <c r="AD123" s="368"/>
      <c r="AE123" s="368"/>
      <c r="AG123" s="369"/>
      <c r="AI123" s="291"/>
    </row>
    <row r="124" spans="2:35" ht="16" customHeight="1">
      <c r="B124" s="395" t="s">
        <v>591</v>
      </c>
      <c r="F124" s="348">
        <v>1260000</v>
      </c>
      <c r="G124" s="313"/>
      <c r="H124" s="313">
        <f t="shared" si="33"/>
        <v>400</v>
      </c>
      <c r="I124" s="313"/>
      <c r="J124" s="349">
        <f t="shared" si="34"/>
        <v>3150</v>
      </c>
      <c r="K124" s="313"/>
      <c r="L124" s="397">
        <f t="shared" si="35"/>
        <v>7.9365079365079361E-3</v>
      </c>
      <c r="P124" s="365"/>
      <c r="Q124" s="366"/>
      <c r="S124" s="365"/>
      <c r="U124" s="365"/>
      <c r="V124" s="313"/>
      <c r="W124" s="313"/>
      <c r="X124" s="313"/>
      <c r="Y124" s="349"/>
      <c r="Z124" s="313"/>
      <c r="AA124" s="367"/>
      <c r="AC124" s="368"/>
      <c r="AD124" s="368"/>
      <c r="AE124" s="368"/>
      <c r="AG124" s="369"/>
      <c r="AI124" s="291"/>
    </row>
    <row r="125" spans="2:35" ht="16" customHeight="1" thickBot="1">
      <c r="B125" s="396" t="s">
        <v>592</v>
      </c>
      <c r="D125" s="291" t="s">
        <v>326</v>
      </c>
      <c r="F125" s="352">
        <f>SUM(F122:F124)</f>
        <v>5124105</v>
      </c>
      <c r="G125" s="313"/>
      <c r="H125" s="313"/>
      <c r="I125" s="313"/>
      <c r="J125" s="353">
        <f>SUM(J122:J124)</f>
        <v>12810.262500000001</v>
      </c>
      <c r="K125" s="313"/>
      <c r="L125" s="354">
        <f>SUM(L122:L124)</f>
        <v>3.2275793650793652E-2</v>
      </c>
      <c r="N125" s="331">
        <f>J125/$J$310</f>
        <v>3.3008614557830662E-2</v>
      </c>
      <c r="P125" s="365"/>
      <c r="Q125" s="366"/>
      <c r="S125" s="365"/>
      <c r="U125" s="365"/>
      <c r="V125" s="313"/>
      <c r="W125" s="313"/>
      <c r="X125" s="313"/>
      <c r="Y125" s="349"/>
      <c r="Z125" s="313"/>
      <c r="AA125" s="367"/>
      <c r="AC125" s="368"/>
      <c r="AD125" s="368"/>
      <c r="AE125" s="368"/>
      <c r="AG125" s="369"/>
      <c r="AI125" s="291"/>
    </row>
    <row r="126" spans="2:35" ht="16" customHeight="1">
      <c r="B126" s="380"/>
      <c r="F126" s="363"/>
      <c r="G126" s="313"/>
      <c r="H126" s="313"/>
      <c r="I126" s="313"/>
      <c r="J126" s="313"/>
      <c r="K126" s="313"/>
      <c r="L126" s="397"/>
      <c r="P126" s="365"/>
      <c r="Q126" s="366"/>
      <c r="S126" s="365"/>
      <c r="U126" s="365"/>
      <c r="V126" s="313"/>
      <c r="W126" s="313"/>
      <c r="X126" s="313"/>
      <c r="Y126" s="349"/>
      <c r="Z126" s="313"/>
      <c r="AA126" s="367"/>
      <c r="AC126" s="368"/>
      <c r="AD126" s="368"/>
      <c r="AE126" s="368"/>
      <c r="AG126" s="369"/>
      <c r="AI126" s="291"/>
    </row>
    <row r="127" spans="2:35" ht="16" customHeight="1" thickBot="1">
      <c r="B127" s="411" t="s">
        <v>593</v>
      </c>
      <c r="C127" s="412"/>
      <c r="D127" s="412"/>
      <c r="E127" s="412"/>
      <c r="F127" s="413">
        <f>F125+F118+F112+F102+F97+F91+F61</f>
        <v>33711403</v>
      </c>
      <c r="G127" s="414"/>
      <c r="H127" s="414"/>
      <c r="I127" s="414"/>
      <c r="J127" s="415">
        <f>J125+J118+J112+J102+J97+J91+J61</f>
        <v>84278.507499999992</v>
      </c>
      <c r="K127" s="414"/>
      <c r="L127" s="416">
        <f>L125+L118+L112+L102+L97+L91+L61</f>
        <v>0.21234191861929955</v>
      </c>
      <c r="M127" s="412"/>
      <c r="N127" s="417">
        <f>J127/$J$310</f>
        <v>0.21716313538280269</v>
      </c>
      <c r="O127" s="412"/>
      <c r="P127" s="418"/>
      <c r="Q127" s="418"/>
      <c r="R127" s="412"/>
      <c r="S127" s="418"/>
      <c r="T127" s="412"/>
      <c r="U127" s="418"/>
      <c r="V127" s="414"/>
      <c r="W127" s="414"/>
      <c r="X127" s="414"/>
      <c r="Y127" s="419"/>
      <c r="Z127" s="414"/>
      <c r="AA127" s="420"/>
      <c r="AB127" s="412"/>
      <c r="AC127" s="421"/>
      <c r="AD127" s="421"/>
      <c r="AE127" s="421"/>
      <c r="AF127" s="412"/>
      <c r="AG127" s="422"/>
      <c r="AI127" s="291"/>
    </row>
    <row r="128" spans="2:35" ht="16" customHeight="1">
      <c r="B128" s="423"/>
      <c r="F128" s="363"/>
      <c r="G128" s="313"/>
      <c r="H128" s="313"/>
      <c r="I128" s="313"/>
      <c r="J128" s="313"/>
      <c r="K128" s="313"/>
      <c r="L128" s="364"/>
      <c r="P128" s="365"/>
      <c r="Q128" s="366"/>
      <c r="S128" s="365"/>
      <c r="U128" s="365"/>
      <c r="V128" s="313"/>
      <c r="W128" s="313"/>
      <c r="X128" s="313"/>
      <c r="Y128" s="349"/>
      <c r="Z128" s="313"/>
      <c r="AA128" s="367"/>
      <c r="AC128" s="368"/>
      <c r="AD128" s="368"/>
      <c r="AE128" s="368"/>
      <c r="AG128" s="369"/>
      <c r="AI128" s="291"/>
    </row>
    <row r="129" spans="2:35" ht="16" customHeight="1">
      <c r="B129" s="336" t="s">
        <v>594</v>
      </c>
      <c r="C129" s="337"/>
      <c r="D129" s="337"/>
      <c r="E129" s="337"/>
      <c r="F129" s="355"/>
      <c r="G129" s="337"/>
      <c r="H129" s="337"/>
      <c r="I129" s="337"/>
      <c r="J129" s="337"/>
      <c r="K129" s="337"/>
      <c r="L129" s="356"/>
      <c r="M129" s="337"/>
      <c r="N129" s="337"/>
      <c r="O129" s="337"/>
      <c r="P129" s="357"/>
      <c r="Q129" s="357"/>
      <c r="R129" s="337"/>
      <c r="S129" s="357"/>
      <c r="T129" s="337"/>
      <c r="U129" s="357"/>
      <c r="V129" s="337"/>
      <c r="W129" s="337"/>
      <c r="X129" s="337"/>
      <c r="Y129" s="358"/>
      <c r="Z129" s="337"/>
      <c r="AA129" s="359"/>
      <c r="AB129" s="337"/>
      <c r="AC129" s="360"/>
      <c r="AD129" s="360"/>
      <c r="AE129" s="360"/>
      <c r="AF129" s="337"/>
      <c r="AG129" s="361"/>
      <c r="AI129" s="291"/>
    </row>
    <row r="130" spans="2:35" ht="16" customHeight="1">
      <c r="B130" s="362"/>
      <c r="F130" s="363"/>
      <c r="G130" s="313"/>
      <c r="H130" s="313"/>
      <c r="I130" s="313"/>
      <c r="J130" s="313"/>
      <c r="K130" s="313"/>
      <c r="L130" s="364"/>
      <c r="P130" s="365"/>
      <c r="Q130" s="366"/>
      <c r="S130" s="365"/>
      <c r="U130" s="365"/>
      <c r="V130" s="313"/>
      <c r="W130" s="313"/>
      <c r="X130" s="313"/>
      <c r="Y130" s="349"/>
      <c r="Z130" s="313"/>
      <c r="AA130" s="367"/>
      <c r="AC130" s="368"/>
      <c r="AD130" s="368"/>
      <c r="AE130" s="368"/>
      <c r="AG130" s="369"/>
      <c r="AI130" s="291"/>
    </row>
    <row r="131" spans="2:35" ht="16" customHeight="1">
      <c r="B131" s="381" t="s">
        <v>543</v>
      </c>
      <c r="C131" s="382"/>
      <c r="D131" s="382"/>
      <c r="E131" s="382"/>
      <c r="F131" s="383"/>
      <c r="G131" s="384"/>
      <c r="H131" s="384"/>
      <c r="I131" s="384"/>
      <c r="J131" s="384"/>
      <c r="K131" s="384"/>
      <c r="L131" s="385"/>
      <c r="M131" s="382"/>
      <c r="N131" s="382"/>
      <c r="O131" s="382"/>
      <c r="P131" s="386"/>
      <c r="Q131" s="386"/>
      <c r="R131" s="382"/>
      <c r="S131" s="386"/>
      <c r="T131" s="382"/>
      <c r="U131" s="386"/>
      <c r="V131" s="384"/>
      <c r="W131" s="384"/>
      <c r="X131" s="384"/>
      <c r="Y131" s="387"/>
      <c r="Z131" s="384"/>
      <c r="AA131" s="388"/>
      <c r="AB131" s="382"/>
      <c r="AC131" s="389"/>
      <c r="AD131" s="389"/>
      <c r="AE131" s="389"/>
      <c r="AF131" s="382"/>
      <c r="AG131" s="390"/>
      <c r="AI131" s="291"/>
    </row>
    <row r="132" spans="2:35" ht="16" customHeight="1">
      <c r="B132" s="391"/>
      <c r="C132" s="295"/>
      <c r="D132" s="295"/>
      <c r="E132" s="295"/>
      <c r="F132" s="424"/>
      <c r="G132" s="297"/>
      <c r="H132" s="297"/>
      <c r="I132" s="297"/>
      <c r="J132" s="297"/>
      <c r="K132" s="297"/>
      <c r="L132" s="425"/>
      <c r="M132" s="295"/>
      <c r="N132" s="295"/>
      <c r="O132" s="295"/>
      <c r="P132" s="366"/>
      <c r="Q132" s="366"/>
      <c r="R132" s="295"/>
      <c r="S132" s="366"/>
      <c r="T132" s="295"/>
      <c r="U132" s="366"/>
      <c r="V132" s="297"/>
      <c r="W132" s="297"/>
      <c r="X132" s="297"/>
      <c r="Y132" s="298"/>
      <c r="Z132" s="297"/>
      <c r="AA132" s="299"/>
      <c r="AB132" s="295"/>
      <c r="AC132" s="426"/>
      <c r="AD132" s="426"/>
      <c r="AE132" s="426"/>
      <c r="AF132" s="295"/>
      <c r="AG132" s="427"/>
      <c r="AI132" s="291"/>
    </row>
    <row r="133" spans="2:35" ht="16" customHeight="1">
      <c r="B133" s="428" t="s">
        <v>595</v>
      </c>
      <c r="C133" s="295"/>
      <c r="D133" s="295"/>
      <c r="E133" s="295"/>
      <c r="F133" s="424"/>
      <c r="G133" s="297"/>
      <c r="H133" s="297"/>
      <c r="I133" s="297"/>
      <c r="J133" s="297"/>
      <c r="K133" s="297"/>
      <c r="L133" s="425"/>
      <c r="M133" s="295"/>
      <c r="N133" s="295"/>
      <c r="O133" s="295"/>
      <c r="P133" s="366"/>
      <c r="Q133" s="366"/>
      <c r="R133" s="295"/>
      <c r="S133" s="366"/>
      <c r="T133" s="295"/>
      <c r="U133" s="366"/>
      <c r="V133" s="297"/>
      <c r="W133" s="297"/>
      <c r="X133" s="297"/>
      <c r="Y133" s="298"/>
      <c r="Z133" s="297"/>
      <c r="AA133" s="299"/>
      <c r="AB133" s="295"/>
      <c r="AC133" s="426"/>
      <c r="AD133" s="426"/>
      <c r="AE133" s="426"/>
      <c r="AF133" s="295"/>
      <c r="AG133" s="427"/>
      <c r="AI133" s="291"/>
    </row>
    <row r="134" spans="2:35" ht="16" customHeight="1">
      <c r="B134" s="394" t="s">
        <v>545</v>
      </c>
      <c r="F134" s="348">
        <v>93500</v>
      </c>
      <c r="G134" s="313"/>
      <c r="H134" s="313">
        <f t="shared" ref="H134:H138" si="36">J$5</f>
        <v>400</v>
      </c>
      <c r="I134" s="313"/>
      <c r="J134" s="349">
        <f t="shared" ref="J134:J138" si="37">F134/H134</f>
        <v>233.75</v>
      </c>
      <c r="K134" s="313"/>
      <c r="L134" s="397">
        <f t="shared" ref="L134:L138" si="38">J134/$J$8</f>
        <v>5.8893927941546984E-4</v>
      </c>
      <c r="P134" s="365"/>
      <c r="Q134" s="366"/>
      <c r="S134" s="365"/>
      <c r="U134" s="365"/>
      <c r="V134" s="313"/>
      <c r="W134" s="313"/>
      <c r="X134" s="313"/>
      <c r="Y134" s="349"/>
      <c r="Z134" s="313"/>
      <c r="AA134" s="367"/>
      <c r="AC134" s="368"/>
      <c r="AD134" s="368"/>
      <c r="AE134" s="368"/>
      <c r="AG134" s="369"/>
      <c r="AI134" s="291"/>
    </row>
    <row r="135" spans="2:35" ht="16" customHeight="1">
      <c r="B135" s="395" t="s">
        <v>546</v>
      </c>
      <c r="F135" s="348">
        <v>3400</v>
      </c>
      <c r="G135" s="313"/>
      <c r="H135" s="313">
        <f t="shared" si="36"/>
        <v>400</v>
      </c>
      <c r="I135" s="313"/>
      <c r="J135" s="349">
        <f t="shared" si="37"/>
        <v>8.5</v>
      </c>
      <c r="K135" s="313"/>
      <c r="L135" s="397">
        <f t="shared" si="38"/>
        <v>2.1415973796926177E-5</v>
      </c>
      <c r="P135" s="365"/>
      <c r="Q135" s="366"/>
      <c r="S135" s="365"/>
      <c r="U135" s="365"/>
      <c r="V135" s="313"/>
      <c r="W135" s="313"/>
      <c r="X135" s="313"/>
      <c r="Y135" s="349"/>
      <c r="Z135" s="313"/>
      <c r="AA135" s="367"/>
      <c r="AC135" s="368"/>
      <c r="AD135" s="368"/>
      <c r="AE135" s="368"/>
      <c r="AG135" s="369"/>
      <c r="AI135" s="291"/>
    </row>
    <row r="136" spans="2:35" ht="16" customHeight="1">
      <c r="B136" s="394" t="s">
        <v>547</v>
      </c>
      <c r="F136" s="348">
        <v>1700</v>
      </c>
      <c r="G136" s="313"/>
      <c r="H136" s="313">
        <f t="shared" si="36"/>
        <v>400</v>
      </c>
      <c r="I136" s="313"/>
      <c r="J136" s="349">
        <f t="shared" si="37"/>
        <v>4.25</v>
      </c>
      <c r="K136" s="313"/>
      <c r="L136" s="397">
        <f t="shared" si="38"/>
        <v>1.0707986898463088E-5</v>
      </c>
      <c r="P136" s="365"/>
      <c r="Q136" s="366"/>
      <c r="S136" s="365"/>
      <c r="U136" s="365"/>
      <c r="V136" s="313"/>
      <c r="W136" s="313"/>
      <c r="X136" s="313"/>
      <c r="Y136" s="349"/>
      <c r="Z136" s="313"/>
      <c r="AA136" s="367"/>
      <c r="AC136" s="368"/>
      <c r="AD136" s="368"/>
      <c r="AE136" s="368"/>
      <c r="AG136" s="369"/>
      <c r="AI136" s="291"/>
    </row>
    <row r="137" spans="2:35" ht="16" customHeight="1">
      <c r="B137" s="394" t="s">
        <v>473</v>
      </c>
      <c r="F137" s="348">
        <v>23200</v>
      </c>
      <c r="G137" s="313"/>
      <c r="H137" s="313">
        <f t="shared" si="36"/>
        <v>400</v>
      </c>
      <c r="I137" s="313"/>
      <c r="J137" s="349">
        <f t="shared" si="37"/>
        <v>58</v>
      </c>
      <c r="K137" s="313"/>
      <c r="L137" s="397">
        <f t="shared" si="38"/>
        <v>1.4613252708490804E-4</v>
      </c>
      <c r="P137" s="365"/>
      <c r="Q137" s="366"/>
      <c r="S137" s="365"/>
      <c r="U137" s="365"/>
      <c r="V137" s="313"/>
      <c r="W137" s="313"/>
      <c r="X137" s="313"/>
      <c r="Y137" s="349"/>
      <c r="Z137" s="313"/>
      <c r="AA137" s="367"/>
      <c r="AC137" s="368"/>
      <c r="AD137" s="368"/>
      <c r="AE137" s="368"/>
      <c r="AG137" s="369"/>
      <c r="AI137" s="291"/>
    </row>
    <row r="138" spans="2:35" ht="16" customHeight="1">
      <c r="B138" s="394" t="s">
        <v>476</v>
      </c>
      <c r="F138" s="348">
        <v>42670</v>
      </c>
      <c r="G138" s="313"/>
      <c r="H138" s="313">
        <f t="shared" si="36"/>
        <v>400</v>
      </c>
      <c r="I138" s="313"/>
      <c r="J138" s="349">
        <f t="shared" si="37"/>
        <v>106.675</v>
      </c>
      <c r="K138" s="313"/>
      <c r="L138" s="397">
        <f t="shared" si="38"/>
        <v>2.6877047115142353E-4</v>
      </c>
      <c r="P138" s="365"/>
      <c r="Q138" s="366"/>
      <c r="S138" s="365"/>
      <c r="U138" s="365"/>
      <c r="V138" s="313"/>
      <c r="W138" s="313"/>
      <c r="X138" s="313"/>
      <c r="Y138" s="349"/>
      <c r="Z138" s="313"/>
      <c r="AA138" s="367"/>
      <c r="AC138" s="368"/>
      <c r="AD138" s="368"/>
      <c r="AE138" s="368"/>
      <c r="AG138" s="369"/>
      <c r="AI138" s="291"/>
    </row>
    <row r="139" spans="2:35" ht="16" customHeight="1" thickBot="1">
      <c r="B139" s="396" t="s">
        <v>338</v>
      </c>
      <c r="F139" s="352">
        <f>SUM(F134:F138)</f>
        <v>164470</v>
      </c>
      <c r="G139" s="313"/>
      <c r="H139" s="313"/>
      <c r="I139" s="313"/>
      <c r="J139" s="353">
        <f>SUM(J134:J138)</f>
        <v>411.17500000000001</v>
      </c>
      <c r="K139" s="313"/>
      <c r="L139" s="354">
        <f>SUM(L134:L138)</f>
        <v>1.0359662383471907E-3</v>
      </c>
      <c r="N139" s="331">
        <f>J139/$J$310</f>
        <v>1.0594878200830017E-3</v>
      </c>
      <c r="P139" s="365"/>
      <c r="Q139" s="366"/>
      <c r="S139" s="365"/>
      <c r="U139" s="365"/>
      <c r="V139" s="313"/>
      <c r="W139" s="313"/>
      <c r="X139" s="313"/>
      <c r="Y139" s="349"/>
      <c r="Z139" s="313"/>
      <c r="AA139" s="367"/>
      <c r="AC139" s="368"/>
      <c r="AD139" s="368"/>
      <c r="AE139" s="368"/>
      <c r="AG139" s="369"/>
      <c r="AI139" s="291"/>
    </row>
    <row r="140" spans="2:35" ht="16" customHeight="1">
      <c r="B140" s="393"/>
      <c r="F140" s="363"/>
      <c r="G140" s="313"/>
      <c r="H140" s="313"/>
      <c r="I140" s="313"/>
      <c r="J140" s="313"/>
      <c r="K140" s="313"/>
      <c r="L140" s="364"/>
      <c r="P140" s="365"/>
      <c r="Q140" s="366"/>
      <c r="S140" s="365"/>
      <c r="U140" s="365"/>
      <c r="V140" s="313"/>
      <c r="W140" s="313"/>
      <c r="X140" s="313"/>
      <c r="Y140" s="349"/>
      <c r="Z140" s="313"/>
      <c r="AA140" s="367"/>
      <c r="AC140" s="368"/>
      <c r="AD140" s="368"/>
      <c r="AE140" s="368"/>
      <c r="AG140" s="369"/>
      <c r="AI140" s="291"/>
    </row>
    <row r="141" spans="2:35" ht="16" customHeight="1">
      <c r="B141" s="428" t="s">
        <v>596</v>
      </c>
      <c r="C141" s="295"/>
      <c r="D141" s="295"/>
      <c r="E141" s="295"/>
      <c r="F141" s="424"/>
      <c r="G141" s="297"/>
      <c r="H141" s="297"/>
      <c r="I141" s="297"/>
      <c r="J141" s="297"/>
      <c r="K141" s="297"/>
      <c r="L141" s="425"/>
      <c r="M141" s="295"/>
      <c r="N141" s="295"/>
      <c r="O141" s="295"/>
      <c r="P141" s="366"/>
      <c r="Q141" s="366"/>
      <c r="R141" s="295"/>
      <c r="S141" s="366"/>
      <c r="T141" s="295"/>
      <c r="U141" s="366"/>
      <c r="V141" s="297"/>
      <c r="W141" s="297"/>
      <c r="X141" s="297"/>
      <c r="Y141" s="298"/>
      <c r="Z141" s="297"/>
      <c r="AA141" s="299"/>
      <c r="AB141" s="295"/>
      <c r="AC141" s="426"/>
      <c r="AD141" s="426"/>
      <c r="AE141" s="426"/>
      <c r="AF141" s="295"/>
      <c r="AG141" s="427"/>
      <c r="AI141" s="291"/>
    </row>
    <row r="142" spans="2:35" ht="16" customHeight="1">
      <c r="B142" s="394" t="s">
        <v>549</v>
      </c>
      <c r="F142" s="348">
        <v>0</v>
      </c>
      <c r="G142" s="313"/>
      <c r="H142" s="313">
        <f t="shared" ref="H142:H148" si="39">J$5</f>
        <v>400</v>
      </c>
      <c r="I142" s="313"/>
      <c r="J142" s="349">
        <f t="shared" ref="J142:J148" si="40">F142/H142</f>
        <v>0</v>
      </c>
      <c r="K142" s="313"/>
      <c r="L142" s="397">
        <f t="shared" ref="L142:L148" si="41">J142/$J$8</f>
        <v>0</v>
      </c>
      <c r="P142" s="365"/>
      <c r="Q142" s="366"/>
      <c r="S142" s="365"/>
      <c r="U142" s="365"/>
      <c r="V142" s="313"/>
      <c r="W142" s="313"/>
      <c r="X142" s="313"/>
      <c r="Y142" s="349"/>
      <c r="Z142" s="313"/>
      <c r="AA142" s="367"/>
      <c r="AC142" s="368"/>
      <c r="AD142" s="368"/>
      <c r="AE142" s="368"/>
      <c r="AG142" s="369"/>
      <c r="AI142" s="291"/>
    </row>
    <row r="143" spans="2:35" ht="16" customHeight="1">
      <c r="B143" s="394" t="s">
        <v>550</v>
      </c>
      <c r="F143" s="348">
        <v>0</v>
      </c>
      <c r="G143" s="313"/>
      <c r="H143" s="313">
        <f t="shared" si="39"/>
        <v>400</v>
      </c>
      <c r="I143" s="313"/>
      <c r="J143" s="349">
        <f t="shared" si="40"/>
        <v>0</v>
      </c>
      <c r="K143" s="313"/>
      <c r="L143" s="397">
        <f t="shared" si="41"/>
        <v>0</v>
      </c>
      <c r="P143" s="365"/>
      <c r="Q143" s="366"/>
      <c r="S143" s="365"/>
      <c r="U143" s="365"/>
      <c r="V143" s="313"/>
      <c r="W143" s="313"/>
      <c r="X143" s="313"/>
      <c r="Y143" s="349"/>
      <c r="Z143" s="313"/>
      <c r="AA143" s="367"/>
      <c r="AC143" s="368"/>
      <c r="AD143" s="368"/>
      <c r="AE143" s="368"/>
      <c r="AG143" s="369"/>
      <c r="AI143" s="291"/>
    </row>
    <row r="144" spans="2:35" ht="16" customHeight="1">
      <c r="B144" s="394" t="s">
        <v>551</v>
      </c>
      <c r="F144" s="348">
        <v>76500</v>
      </c>
      <c r="G144" s="313"/>
      <c r="H144" s="313">
        <f t="shared" si="39"/>
        <v>400</v>
      </c>
      <c r="I144" s="313"/>
      <c r="J144" s="349">
        <f t="shared" si="40"/>
        <v>191.25</v>
      </c>
      <c r="K144" s="313"/>
      <c r="L144" s="397">
        <f t="shared" si="41"/>
        <v>4.8185941043083901E-4</v>
      </c>
      <c r="P144" s="365"/>
      <c r="Q144" s="366"/>
      <c r="S144" s="365"/>
      <c r="U144" s="365"/>
      <c r="V144" s="313"/>
      <c r="W144" s="313"/>
      <c r="X144" s="313"/>
      <c r="Y144" s="349"/>
      <c r="Z144" s="313"/>
      <c r="AA144" s="367"/>
      <c r="AC144" s="368"/>
      <c r="AD144" s="368"/>
      <c r="AE144" s="368"/>
      <c r="AG144" s="369"/>
      <c r="AI144" s="291"/>
    </row>
    <row r="145" spans="2:35" ht="16" customHeight="1">
      <c r="B145" s="395" t="s">
        <v>546</v>
      </c>
      <c r="F145" s="348">
        <v>30600</v>
      </c>
      <c r="G145" s="313"/>
      <c r="H145" s="313">
        <f t="shared" si="39"/>
        <v>400</v>
      </c>
      <c r="I145" s="313"/>
      <c r="J145" s="349">
        <f t="shared" si="40"/>
        <v>76.5</v>
      </c>
      <c r="K145" s="313"/>
      <c r="L145" s="397">
        <f t="shared" si="41"/>
        <v>1.9274376417233559E-4</v>
      </c>
      <c r="P145" s="365"/>
      <c r="Q145" s="366"/>
      <c r="S145" s="365"/>
      <c r="U145" s="365"/>
      <c r="V145" s="313"/>
      <c r="W145" s="313"/>
      <c r="X145" s="313"/>
      <c r="Y145" s="349"/>
      <c r="Z145" s="313"/>
      <c r="AA145" s="367"/>
      <c r="AC145" s="368"/>
      <c r="AD145" s="368"/>
      <c r="AE145" s="368"/>
      <c r="AG145" s="369"/>
      <c r="AI145" s="291"/>
    </row>
    <row r="146" spans="2:35" ht="16" customHeight="1">
      <c r="B146" s="394" t="s">
        <v>547</v>
      </c>
      <c r="F146" s="348">
        <v>15300</v>
      </c>
      <c r="G146" s="313"/>
      <c r="H146" s="313">
        <f t="shared" si="39"/>
        <v>400</v>
      </c>
      <c r="I146" s="313"/>
      <c r="J146" s="349">
        <f t="shared" si="40"/>
        <v>38.25</v>
      </c>
      <c r="K146" s="313"/>
      <c r="L146" s="397">
        <f t="shared" si="41"/>
        <v>9.6371882086167796E-5</v>
      </c>
      <c r="P146" s="365"/>
      <c r="Q146" s="366"/>
      <c r="S146" s="365"/>
      <c r="U146" s="365"/>
      <c r="V146" s="313"/>
      <c r="W146" s="313"/>
      <c r="X146" s="313"/>
      <c r="Y146" s="349"/>
      <c r="Z146" s="313"/>
      <c r="AA146" s="367"/>
      <c r="AC146" s="368"/>
      <c r="AD146" s="368"/>
      <c r="AE146" s="368"/>
      <c r="AG146" s="369"/>
      <c r="AI146" s="291"/>
    </row>
    <row r="147" spans="2:35" ht="16" customHeight="1">
      <c r="B147" s="394" t="s">
        <v>473</v>
      </c>
      <c r="F147" s="348">
        <v>172800</v>
      </c>
      <c r="G147" s="313"/>
      <c r="H147" s="313">
        <f t="shared" si="39"/>
        <v>400</v>
      </c>
      <c r="I147" s="313"/>
      <c r="J147" s="349">
        <f t="shared" si="40"/>
        <v>432</v>
      </c>
      <c r="K147" s="313"/>
      <c r="L147" s="397">
        <f t="shared" si="41"/>
        <v>1.0884353741496598E-3</v>
      </c>
      <c r="P147" s="365"/>
      <c r="Q147" s="366"/>
      <c r="S147" s="365"/>
      <c r="U147" s="365"/>
      <c r="V147" s="313"/>
      <c r="W147" s="313"/>
      <c r="X147" s="313"/>
      <c r="Y147" s="349"/>
      <c r="Z147" s="313"/>
      <c r="AA147" s="367"/>
      <c r="AC147" s="368"/>
      <c r="AD147" s="368"/>
      <c r="AE147" s="368"/>
      <c r="AG147" s="369"/>
      <c r="AI147" s="291"/>
    </row>
    <row r="148" spans="2:35" ht="16" customHeight="1">
      <c r="B148" s="394" t="s">
        <v>476</v>
      </c>
      <c r="F148" s="348">
        <v>230418</v>
      </c>
      <c r="G148" s="313"/>
      <c r="H148" s="313">
        <f t="shared" si="39"/>
        <v>400</v>
      </c>
      <c r="I148" s="313"/>
      <c r="J148" s="349">
        <f t="shared" si="40"/>
        <v>576.04499999999996</v>
      </c>
      <c r="K148" s="313"/>
      <c r="L148" s="397">
        <f t="shared" si="41"/>
        <v>1.451360544217687E-3</v>
      </c>
      <c r="P148" s="365"/>
      <c r="Q148" s="366"/>
      <c r="S148" s="365"/>
      <c r="U148" s="365"/>
      <c r="V148" s="313"/>
      <c r="W148" s="313"/>
      <c r="X148" s="313"/>
      <c r="Y148" s="349"/>
      <c r="Z148" s="313"/>
      <c r="AA148" s="367"/>
      <c r="AC148" s="368"/>
      <c r="AD148" s="368"/>
      <c r="AE148" s="368"/>
      <c r="AG148" s="369"/>
      <c r="AI148" s="291"/>
    </row>
    <row r="149" spans="2:35" ht="16" customHeight="1" thickBot="1">
      <c r="B149" s="396" t="s">
        <v>338</v>
      </c>
      <c r="F149" s="352">
        <f>SUM(F142:F148)</f>
        <v>525618</v>
      </c>
      <c r="G149" s="313"/>
      <c r="H149" s="313"/>
      <c r="I149" s="313"/>
      <c r="J149" s="353">
        <f>SUM(J142:J148)</f>
        <v>1314.0450000000001</v>
      </c>
      <c r="K149" s="313"/>
      <c r="L149" s="354">
        <f>SUM(L142:L148)</f>
        <v>3.3107709750566892E-3</v>
      </c>
      <c r="N149" s="331">
        <f>J149/$J$310</f>
        <v>3.3859419287188375E-3</v>
      </c>
      <c r="P149" s="365"/>
      <c r="Q149" s="366"/>
      <c r="S149" s="365"/>
      <c r="U149" s="365"/>
      <c r="V149" s="313"/>
      <c r="W149" s="313"/>
      <c r="X149" s="313"/>
      <c r="Y149" s="349"/>
      <c r="Z149" s="313"/>
      <c r="AA149" s="367"/>
      <c r="AC149" s="368"/>
      <c r="AD149" s="368"/>
      <c r="AE149" s="368"/>
      <c r="AG149" s="369"/>
      <c r="AI149" s="291"/>
    </row>
    <row r="150" spans="2:35" ht="16" customHeight="1">
      <c r="B150" s="393"/>
      <c r="F150" s="363"/>
      <c r="G150" s="313"/>
      <c r="H150" s="313"/>
      <c r="I150" s="313"/>
      <c r="J150" s="313"/>
      <c r="K150" s="313"/>
      <c r="L150" s="364"/>
      <c r="P150" s="365"/>
      <c r="Q150" s="366"/>
      <c r="S150" s="365"/>
      <c r="U150" s="365"/>
      <c r="V150" s="313"/>
      <c r="W150" s="313"/>
      <c r="X150" s="313"/>
      <c r="Y150" s="349"/>
      <c r="Z150" s="313"/>
      <c r="AA150" s="367"/>
      <c r="AC150" s="368"/>
      <c r="AD150" s="368"/>
      <c r="AE150" s="368"/>
      <c r="AG150" s="369"/>
      <c r="AI150" s="291"/>
    </row>
    <row r="151" spans="2:35" ht="16" customHeight="1">
      <c r="B151" s="428" t="s">
        <v>597</v>
      </c>
      <c r="C151" s="295"/>
      <c r="D151" s="295"/>
      <c r="E151" s="295"/>
      <c r="F151" s="424"/>
      <c r="G151" s="297"/>
      <c r="H151" s="297"/>
      <c r="I151" s="297"/>
      <c r="J151" s="297"/>
      <c r="K151" s="297"/>
      <c r="L151" s="425"/>
      <c r="M151" s="295"/>
      <c r="N151" s="295"/>
      <c r="O151" s="295"/>
      <c r="P151" s="366"/>
      <c r="Q151" s="366"/>
      <c r="R151" s="295"/>
      <c r="S151" s="366"/>
      <c r="T151" s="295"/>
      <c r="U151" s="366"/>
      <c r="V151" s="297"/>
      <c r="W151" s="297"/>
      <c r="X151" s="297"/>
      <c r="Y151" s="298"/>
      <c r="Z151" s="297"/>
      <c r="AA151" s="299"/>
      <c r="AB151" s="295"/>
      <c r="AC151" s="426"/>
      <c r="AD151" s="426"/>
      <c r="AE151" s="426"/>
      <c r="AF151" s="295"/>
      <c r="AG151" s="427"/>
      <c r="AI151" s="291"/>
    </row>
    <row r="152" spans="2:35" ht="16" customHeight="1">
      <c r="B152" s="394" t="s">
        <v>553</v>
      </c>
      <c r="F152" s="348">
        <v>749700</v>
      </c>
      <c r="G152" s="313"/>
      <c r="H152" s="313">
        <f t="shared" ref="H152:H157" si="42">J$5</f>
        <v>400</v>
      </c>
      <c r="I152" s="313"/>
      <c r="J152" s="349">
        <f t="shared" ref="J152:J157" si="43">F152/H152</f>
        <v>1874.25</v>
      </c>
      <c r="K152" s="313"/>
      <c r="L152" s="397">
        <f t="shared" ref="L152:L157" si="44">J152/$J$8</f>
        <v>4.7222222222222223E-3</v>
      </c>
      <c r="P152" s="365"/>
      <c r="Q152" s="366"/>
      <c r="S152" s="365"/>
      <c r="U152" s="365"/>
      <c r="V152" s="313"/>
      <c r="W152" s="313"/>
      <c r="X152" s="313"/>
      <c r="Y152" s="349"/>
      <c r="Z152" s="313"/>
      <c r="AA152" s="367"/>
      <c r="AC152" s="368"/>
      <c r="AD152" s="368"/>
      <c r="AE152" s="368"/>
      <c r="AG152" s="369"/>
      <c r="AI152" s="291"/>
    </row>
    <row r="153" spans="2:35" ht="16" customHeight="1">
      <c r="B153" s="394" t="s">
        <v>551</v>
      </c>
      <c r="F153" s="348">
        <v>68000</v>
      </c>
      <c r="G153" s="313"/>
      <c r="H153" s="313">
        <f t="shared" si="42"/>
        <v>400</v>
      </c>
      <c r="I153" s="313"/>
      <c r="J153" s="349">
        <f t="shared" si="43"/>
        <v>170</v>
      </c>
      <c r="K153" s="313"/>
      <c r="L153" s="397">
        <f t="shared" si="44"/>
        <v>4.2831947593852354E-4</v>
      </c>
      <c r="P153" s="365"/>
      <c r="Q153" s="366"/>
      <c r="S153" s="365"/>
      <c r="U153" s="365"/>
      <c r="V153" s="313"/>
      <c r="W153" s="313"/>
      <c r="X153" s="313"/>
      <c r="Y153" s="349"/>
      <c r="Z153" s="313"/>
      <c r="AA153" s="367"/>
      <c r="AC153" s="368"/>
      <c r="AD153" s="368"/>
      <c r="AE153" s="368"/>
      <c r="AG153" s="369"/>
      <c r="AI153" s="291"/>
    </row>
    <row r="154" spans="2:35" ht="16" customHeight="1">
      <c r="B154" s="395" t="s">
        <v>546</v>
      </c>
      <c r="F154" s="348">
        <v>27200</v>
      </c>
      <c r="G154" s="313"/>
      <c r="H154" s="313">
        <f t="shared" si="42"/>
        <v>400</v>
      </c>
      <c r="I154" s="313"/>
      <c r="J154" s="349">
        <f t="shared" si="43"/>
        <v>68</v>
      </c>
      <c r="K154" s="313"/>
      <c r="L154" s="397">
        <f t="shared" si="44"/>
        <v>1.7132779037540942E-4</v>
      </c>
      <c r="P154" s="365"/>
      <c r="Q154" s="366"/>
      <c r="S154" s="365"/>
      <c r="U154" s="365"/>
      <c r="V154" s="313"/>
      <c r="W154" s="313"/>
      <c r="X154" s="313"/>
      <c r="Y154" s="349"/>
      <c r="Z154" s="313"/>
      <c r="AA154" s="367"/>
      <c r="AC154" s="368"/>
      <c r="AD154" s="368"/>
      <c r="AE154" s="368"/>
      <c r="AG154" s="369"/>
      <c r="AI154" s="291"/>
    </row>
    <row r="155" spans="2:35" ht="16" customHeight="1">
      <c r="B155" s="394" t="s">
        <v>547</v>
      </c>
      <c r="F155" s="348">
        <v>13600</v>
      </c>
      <c r="G155" s="313"/>
      <c r="H155" s="313">
        <f t="shared" si="42"/>
        <v>400</v>
      </c>
      <c r="I155" s="313"/>
      <c r="J155" s="349">
        <f t="shared" si="43"/>
        <v>34</v>
      </c>
      <c r="K155" s="313"/>
      <c r="L155" s="397">
        <f t="shared" si="44"/>
        <v>8.5663895187704708E-5</v>
      </c>
      <c r="P155" s="365"/>
      <c r="Q155" s="366"/>
      <c r="S155" s="365"/>
      <c r="U155" s="365"/>
      <c r="V155" s="313"/>
      <c r="W155" s="313"/>
      <c r="X155" s="313"/>
      <c r="Y155" s="349"/>
      <c r="Z155" s="313"/>
      <c r="AA155" s="367"/>
      <c r="AC155" s="368"/>
      <c r="AD155" s="368"/>
      <c r="AE155" s="368"/>
      <c r="AG155" s="369"/>
      <c r="AI155" s="291"/>
    </row>
    <row r="156" spans="2:35" ht="16" customHeight="1">
      <c r="B156" s="394" t="s">
        <v>473</v>
      </c>
      <c r="F156" s="348">
        <v>202000</v>
      </c>
      <c r="G156" s="313"/>
      <c r="H156" s="313">
        <f t="shared" si="42"/>
        <v>400</v>
      </c>
      <c r="I156" s="313"/>
      <c r="J156" s="349">
        <f t="shared" si="43"/>
        <v>505</v>
      </c>
      <c r="K156" s="313"/>
      <c r="L156" s="397">
        <f t="shared" si="44"/>
        <v>1.2723607961703199E-3</v>
      </c>
      <c r="P156" s="365"/>
      <c r="Q156" s="366"/>
      <c r="S156" s="365"/>
      <c r="U156" s="365"/>
      <c r="V156" s="313"/>
      <c r="W156" s="313"/>
      <c r="X156" s="313"/>
      <c r="Y156" s="349"/>
      <c r="Z156" s="313"/>
      <c r="AA156" s="367"/>
      <c r="AC156" s="368"/>
      <c r="AD156" s="368"/>
      <c r="AE156" s="368"/>
      <c r="AG156" s="369"/>
      <c r="AI156" s="291"/>
    </row>
    <row r="157" spans="2:35" ht="16" customHeight="1">
      <c r="B157" s="394" t="s">
        <v>476</v>
      </c>
      <c r="F157" s="348">
        <v>341360</v>
      </c>
      <c r="G157" s="313"/>
      <c r="H157" s="313">
        <f t="shared" si="42"/>
        <v>400</v>
      </c>
      <c r="I157" s="313"/>
      <c r="J157" s="349">
        <f t="shared" si="43"/>
        <v>853.4</v>
      </c>
      <c r="K157" s="313"/>
      <c r="L157" s="397">
        <f t="shared" si="44"/>
        <v>2.1501637692113882E-3</v>
      </c>
      <c r="P157" s="365"/>
      <c r="Q157" s="366"/>
      <c r="S157" s="365"/>
      <c r="U157" s="365"/>
      <c r="V157" s="313"/>
      <c r="W157" s="313"/>
      <c r="X157" s="313"/>
      <c r="Y157" s="349"/>
      <c r="Z157" s="313"/>
      <c r="AA157" s="367"/>
      <c r="AC157" s="368"/>
      <c r="AD157" s="368"/>
      <c r="AE157" s="368"/>
      <c r="AG157" s="369"/>
      <c r="AI157" s="291"/>
    </row>
    <row r="158" spans="2:35" ht="16" customHeight="1" thickBot="1">
      <c r="B158" s="396" t="s">
        <v>338</v>
      </c>
      <c r="F158" s="352">
        <f>SUM(F152:F157)</f>
        <v>1401860</v>
      </c>
      <c r="G158" s="313"/>
      <c r="H158" s="313"/>
      <c r="I158" s="313"/>
      <c r="J158" s="353">
        <f>SUM(J152:J157)</f>
        <v>3504.65</v>
      </c>
      <c r="K158" s="313"/>
      <c r="L158" s="354">
        <f>SUM(L152:L157)</f>
        <v>8.830057949105569E-3</v>
      </c>
      <c r="N158" s="331">
        <f>J158/$J$310</f>
        <v>9.0305441445951047E-3</v>
      </c>
      <c r="P158" s="365"/>
      <c r="Q158" s="366"/>
      <c r="S158" s="365"/>
      <c r="U158" s="365"/>
      <c r="V158" s="313"/>
      <c r="W158" s="313"/>
      <c r="X158" s="313"/>
      <c r="Y158" s="349"/>
      <c r="Z158" s="313"/>
      <c r="AA158" s="367"/>
      <c r="AC158" s="368"/>
      <c r="AD158" s="368"/>
      <c r="AE158" s="368"/>
      <c r="AG158" s="369"/>
      <c r="AI158" s="291"/>
    </row>
    <row r="159" spans="2:35" ht="16" customHeight="1" thickBot="1">
      <c r="B159" s="393"/>
      <c r="F159" s="363"/>
      <c r="G159" s="313"/>
      <c r="H159" s="313"/>
      <c r="I159" s="313"/>
      <c r="J159" s="429"/>
      <c r="K159" s="313"/>
      <c r="L159" s="364"/>
      <c r="P159" s="365"/>
      <c r="Q159" s="366"/>
      <c r="S159" s="365"/>
      <c r="U159" s="365"/>
      <c r="V159" s="313"/>
      <c r="W159" s="313"/>
      <c r="X159" s="313"/>
      <c r="Y159" s="349"/>
      <c r="Z159" s="313"/>
      <c r="AA159" s="367"/>
      <c r="AC159" s="368"/>
      <c r="AD159" s="368"/>
      <c r="AE159" s="368"/>
      <c r="AG159" s="369"/>
      <c r="AI159" s="291"/>
    </row>
    <row r="160" spans="2:35" ht="16" customHeight="1" thickBot="1">
      <c r="B160" s="396" t="s">
        <v>554</v>
      </c>
      <c r="F160" s="352">
        <f>F158+F149+F139</f>
        <v>2091948</v>
      </c>
      <c r="G160" s="313"/>
      <c r="H160" s="313"/>
      <c r="I160" s="313"/>
      <c r="J160" s="430">
        <f>J158+J149+J139</f>
        <v>5229.87</v>
      </c>
      <c r="K160" s="313"/>
      <c r="L160" s="354">
        <f>L158+L149+L139</f>
        <v>1.3176795162509448E-2</v>
      </c>
      <c r="N160" s="331">
        <f>J160/$J$310</f>
        <v>1.3475973893396942E-2</v>
      </c>
      <c r="P160" s="365"/>
      <c r="Q160" s="366"/>
      <c r="S160" s="365"/>
      <c r="U160" s="365"/>
      <c r="V160" s="313"/>
      <c r="W160" s="313"/>
      <c r="X160" s="313"/>
      <c r="Y160" s="349"/>
      <c r="Z160" s="313"/>
      <c r="AA160" s="367"/>
      <c r="AC160" s="368"/>
      <c r="AD160" s="368"/>
      <c r="AE160" s="368"/>
      <c r="AG160" s="369"/>
      <c r="AI160" s="291"/>
    </row>
    <row r="161" spans="2:35" ht="16" customHeight="1">
      <c r="B161" s="347"/>
      <c r="F161" s="363"/>
      <c r="G161" s="313"/>
      <c r="H161" s="313"/>
      <c r="I161" s="313"/>
      <c r="J161" s="313"/>
      <c r="K161" s="313"/>
      <c r="L161" s="364"/>
      <c r="P161" s="365"/>
      <c r="Q161" s="366"/>
      <c r="S161" s="365"/>
      <c r="U161" s="365"/>
      <c r="V161" s="313"/>
      <c r="W161" s="313"/>
      <c r="X161" s="313"/>
      <c r="Y161" s="349"/>
      <c r="Z161" s="313"/>
      <c r="AA161" s="367"/>
      <c r="AC161" s="368"/>
      <c r="AD161" s="368"/>
      <c r="AE161" s="368"/>
      <c r="AG161" s="369"/>
      <c r="AI161" s="291"/>
    </row>
    <row r="162" spans="2:35" ht="16" customHeight="1">
      <c r="B162" s="381" t="s">
        <v>598</v>
      </c>
      <c r="C162" s="382"/>
      <c r="D162" s="382"/>
      <c r="E162" s="382"/>
      <c r="F162" s="383"/>
      <c r="G162" s="384"/>
      <c r="H162" s="384"/>
      <c r="I162" s="384"/>
      <c r="J162" s="384"/>
      <c r="K162" s="384"/>
      <c r="L162" s="385"/>
      <c r="M162" s="382"/>
      <c r="N162" s="382"/>
      <c r="O162" s="382"/>
      <c r="P162" s="386"/>
      <c r="Q162" s="386"/>
      <c r="R162" s="382"/>
      <c r="S162" s="386"/>
      <c r="T162" s="382"/>
      <c r="U162" s="386"/>
      <c r="V162" s="384"/>
      <c r="W162" s="384"/>
      <c r="X162" s="384"/>
      <c r="Y162" s="387"/>
      <c r="Z162" s="384"/>
      <c r="AA162" s="388"/>
      <c r="AB162" s="382"/>
      <c r="AC162" s="389"/>
      <c r="AD162" s="389"/>
      <c r="AE162" s="389"/>
      <c r="AF162" s="382"/>
      <c r="AG162" s="390"/>
      <c r="AI162" s="291"/>
    </row>
    <row r="163" spans="2:35" ht="16" customHeight="1">
      <c r="B163" s="347"/>
      <c r="F163" s="363"/>
      <c r="G163" s="313"/>
      <c r="H163" s="313"/>
      <c r="I163" s="313"/>
      <c r="J163" s="313"/>
      <c r="K163" s="313"/>
      <c r="L163" s="364"/>
      <c r="P163" s="365"/>
      <c r="Q163" s="366"/>
      <c r="S163" s="365"/>
      <c r="U163" s="365"/>
      <c r="V163" s="313"/>
      <c r="W163" s="313"/>
      <c r="X163" s="313"/>
      <c r="Y163" s="349"/>
      <c r="Z163" s="313"/>
      <c r="AA163" s="367"/>
      <c r="AC163" s="368"/>
      <c r="AD163" s="368"/>
      <c r="AE163" s="368"/>
      <c r="AG163" s="369"/>
      <c r="AI163" s="291"/>
    </row>
    <row r="164" spans="2:35" ht="16" customHeight="1">
      <c r="B164" s="401" t="s">
        <v>556</v>
      </c>
      <c r="F164" s="363"/>
      <c r="G164" s="313"/>
      <c r="H164" s="313"/>
      <c r="I164" s="313"/>
      <c r="J164" s="313"/>
      <c r="K164" s="313"/>
      <c r="L164" s="364"/>
      <c r="P164" s="365"/>
      <c r="Q164" s="366"/>
      <c r="S164" s="365"/>
      <c r="U164" s="365"/>
      <c r="V164" s="313"/>
      <c r="W164" s="313"/>
      <c r="X164" s="313"/>
      <c r="Y164" s="349"/>
      <c r="Z164" s="313"/>
      <c r="AA164" s="367"/>
      <c r="AC164" s="368"/>
      <c r="AD164" s="368"/>
      <c r="AE164" s="368"/>
      <c r="AG164" s="369"/>
      <c r="AI164" s="291"/>
    </row>
    <row r="165" spans="2:35" ht="16" customHeight="1">
      <c r="B165" s="394" t="s">
        <v>599</v>
      </c>
      <c r="F165" s="348">
        <v>749700</v>
      </c>
      <c r="G165" s="313"/>
      <c r="H165" s="313">
        <f t="shared" ref="H165:H168" si="45">J$5</f>
        <v>400</v>
      </c>
      <c r="I165" s="313"/>
      <c r="J165" s="349">
        <f t="shared" ref="J165:J168" si="46">F165/H165</f>
        <v>1874.25</v>
      </c>
      <c r="K165" s="313"/>
      <c r="L165" s="397">
        <f t="shared" ref="L165:L168" si="47">J165/$J$8</f>
        <v>4.7222222222222223E-3</v>
      </c>
      <c r="P165" s="365"/>
      <c r="Q165" s="366"/>
      <c r="S165" s="365"/>
      <c r="U165" s="365"/>
      <c r="V165" s="313"/>
      <c r="W165" s="313"/>
      <c r="X165" s="313"/>
      <c r="Y165" s="349"/>
      <c r="Z165" s="313"/>
      <c r="AA165" s="367"/>
      <c r="AC165" s="368"/>
      <c r="AD165" s="368"/>
      <c r="AE165" s="368"/>
      <c r="AG165" s="369"/>
      <c r="AI165" s="291"/>
    </row>
    <row r="166" spans="2:35" ht="16" customHeight="1">
      <c r="B166" s="394" t="s">
        <v>558</v>
      </c>
      <c r="F166" s="348">
        <v>957000</v>
      </c>
      <c r="G166" s="313"/>
      <c r="H166" s="313">
        <f t="shared" si="45"/>
        <v>400</v>
      </c>
      <c r="I166" s="313"/>
      <c r="J166" s="349">
        <f t="shared" si="46"/>
        <v>2392.5</v>
      </c>
      <c r="K166" s="313"/>
      <c r="L166" s="397">
        <f t="shared" si="47"/>
        <v>6.0279667422524566E-3</v>
      </c>
      <c r="P166" s="365"/>
      <c r="Q166" s="366"/>
      <c r="S166" s="365"/>
      <c r="U166" s="365"/>
      <c r="V166" s="313"/>
      <c r="W166" s="313"/>
      <c r="X166" s="313"/>
      <c r="Y166" s="349"/>
      <c r="Z166" s="313"/>
      <c r="AA166" s="367"/>
      <c r="AC166" s="368"/>
      <c r="AD166" s="368"/>
      <c r="AE166" s="368"/>
      <c r="AG166" s="369"/>
      <c r="AI166" s="291"/>
    </row>
    <row r="167" spans="2:35" ht="16" customHeight="1">
      <c r="B167" s="394" t="s">
        <v>547</v>
      </c>
      <c r="F167" s="348">
        <v>229500</v>
      </c>
      <c r="G167" s="313"/>
      <c r="H167" s="313">
        <f t="shared" si="45"/>
        <v>400</v>
      </c>
      <c r="I167" s="313"/>
      <c r="J167" s="349">
        <f t="shared" si="46"/>
        <v>573.75</v>
      </c>
      <c r="K167" s="313"/>
      <c r="L167" s="397">
        <f t="shared" si="47"/>
        <v>1.4455782312925169E-3</v>
      </c>
      <c r="P167" s="365"/>
      <c r="Q167" s="366"/>
      <c r="S167" s="365"/>
      <c r="U167" s="365"/>
      <c r="V167" s="313"/>
      <c r="W167" s="313"/>
      <c r="X167" s="313"/>
      <c r="Y167" s="349"/>
      <c r="Z167" s="313"/>
      <c r="AA167" s="367"/>
      <c r="AC167" s="368"/>
      <c r="AD167" s="368"/>
      <c r="AE167" s="368"/>
      <c r="AG167" s="369"/>
      <c r="AI167" s="291"/>
    </row>
    <row r="168" spans="2:35" ht="16" customHeight="1">
      <c r="B168" s="394" t="s">
        <v>476</v>
      </c>
      <c r="F168" s="348">
        <v>4606200</v>
      </c>
      <c r="G168" s="313"/>
      <c r="H168" s="313">
        <f t="shared" si="45"/>
        <v>400</v>
      </c>
      <c r="I168" s="313"/>
      <c r="J168" s="349">
        <f t="shared" si="46"/>
        <v>11515.5</v>
      </c>
      <c r="K168" s="313"/>
      <c r="L168" s="397">
        <f t="shared" si="47"/>
        <v>2.9013605442176869E-2</v>
      </c>
      <c r="P168" s="365"/>
      <c r="Q168" s="366"/>
      <c r="S168" s="365"/>
      <c r="U168" s="365"/>
      <c r="V168" s="313"/>
      <c r="W168" s="313"/>
      <c r="X168" s="313"/>
      <c r="Y168" s="349"/>
      <c r="Z168" s="313"/>
      <c r="AA168" s="367"/>
      <c r="AC168" s="368"/>
      <c r="AD168" s="368"/>
      <c r="AE168" s="368"/>
      <c r="AG168" s="369"/>
      <c r="AI168" s="291"/>
    </row>
    <row r="169" spans="2:35" ht="16" customHeight="1" thickBot="1">
      <c r="B169" s="402" t="s">
        <v>559</v>
      </c>
      <c r="F169" s="352">
        <f>SUM(F165:F168)</f>
        <v>6542400</v>
      </c>
      <c r="G169" s="313"/>
      <c r="H169" s="313"/>
      <c r="I169" s="313"/>
      <c r="J169" s="353">
        <f>SUM(J165:J168)</f>
        <v>16356</v>
      </c>
      <c r="K169" s="313"/>
      <c r="L169" s="354">
        <f>SUM(L165:L168)</f>
        <v>4.1209372637944067E-2</v>
      </c>
      <c r="N169" s="331">
        <f>J169/$J$310</f>
        <v>4.2145030182471149E-2</v>
      </c>
      <c r="P169" s="365"/>
      <c r="Q169" s="366"/>
      <c r="S169" s="365"/>
      <c r="U169" s="365"/>
      <c r="V169" s="313"/>
      <c r="W169" s="313"/>
      <c r="X169" s="313"/>
      <c r="Y169" s="349"/>
      <c r="Z169" s="313"/>
      <c r="AA169" s="367"/>
      <c r="AC169" s="368"/>
      <c r="AD169" s="368"/>
      <c r="AE169" s="368"/>
      <c r="AG169" s="369"/>
      <c r="AI169" s="291"/>
    </row>
    <row r="170" spans="2:35" ht="16" customHeight="1">
      <c r="B170" s="394"/>
      <c r="F170" s="363"/>
      <c r="G170" s="313"/>
      <c r="H170" s="313"/>
      <c r="I170" s="313"/>
      <c r="J170" s="313"/>
      <c r="K170" s="313"/>
      <c r="L170" s="364"/>
      <c r="P170" s="365"/>
      <c r="Q170" s="366"/>
      <c r="S170" s="365"/>
      <c r="U170" s="365"/>
      <c r="V170" s="313"/>
      <c r="W170" s="313"/>
      <c r="X170" s="313"/>
      <c r="Y170" s="349"/>
      <c r="Z170" s="313"/>
      <c r="AA170" s="367"/>
      <c r="AC170" s="368"/>
      <c r="AD170" s="368"/>
      <c r="AE170" s="368"/>
      <c r="AG170" s="369"/>
      <c r="AI170" s="291"/>
    </row>
    <row r="171" spans="2:35" ht="16" customHeight="1">
      <c r="B171" s="403" t="s">
        <v>560</v>
      </c>
      <c r="F171" s="363"/>
      <c r="G171" s="313"/>
      <c r="H171" s="313"/>
      <c r="I171" s="313"/>
      <c r="J171" s="313"/>
      <c r="K171" s="313"/>
      <c r="L171" s="364"/>
      <c r="P171" s="365"/>
      <c r="Q171" s="366"/>
      <c r="S171" s="365"/>
      <c r="U171" s="365"/>
      <c r="V171" s="313"/>
      <c r="W171" s="313"/>
      <c r="X171" s="313"/>
      <c r="Y171" s="349"/>
      <c r="Z171" s="313"/>
      <c r="AA171" s="367"/>
      <c r="AC171" s="368"/>
      <c r="AD171" s="368"/>
      <c r="AE171" s="368"/>
      <c r="AG171" s="369"/>
      <c r="AI171" s="291"/>
    </row>
    <row r="172" spans="2:35" ht="16" customHeight="1">
      <c r="B172" s="394" t="s">
        <v>484</v>
      </c>
      <c r="F172" s="348">
        <v>300000</v>
      </c>
      <c r="G172" s="313"/>
      <c r="H172" s="313">
        <f t="shared" ref="H172:H179" si="48">J$5</f>
        <v>400</v>
      </c>
      <c r="I172" s="313"/>
      <c r="J172" s="349">
        <f t="shared" ref="J172:J179" si="49">F172/H172</f>
        <v>750</v>
      </c>
      <c r="K172" s="313"/>
      <c r="L172" s="397">
        <f t="shared" ref="L172:L179" si="50">J172/$J$8</f>
        <v>1.889644746787604E-3</v>
      </c>
      <c r="P172" s="365"/>
      <c r="Q172" s="366"/>
      <c r="S172" s="365"/>
      <c r="U172" s="365"/>
      <c r="V172" s="313"/>
      <c r="W172" s="313"/>
      <c r="X172" s="313"/>
      <c r="Y172" s="349"/>
      <c r="Z172" s="313"/>
      <c r="AA172" s="367"/>
      <c r="AC172" s="368"/>
      <c r="AD172" s="368"/>
      <c r="AE172" s="368"/>
      <c r="AG172" s="369"/>
      <c r="AI172" s="291"/>
    </row>
    <row r="173" spans="2:35" ht="16" customHeight="1">
      <c r="B173" s="394" t="s">
        <v>485</v>
      </c>
      <c r="F173" s="348">
        <v>1100</v>
      </c>
      <c r="G173" s="313"/>
      <c r="H173" s="313">
        <f t="shared" si="48"/>
        <v>400</v>
      </c>
      <c r="I173" s="313"/>
      <c r="J173" s="349">
        <f t="shared" si="49"/>
        <v>2.75</v>
      </c>
      <c r="K173" s="313"/>
      <c r="L173" s="397">
        <f t="shared" si="50"/>
        <v>6.9286974048878808E-6</v>
      </c>
      <c r="P173" s="365"/>
      <c r="Q173" s="366"/>
      <c r="S173" s="365"/>
      <c r="U173" s="365"/>
      <c r="V173" s="313"/>
      <c r="W173" s="313"/>
      <c r="X173" s="313"/>
      <c r="Y173" s="349"/>
      <c r="Z173" s="313"/>
      <c r="AA173" s="367"/>
      <c r="AC173" s="368"/>
      <c r="AD173" s="368"/>
      <c r="AE173" s="368"/>
      <c r="AG173" s="369"/>
      <c r="AI173" s="291"/>
    </row>
    <row r="174" spans="2:35" ht="16" customHeight="1">
      <c r="B174" s="394" t="s">
        <v>491</v>
      </c>
      <c r="F174" s="348">
        <v>75000</v>
      </c>
      <c r="G174" s="313"/>
      <c r="H174" s="313">
        <f t="shared" si="48"/>
        <v>400</v>
      </c>
      <c r="I174" s="313"/>
      <c r="J174" s="349">
        <f t="shared" si="49"/>
        <v>187.5</v>
      </c>
      <c r="K174" s="313"/>
      <c r="L174" s="397">
        <f t="shared" si="50"/>
        <v>4.72411186696901E-4</v>
      </c>
      <c r="P174" s="365"/>
      <c r="Q174" s="366"/>
      <c r="S174" s="365"/>
      <c r="U174" s="365"/>
      <c r="V174" s="313"/>
      <c r="W174" s="313"/>
      <c r="X174" s="313"/>
      <c r="Y174" s="349"/>
      <c r="Z174" s="313"/>
      <c r="AA174" s="367"/>
      <c r="AC174" s="368"/>
      <c r="AD174" s="368"/>
      <c r="AE174" s="368"/>
      <c r="AG174" s="369"/>
      <c r="AI174" s="291"/>
    </row>
    <row r="175" spans="2:35" ht="16" customHeight="1">
      <c r="B175" s="394" t="s">
        <v>486</v>
      </c>
      <c r="F175" s="348">
        <v>6500</v>
      </c>
      <c r="G175" s="313"/>
      <c r="H175" s="313">
        <f t="shared" si="48"/>
        <v>400</v>
      </c>
      <c r="I175" s="313"/>
      <c r="J175" s="349">
        <f t="shared" si="49"/>
        <v>16.25</v>
      </c>
      <c r="K175" s="313"/>
      <c r="L175" s="397">
        <f t="shared" si="50"/>
        <v>4.094230284706475E-5</v>
      </c>
      <c r="P175" s="365"/>
      <c r="Q175" s="366"/>
      <c r="S175" s="365"/>
      <c r="U175" s="365"/>
      <c r="V175" s="313"/>
      <c r="W175" s="313"/>
      <c r="X175" s="313"/>
      <c r="Y175" s="349"/>
      <c r="Z175" s="313"/>
      <c r="AA175" s="367"/>
      <c r="AC175" s="368"/>
      <c r="AD175" s="368"/>
      <c r="AE175" s="368"/>
      <c r="AG175" s="369"/>
      <c r="AI175" s="291"/>
    </row>
    <row r="176" spans="2:35" ht="16" customHeight="1">
      <c r="B176" s="394" t="s">
        <v>487</v>
      </c>
      <c r="F176" s="348">
        <v>20000</v>
      </c>
      <c r="G176" s="313"/>
      <c r="H176" s="313">
        <f t="shared" si="48"/>
        <v>400</v>
      </c>
      <c r="I176" s="313"/>
      <c r="J176" s="349">
        <f t="shared" si="49"/>
        <v>50</v>
      </c>
      <c r="K176" s="313"/>
      <c r="L176" s="397">
        <f t="shared" si="50"/>
        <v>1.2597631645250694E-4</v>
      </c>
      <c r="P176" s="365"/>
      <c r="Q176" s="366"/>
      <c r="S176" s="365"/>
      <c r="U176" s="365"/>
      <c r="V176" s="313"/>
      <c r="W176" s="313"/>
      <c r="X176" s="313"/>
      <c r="Y176" s="349"/>
      <c r="Z176" s="313"/>
      <c r="AA176" s="367"/>
      <c r="AC176" s="368"/>
      <c r="AD176" s="368"/>
      <c r="AE176" s="368"/>
      <c r="AG176" s="369"/>
      <c r="AI176" s="291"/>
    </row>
    <row r="177" spans="2:35" ht="16" customHeight="1">
      <c r="B177" s="394" t="s">
        <v>488</v>
      </c>
      <c r="F177" s="348">
        <v>4000</v>
      </c>
      <c r="G177" s="313"/>
      <c r="H177" s="313">
        <f t="shared" si="48"/>
        <v>400</v>
      </c>
      <c r="I177" s="313"/>
      <c r="J177" s="349">
        <f t="shared" si="49"/>
        <v>10</v>
      </c>
      <c r="K177" s="313"/>
      <c r="L177" s="397">
        <f t="shared" si="50"/>
        <v>2.5195263290501386E-5</v>
      </c>
      <c r="P177" s="365"/>
      <c r="Q177" s="366"/>
      <c r="S177" s="365"/>
      <c r="U177" s="365"/>
      <c r="V177" s="313"/>
      <c r="W177" s="313"/>
      <c r="X177" s="313"/>
      <c r="Y177" s="349"/>
      <c r="Z177" s="313"/>
      <c r="AA177" s="367"/>
      <c r="AC177" s="368"/>
      <c r="AD177" s="368"/>
      <c r="AE177" s="368"/>
      <c r="AG177" s="369"/>
      <c r="AI177" s="291"/>
    </row>
    <row r="178" spans="2:35" ht="16" customHeight="1">
      <c r="B178" s="394" t="s">
        <v>489</v>
      </c>
      <c r="F178" s="348">
        <v>1600000</v>
      </c>
      <c r="G178" s="313"/>
      <c r="H178" s="313">
        <f t="shared" si="48"/>
        <v>400</v>
      </c>
      <c r="I178" s="313"/>
      <c r="J178" s="349">
        <f t="shared" si="49"/>
        <v>4000</v>
      </c>
      <c r="K178" s="313"/>
      <c r="L178" s="397">
        <f t="shared" si="50"/>
        <v>1.0078105316200554E-2</v>
      </c>
      <c r="P178" s="365"/>
      <c r="Q178" s="366"/>
      <c r="S178" s="365"/>
      <c r="U178" s="365"/>
      <c r="V178" s="313"/>
      <c r="W178" s="313"/>
      <c r="X178" s="313"/>
      <c r="Y178" s="349"/>
      <c r="Z178" s="313"/>
      <c r="AA178" s="367"/>
      <c r="AC178" s="368"/>
      <c r="AD178" s="368"/>
      <c r="AE178" s="368"/>
      <c r="AG178" s="369"/>
      <c r="AI178" s="291"/>
    </row>
    <row r="179" spans="2:35" ht="16" customHeight="1">
      <c r="B179" s="394" t="s">
        <v>562</v>
      </c>
      <c r="F179" s="348">
        <v>35000</v>
      </c>
      <c r="G179" s="313"/>
      <c r="H179" s="313">
        <f t="shared" si="48"/>
        <v>400</v>
      </c>
      <c r="I179" s="313"/>
      <c r="J179" s="349">
        <f t="shared" si="49"/>
        <v>87.5</v>
      </c>
      <c r="K179" s="313"/>
      <c r="L179" s="397">
        <f t="shared" si="50"/>
        <v>2.2045855379188711E-4</v>
      </c>
      <c r="P179" s="365"/>
      <c r="Q179" s="366"/>
      <c r="S179" s="365"/>
      <c r="U179" s="365"/>
      <c r="V179" s="313"/>
      <c r="W179" s="313"/>
      <c r="X179" s="313"/>
      <c r="Y179" s="349"/>
      <c r="Z179" s="313"/>
      <c r="AA179" s="367"/>
      <c r="AC179" s="368"/>
      <c r="AD179" s="368"/>
      <c r="AE179" s="368"/>
      <c r="AG179" s="369"/>
      <c r="AI179" s="291"/>
    </row>
    <row r="180" spans="2:35" ht="16" customHeight="1" thickBot="1">
      <c r="B180" s="402" t="s">
        <v>563</v>
      </c>
      <c r="F180" s="352">
        <f>SUM(F172:F179)</f>
        <v>2041600</v>
      </c>
      <c r="G180" s="313"/>
      <c r="H180" s="313"/>
      <c r="I180" s="313"/>
      <c r="J180" s="353">
        <f>SUM(J172:J179)</f>
        <v>5104</v>
      </c>
      <c r="K180" s="313"/>
      <c r="L180" s="354">
        <f>SUM(L172:L179)</f>
        <v>1.2859662383471908E-2</v>
      </c>
      <c r="N180" s="331">
        <f>J180/$J$310</f>
        <v>1.3151640624317238E-2</v>
      </c>
      <c r="P180" s="365"/>
      <c r="Q180" s="366"/>
      <c r="S180" s="365"/>
      <c r="U180" s="365"/>
      <c r="V180" s="313"/>
      <c r="W180" s="313"/>
      <c r="X180" s="313"/>
      <c r="Y180" s="349"/>
      <c r="Z180" s="313"/>
      <c r="AA180" s="367"/>
      <c r="AC180" s="368"/>
      <c r="AD180" s="368"/>
      <c r="AE180" s="368"/>
      <c r="AG180" s="369"/>
      <c r="AI180" s="291"/>
    </row>
    <row r="181" spans="2:35" ht="16" customHeight="1">
      <c r="B181" s="347"/>
      <c r="F181" s="363"/>
      <c r="G181" s="313"/>
      <c r="H181" s="313"/>
      <c r="I181" s="313"/>
      <c r="J181" s="313"/>
      <c r="K181" s="313"/>
      <c r="L181" s="364"/>
      <c r="P181" s="365"/>
      <c r="Q181" s="366"/>
      <c r="S181" s="365"/>
      <c r="U181" s="365"/>
      <c r="V181" s="313"/>
      <c r="W181" s="313"/>
      <c r="X181" s="313"/>
      <c r="Y181" s="349"/>
      <c r="Z181" s="313"/>
      <c r="AA181" s="367"/>
      <c r="AC181" s="368"/>
      <c r="AD181" s="368"/>
      <c r="AE181" s="368"/>
      <c r="AG181" s="369"/>
      <c r="AI181" s="291"/>
    </row>
    <row r="182" spans="2:35" ht="16" customHeight="1">
      <c r="B182" s="403" t="s">
        <v>564</v>
      </c>
      <c r="F182" s="363"/>
      <c r="G182" s="313"/>
      <c r="H182" s="313"/>
      <c r="I182" s="313"/>
      <c r="J182" s="313"/>
      <c r="K182" s="313"/>
      <c r="L182" s="364"/>
      <c r="P182" s="365"/>
      <c r="Q182" s="366"/>
      <c r="S182" s="365"/>
      <c r="U182" s="365"/>
      <c r="V182" s="313"/>
      <c r="W182" s="313"/>
      <c r="X182" s="313"/>
      <c r="Y182" s="349"/>
      <c r="Z182" s="313"/>
      <c r="AA182" s="367"/>
      <c r="AC182" s="368"/>
      <c r="AD182" s="368"/>
      <c r="AE182" s="368"/>
      <c r="AG182" s="369"/>
      <c r="AI182" s="291"/>
    </row>
    <row r="183" spans="2:35" ht="16" customHeight="1">
      <c r="B183" s="395" t="s">
        <v>567</v>
      </c>
      <c r="F183" s="348">
        <v>360000</v>
      </c>
      <c r="G183" s="313"/>
      <c r="H183" s="313">
        <f t="shared" ref="H183:H188" si="51">J$5</f>
        <v>400</v>
      </c>
      <c r="I183" s="313"/>
      <c r="J183" s="349">
        <f t="shared" ref="J183:J188" si="52">F183/H183</f>
        <v>900</v>
      </c>
      <c r="K183" s="313"/>
      <c r="L183" s="397">
        <f t="shared" ref="L183:L188" si="53">J183/$J$8</f>
        <v>2.2675736961451248E-3</v>
      </c>
      <c r="P183" s="365"/>
      <c r="Q183" s="366"/>
      <c r="S183" s="365"/>
      <c r="U183" s="365"/>
      <c r="V183" s="313"/>
      <c r="W183" s="313"/>
      <c r="X183" s="313"/>
      <c r="Y183" s="349"/>
      <c r="Z183" s="313"/>
      <c r="AA183" s="367"/>
      <c r="AC183" s="368"/>
      <c r="AD183" s="368"/>
      <c r="AE183" s="368"/>
      <c r="AG183" s="369"/>
      <c r="AI183" s="291"/>
    </row>
    <row r="184" spans="2:35" ht="16" customHeight="1">
      <c r="B184" s="395" t="s">
        <v>565</v>
      </c>
      <c r="F184" s="348">
        <v>750000</v>
      </c>
      <c r="G184" s="313"/>
      <c r="H184" s="313">
        <f t="shared" si="51"/>
        <v>400</v>
      </c>
      <c r="I184" s="313"/>
      <c r="J184" s="349">
        <f t="shared" si="52"/>
        <v>1875</v>
      </c>
      <c r="K184" s="313"/>
      <c r="L184" s="397">
        <f t="shared" si="53"/>
        <v>4.7241118669690101E-3</v>
      </c>
      <c r="P184" s="365"/>
      <c r="Q184" s="366"/>
      <c r="S184" s="365"/>
      <c r="U184" s="365"/>
      <c r="V184" s="313"/>
      <c r="W184" s="313"/>
      <c r="X184" s="313"/>
      <c r="Y184" s="349"/>
      <c r="Z184" s="313"/>
      <c r="AA184" s="367"/>
      <c r="AC184" s="368"/>
      <c r="AD184" s="368"/>
      <c r="AE184" s="368"/>
      <c r="AG184" s="369"/>
      <c r="AI184" s="291"/>
    </row>
    <row r="185" spans="2:35" ht="16" customHeight="1">
      <c r="B185" s="395" t="s">
        <v>566</v>
      </c>
      <c r="F185" s="348">
        <v>3354000</v>
      </c>
      <c r="G185" s="313"/>
      <c r="H185" s="313">
        <f t="shared" si="51"/>
        <v>400</v>
      </c>
      <c r="I185" s="313"/>
      <c r="J185" s="349">
        <f t="shared" si="52"/>
        <v>8385</v>
      </c>
      <c r="K185" s="313"/>
      <c r="L185" s="397">
        <f t="shared" si="53"/>
        <v>2.1126228269085411E-2</v>
      </c>
      <c r="P185" s="365"/>
      <c r="Q185" s="366"/>
      <c r="S185" s="365"/>
      <c r="U185" s="365"/>
      <c r="V185" s="313"/>
      <c r="W185" s="313"/>
      <c r="X185" s="313"/>
      <c r="Y185" s="349"/>
      <c r="Z185" s="313"/>
      <c r="AA185" s="367"/>
      <c r="AC185" s="368"/>
      <c r="AD185" s="368"/>
      <c r="AE185" s="368"/>
      <c r="AG185" s="369"/>
      <c r="AI185" s="291"/>
    </row>
    <row r="186" spans="2:35" ht="16" customHeight="1">
      <c r="B186" s="347" t="s">
        <v>369</v>
      </c>
      <c r="F186" s="348">
        <v>1200000</v>
      </c>
      <c r="G186" s="313"/>
      <c r="H186" s="313">
        <f t="shared" si="51"/>
        <v>400</v>
      </c>
      <c r="I186" s="313"/>
      <c r="J186" s="349">
        <f t="shared" si="52"/>
        <v>3000</v>
      </c>
      <c r="K186" s="313"/>
      <c r="L186" s="397">
        <f t="shared" si="53"/>
        <v>7.5585789871504159E-3</v>
      </c>
      <c r="P186" s="365"/>
      <c r="Q186" s="366"/>
      <c r="S186" s="365"/>
      <c r="U186" s="365"/>
      <c r="V186" s="313"/>
      <c r="W186" s="313"/>
      <c r="X186" s="313"/>
      <c r="Y186" s="349"/>
      <c r="Z186" s="313"/>
      <c r="AA186" s="367"/>
      <c r="AC186" s="368"/>
      <c r="AD186" s="368"/>
      <c r="AE186" s="368"/>
      <c r="AG186" s="369"/>
      <c r="AI186" s="291"/>
    </row>
    <row r="187" spans="2:35" ht="16" customHeight="1">
      <c r="B187" s="394" t="s">
        <v>600</v>
      </c>
      <c r="F187" s="348">
        <v>600512</v>
      </c>
      <c r="G187" s="313"/>
      <c r="H187" s="313">
        <f t="shared" si="51"/>
        <v>400</v>
      </c>
      <c r="I187" s="313"/>
      <c r="J187" s="349">
        <f t="shared" si="52"/>
        <v>1501.28</v>
      </c>
      <c r="K187" s="313"/>
      <c r="L187" s="397">
        <f t="shared" si="53"/>
        <v>3.7825144872763918E-3</v>
      </c>
      <c r="P187" s="365"/>
      <c r="Q187" s="366"/>
      <c r="S187" s="365"/>
      <c r="U187" s="365"/>
      <c r="V187" s="313"/>
      <c r="W187" s="313"/>
      <c r="X187" s="313"/>
      <c r="Y187" s="349"/>
      <c r="Z187" s="313"/>
      <c r="AA187" s="367"/>
      <c r="AC187" s="368"/>
      <c r="AD187" s="368"/>
      <c r="AE187" s="368"/>
      <c r="AG187" s="369"/>
      <c r="AI187" s="291"/>
    </row>
    <row r="188" spans="2:35" ht="16" customHeight="1">
      <c r="B188" s="395" t="s">
        <v>568</v>
      </c>
      <c r="F188" s="348">
        <v>300000</v>
      </c>
      <c r="G188" s="313"/>
      <c r="H188" s="313">
        <f t="shared" si="51"/>
        <v>400</v>
      </c>
      <c r="I188" s="313"/>
      <c r="J188" s="349">
        <f t="shared" si="52"/>
        <v>750</v>
      </c>
      <c r="K188" s="313"/>
      <c r="L188" s="397">
        <f t="shared" si="53"/>
        <v>1.889644746787604E-3</v>
      </c>
      <c r="P188" s="365"/>
      <c r="Q188" s="366"/>
      <c r="S188" s="365"/>
      <c r="U188" s="365"/>
      <c r="V188" s="313"/>
      <c r="W188" s="313"/>
      <c r="X188" s="313"/>
      <c r="Y188" s="349"/>
      <c r="Z188" s="313"/>
      <c r="AA188" s="367"/>
      <c r="AC188" s="368"/>
      <c r="AD188" s="368"/>
      <c r="AE188" s="368"/>
      <c r="AG188" s="369"/>
      <c r="AI188" s="291"/>
    </row>
    <row r="189" spans="2:35" ht="16" customHeight="1" thickBot="1">
      <c r="B189" s="406" t="s">
        <v>569</v>
      </c>
      <c r="F189" s="352">
        <f>SUM(F183:F188)</f>
        <v>6564512</v>
      </c>
      <c r="G189" s="313"/>
      <c r="H189" s="313"/>
      <c r="I189" s="313"/>
      <c r="J189" s="353">
        <f>SUM(J183:J188)</f>
        <v>16411.28</v>
      </c>
      <c r="K189" s="313"/>
      <c r="L189" s="354">
        <f>SUM(L183:L188)</f>
        <v>4.134865205341396E-2</v>
      </c>
      <c r="N189" s="331">
        <f>J189/$J$310</f>
        <v>4.2287471932806624E-2</v>
      </c>
      <c r="P189" s="365"/>
      <c r="Q189" s="366"/>
      <c r="S189" s="365"/>
      <c r="U189" s="365"/>
      <c r="V189" s="313"/>
      <c r="W189" s="313"/>
      <c r="X189" s="313"/>
      <c r="Y189" s="349"/>
      <c r="Z189" s="313"/>
      <c r="AA189" s="367"/>
      <c r="AC189" s="368"/>
      <c r="AD189" s="368"/>
      <c r="AE189" s="368"/>
      <c r="AG189" s="369"/>
      <c r="AI189" s="291"/>
    </row>
    <row r="190" spans="2:35" ht="16" customHeight="1" thickBot="1">
      <c r="B190" s="431"/>
      <c r="F190" s="363"/>
      <c r="G190" s="313"/>
      <c r="H190" s="313"/>
      <c r="I190" s="313"/>
      <c r="J190" s="429"/>
      <c r="K190" s="313"/>
      <c r="L190" s="364"/>
      <c r="P190" s="365"/>
      <c r="Q190" s="366"/>
      <c r="S190" s="365"/>
      <c r="U190" s="365"/>
      <c r="V190" s="313"/>
      <c r="W190" s="313"/>
      <c r="X190" s="313"/>
      <c r="Y190" s="349"/>
      <c r="Z190" s="313"/>
      <c r="AA190" s="367"/>
      <c r="AC190" s="368"/>
      <c r="AD190" s="368"/>
      <c r="AE190" s="368"/>
      <c r="AG190" s="369"/>
      <c r="AI190" s="291"/>
    </row>
    <row r="191" spans="2:35" ht="16" customHeight="1" thickBot="1">
      <c r="B191" s="407" t="s">
        <v>601</v>
      </c>
      <c r="F191" s="352">
        <f>F189+F180+F169</f>
        <v>15148512</v>
      </c>
      <c r="G191" s="313"/>
      <c r="H191" s="313"/>
      <c r="I191" s="313"/>
      <c r="J191" s="430">
        <f>J189+J180+J169</f>
        <v>37871.279999999999</v>
      </c>
      <c r="K191" s="313"/>
      <c r="L191" s="354">
        <f>L189+L180+L169</f>
        <v>9.5417687074829935E-2</v>
      </c>
      <c r="N191" s="331">
        <f>J191/$J$310</f>
        <v>9.7584142739595009E-2</v>
      </c>
      <c r="P191" s="365"/>
      <c r="Q191" s="366"/>
      <c r="S191" s="365"/>
      <c r="U191" s="365"/>
      <c r="V191" s="313"/>
      <c r="W191" s="313"/>
      <c r="X191" s="313"/>
      <c r="Y191" s="349"/>
      <c r="Z191" s="313"/>
      <c r="AA191" s="367"/>
      <c r="AC191" s="368"/>
      <c r="AD191" s="368"/>
      <c r="AE191" s="368"/>
      <c r="AG191" s="369"/>
      <c r="AI191" s="291"/>
    </row>
    <row r="192" spans="2:35" ht="16" customHeight="1">
      <c r="B192" s="431"/>
      <c r="F192" s="363"/>
      <c r="G192" s="313"/>
      <c r="H192" s="313"/>
      <c r="I192" s="313"/>
      <c r="J192" s="313"/>
      <c r="K192" s="313"/>
      <c r="L192" s="364"/>
      <c r="P192" s="365"/>
      <c r="Q192" s="366"/>
      <c r="S192" s="365"/>
      <c r="U192" s="365"/>
      <c r="V192" s="313"/>
      <c r="W192" s="313"/>
      <c r="X192" s="313"/>
      <c r="Y192" s="349"/>
      <c r="Z192" s="313"/>
      <c r="AA192" s="367"/>
      <c r="AC192" s="368"/>
      <c r="AD192" s="368"/>
      <c r="AE192" s="368"/>
      <c r="AG192" s="369"/>
      <c r="AI192" s="291"/>
    </row>
    <row r="193" spans="2:35" ht="16" customHeight="1">
      <c r="B193" s="408" t="s">
        <v>602</v>
      </c>
      <c r="C193" s="382"/>
      <c r="D193" s="382"/>
      <c r="E193" s="382"/>
      <c r="F193" s="383"/>
      <c r="G193" s="384"/>
      <c r="H193" s="384"/>
      <c r="I193" s="384"/>
      <c r="J193" s="384"/>
      <c r="K193" s="384"/>
      <c r="L193" s="385"/>
      <c r="M193" s="382"/>
      <c r="N193" s="382"/>
      <c r="O193" s="382"/>
      <c r="P193" s="386"/>
      <c r="Q193" s="386"/>
      <c r="R193" s="382"/>
      <c r="S193" s="386"/>
      <c r="T193" s="382"/>
      <c r="U193" s="386"/>
      <c r="V193" s="384"/>
      <c r="W193" s="384"/>
      <c r="X193" s="384"/>
      <c r="Y193" s="387"/>
      <c r="Z193" s="384"/>
      <c r="AA193" s="388"/>
      <c r="AB193" s="382"/>
      <c r="AC193" s="389"/>
      <c r="AD193" s="389"/>
      <c r="AE193" s="389"/>
      <c r="AF193" s="382"/>
      <c r="AG193" s="390"/>
      <c r="AI193" s="291"/>
    </row>
    <row r="194" spans="2:35" ht="16" customHeight="1">
      <c r="B194" s="399"/>
      <c r="F194" s="363"/>
      <c r="G194" s="313"/>
      <c r="H194" s="313"/>
      <c r="I194" s="313"/>
      <c r="J194" s="313"/>
      <c r="K194" s="313"/>
      <c r="L194" s="364"/>
      <c r="P194" s="365"/>
      <c r="Q194" s="366"/>
      <c r="S194" s="365"/>
      <c r="U194" s="365"/>
      <c r="V194" s="313"/>
      <c r="W194" s="313"/>
      <c r="X194" s="313"/>
      <c r="Y194" s="349"/>
      <c r="Z194" s="313"/>
      <c r="AA194" s="367"/>
      <c r="AC194" s="368"/>
      <c r="AD194" s="368"/>
      <c r="AE194" s="368"/>
      <c r="AG194" s="369"/>
      <c r="AI194" s="291"/>
    </row>
    <row r="195" spans="2:35" ht="16" customHeight="1">
      <c r="B195" s="394" t="s">
        <v>572</v>
      </c>
      <c r="F195" s="348">
        <v>450000</v>
      </c>
      <c r="G195" s="313"/>
      <c r="H195" s="313">
        <f t="shared" ref="H195:H196" si="54">J$5</f>
        <v>400</v>
      </c>
      <c r="I195" s="313"/>
      <c r="J195" s="349">
        <f t="shared" ref="J195:J196" si="55">F195/H195</f>
        <v>1125</v>
      </c>
      <c r="K195" s="313"/>
      <c r="L195" s="397">
        <f t="shared" ref="L195:L196" si="56">J195/$J$8</f>
        <v>2.8344671201814059E-3</v>
      </c>
      <c r="P195" s="365"/>
      <c r="Q195" s="366"/>
      <c r="S195" s="365"/>
      <c r="U195" s="365"/>
      <c r="V195" s="313"/>
      <c r="W195" s="313"/>
      <c r="X195" s="313"/>
      <c r="Y195" s="349"/>
      <c r="Z195" s="313"/>
      <c r="AA195" s="367"/>
      <c r="AC195" s="368"/>
      <c r="AD195" s="368"/>
      <c r="AE195" s="368"/>
      <c r="AG195" s="369"/>
      <c r="AI195" s="291"/>
    </row>
    <row r="196" spans="2:35" ht="16" customHeight="1">
      <c r="B196" s="394" t="s">
        <v>573</v>
      </c>
      <c r="F196" s="348">
        <v>1050000</v>
      </c>
      <c r="G196" s="313"/>
      <c r="H196" s="313">
        <f t="shared" si="54"/>
        <v>400</v>
      </c>
      <c r="I196" s="313"/>
      <c r="J196" s="349">
        <f t="shared" si="55"/>
        <v>2625</v>
      </c>
      <c r="K196" s="313"/>
      <c r="L196" s="397">
        <f t="shared" si="56"/>
        <v>6.6137566137566134E-3</v>
      </c>
      <c r="P196" s="365"/>
      <c r="Q196" s="366"/>
      <c r="S196" s="365"/>
      <c r="U196" s="365"/>
      <c r="V196" s="313"/>
      <c r="W196" s="313"/>
      <c r="X196" s="313"/>
      <c r="Y196" s="349"/>
      <c r="Z196" s="313"/>
      <c r="AA196" s="367"/>
      <c r="AC196" s="368"/>
      <c r="AD196" s="368"/>
      <c r="AE196" s="368"/>
      <c r="AG196" s="369"/>
      <c r="AI196" s="291"/>
    </row>
    <row r="197" spans="2:35" ht="16" customHeight="1" thickBot="1">
      <c r="B197" s="396" t="s">
        <v>574</v>
      </c>
      <c r="F197" s="352">
        <f>SUM(F195:F196)</f>
        <v>1500000</v>
      </c>
      <c r="G197" s="313"/>
      <c r="H197" s="313"/>
      <c r="I197" s="313"/>
      <c r="J197" s="353">
        <f>SUM(J195:J196)</f>
        <v>3750</v>
      </c>
      <c r="K197" s="313"/>
      <c r="L197" s="354">
        <f>SUM(L195:L196)</f>
        <v>9.4482237339380201E-3</v>
      </c>
      <c r="N197" s="331">
        <f>J197/$J$310</f>
        <v>9.6627453646531431E-3</v>
      </c>
      <c r="P197" s="365"/>
      <c r="Q197" s="366"/>
      <c r="S197" s="365"/>
      <c r="U197" s="365"/>
      <c r="V197" s="313"/>
      <c r="W197" s="313"/>
      <c r="X197" s="313"/>
      <c r="Y197" s="349"/>
      <c r="Z197" s="313"/>
      <c r="AA197" s="367"/>
      <c r="AC197" s="368"/>
      <c r="AD197" s="368"/>
      <c r="AE197" s="368"/>
      <c r="AG197" s="369"/>
      <c r="AI197" s="291"/>
    </row>
    <row r="198" spans="2:35" ht="16" customHeight="1">
      <c r="B198" s="431"/>
      <c r="F198" s="363"/>
      <c r="G198" s="313"/>
      <c r="H198" s="313"/>
      <c r="I198" s="313"/>
      <c r="J198" s="313"/>
      <c r="K198" s="313"/>
      <c r="L198" s="364"/>
      <c r="P198" s="365"/>
      <c r="Q198" s="366"/>
      <c r="S198" s="365"/>
      <c r="U198" s="365"/>
      <c r="V198" s="313"/>
      <c r="W198" s="313"/>
      <c r="X198" s="313"/>
      <c r="Y198" s="349"/>
      <c r="Z198" s="313"/>
      <c r="AA198" s="367"/>
      <c r="AC198" s="368"/>
      <c r="AD198" s="368"/>
      <c r="AE198" s="368"/>
      <c r="AG198" s="369"/>
      <c r="AI198" s="291"/>
    </row>
    <row r="199" spans="2:35" ht="16" customHeight="1">
      <c r="B199" s="408" t="s">
        <v>603</v>
      </c>
      <c r="C199" s="382"/>
      <c r="D199" s="382"/>
      <c r="E199" s="382"/>
      <c r="F199" s="383"/>
      <c r="G199" s="384"/>
      <c r="H199" s="384"/>
      <c r="I199" s="384"/>
      <c r="J199" s="384"/>
      <c r="K199" s="384"/>
      <c r="L199" s="385"/>
      <c r="M199" s="382"/>
      <c r="N199" s="382"/>
      <c r="O199" s="382"/>
      <c r="P199" s="386"/>
      <c r="Q199" s="386"/>
      <c r="R199" s="382"/>
      <c r="S199" s="386"/>
      <c r="T199" s="382"/>
      <c r="U199" s="386"/>
      <c r="V199" s="384"/>
      <c r="W199" s="384"/>
      <c r="X199" s="384"/>
      <c r="Y199" s="387"/>
      <c r="Z199" s="384"/>
      <c r="AA199" s="388"/>
      <c r="AB199" s="382"/>
      <c r="AC199" s="389"/>
      <c r="AD199" s="389"/>
      <c r="AE199" s="389"/>
      <c r="AF199" s="382"/>
      <c r="AG199" s="390"/>
      <c r="AI199" s="291"/>
    </row>
    <row r="200" spans="2:35" ht="16" customHeight="1">
      <c r="B200" s="399"/>
      <c r="F200" s="363"/>
      <c r="G200" s="313"/>
      <c r="H200" s="313"/>
      <c r="I200" s="313"/>
      <c r="J200" s="313"/>
      <c r="K200" s="313"/>
      <c r="L200" s="364"/>
      <c r="P200" s="365"/>
      <c r="Q200" s="366"/>
      <c r="S200" s="365"/>
      <c r="U200" s="365"/>
      <c r="V200" s="313"/>
      <c r="W200" s="313"/>
      <c r="X200" s="313"/>
      <c r="Y200" s="349"/>
      <c r="Z200" s="313"/>
      <c r="AA200" s="367"/>
      <c r="AC200" s="368"/>
      <c r="AD200" s="368"/>
      <c r="AE200" s="368"/>
      <c r="AG200" s="369"/>
      <c r="AI200" s="291"/>
    </row>
    <row r="201" spans="2:35" ht="16" customHeight="1">
      <c r="B201" s="395" t="s">
        <v>579</v>
      </c>
      <c r="F201" s="348">
        <v>1320000</v>
      </c>
      <c r="G201" s="313"/>
      <c r="H201" s="313">
        <f t="shared" ref="H201:H206" si="57">J$5</f>
        <v>400</v>
      </c>
      <c r="I201" s="313"/>
      <c r="J201" s="349">
        <f t="shared" ref="J201:J206" si="58">F201/H201</f>
        <v>3300</v>
      </c>
      <c r="K201" s="313"/>
      <c r="L201" s="397">
        <f t="shared" ref="L201:L206" si="59">J201/$J$8</f>
        <v>8.3144368858654571E-3</v>
      </c>
      <c r="P201" s="365"/>
      <c r="Q201" s="366"/>
      <c r="S201" s="365"/>
      <c r="U201" s="365"/>
      <c r="V201" s="313"/>
      <c r="W201" s="313"/>
      <c r="X201" s="313"/>
      <c r="Y201" s="349"/>
      <c r="Z201" s="313"/>
      <c r="AA201" s="367"/>
      <c r="AC201" s="368"/>
      <c r="AD201" s="368"/>
      <c r="AE201" s="368"/>
      <c r="AG201" s="369"/>
      <c r="AI201" s="291"/>
    </row>
    <row r="202" spans="2:35" ht="16" customHeight="1">
      <c r="B202" s="395" t="s">
        <v>580</v>
      </c>
      <c r="F202" s="348">
        <v>2310000</v>
      </c>
      <c r="G202" s="313"/>
      <c r="H202" s="313">
        <f t="shared" si="57"/>
        <v>400</v>
      </c>
      <c r="I202" s="313"/>
      <c r="J202" s="349">
        <f t="shared" si="58"/>
        <v>5775</v>
      </c>
      <c r="K202" s="313"/>
      <c r="L202" s="397">
        <f t="shared" si="59"/>
        <v>1.4550264550264549E-2</v>
      </c>
      <c r="P202" s="365"/>
      <c r="Q202" s="366"/>
      <c r="S202" s="365"/>
      <c r="U202" s="365"/>
      <c r="V202" s="313"/>
      <c r="W202" s="313"/>
      <c r="X202" s="313"/>
      <c r="Y202" s="349"/>
      <c r="Z202" s="313"/>
      <c r="AA202" s="367"/>
      <c r="AC202" s="368"/>
      <c r="AD202" s="368"/>
      <c r="AE202" s="368"/>
      <c r="AG202" s="369"/>
      <c r="AI202" s="291"/>
    </row>
    <row r="203" spans="2:35" ht="16" customHeight="1">
      <c r="B203" s="395" t="s">
        <v>581</v>
      </c>
      <c r="F203" s="348">
        <v>660000</v>
      </c>
      <c r="G203" s="313"/>
      <c r="H203" s="313">
        <f t="shared" si="57"/>
        <v>400</v>
      </c>
      <c r="I203" s="313"/>
      <c r="J203" s="349">
        <f t="shared" si="58"/>
        <v>1650</v>
      </c>
      <c r="K203" s="313"/>
      <c r="L203" s="397">
        <f t="shared" si="59"/>
        <v>4.1572184429327285E-3</v>
      </c>
      <c r="P203" s="365"/>
      <c r="Q203" s="366"/>
      <c r="S203" s="365"/>
      <c r="U203" s="365"/>
      <c r="V203" s="313"/>
      <c r="W203" s="313"/>
      <c r="X203" s="313"/>
      <c r="Y203" s="349"/>
      <c r="Z203" s="313"/>
      <c r="AA203" s="367"/>
      <c r="AC203" s="368"/>
      <c r="AD203" s="368"/>
      <c r="AE203" s="368"/>
      <c r="AG203" s="369"/>
      <c r="AI203" s="291"/>
    </row>
    <row r="204" spans="2:35" ht="16" customHeight="1">
      <c r="B204" s="395" t="s">
        <v>582</v>
      </c>
      <c r="F204" s="348">
        <v>1575000</v>
      </c>
      <c r="G204" s="313"/>
      <c r="H204" s="313">
        <f t="shared" si="57"/>
        <v>400</v>
      </c>
      <c r="I204" s="313"/>
      <c r="J204" s="349">
        <f t="shared" si="58"/>
        <v>3937.5</v>
      </c>
      <c r="K204" s="313"/>
      <c r="L204" s="397">
        <f t="shared" si="59"/>
        <v>9.9206349206349201E-3</v>
      </c>
      <c r="P204" s="365"/>
      <c r="Q204" s="366"/>
      <c r="S204" s="365"/>
      <c r="U204" s="365"/>
      <c r="V204" s="313"/>
      <c r="W204" s="313"/>
      <c r="X204" s="313"/>
      <c r="Y204" s="349"/>
      <c r="Z204" s="313"/>
      <c r="AA204" s="367"/>
      <c r="AC204" s="368"/>
      <c r="AD204" s="368"/>
      <c r="AE204" s="368"/>
      <c r="AG204" s="369"/>
      <c r="AI204" s="291"/>
    </row>
    <row r="205" spans="2:35" ht="16" customHeight="1">
      <c r="B205" s="395" t="s">
        <v>604</v>
      </c>
      <c r="F205" s="348">
        <v>1575000</v>
      </c>
      <c r="G205" s="313"/>
      <c r="H205" s="313">
        <f t="shared" si="57"/>
        <v>400</v>
      </c>
      <c r="I205" s="313"/>
      <c r="J205" s="349">
        <f t="shared" si="58"/>
        <v>3937.5</v>
      </c>
      <c r="K205" s="313"/>
      <c r="L205" s="397">
        <f t="shared" si="59"/>
        <v>9.9206349206349201E-3</v>
      </c>
      <c r="P205" s="365"/>
      <c r="Q205" s="366"/>
      <c r="S205" s="365"/>
      <c r="U205" s="365"/>
      <c r="V205" s="313"/>
      <c r="W205" s="313"/>
      <c r="X205" s="313"/>
      <c r="Y205" s="349"/>
      <c r="Z205" s="313"/>
      <c r="AA205" s="367"/>
      <c r="AC205" s="368"/>
      <c r="AD205" s="368"/>
      <c r="AE205" s="368"/>
      <c r="AG205" s="369"/>
      <c r="AI205" s="291"/>
    </row>
    <row r="206" spans="2:35" ht="16" customHeight="1">
      <c r="B206" s="395" t="s">
        <v>583</v>
      </c>
      <c r="F206" s="348">
        <v>660000</v>
      </c>
      <c r="G206" s="313"/>
      <c r="H206" s="313">
        <f t="shared" si="57"/>
        <v>400</v>
      </c>
      <c r="I206" s="313"/>
      <c r="J206" s="349">
        <f t="shared" si="58"/>
        <v>1650</v>
      </c>
      <c r="K206" s="313"/>
      <c r="L206" s="397">
        <f t="shared" si="59"/>
        <v>4.1572184429327285E-3</v>
      </c>
      <c r="P206" s="365"/>
      <c r="Q206" s="366"/>
      <c r="S206" s="365"/>
      <c r="U206" s="365"/>
      <c r="V206" s="313"/>
      <c r="W206" s="313"/>
      <c r="X206" s="313"/>
      <c r="Y206" s="349"/>
      <c r="Z206" s="313"/>
      <c r="AA206" s="367"/>
      <c r="AC206" s="368"/>
      <c r="AD206" s="368"/>
      <c r="AE206" s="368"/>
      <c r="AG206" s="369"/>
      <c r="AI206" s="291"/>
    </row>
    <row r="207" spans="2:35" ht="16" customHeight="1" thickBot="1">
      <c r="B207" s="396" t="s">
        <v>577</v>
      </c>
      <c r="F207" s="352">
        <f>SUM(F201:F206)</f>
        <v>8100000</v>
      </c>
      <c r="G207" s="313"/>
      <c r="H207" s="313"/>
      <c r="I207" s="313"/>
      <c r="J207" s="353">
        <f>SUM(J201:J206)</f>
        <v>20250</v>
      </c>
      <c r="K207" s="313"/>
      <c r="L207" s="354">
        <f>SUM(L201:L206)</f>
        <v>5.1020408163265307E-2</v>
      </c>
      <c r="N207" s="331">
        <f>J207/$J$310</f>
        <v>5.2178824969126972E-2</v>
      </c>
      <c r="P207" s="365"/>
      <c r="Q207" s="366"/>
      <c r="S207" s="365"/>
      <c r="U207" s="365"/>
      <c r="V207" s="313"/>
      <c r="W207" s="313"/>
      <c r="X207" s="313"/>
      <c r="Y207" s="349"/>
      <c r="Z207" s="313"/>
      <c r="AA207" s="367"/>
      <c r="AC207" s="368"/>
      <c r="AD207" s="368"/>
      <c r="AE207" s="368"/>
      <c r="AG207" s="369"/>
      <c r="AI207" s="291"/>
    </row>
    <row r="208" spans="2:35" ht="16" customHeight="1">
      <c r="B208" s="431"/>
      <c r="F208" s="363"/>
      <c r="G208" s="313"/>
      <c r="H208" s="313"/>
      <c r="I208" s="313"/>
      <c r="J208" s="313"/>
      <c r="K208" s="313"/>
      <c r="L208" s="364"/>
      <c r="P208" s="365"/>
      <c r="Q208" s="366"/>
      <c r="S208" s="365"/>
      <c r="U208" s="365"/>
      <c r="V208" s="313"/>
      <c r="W208" s="313"/>
      <c r="X208" s="313"/>
      <c r="Y208" s="349"/>
      <c r="Z208" s="313"/>
      <c r="AA208" s="367"/>
      <c r="AC208" s="368"/>
      <c r="AD208" s="368"/>
      <c r="AE208" s="368"/>
      <c r="AG208" s="369"/>
      <c r="AI208" s="291"/>
    </row>
    <row r="209" spans="2:35" ht="16" customHeight="1">
      <c r="B209" s="408" t="s">
        <v>605</v>
      </c>
      <c r="C209" s="382"/>
      <c r="D209" s="382"/>
      <c r="E209" s="382"/>
      <c r="F209" s="383"/>
      <c r="G209" s="384"/>
      <c r="H209" s="384"/>
      <c r="I209" s="384"/>
      <c r="J209" s="384"/>
      <c r="K209" s="384"/>
      <c r="L209" s="385"/>
      <c r="M209" s="382"/>
      <c r="N209" s="382"/>
      <c r="O209" s="382"/>
      <c r="P209" s="386"/>
      <c r="Q209" s="386"/>
      <c r="R209" s="382"/>
      <c r="S209" s="386"/>
      <c r="T209" s="382"/>
      <c r="U209" s="386"/>
      <c r="V209" s="384"/>
      <c r="W209" s="384"/>
      <c r="X209" s="384"/>
      <c r="Y209" s="387"/>
      <c r="Z209" s="384"/>
      <c r="AA209" s="388"/>
      <c r="AB209" s="382"/>
      <c r="AC209" s="389"/>
      <c r="AD209" s="389"/>
      <c r="AE209" s="389"/>
      <c r="AF209" s="382"/>
      <c r="AG209" s="390"/>
      <c r="AI209" s="291"/>
    </row>
    <row r="210" spans="2:35" ht="16" customHeight="1">
      <c r="B210" s="399"/>
      <c r="F210" s="363"/>
      <c r="G210" s="313"/>
      <c r="H210" s="313"/>
      <c r="I210" s="313"/>
      <c r="J210" s="313"/>
      <c r="K210" s="313"/>
      <c r="L210" s="364"/>
      <c r="P210" s="365"/>
      <c r="Q210" s="366"/>
      <c r="S210" s="365"/>
      <c r="U210" s="365"/>
      <c r="V210" s="313"/>
      <c r="W210" s="313"/>
      <c r="X210" s="313"/>
      <c r="Y210" s="349"/>
      <c r="Z210" s="313"/>
      <c r="AA210" s="367"/>
      <c r="AC210" s="368"/>
      <c r="AD210" s="368"/>
      <c r="AE210" s="368"/>
      <c r="AG210" s="369"/>
      <c r="AI210" s="291"/>
    </row>
    <row r="211" spans="2:35" ht="16" customHeight="1">
      <c r="B211" s="394" t="s">
        <v>586</v>
      </c>
      <c r="F211" s="348">
        <v>500000</v>
      </c>
      <c r="G211" s="313"/>
      <c r="H211" s="313">
        <f t="shared" ref="H211:H213" si="60">J$5</f>
        <v>400</v>
      </c>
      <c r="I211" s="313"/>
      <c r="J211" s="349">
        <f t="shared" ref="J211:J213" si="61">F211/H211</f>
        <v>1250</v>
      </c>
      <c r="K211" s="313"/>
      <c r="L211" s="397">
        <f t="shared" ref="L211:L213" si="62">J211/$J$8</f>
        <v>3.1494079113126732E-3</v>
      </c>
      <c r="P211" s="365"/>
      <c r="Q211" s="366"/>
      <c r="S211" s="365"/>
      <c r="U211" s="365"/>
      <c r="V211" s="313"/>
      <c r="W211" s="313"/>
      <c r="X211" s="313"/>
      <c r="Y211" s="349"/>
      <c r="Z211" s="313"/>
      <c r="AA211" s="367"/>
      <c r="AC211" s="368"/>
      <c r="AD211" s="368"/>
      <c r="AE211" s="368"/>
      <c r="AG211" s="369"/>
      <c r="AI211" s="291"/>
    </row>
    <row r="212" spans="2:35" ht="16" customHeight="1">
      <c r="B212" s="394" t="s">
        <v>587</v>
      </c>
      <c r="F212" s="348">
        <v>800000</v>
      </c>
      <c r="G212" s="313"/>
      <c r="H212" s="313">
        <f t="shared" si="60"/>
        <v>400</v>
      </c>
      <c r="I212" s="313"/>
      <c r="J212" s="349">
        <f t="shared" si="61"/>
        <v>2000</v>
      </c>
      <c r="K212" s="313"/>
      <c r="L212" s="397">
        <f t="shared" si="62"/>
        <v>5.039052658100277E-3</v>
      </c>
      <c r="P212" s="365"/>
      <c r="Q212" s="366"/>
      <c r="S212" s="365"/>
      <c r="U212" s="365"/>
      <c r="V212" s="313"/>
      <c r="W212" s="313"/>
      <c r="X212" s="313"/>
      <c r="Y212" s="349"/>
      <c r="Z212" s="313"/>
      <c r="AA212" s="367"/>
      <c r="AC212" s="368"/>
      <c r="AD212" s="368"/>
      <c r="AE212" s="368"/>
      <c r="AG212" s="369"/>
      <c r="AI212" s="291"/>
    </row>
    <row r="213" spans="2:35" ht="16" customHeight="1">
      <c r="B213" s="394" t="s">
        <v>606</v>
      </c>
      <c r="F213" s="348">
        <v>800000</v>
      </c>
      <c r="G213" s="313"/>
      <c r="H213" s="313">
        <f t="shared" si="60"/>
        <v>400</v>
      </c>
      <c r="I213" s="313"/>
      <c r="J213" s="349">
        <f t="shared" si="61"/>
        <v>2000</v>
      </c>
      <c r="K213" s="313"/>
      <c r="L213" s="397">
        <f t="shared" si="62"/>
        <v>5.039052658100277E-3</v>
      </c>
      <c r="P213" s="365"/>
      <c r="Q213" s="366"/>
      <c r="S213" s="365"/>
      <c r="U213" s="365"/>
      <c r="V213" s="313"/>
      <c r="W213" s="313"/>
      <c r="X213" s="313"/>
      <c r="Y213" s="349"/>
      <c r="Z213" s="313"/>
      <c r="AA213" s="367"/>
      <c r="AC213" s="368"/>
      <c r="AD213" s="368"/>
      <c r="AE213" s="368"/>
      <c r="AG213" s="369"/>
      <c r="AI213" s="291"/>
    </row>
    <row r="214" spans="2:35" ht="16" customHeight="1" thickBot="1">
      <c r="B214" s="396" t="s">
        <v>588</v>
      </c>
      <c r="F214" s="352">
        <f>SUM(F211:F213)</f>
        <v>2100000</v>
      </c>
      <c r="G214" s="313"/>
      <c r="H214" s="313"/>
      <c r="I214" s="313"/>
      <c r="J214" s="353">
        <f>SUM(J211:J213)</f>
        <v>5250</v>
      </c>
      <c r="K214" s="313"/>
      <c r="L214" s="354">
        <f>SUM(L211:L213)</f>
        <v>1.3227513227513227E-2</v>
      </c>
      <c r="N214" s="331">
        <f>J214/$J$310</f>
        <v>1.3527843510514401E-2</v>
      </c>
      <c r="P214" s="365"/>
      <c r="Q214" s="366"/>
      <c r="S214" s="365"/>
      <c r="U214" s="365"/>
      <c r="V214" s="313"/>
      <c r="W214" s="313"/>
      <c r="X214" s="313"/>
      <c r="Y214" s="349"/>
      <c r="Z214" s="313"/>
      <c r="AA214" s="367"/>
      <c r="AC214" s="368"/>
      <c r="AD214" s="368"/>
      <c r="AE214" s="368"/>
      <c r="AG214" s="369"/>
      <c r="AI214" s="291"/>
    </row>
    <row r="215" spans="2:35" ht="16" customHeight="1">
      <c r="B215" s="432"/>
      <c r="F215" s="363"/>
      <c r="G215" s="313"/>
      <c r="H215" s="313"/>
      <c r="I215" s="313"/>
      <c r="J215" s="313"/>
      <c r="K215" s="313"/>
      <c r="L215" s="364"/>
      <c r="P215" s="365"/>
      <c r="Q215" s="366"/>
      <c r="S215" s="365"/>
      <c r="U215" s="365"/>
      <c r="V215" s="313"/>
      <c r="W215" s="313"/>
      <c r="X215" s="313"/>
      <c r="Y215" s="349"/>
      <c r="Z215" s="313"/>
      <c r="AA215" s="367"/>
      <c r="AC215" s="368"/>
      <c r="AD215" s="368"/>
      <c r="AE215" s="368"/>
      <c r="AG215" s="369"/>
      <c r="AI215" s="291"/>
    </row>
    <row r="216" spans="2:35" ht="16" customHeight="1">
      <c r="B216" s="408" t="s">
        <v>607</v>
      </c>
      <c r="C216" s="382"/>
      <c r="D216" s="382"/>
      <c r="E216" s="382"/>
      <c r="F216" s="383"/>
      <c r="G216" s="384"/>
      <c r="H216" s="384"/>
      <c r="I216" s="384"/>
      <c r="J216" s="384"/>
      <c r="K216" s="384"/>
      <c r="L216" s="385"/>
      <c r="M216" s="382"/>
      <c r="N216" s="382"/>
      <c r="O216" s="382"/>
      <c r="P216" s="386"/>
      <c r="Q216" s="386"/>
      <c r="R216" s="382"/>
      <c r="S216" s="386"/>
      <c r="T216" s="382"/>
      <c r="U216" s="386"/>
      <c r="V216" s="384"/>
      <c r="W216" s="384"/>
      <c r="X216" s="384"/>
      <c r="Y216" s="387"/>
      <c r="Z216" s="384"/>
      <c r="AA216" s="388"/>
      <c r="AB216" s="382"/>
      <c r="AC216" s="389"/>
      <c r="AD216" s="389"/>
      <c r="AE216" s="389"/>
      <c r="AF216" s="382"/>
      <c r="AG216" s="390"/>
      <c r="AI216" s="291"/>
    </row>
    <row r="217" spans="2:35" ht="16" customHeight="1">
      <c r="B217" s="432"/>
      <c r="F217" s="363"/>
      <c r="G217" s="313"/>
      <c r="H217" s="313"/>
      <c r="I217" s="313"/>
      <c r="J217" s="313"/>
      <c r="K217" s="313"/>
      <c r="L217" s="364"/>
      <c r="P217" s="365"/>
      <c r="Q217" s="366"/>
      <c r="S217" s="365"/>
      <c r="U217" s="365"/>
      <c r="V217" s="313"/>
      <c r="W217" s="313"/>
      <c r="X217" s="313"/>
      <c r="Y217" s="349"/>
      <c r="Z217" s="313"/>
      <c r="AA217" s="367"/>
      <c r="AC217" s="368"/>
      <c r="AD217" s="368"/>
      <c r="AE217" s="368"/>
      <c r="AG217" s="369"/>
      <c r="AI217" s="291"/>
    </row>
    <row r="218" spans="2:35" ht="16" customHeight="1">
      <c r="B218" s="395" t="s">
        <v>590</v>
      </c>
      <c r="F218" s="348">
        <v>2160000</v>
      </c>
      <c r="G218" s="313"/>
      <c r="H218" s="313">
        <f t="shared" ref="H218:H220" si="63">J$5</f>
        <v>400</v>
      </c>
      <c r="I218" s="313"/>
      <c r="J218" s="349">
        <f t="shared" ref="J218:J220" si="64">F218/H218</f>
        <v>5400</v>
      </c>
      <c r="K218" s="313"/>
      <c r="L218" s="397">
        <f t="shared" ref="L218:L220" si="65">J218/$J$8</f>
        <v>1.3605442176870748E-2</v>
      </c>
      <c r="P218" s="365"/>
      <c r="Q218" s="366"/>
      <c r="S218" s="365"/>
      <c r="U218" s="365"/>
      <c r="V218" s="313"/>
      <c r="W218" s="313"/>
      <c r="X218" s="313"/>
      <c r="Y218" s="349"/>
      <c r="Z218" s="313"/>
      <c r="AA218" s="367"/>
      <c r="AC218" s="368"/>
      <c r="AD218" s="368"/>
      <c r="AE218" s="368"/>
      <c r="AG218" s="369"/>
      <c r="AI218" s="291"/>
    </row>
    <row r="219" spans="2:35" ht="16" customHeight="1">
      <c r="B219" s="395" t="s">
        <v>476</v>
      </c>
      <c r="F219" s="348">
        <v>2304180</v>
      </c>
      <c r="G219" s="313"/>
      <c r="H219" s="313">
        <f t="shared" si="63"/>
        <v>400</v>
      </c>
      <c r="I219" s="313"/>
      <c r="J219" s="349">
        <f t="shared" si="64"/>
        <v>5760.45</v>
      </c>
      <c r="K219" s="313"/>
      <c r="L219" s="397">
        <f t="shared" si="65"/>
        <v>1.451360544217687E-2</v>
      </c>
      <c r="P219" s="365"/>
      <c r="Q219" s="366"/>
      <c r="S219" s="365"/>
      <c r="U219" s="365"/>
      <c r="V219" s="313"/>
      <c r="W219" s="313"/>
      <c r="X219" s="313"/>
      <c r="Y219" s="349"/>
      <c r="Z219" s="313"/>
      <c r="AA219" s="367"/>
      <c r="AC219" s="368"/>
      <c r="AD219" s="368"/>
      <c r="AE219" s="368"/>
      <c r="AG219" s="369"/>
      <c r="AI219" s="291"/>
    </row>
    <row r="220" spans="2:35" ht="16" customHeight="1">
      <c r="B220" s="395" t="s">
        <v>591</v>
      </c>
      <c r="F220" s="348">
        <v>2880000</v>
      </c>
      <c r="G220" s="313"/>
      <c r="H220" s="313">
        <f t="shared" si="63"/>
        <v>400</v>
      </c>
      <c r="I220" s="313"/>
      <c r="J220" s="349">
        <f t="shared" si="64"/>
        <v>7200</v>
      </c>
      <c r="K220" s="313"/>
      <c r="L220" s="397">
        <f t="shared" si="65"/>
        <v>1.8140589569160998E-2</v>
      </c>
      <c r="P220" s="365"/>
      <c r="Q220" s="366"/>
      <c r="S220" s="365"/>
      <c r="U220" s="365"/>
      <c r="V220" s="313"/>
      <c r="W220" s="313"/>
      <c r="X220" s="313"/>
      <c r="Y220" s="349"/>
      <c r="Z220" s="313"/>
      <c r="AA220" s="367"/>
      <c r="AC220" s="368"/>
      <c r="AD220" s="368"/>
      <c r="AE220" s="368"/>
      <c r="AG220" s="369"/>
      <c r="AI220" s="291"/>
    </row>
    <row r="221" spans="2:35" ht="16" customHeight="1" thickBot="1">
      <c r="B221" s="396" t="s">
        <v>592</v>
      </c>
      <c r="F221" s="352">
        <f>SUM(F218:F220)</f>
        <v>7344180</v>
      </c>
      <c r="G221" s="313"/>
      <c r="H221" s="313"/>
      <c r="I221" s="313"/>
      <c r="J221" s="353">
        <f>SUM(J218:J220)</f>
        <v>18360.45</v>
      </c>
      <c r="K221" s="313"/>
      <c r="L221" s="354">
        <f>SUM(L218:L220)</f>
        <v>4.6259637188208622E-2</v>
      </c>
      <c r="N221" s="331">
        <f>J221/$J$310</f>
        <v>4.7309960834785551E-2</v>
      </c>
      <c r="P221" s="365"/>
      <c r="Q221" s="366"/>
      <c r="S221" s="365"/>
      <c r="U221" s="365"/>
      <c r="V221" s="313"/>
      <c r="W221" s="313"/>
      <c r="X221" s="313"/>
      <c r="Y221" s="349"/>
      <c r="Z221" s="313"/>
      <c r="AA221" s="367"/>
      <c r="AC221" s="368"/>
      <c r="AD221" s="368"/>
      <c r="AE221" s="368"/>
      <c r="AG221" s="369"/>
      <c r="AI221" s="291"/>
    </row>
    <row r="222" spans="2:35" ht="16" customHeight="1">
      <c r="B222" s="432"/>
      <c r="F222" s="363"/>
      <c r="G222" s="313"/>
      <c r="H222" s="313"/>
      <c r="I222" s="313"/>
      <c r="J222" s="313"/>
      <c r="K222" s="313"/>
      <c r="L222" s="364"/>
      <c r="P222" s="365"/>
      <c r="Q222" s="366"/>
      <c r="S222" s="365"/>
      <c r="U222" s="365"/>
      <c r="V222" s="313"/>
      <c r="W222" s="313"/>
      <c r="X222" s="313"/>
      <c r="Y222" s="349"/>
      <c r="Z222" s="313"/>
      <c r="AA222" s="367"/>
      <c r="AC222" s="368"/>
      <c r="AD222" s="368"/>
      <c r="AE222" s="368"/>
      <c r="AG222" s="369"/>
      <c r="AI222" s="291"/>
    </row>
    <row r="223" spans="2:35" ht="16" customHeight="1" thickBot="1">
      <c r="B223" s="433" t="s">
        <v>608</v>
      </c>
      <c r="C223" s="412"/>
      <c r="D223" s="412" t="s">
        <v>324</v>
      </c>
      <c r="E223" s="412"/>
      <c r="F223" s="413">
        <f>F221+F214+F207+F197+F191+F160</f>
        <v>36284640</v>
      </c>
      <c r="G223" s="414"/>
      <c r="H223" s="414"/>
      <c r="I223" s="414"/>
      <c r="J223" s="415">
        <f>J221+J214+J207+J197+J191+J160</f>
        <v>90711.599999999991</v>
      </c>
      <c r="K223" s="414"/>
      <c r="L223" s="416">
        <f>L221+L214+L207+L197+L191+L160</f>
        <v>0.22855026455026453</v>
      </c>
      <c r="M223" s="412"/>
      <c r="N223" s="417">
        <f>J223/$J$310</f>
        <v>0.233739491312072</v>
      </c>
      <c r="O223" s="412"/>
      <c r="P223" s="418"/>
      <c r="Q223" s="418"/>
      <c r="R223" s="412"/>
      <c r="S223" s="418"/>
      <c r="T223" s="412"/>
      <c r="U223" s="418"/>
      <c r="V223" s="414"/>
      <c r="W223" s="414"/>
      <c r="X223" s="414"/>
      <c r="Y223" s="419"/>
      <c r="Z223" s="414"/>
      <c r="AA223" s="420"/>
      <c r="AB223" s="412"/>
      <c r="AC223" s="421"/>
      <c r="AD223" s="421"/>
      <c r="AE223" s="421"/>
      <c r="AF223" s="412"/>
      <c r="AG223" s="422"/>
      <c r="AI223" s="291"/>
    </row>
    <row r="224" spans="2:35" ht="16" customHeight="1">
      <c r="B224" s="423"/>
      <c r="F224" s="363"/>
      <c r="G224" s="313"/>
      <c r="H224" s="313"/>
      <c r="I224" s="313"/>
      <c r="J224" s="313"/>
      <c r="K224" s="313"/>
      <c r="L224" s="364"/>
      <c r="P224" s="365"/>
      <c r="Q224" s="366"/>
      <c r="S224" s="365"/>
      <c r="U224" s="365"/>
      <c r="V224" s="313"/>
      <c r="W224" s="313"/>
      <c r="X224" s="313"/>
      <c r="Y224" s="349"/>
      <c r="Z224" s="313"/>
      <c r="AA224" s="367"/>
      <c r="AC224" s="368"/>
      <c r="AD224" s="368"/>
      <c r="AE224" s="368"/>
      <c r="AG224" s="369"/>
      <c r="AI224" s="291"/>
    </row>
    <row r="225" spans="2:35" ht="16" customHeight="1">
      <c r="B225" s="336" t="s">
        <v>609</v>
      </c>
      <c r="C225" s="337"/>
      <c r="D225" s="337"/>
      <c r="E225" s="337"/>
      <c r="F225" s="355"/>
      <c r="G225" s="337"/>
      <c r="H225" s="337"/>
      <c r="I225" s="337"/>
      <c r="J225" s="337"/>
      <c r="K225" s="337"/>
      <c r="L225" s="356"/>
      <c r="M225" s="337"/>
      <c r="N225" s="337"/>
      <c r="O225" s="337"/>
      <c r="P225" s="357"/>
      <c r="Q225" s="357"/>
      <c r="R225" s="337"/>
      <c r="S225" s="357"/>
      <c r="T225" s="337"/>
      <c r="U225" s="357"/>
      <c r="V225" s="337"/>
      <c r="W225" s="337"/>
      <c r="X225" s="337"/>
      <c r="Y225" s="358"/>
      <c r="Z225" s="337"/>
      <c r="AA225" s="359"/>
      <c r="AB225" s="337"/>
      <c r="AC225" s="360"/>
      <c r="AD225" s="360"/>
      <c r="AE225" s="360"/>
      <c r="AF225" s="337"/>
      <c r="AG225" s="361"/>
      <c r="AI225" s="291"/>
    </row>
    <row r="226" spans="2:35" ht="16" customHeight="1">
      <c r="B226" s="346"/>
      <c r="F226" s="363"/>
      <c r="G226" s="313"/>
      <c r="H226" s="313"/>
      <c r="I226" s="313"/>
      <c r="J226" s="313"/>
      <c r="K226" s="313"/>
      <c r="L226" s="364"/>
      <c r="P226" s="365"/>
      <c r="Q226" s="366"/>
      <c r="S226" s="365"/>
      <c r="U226" s="365"/>
      <c r="V226" s="313"/>
      <c r="W226" s="313"/>
      <c r="X226" s="313"/>
      <c r="Y226" s="349"/>
      <c r="Z226" s="313"/>
      <c r="AA226" s="367"/>
      <c r="AC226" s="368"/>
      <c r="AD226" s="368"/>
      <c r="AE226" s="368"/>
      <c r="AG226" s="369"/>
      <c r="AI226" s="291"/>
    </row>
    <row r="227" spans="2:35" ht="16" customHeight="1">
      <c r="B227" s="434" t="s">
        <v>610</v>
      </c>
      <c r="C227" s="435"/>
      <c r="D227" s="435"/>
      <c r="E227" s="435"/>
      <c r="F227" s="436"/>
      <c r="G227" s="437"/>
      <c r="H227" s="437"/>
      <c r="I227" s="437"/>
      <c r="J227" s="437"/>
      <c r="K227" s="437"/>
      <c r="L227" s="438"/>
      <c r="M227" s="435"/>
      <c r="N227" s="435"/>
      <c r="O227" s="435"/>
      <c r="P227" s="439"/>
      <c r="Q227" s="439"/>
      <c r="R227" s="435"/>
      <c r="S227" s="439"/>
      <c r="T227" s="435"/>
      <c r="U227" s="439"/>
      <c r="V227" s="437"/>
      <c r="W227" s="437"/>
      <c r="X227" s="437"/>
      <c r="Y227" s="440"/>
      <c r="Z227" s="437"/>
      <c r="AA227" s="441"/>
      <c r="AB227" s="435"/>
      <c r="AC227" s="442"/>
      <c r="AD227" s="442"/>
      <c r="AE227" s="442"/>
      <c r="AF227" s="435"/>
      <c r="AG227" s="443"/>
      <c r="AI227" s="291"/>
    </row>
    <row r="228" spans="2:35" ht="16" customHeight="1">
      <c r="B228" s="444"/>
      <c r="F228" s="363"/>
      <c r="G228" s="313"/>
      <c r="H228" s="313"/>
      <c r="I228" s="313"/>
      <c r="J228" s="313"/>
      <c r="K228" s="313"/>
      <c r="L228" s="364"/>
      <c r="P228" s="365"/>
      <c r="Q228" s="366"/>
      <c r="S228" s="365"/>
      <c r="U228" s="365"/>
      <c r="V228" s="313"/>
      <c r="W228" s="313"/>
      <c r="X228" s="313"/>
      <c r="Y228" s="349"/>
      <c r="Z228" s="313"/>
      <c r="AA228" s="367"/>
      <c r="AC228" s="368"/>
      <c r="AD228" s="368"/>
      <c r="AE228" s="368"/>
      <c r="AG228" s="369"/>
      <c r="AI228" s="291"/>
    </row>
    <row r="229" spans="2:35" ht="16" customHeight="1">
      <c r="B229" s="381" t="s">
        <v>543</v>
      </c>
      <c r="C229" s="382"/>
      <c r="D229" s="382"/>
      <c r="E229" s="382"/>
      <c r="F229" s="383"/>
      <c r="G229" s="384"/>
      <c r="H229" s="384"/>
      <c r="I229" s="384"/>
      <c r="J229" s="384"/>
      <c r="K229" s="384"/>
      <c r="L229" s="385"/>
      <c r="M229" s="382"/>
      <c r="N229" s="382"/>
      <c r="O229" s="382"/>
      <c r="P229" s="386"/>
      <c r="Q229" s="386"/>
      <c r="R229" s="382"/>
      <c r="S229" s="386"/>
      <c r="T229" s="382"/>
      <c r="U229" s="386"/>
      <c r="V229" s="384"/>
      <c r="W229" s="384"/>
      <c r="X229" s="384"/>
      <c r="Y229" s="387"/>
      <c r="Z229" s="384"/>
      <c r="AA229" s="388"/>
      <c r="AB229" s="382"/>
      <c r="AC229" s="389"/>
      <c r="AD229" s="389"/>
      <c r="AE229" s="389"/>
      <c r="AF229" s="382"/>
      <c r="AG229" s="390"/>
      <c r="AI229" s="291"/>
    </row>
    <row r="230" spans="2:35" ht="16" customHeight="1">
      <c r="B230" s="380"/>
      <c r="F230" s="363"/>
      <c r="G230" s="313"/>
      <c r="H230" s="313"/>
      <c r="I230" s="313"/>
      <c r="J230" s="313"/>
      <c r="K230" s="313"/>
      <c r="L230" s="364"/>
      <c r="P230" s="365"/>
      <c r="Q230" s="366"/>
      <c r="S230" s="365"/>
      <c r="U230" s="365"/>
      <c r="V230" s="313"/>
      <c r="W230" s="313"/>
      <c r="X230" s="313"/>
      <c r="Y230" s="349"/>
      <c r="Z230" s="313"/>
      <c r="AA230" s="367"/>
      <c r="AC230" s="368"/>
      <c r="AD230" s="368"/>
      <c r="AE230" s="368"/>
      <c r="AG230" s="369"/>
      <c r="AI230" s="291"/>
    </row>
    <row r="231" spans="2:35" ht="16" customHeight="1">
      <c r="B231" s="394" t="s">
        <v>557</v>
      </c>
      <c r="F231" s="348">
        <v>70000</v>
      </c>
      <c r="G231" s="313"/>
      <c r="H231" s="313">
        <f>J$6</f>
        <v>420</v>
      </c>
      <c r="I231" s="313"/>
      <c r="J231" s="349">
        <f t="shared" ref="J231:J236" si="66">F231/H231</f>
        <v>166.66666666666666</v>
      </c>
      <c r="K231" s="313"/>
      <c r="L231" s="397">
        <f t="shared" ref="L231:L236" si="67">J231/$J$8</f>
        <v>4.1992105484168975E-4</v>
      </c>
      <c r="P231" s="365"/>
      <c r="Q231" s="366"/>
      <c r="S231" s="365"/>
      <c r="U231" s="365"/>
      <c r="V231" s="313"/>
      <c r="W231" s="313"/>
      <c r="X231" s="313"/>
      <c r="Y231" s="349"/>
      <c r="Z231" s="313"/>
      <c r="AA231" s="367"/>
      <c r="AC231" s="368"/>
      <c r="AD231" s="368"/>
      <c r="AE231" s="368"/>
      <c r="AG231" s="369"/>
      <c r="AI231" s="291"/>
    </row>
    <row r="232" spans="2:35" ht="16" customHeight="1">
      <c r="B232" s="395" t="s">
        <v>558</v>
      </c>
      <c r="F232" s="348">
        <v>17400</v>
      </c>
      <c r="G232" s="313"/>
      <c r="H232" s="313">
        <f t="shared" ref="H232:H236" si="68">J$6</f>
        <v>420</v>
      </c>
      <c r="I232" s="313"/>
      <c r="J232" s="349">
        <f t="shared" si="66"/>
        <v>41.428571428571431</v>
      </c>
      <c r="K232" s="313"/>
      <c r="L232" s="397">
        <f t="shared" si="67"/>
        <v>1.0438037648922004E-4</v>
      </c>
      <c r="P232" s="365"/>
      <c r="Q232" s="366"/>
      <c r="S232" s="365"/>
      <c r="U232" s="365"/>
      <c r="V232" s="313"/>
      <c r="W232" s="313"/>
      <c r="X232" s="313"/>
      <c r="Y232" s="349"/>
      <c r="Z232" s="313"/>
      <c r="AA232" s="367"/>
      <c r="AC232" s="368"/>
      <c r="AD232" s="368"/>
      <c r="AE232" s="368"/>
      <c r="AG232" s="369"/>
      <c r="AI232" s="291"/>
    </row>
    <row r="233" spans="2:35" ht="16" customHeight="1">
      <c r="B233" s="394" t="s">
        <v>546</v>
      </c>
      <c r="F233" s="348">
        <v>3400</v>
      </c>
      <c r="G233" s="313"/>
      <c r="H233" s="313">
        <f t="shared" si="68"/>
        <v>420</v>
      </c>
      <c r="I233" s="313"/>
      <c r="J233" s="349">
        <f t="shared" si="66"/>
        <v>8.0952380952380949</v>
      </c>
      <c r="K233" s="313"/>
      <c r="L233" s="397">
        <f t="shared" si="67"/>
        <v>2.0396165520882075E-5</v>
      </c>
      <c r="P233" s="365"/>
      <c r="Q233" s="366"/>
      <c r="S233" s="365"/>
      <c r="U233" s="365"/>
      <c r="V233" s="313"/>
      <c r="W233" s="313"/>
      <c r="X233" s="313"/>
      <c r="Y233" s="349"/>
      <c r="Z233" s="313"/>
      <c r="AA233" s="367"/>
      <c r="AC233" s="368"/>
      <c r="AD233" s="368"/>
      <c r="AE233" s="368"/>
      <c r="AG233" s="369"/>
      <c r="AI233" s="291"/>
    </row>
    <row r="234" spans="2:35" ht="16" customHeight="1">
      <c r="B234" s="394" t="s">
        <v>547</v>
      </c>
      <c r="F234" s="348">
        <v>7000</v>
      </c>
      <c r="G234" s="313"/>
      <c r="H234" s="313">
        <f t="shared" si="68"/>
        <v>420</v>
      </c>
      <c r="I234" s="313"/>
      <c r="J234" s="349">
        <f t="shared" si="66"/>
        <v>16.666666666666668</v>
      </c>
      <c r="K234" s="313"/>
      <c r="L234" s="397">
        <f t="shared" si="67"/>
        <v>4.199210548416898E-5</v>
      </c>
      <c r="P234" s="365"/>
      <c r="Q234" s="366"/>
      <c r="S234" s="365"/>
      <c r="U234" s="365"/>
      <c r="V234" s="313"/>
      <c r="W234" s="313"/>
      <c r="X234" s="313"/>
      <c r="Y234" s="349"/>
      <c r="Z234" s="313"/>
      <c r="AA234" s="367"/>
      <c r="AC234" s="368"/>
      <c r="AD234" s="368"/>
      <c r="AE234" s="368"/>
      <c r="AG234" s="369"/>
      <c r="AI234" s="291"/>
    </row>
    <row r="235" spans="2:35" ht="16" customHeight="1">
      <c r="B235" s="394" t="s">
        <v>473</v>
      </c>
      <c r="F235" s="348">
        <v>6400</v>
      </c>
      <c r="G235" s="313"/>
      <c r="H235" s="313">
        <f t="shared" si="68"/>
        <v>420</v>
      </c>
      <c r="I235" s="313"/>
      <c r="J235" s="349">
        <f t="shared" si="66"/>
        <v>15.238095238095237</v>
      </c>
      <c r="K235" s="313"/>
      <c r="L235" s="397">
        <f t="shared" si="67"/>
        <v>3.8392782156954494E-5</v>
      </c>
      <c r="P235" s="365"/>
      <c r="Q235" s="366"/>
      <c r="S235" s="365"/>
      <c r="U235" s="365"/>
      <c r="V235" s="313"/>
      <c r="W235" s="313"/>
      <c r="X235" s="313"/>
      <c r="Y235" s="349"/>
      <c r="Z235" s="313"/>
      <c r="AA235" s="367"/>
      <c r="AC235" s="368"/>
      <c r="AD235" s="368"/>
      <c r="AE235" s="368"/>
      <c r="AG235" s="369"/>
      <c r="AI235" s="291"/>
    </row>
    <row r="236" spans="2:35" ht="16" customHeight="1">
      <c r="B236" s="394" t="s">
        <v>476</v>
      </c>
      <c r="F236" s="348">
        <v>42670</v>
      </c>
      <c r="G236" s="313"/>
      <c r="H236" s="313">
        <f t="shared" si="68"/>
        <v>420</v>
      </c>
      <c r="I236" s="313"/>
      <c r="J236" s="349">
        <f t="shared" si="66"/>
        <v>101.5952380952381</v>
      </c>
      <c r="K236" s="313"/>
      <c r="L236" s="397">
        <f t="shared" si="67"/>
        <v>2.5597187728707005E-4</v>
      </c>
      <c r="P236" s="365"/>
      <c r="Q236" s="366"/>
      <c r="S236" s="365"/>
      <c r="U236" s="365"/>
      <c r="V236" s="313"/>
      <c r="W236" s="313"/>
      <c r="X236" s="313"/>
      <c r="Y236" s="349"/>
      <c r="Z236" s="313"/>
      <c r="AA236" s="367"/>
      <c r="AC236" s="368"/>
      <c r="AD236" s="368"/>
      <c r="AE236" s="368"/>
      <c r="AG236" s="369"/>
      <c r="AI236" s="291"/>
    </row>
    <row r="237" spans="2:35" ht="16" customHeight="1" thickBot="1">
      <c r="B237" s="396" t="s">
        <v>554</v>
      </c>
      <c r="F237" s="352">
        <f>SUM(F231:F236)</f>
        <v>146870</v>
      </c>
      <c r="G237" s="313"/>
      <c r="H237" s="313"/>
      <c r="I237" s="313"/>
      <c r="J237" s="353">
        <f>SUM(J231:J236)</f>
        <v>349.69047619047615</v>
      </c>
      <c r="K237" s="313"/>
      <c r="L237" s="354">
        <f>SUM(L231:L236)</f>
        <v>8.8105436177998535E-4</v>
      </c>
      <c r="N237" s="331">
        <f>J237/$J$310</f>
        <v>9.01058674099433E-4</v>
      </c>
      <c r="P237" s="365"/>
      <c r="Q237" s="366"/>
      <c r="S237" s="365"/>
      <c r="U237" s="365"/>
      <c r="V237" s="313"/>
      <c r="W237" s="313"/>
      <c r="X237" s="313"/>
      <c r="Y237" s="349"/>
      <c r="Z237" s="313"/>
      <c r="AA237" s="367"/>
      <c r="AC237" s="368"/>
      <c r="AD237" s="368"/>
      <c r="AE237" s="368"/>
      <c r="AG237" s="369"/>
      <c r="AI237" s="291"/>
    </row>
    <row r="238" spans="2:35" ht="16" customHeight="1">
      <c r="B238" s="393"/>
      <c r="F238" s="363"/>
      <c r="G238" s="313"/>
      <c r="H238" s="313"/>
      <c r="I238" s="313"/>
      <c r="J238" s="313"/>
      <c r="K238" s="313"/>
      <c r="L238" s="364"/>
      <c r="P238" s="365"/>
      <c r="Q238" s="366"/>
      <c r="S238" s="365"/>
      <c r="U238" s="365"/>
      <c r="V238" s="313"/>
      <c r="W238" s="313"/>
      <c r="X238" s="313"/>
      <c r="Y238" s="349"/>
      <c r="Z238" s="313"/>
      <c r="AA238" s="367"/>
      <c r="AC238" s="368"/>
      <c r="AD238" s="368"/>
      <c r="AE238" s="368"/>
      <c r="AG238" s="369"/>
      <c r="AI238" s="291"/>
    </row>
    <row r="239" spans="2:35" ht="16" customHeight="1">
      <c r="B239" s="400" t="s">
        <v>555</v>
      </c>
      <c r="C239" s="382"/>
      <c r="D239" s="382"/>
      <c r="E239" s="382"/>
      <c r="F239" s="383"/>
      <c r="G239" s="384"/>
      <c r="H239" s="384"/>
      <c r="I239" s="384"/>
      <c r="J239" s="384"/>
      <c r="K239" s="384"/>
      <c r="L239" s="385"/>
      <c r="M239" s="382"/>
      <c r="N239" s="382"/>
      <c r="O239" s="382"/>
      <c r="P239" s="386"/>
      <c r="Q239" s="386"/>
      <c r="R239" s="382"/>
      <c r="S239" s="386"/>
      <c r="T239" s="382"/>
      <c r="U239" s="386"/>
      <c r="V239" s="384"/>
      <c r="W239" s="384"/>
      <c r="X239" s="384"/>
      <c r="Y239" s="387"/>
      <c r="Z239" s="384"/>
      <c r="AA239" s="388"/>
      <c r="AB239" s="382"/>
      <c r="AC239" s="389"/>
      <c r="AD239" s="389"/>
      <c r="AE239" s="389"/>
      <c r="AF239" s="382"/>
      <c r="AG239" s="390"/>
      <c r="AI239" s="291"/>
    </row>
    <row r="240" spans="2:35" ht="16" customHeight="1">
      <c r="B240" s="399"/>
      <c r="F240" s="363"/>
      <c r="G240" s="313"/>
      <c r="H240" s="313"/>
      <c r="I240" s="313"/>
      <c r="J240" s="313"/>
      <c r="K240" s="313"/>
      <c r="L240" s="364"/>
      <c r="P240" s="365"/>
      <c r="Q240" s="366"/>
      <c r="S240" s="365"/>
      <c r="U240" s="365"/>
      <c r="V240" s="313"/>
      <c r="W240" s="313"/>
      <c r="X240" s="313"/>
      <c r="Y240" s="349"/>
      <c r="Z240" s="313"/>
      <c r="AA240" s="367"/>
      <c r="AC240" s="368"/>
      <c r="AD240" s="368"/>
      <c r="AE240" s="368"/>
      <c r="AG240" s="369"/>
      <c r="AI240" s="291"/>
    </row>
    <row r="241" spans="2:35" ht="16" customHeight="1">
      <c r="B241" s="401" t="s">
        <v>556</v>
      </c>
      <c r="F241" s="363"/>
      <c r="G241" s="313"/>
      <c r="H241" s="313"/>
      <c r="I241" s="313"/>
      <c r="J241" s="313"/>
      <c r="K241" s="313"/>
      <c r="L241" s="364"/>
      <c r="P241" s="365"/>
      <c r="Q241" s="366"/>
      <c r="S241" s="365"/>
      <c r="U241" s="365"/>
      <c r="V241" s="313"/>
      <c r="W241" s="313"/>
      <c r="X241" s="313"/>
      <c r="Y241" s="349"/>
      <c r="Z241" s="313"/>
      <c r="AA241" s="367"/>
      <c r="AC241" s="368"/>
      <c r="AD241" s="368"/>
      <c r="AE241" s="368"/>
      <c r="AG241" s="369"/>
      <c r="AI241" s="291"/>
    </row>
    <row r="242" spans="2:35" ht="16" customHeight="1">
      <c r="B242" s="394" t="s">
        <v>557</v>
      </c>
      <c r="F242" s="348">
        <v>1540000</v>
      </c>
      <c r="G242" s="313"/>
      <c r="H242" s="313">
        <f t="shared" ref="H242:H247" si="69">J$6</f>
        <v>420</v>
      </c>
      <c r="I242" s="313"/>
      <c r="J242" s="349">
        <f t="shared" ref="J242:J247" si="70">F242/H242</f>
        <v>3666.6666666666665</v>
      </c>
      <c r="K242" s="313"/>
      <c r="L242" s="397">
        <f t="shared" ref="L242:L247" si="71">J242/$J$8</f>
        <v>9.2382632065171749E-3</v>
      </c>
      <c r="P242" s="365"/>
      <c r="Q242" s="366"/>
      <c r="S242" s="365"/>
      <c r="U242" s="365"/>
      <c r="V242" s="313"/>
      <c r="W242" s="313"/>
      <c r="X242" s="313"/>
      <c r="Y242" s="349"/>
      <c r="Z242" s="313"/>
      <c r="AA242" s="367"/>
      <c r="AC242" s="368"/>
      <c r="AD242" s="368"/>
      <c r="AE242" s="368"/>
      <c r="AG242" s="369"/>
      <c r="AI242" s="291"/>
    </row>
    <row r="243" spans="2:35" ht="16" customHeight="1">
      <c r="B243" s="394" t="s">
        <v>558</v>
      </c>
      <c r="F243" s="348">
        <v>382800</v>
      </c>
      <c r="G243" s="313"/>
      <c r="H243" s="313">
        <f t="shared" si="69"/>
        <v>420</v>
      </c>
      <c r="I243" s="313"/>
      <c r="J243" s="349">
        <f t="shared" si="70"/>
        <v>911.42857142857144</v>
      </c>
      <c r="K243" s="313"/>
      <c r="L243" s="397">
        <f t="shared" si="71"/>
        <v>2.2963682827628405E-3</v>
      </c>
      <c r="P243" s="365"/>
      <c r="Q243" s="366"/>
      <c r="S243" s="365"/>
      <c r="U243" s="365"/>
      <c r="V243" s="313"/>
      <c r="W243" s="313"/>
      <c r="X243" s="313"/>
      <c r="Y243" s="349"/>
      <c r="Z243" s="313"/>
      <c r="AA243" s="367"/>
      <c r="AC243" s="368"/>
      <c r="AD243" s="368"/>
      <c r="AE243" s="368"/>
      <c r="AG243" s="369"/>
      <c r="AI243" s="291"/>
    </row>
    <row r="244" spans="2:35" ht="16" customHeight="1">
      <c r="B244" s="394" t="s">
        <v>611</v>
      </c>
      <c r="F244" s="348">
        <v>37400</v>
      </c>
      <c r="G244" s="313"/>
      <c r="H244" s="313">
        <f t="shared" si="69"/>
        <v>420</v>
      </c>
      <c r="I244" s="313"/>
      <c r="J244" s="349">
        <f t="shared" si="70"/>
        <v>89.047619047619051</v>
      </c>
      <c r="K244" s="313"/>
      <c r="L244" s="397">
        <f t="shared" si="71"/>
        <v>2.2435782072970282E-4</v>
      </c>
      <c r="P244" s="365"/>
      <c r="Q244" s="366"/>
      <c r="S244" s="365"/>
      <c r="U244" s="365"/>
      <c r="V244" s="313"/>
      <c r="W244" s="313"/>
      <c r="X244" s="313"/>
      <c r="Y244" s="349"/>
      <c r="Z244" s="313"/>
      <c r="AA244" s="367"/>
      <c r="AC244" s="368"/>
      <c r="AD244" s="368"/>
      <c r="AE244" s="368"/>
      <c r="AG244" s="369"/>
      <c r="AI244" s="291"/>
    </row>
    <row r="245" spans="2:35" ht="16" customHeight="1">
      <c r="B245" s="394" t="s">
        <v>547</v>
      </c>
      <c r="F245" s="348">
        <v>308000</v>
      </c>
      <c r="G245" s="313"/>
      <c r="H245" s="313">
        <f t="shared" si="69"/>
        <v>420</v>
      </c>
      <c r="I245" s="313"/>
      <c r="J245" s="349">
        <f t="shared" si="70"/>
        <v>733.33333333333337</v>
      </c>
      <c r="K245" s="313"/>
      <c r="L245" s="397">
        <f t="shared" si="71"/>
        <v>1.847652641303435E-3</v>
      </c>
      <c r="P245" s="365"/>
      <c r="Q245" s="366"/>
      <c r="S245" s="365"/>
      <c r="U245" s="365"/>
      <c r="V245" s="313"/>
      <c r="W245" s="313"/>
      <c r="X245" s="313"/>
      <c r="Y245" s="349"/>
      <c r="Z245" s="313"/>
      <c r="AA245" s="367"/>
      <c r="AC245" s="368"/>
      <c r="AD245" s="368"/>
      <c r="AE245" s="368"/>
      <c r="AG245" s="369"/>
      <c r="AI245" s="291"/>
    </row>
    <row r="246" spans="2:35" ht="16" customHeight="1">
      <c r="B246" s="394" t="s">
        <v>473</v>
      </c>
      <c r="F246" s="348">
        <v>149600</v>
      </c>
      <c r="G246" s="313"/>
      <c r="H246" s="313">
        <f t="shared" si="69"/>
        <v>420</v>
      </c>
      <c r="I246" s="313"/>
      <c r="J246" s="349">
        <f t="shared" si="70"/>
        <v>356.1904761904762</v>
      </c>
      <c r="K246" s="313"/>
      <c r="L246" s="397">
        <f t="shared" si="71"/>
        <v>8.9743128291881128E-4</v>
      </c>
      <c r="P246" s="365"/>
      <c r="Q246" s="366"/>
      <c r="S246" s="365"/>
      <c r="U246" s="365"/>
      <c r="V246" s="313"/>
      <c r="W246" s="313"/>
      <c r="X246" s="313"/>
      <c r="Y246" s="349"/>
      <c r="Z246" s="313"/>
      <c r="AA246" s="367"/>
      <c r="AC246" s="368"/>
      <c r="AD246" s="368"/>
      <c r="AE246" s="368"/>
      <c r="AG246" s="369"/>
      <c r="AI246" s="291"/>
    </row>
    <row r="247" spans="2:35" ht="16" customHeight="1">
      <c r="B247" s="394" t="s">
        <v>476</v>
      </c>
      <c r="F247" s="348">
        <v>750992</v>
      </c>
      <c r="G247" s="313"/>
      <c r="H247" s="313">
        <f t="shared" si="69"/>
        <v>420</v>
      </c>
      <c r="I247" s="313"/>
      <c r="J247" s="349">
        <f t="shared" si="70"/>
        <v>1788.0761904761905</v>
      </c>
      <c r="K247" s="313"/>
      <c r="L247" s="397">
        <f t="shared" si="71"/>
        <v>4.505105040252433E-3</v>
      </c>
      <c r="P247" s="365"/>
      <c r="Q247" s="366"/>
      <c r="S247" s="365"/>
      <c r="U247" s="365"/>
      <c r="V247" s="313"/>
      <c r="W247" s="313"/>
      <c r="X247" s="313"/>
      <c r="Y247" s="349"/>
      <c r="Z247" s="313"/>
      <c r="AA247" s="367"/>
      <c r="AC247" s="368"/>
      <c r="AD247" s="368"/>
      <c r="AE247" s="368"/>
      <c r="AG247" s="369"/>
      <c r="AI247" s="291"/>
    </row>
    <row r="248" spans="2:35" ht="16" customHeight="1" thickBot="1">
      <c r="B248" s="402" t="s">
        <v>559</v>
      </c>
      <c r="F248" s="352">
        <f>SUM(F242:F247)</f>
        <v>3168792</v>
      </c>
      <c r="G248" s="313"/>
      <c r="H248" s="313"/>
      <c r="I248" s="313"/>
      <c r="J248" s="353">
        <f>SUM(J242:J247)</f>
        <v>7544.7428571428563</v>
      </c>
      <c r="K248" s="313"/>
      <c r="L248" s="354">
        <f>SUM(L242:L247)</f>
        <v>1.9009178274484399E-2</v>
      </c>
      <c r="N248" s="331">
        <f>J248/$J$310</f>
        <v>1.9440781085428547E-2</v>
      </c>
      <c r="P248" s="365"/>
      <c r="Q248" s="366"/>
      <c r="S248" s="365"/>
      <c r="U248" s="365"/>
      <c r="V248" s="313"/>
      <c r="W248" s="313"/>
      <c r="X248" s="313"/>
      <c r="Y248" s="349"/>
      <c r="Z248" s="313"/>
      <c r="AA248" s="367"/>
      <c r="AC248" s="368"/>
      <c r="AD248" s="368"/>
      <c r="AE248" s="368"/>
      <c r="AG248" s="369"/>
      <c r="AI248" s="291"/>
    </row>
    <row r="249" spans="2:35" ht="16" customHeight="1">
      <c r="B249" s="394"/>
      <c r="F249" s="363"/>
      <c r="G249" s="313"/>
      <c r="H249" s="313"/>
      <c r="I249" s="313"/>
      <c r="J249" s="313"/>
      <c r="K249" s="313"/>
      <c r="L249" s="364"/>
      <c r="P249" s="365"/>
      <c r="Q249" s="366"/>
      <c r="S249" s="365"/>
      <c r="U249" s="365"/>
      <c r="V249" s="313"/>
      <c r="W249" s="313"/>
      <c r="X249" s="313"/>
      <c r="Y249" s="349"/>
      <c r="Z249" s="313"/>
      <c r="AA249" s="367"/>
      <c r="AC249" s="368"/>
      <c r="AD249" s="368"/>
      <c r="AE249" s="368"/>
      <c r="AG249" s="369"/>
      <c r="AI249" s="291"/>
    </row>
    <row r="250" spans="2:35" ht="16" customHeight="1">
      <c r="B250" s="403" t="s">
        <v>560</v>
      </c>
      <c r="F250" s="363"/>
      <c r="G250" s="313"/>
      <c r="H250" s="313"/>
      <c r="I250" s="313"/>
      <c r="J250" s="313"/>
      <c r="K250" s="313"/>
      <c r="L250" s="364"/>
      <c r="P250" s="365"/>
      <c r="Q250" s="366"/>
      <c r="S250" s="365"/>
      <c r="U250" s="365"/>
      <c r="V250" s="313"/>
      <c r="W250" s="313"/>
      <c r="X250" s="313"/>
      <c r="Y250" s="349"/>
      <c r="Z250" s="313"/>
      <c r="AA250" s="367"/>
      <c r="AC250" s="368"/>
      <c r="AD250" s="368"/>
      <c r="AE250" s="368"/>
      <c r="AG250" s="369"/>
      <c r="AI250" s="291"/>
    </row>
    <row r="251" spans="2:35" ht="16" customHeight="1">
      <c r="B251" s="394" t="s">
        <v>484</v>
      </c>
      <c r="F251" s="348">
        <v>165000</v>
      </c>
      <c r="G251" s="313"/>
      <c r="H251" s="313">
        <f t="shared" ref="H251:H259" si="72">J$6</f>
        <v>420</v>
      </c>
      <c r="I251" s="313"/>
      <c r="J251" s="349">
        <f t="shared" ref="J251:J259" si="73">F251/H251</f>
        <v>392.85714285714283</v>
      </c>
      <c r="K251" s="313"/>
      <c r="L251" s="397">
        <f t="shared" ref="L251:L259" si="74">J251/$J$8</f>
        <v>9.8981391498398287E-4</v>
      </c>
      <c r="P251" s="365"/>
      <c r="Q251" s="366"/>
      <c r="S251" s="365"/>
      <c r="U251" s="365"/>
      <c r="V251" s="313"/>
      <c r="W251" s="313"/>
      <c r="X251" s="313"/>
      <c r="Y251" s="349"/>
      <c r="Z251" s="313"/>
      <c r="AA251" s="367"/>
      <c r="AC251" s="368"/>
      <c r="AD251" s="368"/>
      <c r="AE251" s="368"/>
      <c r="AG251" s="369"/>
      <c r="AI251" s="291"/>
    </row>
    <row r="252" spans="2:35" ht="16" customHeight="1">
      <c r="B252" s="394" t="s">
        <v>485</v>
      </c>
      <c r="F252" s="348">
        <v>550</v>
      </c>
      <c r="G252" s="313"/>
      <c r="H252" s="313">
        <f t="shared" si="72"/>
        <v>420</v>
      </c>
      <c r="I252" s="313"/>
      <c r="J252" s="349">
        <f t="shared" si="73"/>
        <v>1.3095238095238095</v>
      </c>
      <c r="K252" s="313"/>
      <c r="L252" s="397">
        <f t="shared" si="74"/>
        <v>3.2993797166132767E-6</v>
      </c>
      <c r="P252" s="365"/>
      <c r="Q252" s="366"/>
      <c r="S252" s="365"/>
      <c r="U252" s="365"/>
      <c r="V252" s="313"/>
      <c r="W252" s="313"/>
      <c r="X252" s="313"/>
      <c r="Y252" s="349"/>
      <c r="Z252" s="313"/>
      <c r="AA252" s="367"/>
      <c r="AC252" s="368"/>
      <c r="AD252" s="368"/>
      <c r="AE252" s="368"/>
      <c r="AG252" s="369"/>
      <c r="AI252" s="291"/>
    </row>
    <row r="253" spans="2:35" ht="16" customHeight="1">
      <c r="B253" s="394" t="s">
        <v>561</v>
      </c>
      <c r="F253" s="348">
        <v>1650</v>
      </c>
      <c r="G253" s="313"/>
      <c r="H253" s="313">
        <f t="shared" si="72"/>
        <v>420</v>
      </c>
      <c r="I253" s="313"/>
      <c r="J253" s="349">
        <f t="shared" si="73"/>
        <v>3.9285714285714284</v>
      </c>
      <c r="K253" s="313"/>
      <c r="L253" s="397">
        <f t="shared" si="74"/>
        <v>9.8981391498398295E-6</v>
      </c>
      <c r="P253" s="365"/>
      <c r="Q253" s="366"/>
      <c r="S253" s="365"/>
      <c r="U253" s="365"/>
      <c r="V253" s="313"/>
      <c r="W253" s="313"/>
      <c r="X253" s="313"/>
      <c r="Y253" s="349"/>
      <c r="Z253" s="313"/>
      <c r="AA253" s="367"/>
      <c r="AC253" s="368"/>
      <c r="AD253" s="368"/>
      <c r="AE253" s="368"/>
      <c r="AG253" s="369"/>
      <c r="AI253" s="291"/>
    </row>
    <row r="254" spans="2:35" ht="16" customHeight="1">
      <c r="B254" s="394" t="s">
        <v>491</v>
      </c>
      <c r="F254" s="348">
        <v>1650</v>
      </c>
      <c r="G254" s="313"/>
      <c r="H254" s="313">
        <f t="shared" si="72"/>
        <v>420</v>
      </c>
      <c r="I254" s="313"/>
      <c r="J254" s="349">
        <f t="shared" si="73"/>
        <v>3.9285714285714284</v>
      </c>
      <c r="K254" s="313"/>
      <c r="L254" s="397">
        <f t="shared" si="74"/>
        <v>9.8981391498398295E-6</v>
      </c>
      <c r="P254" s="365"/>
      <c r="Q254" s="366"/>
      <c r="S254" s="365"/>
      <c r="U254" s="365"/>
      <c r="V254" s="313"/>
      <c r="W254" s="313"/>
      <c r="X254" s="313"/>
      <c r="Y254" s="349"/>
      <c r="Z254" s="313"/>
      <c r="AA254" s="367"/>
      <c r="AC254" s="368"/>
      <c r="AD254" s="368"/>
      <c r="AE254" s="368"/>
      <c r="AG254" s="369"/>
      <c r="AI254" s="291"/>
    </row>
    <row r="255" spans="2:35" ht="16" customHeight="1">
      <c r="B255" s="394" t="s">
        <v>486</v>
      </c>
      <c r="F255" s="348">
        <v>7150</v>
      </c>
      <c r="G255" s="313"/>
      <c r="H255" s="313">
        <f t="shared" si="72"/>
        <v>420</v>
      </c>
      <c r="I255" s="313"/>
      <c r="J255" s="349">
        <f t="shared" si="73"/>
        <v>17.023809523809526</v>
      </c>
      <c r="K255" s="313"/>
      <c r="L255" s="397">
        <f t="shared" si="74"/>
        <v>4.2891936315972604E-5</v>
      </c>
      <c r="P255" s="365"/>
      <c r="Q255" s="366"/>
      <c r="S255" s="365"/>
      <c r="U255" s="365"/>
      <c r="V255" s="313"/>
      <c r="W255" s="313"/>
      <c r="X255" s="313"/>
      <c r="Y255" s="349"/>
      <c r="Z255" s="313"/>
      <c r="AA255" s="367"/>
      <c r="AC255" s="368"/>
      <c r="AD255" s="368"/>
      <c r="AE255" s="368"/>
      <c r="AG255" s="369"/>
      <c r="AI255" s="291"/>
    </row>
    <row r="256" spans="2:35" ht="16" customHeight="1">
      <c r="B256" s="394" t="s">
        <v>487</v>
      </c>
      <c r="F256" s="348">
        <v>11000</v>
      </c>
      <c r="G256" s="313"/>
      <c r="H256" s="313">
        <f t="shared" si="72"/>
        <v>420</v>
      </c>
      <c r="I256" s="313"/>
      <c r="J256" s="349">
        <f t="shared" si="73"/>
        <v>26.19047619047619</v>
      </c>
      <c r="K256" s="313"/>
      <c r="L256" s="397">
        <f t="shared" si="74"/>
        <v>6.5987594332265535E-5</v>
      </c>
      <c r="P256" s="365"/>
      <c r="Q256" s="366"/>
      <c r="S256" s="365"/>
      <c r="U256" s="365"/>
      <c r="V256" s="313"/>
      <c r="W256" s="313"/>
      <c r="X256" s="313"/>
      <c r="Y256" s="349"/>
      <c r="Z256" s="313"/>
      <c r="AA256" s="367"/>
      <c r="AC256" s="368"/>
      <c r="AD256" s="368"/>
      <c r="AE256" s="368"/>
      <c r="AG256" s="369"/>
      <c r="AI256" s="291"/>
    </row>
    <row r="257" spans="2:35" ht="16" customHeight="1">
      <c r="B257" s="394" t="s">
        <v>488</v>
      </c>
      <c r="F257" s="348">
        <v>4400</v>
      </c>
      <c r="G257" s="313"/>
      <c r="H257" s="313">
        <f t="shared" si="72"/>
        <v>420</v>
      </c>
      <c r="I257" s="313"/>
      <c r="J257" s="349">
        <f t="shared" si="73"/>
        <v>10.476190476190476</v>
      </c>
      <c r="K257" s="313"/>
      <c r="L257" s="397">
        <f t="shared" si="74"/>
        <v>2.6395037732906213E-5</v>
      </c>
      <c r="P257" s="365"/>
      <c r="Q257" s="366"/>
      <c r="S257" s="365"/>
      <c r="U257" s="365"/>
      <c r="V257" s="313"/>
      <c r="W257" s="313"/>
      <c r="X257" s="313"/>
      <c r="Y257" s="349"/>
      <c r="Z257" s="313"/>
      <c r="AA257" s="367"/>
      <c r="AC257" s="368"/>
      <c r="AD257" s="368"/>
      <c r="AE257" s="368"/>
      <c r="AG257" s="369"/>
      <c r="AI257" s="291"/>
    </row>
    <row r="258" spans="2:35" ht="16" customHeight="1">
      <c r="B258" s="394" t="s">
        <v>489</v>
      </c>
      <c r="F258" s="348">
        <v>80000</v>
      </c>
      <c r="G258" s="313"/>
      <c r="H258" s="313">
        <f t="shared" si="72"/>
        <v>420</v>
      </c>
      <c r="I258" s="313"/>
      <c r="J258" s="349">
        <f t="shared" si="73"/>
        <v>190.47619047619048</v>
      </c>
      <c r="K258" s="313"/>
      <c r="L258" s="397">
        <f t="shared" si="74"/>
        <v>4.799097769619312E-4</v>
      </c>
      <c r="P258" s="365"/>
      <c r="Q258" s="366"/>
      <c r="S258" s="365"/>
      <c r="U258" s="365"/>
      <c r="V258" s="313"/>
      <c r="W258" s="313"/>
      <c r="X258" s="313"/>
      <c r="Y258" s="349"/>
      <c r="Z258" s="313"/>
      <c r="AA258" s="367"/>
      <c r="AC258" s="368"/>
      <c r="AD258" s="368"/>
      <c r="AE258" s="368"/>
      <c r="AG258" s="369"/>
      <c r="AI258" s="291"/>
    </row>
    <row r="259" spans="2:35" ht="16" customHeight="1">
      <c r="B259" s="394" t="s">
        <v>562</v>
      </c>
      <c r="F259" s="348">
        <v>700</v>
      </c>
      <c r="G259" s="313"/>
      <c r="H259" s="313">
        <f t="shared" si="72"/>
        <v>420</v>
      </c>
      <c r="I259" s="313"/>
      <c r="J259" s="349">
        <f t="shared" si="73"/>
        <v>1.6666666666666667</v>
      </c>
      <c r="K259" s="313"/>
      <c r="L259" s="397">
        <f t="shared" si="74"/>
        <v>4.1992105484168979E-6</v>
      </c>
      <c r="P259" s="365"/>
      <c r="Q259" s="366"/>
      <c r="S259" s="365"/>
      <c r="U259" s="365"/>
      <c r="V259" s="313"/>
      <c r="W259" s="313"/>
      <c r="X259" s="313"/>
      <c r="Y259" s="349"/>
      <c r="Z259" s="313"/>
      <c r="AA259" s="367"/>
      <c r="AC259" s="368"/>
      <c r="AD259" s="368"/>
      <c r="AE259" s="368"/>
      <c r="AG259" s="369"/>
      <c r="AI259" s="291"/>
    </row>
    <row r="260" spans="2:35" ht="16" customHeight="1" thickBot="1">
      <c r="B260" s="402" t="s">
        <v>563</v>
      </c>
      <c r="F260" s="352">
        <f>SUM(F251:F259)</f>
        <v>272100</v>
      </c>
      <c r="G260" s="313"/>
      <c r="H260" s="313"/>
      <c r="I260" s="313"/>
      <c r="J260" s="353">
        <f>SUM(J251:J259)</f>
        <v>647.85714285714278</v>
      </c>
      <c r="K260" s="313"/>
      <c r="L260" s="354">
        <f>SUM(L251:L259)</f>
        <v>1.6322931288917681E-3</v>
      </c>
      <c r="N260" s="331">
        <f>J260/$J$310</f>
        <v>1.6693542944267428E-3</v>
      </c>
      <c r="P260" s="365"/>
      <c r="Q260" s="366"/>
      <c r="S260" s="365"/>
      <c r="U260" s="365"/>
      <c r="V260" s="313"/>
      <c r="W260" s="313"/>
      <c r="X260" s="313"/>
      <c r="Y260" s="349"/>
      <c r="Z260" s="313"/>
      <c r="AA260" s="367"/>
      <c r="AC260" s="368"/>
      <c r="AD260" s="368"/>
      <c r="AE260" s="368"/>
      <c r="AG260" s="369"/>
      <c r="AI260" s="291"/>
    </row>
    <row r="261" spans="2:35" ht="16" customHeight="1">
      <c r="B261" s="404"/>
      <c r="F261" s="363"/>
      <c r="G261" s="313"/>
      <c r="H261" s="313"/>
      <c r="I261" s="313"/>
      <c r="J261" s="313"/>
      <c r="K261" s="313"/>
      <c r="L261" s="364"/>
      <c r="P261" s="365"/>
      <c r="Q261" s="366"/>
      <c r="S261" s="365"/>
      <c r="U261" s="365"/>
      <c r="V261" s="313"/>
      <c r="W261" s="313"/>
      <c r="X261" s="313"/>
      <c r="Y261" s="349"/>
      <c r="Z261" s="313"/>
      <c r="AA261" s="367"/>
      <c r="AC261" s="368"/>
      <c r="AD261" s="368"/>
      <c r="AE261" s="368"/>
      <c r="AG261" s="369"/>
      <c r="AI261" s="291"/>
    </row>
    <row r="262" spans="2:35" ht="16" customHeight="1">
      <c r="B262" s="403" t="s">
        <v>564</v>
      </c>
      <c r="F262" s="363"/>
      <c r="G262" s="313"/>
      <c r="H262" s="313"/>
      <c r="I262" s="313"/>
      <c r="J262" s="313"/>
      <c r="K262" s="313"/>
      <c r="L262" s="364"/>
      <c r="P262" s="365"/>
      <c r="Q262" s="366"/>
      <c r="S262" s="365"/>
      <c r="U262" s="365"/>
      <c r="V262" s="313"/>
      <c r="W262" s="313"/>
      <c r="X262" s="313"/>
      <c r="Y262" s="349"/>
      <c r="Z262" s="313"/>
      <c r="AA262" s="367"/>
      <c r="AC262" s="368"/>
      <c r="AD262" s="368"/>
      <c r="AE262" s="368"/>
      <c r="AG262" s="369"/>
      <c r="AI262" s="291"/>
    </row>
    <row r="263" spans="2:35" ht="16" customHeight="1">
      <c r="B263" s="395" t="s">
        <v>567</v>
      </c>
      <c r="F263" s="348">
        <v>825000</v>
      </c>
      <c r="G263" s="313"/>
      <c r="H263" s="313">
        <f t="shared" ref="H263:H264" si="75">J$6</f>
        <v>420</v>
      </c>
      <c r="I263" s="313"/>
      <c r="J263" s="349">
        <f t="shared" ref="J263:J264" si="76">F263/H263</f>
        <v>1964.2857142857142</v>
      </c>
      <c r="K263" s="313"/>
      <c r="L263" s="397">
        <f t="shared" ref="L263:L264" si="77">J263/$J$8</f>
        <v>4.949069574919915E-3</v>
      </c>
      <c r="P263" s="365"/>
      <c r="Q263" s="366"/>
      <c r="S263" s="365"/>
      <c r="U263" s="365"/>
      <c r="V263" s="313"/>
      <c r="W263" s="313"/>
      <c r="X263" s="313"/>
      <c r="Y263" s="349"/>
      <c r="Z263" s="313"/>
      <c r="AA263" s="367"/>
      <c r="AC263" s="368"/>
      <c r="AD263" s="368"/>
      <c r="AE263" s="368"/>
      <c r="AG263" s="369"/>
      <c r="AI263" s="291"/>
    </row>
    <row r="264" spans="2:35" ht="16" customHeight="1">
      <c r="B264" s="395" t="s">
        <v>568</v>
      </c>
      <c r="F264" s="348">
        <v>88000</v>
      </c>
      <c r="G264" s="313"/>
      <c r="H264" s="313">
        <f t="shared" si="75"/>
        <v>420</v>
      </c>
      <c r="I264" s="313"/>
      <c r="J264" s="349">
        <f t="shared" si="76"/>
        <v>209.52380952380952</v>
      </c>
      <c r="K264" s="313"/>
      <c r="L264" s="397">
        <f t="shared" si="77"/>
        <v>5.2790075465812428E-4</v>
      </c>
      <c r="P264" s="365"/>
      <c r="Q264" s="366"/>
      <c r="S264" s="365"/>
      <c r="U264" s="365"/>
      <c r="V264" s="313"/>
      <c r="W264" s="313"/>
      <c r="X264" s="313"/>
      <c r="Y264" s="349"/>
      <c r="Z264" s="313"/>
      <c r="AA264" s="367"/>
      <c r="AC264" s="368"/>
      <c r="AD264" s="368"/>
      <c r="AE264" s="368"/>
      <c r="AG264" s="369"/>
      <c r="AI264" s="291"/>
    </row>
    <row r="265" spans="2:35" ht="16" customHeight="1" thickBot="1">
      <c r="B265" s="406" t="s">
        <v>569</v>
      </c>
      <c r="F265" s="352">
        <f>SUM(F263:F264)</f>
        <v>913000</v>
      </c>
      <c r="G265" s="313"/>
      <c r="H265" s="313"/>
      <c r="I265" s="313"/>
      <c r="J265" s="353">
        <f>SUM(J263:J264)</f>
        <v>2173.8095238095239</v>
      </c>
      <c r="K265" s="313"/>
      <c r="L265" s="354">
        <f>SUM(L263:L264)</f>
        <v>5.4769703295780396E-3</v>
      </c>
      <c r="N265" s="331">
        <f>J265/$J$310</f>
        <v>5.6013247732878222E-3</v>
      </c>
      <c r="P265" s="365"/>
      <c r="Q265" s="366"/>
      <c r="S265" s="365"/>
      <c r="U265" s="365"/>
      <c r="V265" s="313"/>
      <c r="W265" s="313"/>
      <c r="X265" s="313"/>
      <c r="Y265" s="349"/>
      <c r="Z265" s="313"/>
      <c r="AA265" s="367"/>
      <c r="AC265" s="368"/>
      <c r="AD265" s="368"/>
      <c r="AE265" s="368"/>
      <c r="AG265" s="369"/>
      <c r="AI265" s="291"/>
    </row>
    <row r="266" spans="2:35" ht="16" customHeight="1">
      <c r="B266" s="395"/>
      <c r="F266" s="363"/>
      <c r="G266" s="313"/>
      <c r="H266" s="313"/>
      <c r="I266" s="313"/>
      <c r="J266" s="313"/>
      <c r="K266" s="313"/>
      <c r="L266" s="364"/>
      <c r="P266" s="365"/>
      <c r="Q266" s="366"/>
      <c r="S266" s="365"/>
      <c r="U266" s="365"/>
      <c r="V266" s="313"/>
      <c r="W266" s="313"/>
      <c r="X266" s="313"/>
      <c r="Y266" s="349"/>
      <c r="Z266" s="313"/>
      <c r="AA266" s="367"/>
      <c r="AC266" s="368"/>
      <c r="AD266" s="368"/>
      <c r="AE266" s="368"/>
      <c r="AG266" s="369"/>
      <c r="AI266" s="291"/>
    </row>
    <row r="267" spans="2:35" ht="16" customHeight="1" thickBot="1">
      <c r="B267" s="407" t="s">
        <v>570</v>
      </c>
      <c r="F267" s="352">
        <f>F265+F260+F248</f>
        <v>4353892</v>
      </c>
      <c r="G267" s="313"/>
      <c r="H267" s="313"/>
      <c r="I267" s="313"/>
      <c r="J267" s="353">
        <f>J265+J260+J248</f>
        <v>10366.409523809523</v>
      </c>
      <c r="K267" s="313"/>
      <c r="L267" s="354">
        <f>L265+L260+L248</f>
        <v>2.6118441732954207E-2</v>
      </c>
      <c r="N267" s="331">
        <f>J267/$J$310</f>
        <v>2.6711460153143112E-2</v>
      </c>
      <c r="P267" s="365"/>
      <c r="Q267" s="366"/>
      <c r="S267" s="365"/>
      <c r="U267" s="365"/>
      <c r="V267" s="313"/>
      <c r="W267" s="313"/>
      <c r="X267" s="313"/>
      <c r="Y267" s="349"/>
      <c r="Z267" s="313"/>
      <c r="AA267" s="367"/>
      <c r="AC267" s="368"/>
      <c r="AD267" s="368"/>
      <c r="AE267" s="368"/>
      <c r="AG267" s="369"/>
      <c r="AI267" s="291"/>
    </row>
    <row r="268" spans="2:35" ht="16" customHeight="1">
      <c r="B268" s="393"/>
      <c r="F268" s="363"/>
      <c r="G268" s="313"/>
      <c r="H268" s="313"/>
      <c r="I268" s="313"/>
      <c r="J268" s="313"/>
      <c r="K268" s="313"/>
      <c r="L268" s="364"/>
      <c r="P268" s="365"/>
      <c r="Q268" s="366"/>
      <c r="S268" s="365"/>
      <c r="U268" s="365"/>
      <c r="V268" s="313"/>
      <c r="W268" s="313"/>
      <c r="X268" s="313"/>
      <c r="Y268" s="349"/>
      <c r="Z268" s="313"/>
      <c r="AA268" s="367"/>
      <c r="AC268" s="368"/>
      <c r="AD268" s="368"/>
      <c r="AE268" s="368"/>
      <c r="AG268" s="369"/>
      <c r="AI268" s="291"/>
    </row>
    <row r="269" spans="2:35" ht="16" customHeight="1">
      <c r="B269" s="408" t="s">
        <v>612</v>
      </c>
      <c r="C269" s="382"/>
      <c r="D269" s="382"/>
      <c r="E269" s="382"/>
      <c r="F269" s="383"/>
      <c r="G269" s="384"/>
      <c r="H269" s="384"/>
      <c r="I269" s="384"/>
      <c r="J269" s="384"/>
      <c r="K269" s="384"/>
      <c r="L269" s="385"/>
      <c r="M269" s="382"/>
      <c r="N269" s="382"/>
      <c r="O269" s="382"/>
      <c r="P269" s="386"/>
      <c r="Q269" s="386"/>
      <c r="R269" s="382"/>
      <c r="S269" s="386"/>
      <c r="T269" s="382"/>
      <c r="U269" s="386"/>
      <c r="V269" s="384"/>
      <c r="W269" s="384"/>
      <c r="X269" s="384"/>
      <c r="Y269" s="387"/>
      <c r="Z269" s="384"/>
      <c r="AA269" s="388"/>
      <c r="AB269" s="382"/>
      <c r="AC269" s="389"/>
      <c r="AD269" s="389"/>
      <c r="AE269" s="389"/>
      <c r="AF269" s="382"/>
      <c r="AG269" s="390"/>
      <c r="AI269" s="291"/>
    </row>
    <row r="270" spans="2:35" ht="16" customHeight="1">
      <c r="B270" s="399"/>
      <c r="F270" s="363"/>
      <c r="G270" s="313"/>
      <c r="H270" s="313"/>
      <c r="I270" s="313"/>
      <c r="J270" s="313"/>
      <c r="K270" s="313"/>
      <c r="L270" s="364"/>
      <c r="P270" s="365"/>
      <c r="Q270" s="366"/>
      <c r="S270" s="365"/>
      <c r="U270" s="365"/>
      <c r="V270" s="313"/>
      <c r="W270" s="313"/>
      <c r="X270" s="313"/>
      <c r="Y270" s="349"/>
      <c r="Z270" s="313"/>
      <c r="AA270" s="367"/>
      <c r="AC270" s="368"/>
      <c r="AD270" s="368"/>
      <c r="AE270" s="368"/>
      <c r="AG270" s="369"/>
      <c r="AI270" s="291"/>
    </row>
    <row r="271" spans="2:35" ht="16" customHeight="1">
      <c r="B271" s="394" t="s">
        <v>572</v>
      </c>
      <c r="F271" s="348">
        <v>150000</v>
      </c>
      <c r="G271" s="313"/>
      <c r="H271" s="313">
        <f t="shared" ref="H271:H272" si="78">J$6</f>
        <v>420</v>
      </c>
      <c r="I271" s="313"/>
      <c r="J271" s="349">
        <f t="shared" ref="J271:J272" si="79">F271/H271</f>
        <v>357.14285714285717</v>
      </c>
      <c r="K271" s="313"/>
      <c r="L271" s="397">
        <f t="shared" ref="L271:L272" si="80">J271/$J$8</f>
        <v>8.99830831803621E-4</v>
      </c>
      <c r="P271" s="365"/>
      <c r="Q271" s="366"/>
      <c r="S271" s="365"/>
      <c r="U271" s="365"/>
      <c r="V271" s="313"/>
      <c r="W271" s="313"/>
      <c r="X271" s="313"/>
      <c r="Y271" s="349"/>
      <c r="Z271" s="313"/>
      <c r="AA271" s="367"/>
      <c r="AC271" s="368"/>
      <c r="AD271" s="368"/>
      <c r="AE271" s="368"/>
      <c r="AG271" s="369"/>
      <c r="AI271" s="291"/>
    </row>
    <row r="272" spans="2:35" ht="16" customHeight="1">
      <c r="B272" s="394" t="s">
        <v>573</v>
      </c>
      <c r="F272" s="348">
        <v>420000</v>
      </c>
      <c r="G272" s="313"/>
      <c r="H272" s="313">
        <f t="shared" si="78"/>
        <v>420</v>
      </c>
      <c r="I272" s="313"/>
      <c r="J272" s="349">
        <f t="shared" si="79"/>
        <v>1000</v>
      </c>
      <c r="K272" s="313"/>
      <c r="L272" s="397">
        <f t="shared" si="80"/>
        <v>2.5195263290501385E-3</v>
      </c>
      <c r="P272" s="365"/>
      <c r="Q272" s="366"/>
      <c r="S272" s="365"/>
      <c r="U272" s="365"/>
      <c r="V272" s="313"/>
      <c r="W272" s="313"/>
      <c r="X272" s="313"/>
      <c r="Y272" s="349"/>
      <c r="Z272" s="313"/>
      <c r="AA272" s="367"/>
      <c r="AC272" s="368"/>
      <c r="AD272" s="368"/>
      <c r="AE272" s="368"/>
      <c r="AG272" s="369"/>
      <c r="AI272" s="291"/>
    </row>
    <row r="273" spans="2:35" ht="16" customHeight="1" thickBot="1">
      <c r="B273" s="396" t="s">
        <v>574</v>
      </c>
      <c r="F273" s="352">
        <f>SUM(F271:F272)</f>
        <v>570000</v>
      </c>
      <c r="G273" s="313"/>
      <c r="H273" s="313"/>
      <c r="I273" s="313"/>
      <c r="J273" s="353">
        <f>SUM(J271:J272)</f>
        <v>1357.1428571428571</v>
      </c>
      <c r="K273" s="313"/>
      <c r="L273" s="354">
        <f>SUM(L271:L272)</f>
        <v>3.4193571608537596E-3</v>
      </c>
      <c r="N273" s="331">
        <f>J273/$J$310</f>
        <v>3.4969935605411377E-3</v>
      </c>
      <c r="P273" s="365"/>
      <c r="Q273" s="366"/>
      <c r="S273" s="365"/>
      <c r="U273" s="365"/>
      <c r="V273" s="313"/>
      <c r="W273" s="313"/>
      <c r="X273" s="313"/>
      <c r="Y273" s="349"/>
      <c r="Z273" s="313"/>
      <c r="AA273" s="367"/>
      <c r="AC273" s="368"/>
      <c r="AD273" s="368"/>
      <c r="AE273" s="368"/>
      <c r="AG273" s="369"/>
      <c r="AI273" s="291"/>
    </row>
    <row r="274" spans="2:35" ht="16" customHeight="1">
      <c r="B274" s="393"/>
      <c r="F274" s="363"/>
      <c r="G274" s="313"/>
      <c r="H274" s="313"/>
      <c r="I274" s="313"/>
      <c r="J274" s="313"/>
      <c r="K274" s="313"/>
      <c r="L274" s="364"/>
      <c r="P274" s="365"/>
      <c r="Q274" s="366"/>
      <c r="S274" s="365"/>
      <c r="U274" s="365"/>
      <c r="V274" s="313"/>
      <c r="W274" s="313"/>
      <c r="X274" s="313"/>
      <c r="Y274" s="349"/>
      <c r="Z274" s="313"/>
      <c r="AA274" s="367"/>
      <c r="AC274" s="368"/>
      <c r="AD274" s="368"/>
      <c r="AE274" s="368"/>
      <c r="AG274" s="369"/>
      <c r="AI274" s="291"/>
    </row>
    <row r="275" spans="2:35" ht="16" customHeight="1">
      <c r="B275" s="408" t="s">
        <v>613</v>
      </c>
      <c r="C275" s="382"/>
      <c r="D275" s="382"/>
      <c r="E275" s="382"/>
      <c r="F275" s="383"/>
      <c r="G275" s="384"/>
      <c r="H275" s="384"/>
      <c r="I275" s="384"/>
      <c r="J275" s="384"/>
      <c r="K275" s="384"/>
      <c r="L275" s="385"/>
      <c r="M275" s="382"/>
      <c r="N275" s="382"/>
      <c r="O275" s="382"/>
      <c r="P275" s="386"/>
      <c r="Q275" s="386"/>
      <c r="R275" s="382"/>
      <c r="S275" s="386"/>
      <c r="T275" s="382"/>
      <c r="U275" s="386"/>
      <c r="V275" s="384"/>
      <c r="W275" s="384"/>
      <c r="X275" s="384"/>
      <c r="Y275" s="387"/>
      <c r="Z275" s="384"/>
      <c r="AA275" s="388"/>
      <c r="AB275" s="382"/>
      <c r="AC275" s="389"/>
      <c r="AD275" s="389"/>
      <c r="AE275" s="389"/>
      <c r="AF275" s="382"/>
      <c r="AG275" s="390"/>
      <c r="AI275" s="291"/>
    </row>
    <row r="276" spans="2:35" ht="16" customHeight="1">
      <c r="B276" s="399"/>
      <c r="F276" s="363"/>
      <c r="G276" s="313"/>
      <c r="H276" s="313"/>
      <c r="I276" s="313"/>
      <c r="J276" s="313"/>
      <c r="K276" s="313"/>
      <c r="L276" s="364"/>
      <c r="P276" s="365"/>
      <c r="Q276" s="366"/>
      <c r="S276" s="365"/>
      <c r="U276" s="365"/>
      <c r="V276" s="313"/>
      <c r="W276" s="313"/>
      <c r="X276" s="313"/>
      <c r="Y276" s="349"/>
      <c r="Z276" s="313"/>
      <c r="AA276" s="367"/>
      <c r="AC276" s="368"/>
      <c r="AD276" s="368"/>
      <c r="AE276" s="368"/>
      <c r="AG276" s="369"/>
      <c r="AI276" s="291"/>
    </row>
    <row r="277" spans="2:35" ht="16" customHeight="1">
      <c r="B277" s="395" t="s">
        <v>579</v>
      </c>
      <c r="F277" s="348">
        <v>220000</v>
      </c>
      <c r="G277" s="313"/>
      <c r="H277" s="313">
        <f t="shared" ref="H277:H279" si="81">J$6</f>
        <v>420</v>
      </c>
      <c r="I277" s="313"/>
      <c r="J277" s="349">
        <f t="shared" ref="J277:J279" si="82">F277/H277</f>
        <v>523.80952380952385</v>
      </c>
      <c r="K277" s="313"/>
      <c r="L277" s="397">
        <f t="shared" ref="L277:L279" si="83">J277/$J$8</f>
        <v>1.3197518866453109E-3</v>
      </c>
      <c r="P277" s="365"/>
      <c r="Q277" s="366"/>
      <c r="S277" s="365"/>
      <c r="U277" s="365"/>
      <c r="V277" s="313"/>
      <c r="W277" s="313"/>
      <c r="X277" s="313"/>
      <c r="Y277" s="349"/>
      <c r="Z277" s="313"/>
      <c r="AA277" s="367"/>
      <c r="AC277" s="368"/>
      <c r="AD277" s="368"/>
      <c r="AE277" s="368"/>
      <c r="AG277" s="369"/>
      <c r="AI277" s="291"/>
    </row>
    <row r="278" spans="2:35" ht="16" customHeight="1">
      <c r="B278" s="395" t="s">
        <v>580</v>
      </c>
      <c r="F278" s="348">
        <v>770000</v>
      </c>
      <c r="G278" s="313"/>
      <c r="H278" s="313">
        <f t="shared" si="81"/>
        <v>420</v>
      </c>
      <c r="I278" s="313"/>
      <c r="J278" s="349">
        <f t="shared" si="82"/>
        <v>1833.3333333333333</v>
      </c>
      <c r="K278" s="313"/>
      <c r="L278" s="397">
        <f t="shared" si="83"/>
        <v>4.6191316032585875E-3</v>
      </c>
      <c r="P278" s="365"/>
      <c r="Q278" s="366"/>
      <c r="S278" s="365"/>
      <c r="U278" s="365"/>
      <c r="V278" s="313"/>
      <c r="W278" s="313"/>
      <c r="X278" s="313"/>
      <c r="Y278" s="349"/>
      <c r="Z278" s="313"/>
      <c r="AA278" s="367"/>
      <c r="AC278" s="368"/>
      <c r="AD278" s="368"/>
      <c r="AE278" s="368"/>
      <c r="AG278" s="369"/>
      <c r="AI278" s="291"/>
    </row>
    <row r="279" spans="2:35" ht="16" customHeight="1">
      <c r="B279" s="395" t="s">
        <v>583</v>
      </c>
      <c r="F279" s="348">
        <v>175000</v>
      </c>
      <c r="G279" s="313"/>
      <c r="H279" s="313">
        <f t="shared" si="81"/>
        <v>420</v>
      </c>
      <c r="I279" s="313"/>
      <c r="J279" s="349">
        <f t="shared" si="82"/>
        <v>416.66666666666669</v>
      </c>
      <c r="K279" s="313"/>
      <c r="L279" s="397">
        <f t="shared" si="83"/>
        <v>1.0498026371042245E-3</v>
      </c>
      <c r="P279" s="365"/>
      <c r="Q279" s="366"/>
      <c r="S279" s="365"/>
      <c r="U279" s="365"/>
      <c r="V279" s="313"/>
      <c r="W279" s="313"/>
      <c r="X279" s="313"/>
      <c r="Y279" s="349"/>
      <c r="Z279" s="313"/>
      <c r="AA279" s="367"/>
      <c r="AC279" s="368"/>
      <c r="AD279" s="368"/>
      <c r="AE279" s="368"/>
      <c r="AG279" s="369"/>
      <c r="AI279" s="291"/>
    </row>
    <row r="280" spans="2:35" ht="16" customHeight="1" thickBot="1">
      <c r="B280" s="396" t="s">
        <v>577</v>
      </c>
      <c r="F280" s="352">
        <f>SUM(F277:F279)</f>
        <v>1165000</v>
      </c>
      <c r="G280" s="313"/>
      <c r="H280" s="313"/>
      <c r="I280" s="313"/>
      <c r="J280" s="353">
        <f>SUM(J277:J279)</f>
        <v>2773.8095238095234</v>
      </c>
      <c r="K280" s="313"/>
      <c r="L280" s="354">
        <f>SUM(L277:L279)</f>
        <v>6.9886861270081228E-3</v>
      </c>
      <c r="N280" s="331">
        <f>J280/$J$310</f>
        <v>7.1473640316323242E-3</v>
      </c>
      <c r="P280" s="365"/>
      <c r="Q280" s="366"/>
      <c r="S280" s="365"/>
      <c r="U280" s="365"/>
      <c r="V280" s="313"/>
      <c r="W280" s="313"/>
      <c r="X280" s="313"/>
      <c r="Y280" s="349"/>
      <c r="Z280" s="313"/>
      <c r="AA280" s="367"/>
      <c r="AC280" s="368"/>
      <c r="AD280" s="368"/>
      <c r="AE280" s="368"/>
      <c r="AG280" s="369"/>
      <c r="AI280" s="291"/>
    </row>
    <row r="281" spans="2:35" ht="16" customHeight="1">
      <c r="B281" s="393"/>
      <c r="F281" s="363"/>
      <c r="G281" s="313"/>
      <c r="H281" s="313"/>
      <c r="I281" s="313"/>
      <c r="J281" s="313"/>
      <c r="K281" s="313"/>
      <c r="L281" s="364"/>
      <c r="P281" s="365"/>
      <c r="Q281" s="366"/>
      <c r="S281" s="365"/>
      <c r="U281" s="365"/>
      <c r="V281" s="313"/>
      <c r="W281" s="313"/>
      <c r="X281" s="313"/>
      <c r="Y281" s="349"/>
      <c r="Z281" s="313"/>
      <c r="AA281" s="367"/>
      <c r="AC281" s="368"/>
      <c r="AD281" s="368"/>
      <c r="AE281" s="368"/>
      <c r="AG281" s="369"/>
      <c r="AI281" s="291"/>
    </row>
    <row r="282" spans="2:35" ht="16" customHeight="1" thickBot="1">
      <c r="B282" s="445" t="s">
        <v>614</v>
      </c>
      <c r="C282" s="412"/>
      <c r="D282" s="412"/>
      <c r="E282" s="412"/>
      <c r="F282" s="413">
        <f>F280+F273+F267+F237</f>
        <v>6235762</v>
      </c>
      <c r="G282" s="414"/>
      <c r="H282" s="414"/>
      <c r="I282" s="414"/>
      <c r="J282" s="415">
        <f>J280+J273+J267+J237</f>
        <v>14847.05238095238</v>
      </c>
      <c r="K282" s="414"/>
      <c r="L282" s="416">
        <f>L280+L273+L267+L237</f>
        <v>3.7407539382596076E-2</v>
      </c>
      <c r="M282" s="412"/>
      <c r="N282" s="412"/>
      <c r="O282" s="412"/>
      <c r="P282" s="418"/>
      <c r="Q282" s="418"/>
      <c r="R282" s="412"/>
      <c r="S282" s="418"/>
      <c r="T282" s="412"/>
      <c r="U282" s="418"/>
      <c r="V282" s="414"/>
      <c r="W282" s="414"/>
      <c r="X282" s="414"/>
      <c r="Y282" s="419"/>
      <c r="Z282" s="414"/>
      <c r="AA282" s="420"/>
      <c r="AB282" s="412"/>
      <c r="AC282" s="421"/>
      <c r="AD282" s="421"/>
      <c r="AE282" s="421"/>
      <c r="AF282" s="412"/>
      <c r="AG282" s="422"/>
      <c r="AI282" s="291"/>
    </row>
    <row r="283" spans="2:35" ht="16" customHeight="1">
      <c r="B283" s="446"/>
      <c r="F283" s="363"/>
      <c r="G283" s="313"/>
      <c r="H283" s="313"/>
      <c r="I283" s="313"/>
      <c r="J283" s="313"/>
      <c r="K283" s="313"/>
      <c r="L283" s="364"/>
      <c r="P283" s="365"/>
      <c r="Q283" s="366"/>
      <c r="S283" s="365"/>
      <c r="U283" s="365"/>
      <c r="V283" s="313"/>
      <c r="W283" s="313"/>
      <c r="X283" s="313"/>
      <c r="Y283" s="349"/>
      <c r="Z283" s="313"/>
      <c r="AA283" s="367"/>
      <c r="AC283" s="368"/>
      <c r="AD283" s="368"/>
      <c r="AE283" s="368"/>
      <c r="AG283" s="369"/>
      <c r="AI283" s="291"/>
    </row>
    <row r="284" spans="2:35" ht="16" customHeight="1">
      <c r="B284" s="434" t="s">
        <v>615</v>
      </c>
      <c r="C284" s="435"/>
      <c r="D284" s="435"/>
      <c r="E284" s="435"/>
      <c r="F284" s="436"/>
      <c r="G284" s="437"/>
      <c r="H284" s="437"/>
      <c r="I284" s="437"/>
      <c r="J284" s="437"/>
      <c r="K284" s="437"/>
      <c r="L284" s="438"/>
      <c r="M284" s="435"/>
      <c r="N284" s="435"/>
      <c r="O284" s="435"/>
      <c r="P284" s="439"/>
      <c r="Q284" s="439"/>
      <c r="R284" s="435"/>
      <c r="S284" s="439"/>
      <c r="T284" s="435"/>
      <c r="U284" s="439"/>
      <c r="V284" s="437"/>
      <c r="W284" s="437"/>
      <c r="X284" s="437"/>
      <c r="Y284" s="440"/>
      <c r="Z284" s="437"/>
      <c r="AA284" s="441"/>
      <c r="AB284" s="435"/>
      <c r="AC284" s="442"/>
      <c r="AD284" s="442"/>
      <c r="AE284" s="442"/>
      <c r="AF284" s="435"/>
      <c r="AG284" s="443"/>
      <c r="AI284" s="291"/>
    </row>
    <row r="285" spans="2:35" ht="16" customHeight="1">
      <c r="B285" s="447"/>
      <c r="F285" s="363"/>
      <c r="G285" s="313"/>
      <c r="H285" s="313"/>
      <c r="I285" s="313"/>
      <c r="J285" s="313"/>
      <c r="K285" s="313"/>
      <c r="L285" s="364"/>
      <c r="P285" s="365"/>
      <c r="Q285" s="366"/>
      <c r="S285" s="365"/>
      <c r="U285" s="365"/>
      <c r="V285" s="313"/>
      <c r="W285" s="313"/>
      <c r="X285" s="313"/>
      <c r="Y285" s="349"/>
      <c r="Z285" s="313"/>
      <c r="AA285" s="367"/>
      <c r="AC285" s="368"/>
      <c r="AD285" s="368"/>
      <c r="AE285" s="368"/>
      <c r="AG285" s="369"/>
      <c r="AI285" s="291"/>
    </row>
    <row r="286" spans="2:35" ht="16" customHeight="1">
      <c r="B286" s="447" t="s">
        <v>616</v>
      </c>
      <c r="F286" s="348">
        <v>6235762</v>
      </c>
      <c r="G286" s="313"/>
      <c r="H286" s="313">
        <f t="shared" ref="H286:H287" si="84">J$6</f>
        <v>420</v>
      </c>
      <c r="I286" s="313"/>
      <c r="J286" s="349">
        <f t="shared" ref="J286:J287" si="85">F286/H286</f>
        <v>14847.05238095238</v>
      </c>
      <c r="K286" s="313"/>
      <c r="L286" s="397">
        <f t="shared" ref="L286:L287" si="86">J286/$J$8</f>
        <v>3.7407539382596069E-2</v>
      </c>
      <c r="P286" s="365"/>
      <c r="Q286" s="366"/>
      <c r="S286" s="365"/>
      <c r="U286" s="365"/>
      <c r="V286" s="313"/>
      <c r="W286" s="313"/>
      <c r="X286" s="313"/>
      <c r="Y286" s="349"/>
      <c r="Z286" s="313"/>
      <c r="AA286" s="367"/>
      <c r="AC286" s="368"/>
      <c r="AD286" s="368"/>
      <c r="AE286" s="368"/>
      <c r="AG286" s="369"/>
      <c r="AI286" s="291"/>
    </row>
    <row r="287" spans="2:35" ht="16" customHeight="1">
      <c r="B287" s="447" t="s">
        <v>617</v>
      </c>
      <c r="F287" s="348">
        <v>6547550.1000000006</v>
      </c>
      <c r="G287" s="313"/>
      <c r="H287" s="313">
        <f t="shared" si="84"/>
        <v>420</v>
      </c>
      <c r="I287" s="313"/>
      <c r="J287" s="349">
        <f t="shared" si="85"/>
        <v>15589.405000000001</v>
      </c>
      <c r="K287" s="313"/>
      <c r="L287" s="397">
        <f t="shared" si="86"/>
        <v>3.9277916351725881E-2</v>
      </c>
      <c r="P287" s="365"/>
      <c r="Q287" s="366"/>
      <c r="S287" s="365"/>
      <c r="U287" s="365"/>
      <c r="V287" s="313"/>
      <c r="W287" s="313"/>
      <c r="X287" s="313"/>
      <c r="Y287" s="349"/>
      <c r="Z287" s="313"/>
      <c r="AA287" s="367"/>
      <c r="AC287" s="368"/>
      <c r="AD287" s="368"/>
      <c r="AE287" s="368"/>
      <c r="AG287" s="369"/>
      <c r="AI287" s="291"/>
    </row>
    <row r="288" spans="2:35" ht="16" customHeight="1" thickBot="1">
      <c r="B288" s="448" t="s">
        <v>618</v>
      </c>
      <c r="F288" s="352">
        <f>SUM(F286:F287)</f>
        <v>12783312.100000001</v>
      </c>
      <c r="G288" s="313"/>
      <c r="H288" s="313"/>
      <c r="I288" s="313"/>
      <c r="J288" s="353">
        <f>SUM(J286:J287)</f>
        <v>30436.457380952379</v>
      </c>
      <c r="K288" s="313"/>
      <c r="L288" s="354">
        <f>SUM(L286:L287)</f>
        <v>7.668545573432195E-2</v>
      </c>
      <c r="N288" s="331">
        <f>J288/$J$310</f>
        <v>7.8426596659802811E-2</v>
      </c>
      <c r="P288" s="365"/>
      <c r="Q288" s="366"/>
      <c r="S288" s="365"/>
      <c r="U288" s="365"/>
      <c r="V288" s="313"/>
      <c r="W288" s="313"/>
      <c r="X288" s="313"/>
      <c r="Y288" s="349"/>
      <c r="Z288" s="313"/>
      <c r="AA288" s="367"/>
      <c r="AC288" s="368"/>
      <c r="AD288" s="368"/>
      <c r="AE288" s="368"/>
      <c r="AG288" s="369"/>
      <c r="AI288" s="291"/>
    </row>
    <row r="289" spans="2:35" ht="16" customHeight="1">
      <c r="B289" s="449"/>
      <c r="F289" s="363"/>
      <c r="G289" s="313"/>
      <c r="H289" s="313"/>
      <c r="I289" s="313"/>
      <c r="J289" s="313"/>
      <c r="K289" s="313"/>
      <c r="L289" s="364"/>
      <c r="P289" s="365"/>
      <c r="Q289" s="366"/>
      <c r="S289" s="365"/>
      <c r="U289" s="365"/>
      <c r="V289" s="313"/>
      <c r="W289" s="313"/>
      <c r="X289" s="313"/>
      <c r="Y289" s="349"/>
      <c r="Z289" s="313"/>
      <c r="AA289" s="367"/>
      <c r="AC289" s="368"/>
      <c r="AD289" s="368"/>
      <c r="AE289" s="368"/>
      <c r="AG289" s="369"/>
      <c r="AI289" s="291"/>
    </row>
    <row r="290" spans="2:35" ht="16" customHeight="1">
      <c r="B290" s="447" t="s">
        <v>619</v>
      </c>
      <c r="F290" s="348">
        <v>6874927.6050000004</v>
      </c>
      <c r="G290" s="313"/>
      <c r="H290" s="313">
        <f t="shared" ref="H290:H291" si="87">J$6</f>
        <v>420</v>
      </c>
      <c r="I290" s="313"/>
      <c r="J290" s="349">
        <f t="shared" ref="J290:J291" si="88">F290/H290</f>
        <v>16368.875250000001</v>
      </c>
      <c r="K290" s="313"/>
      <c r="L290" s="397">
        <f t="shared" ref="L290:L291" si="89">J290/$J$8</f>
        <v>4.1241812169312171E-2</v>
      </c>
      <c r="P290" s="365"/>
      <c r="Q290" s="366"/>
      <c r="S290" s="365"/>
      <c r="U290" s="365"/>
      <c r="V290" s="313"/>
      <c r="W290" s="313"/>
      <c r="X290" s="313"/>
      <c r="Y290" s="349"/>
      <c r="Z290" s="313"/>
      <c r="AA290" s="367"/>
      <c r="AC290" s="368"/>
      <c r="AD290" s="368"/>
      <c r="AE290" s="368"/>
      <c r="AG290" s="369"/>
      <c r="AI290" s="291"/>
    </row>
    <row r="291" spans="2:35" ht="16" customHeight="1">
      <c r="B291" s="447" t="s">
        <v>620</v>
      </c>
      <c r="F291" s="348">
        <v>7218673.9852500008</v>
      </c>
      <c r="G291" s="313"/>
      <c r="H291" s="313">
        <f t="shared" si="87"/>
        <v>420</v>
      </c>
      <c r="I291" s="313"/>
      <c r="J291" s="349">
        <f t="shared" si="88"/>
        <v>17187.319012500004</v>
      </c>
      <c r="K291" s="313"/>
      <c r="L291" s="397">
        <f t="shared" si="89"/>
        <v>4.3303902777777785E-2</v>
      </c>
      <c r="P291" s="365"/>
      <c r="Q291" s="366"/>
      <c r="S291" s="365"/>
      <c r="U291" s="365"/>
      <c r="V291" s="313"/>
      <c r="W291" s="313"/>
      <c r="X291" s="313"/>
      <c r="Y291" s="349"/>
      <c r="Z291" s="313"/>
      <c r="AA291" s="367"/>
      <c r="AC291" s="368"/>
      <c r="AD291" s="368"/>
      <c r="AE291" s="368"/>
      <c r="AG291" s="369"/>
      <c r="AI291" s="291"/>
    </row>
    <row r="292" spans="2:35" ht="16" customHeight="1" thickBot="1">
      <c r="B292" s="448" t="s">
        <v>621</v>
      </c>
      <c r="F292" s="352">
        <f>SUM(F290:F291)</f>
        <v>14093601.59025</v>
      </c>
      <c r="G292" s="313"/>
      <c r="H292" s="313"/>
      <c r="I292" s="313"/>
      <c r="J292" s="353">
        <f>SUM(J290:J291)</f>
        <v>33556.194262500008</v>
      </c>
      <c r="K292" s="313"/>
      <c r="L292" s="354">
        <f>SUM(L290:L291)</f>
        <v>8.4545714947089956E-2</v>
      </c>
      <c r="N292" s="331">
        <f>J292/$J$310</f>
        <v>8.6465322817432633E-2</v>
      </c>
      <c r="P292" s="365"/>
      <c r="Q292" s="366"/>
      <c r="S292" s="365"/>
      <c r="U292" s="365"/>
      <c r="V292" s="313"/>
      <c r="W292" s="313"/>
      <c r="X292" s="313"/>
      <c r="Y292" s="349"/>
      <c r="Z292" s="313"/>
      <c r="AA292" s="367"/>
      <c r="AC292" s="368"/>
      <c r="AD292" s="368"/>
      <c r="AE292" s="368"/>
      <c r="AG292" s="369"/>
      <c r="AI292" s="291"/>
    </row>
    <row r="293" spans="2:35" ht="16" customHeight="1">
      <c r="B293" s="447"/>
      <c r="F293" s="363"/>
      <c r="G293" s="313"/>
      <c r="H293" s="313"/>
      <c r="I293" s="313"/>
      <c r="J293" s="313"/>
      <c r="K293" s="313"/>
      <c r="L293" s="364"/>
      <c r="P293" s="365"/>
      <c r="Q293" s="366"/>
      <c r="S293" s="365"/>
      <c r="U293" s="365"/>
      <c r="V293" s="313"/>
      <c r="W293" s="313"/>
      <c r="X293" s="313"/>
      <c r="Y293" s="349"/>
      <c r="Z293" s="313"/>
      <c r="AA293" s="367"/>
      <c r="AC293" s="368"/>
      <c r="AD293" s="368"/>
      <c r="AE293" s="368"/>
      <c r="AG293" s="369"/>
      <c r="AI293" s="291"/>
    </row>
    <row r="294" spans="2:35" ht="16" customHeight="1">
      <c r="B294" s="447" t="s">
        <v>622</v>
      </c>
      <c r="F294" s="348">
        <v>7579607.6845125016</v>
      </c>
      <c r="G294" s="313"/>
      <c r="H294" s="313">
        <f t="shared" ref="H294:H295" si="90">J$6</f>
        <v>420</v>
      </c>
      <c r="I294" s="313"/>
      <c r="J294" s="349">
        <f t="shared" ref="J294:J295" si="91">F294/H294</f>
        <v>18046.684963125004</v>
      </c>
      <c r="K294" s="313"/>
      <c r="L294" s="397">
        <f t="shared" ref="L294:L295" si="92">J294/$J$8</f>
        <v>4.546909791666668E-2</v>
      </c>
      <c r="P294" s="365"/>
      <c r="Q294" s="366"/>
      <c r="S294" s="365"/>
      <c r="U294" s="365"/>
      <c r="V294" s="313"/>
      <c r="W294" s="313"/>
      <c r="X294" s="313"/>
      <c r="Y294" s="349"/>
      <c r="Z294" s="313"/>
      <c r="AA294" s="367"/>
      <c r="AC294" s="368"/>
      <c r="AD294" s="368"/>
      <c r="AE294" s="368"/>
      <c r="AG294" s="369"/>
      <c r="AI294" s="291"/>
    </row>
    <row r="295" spans="2:35" ht="16" customHeight="1">
      <c r="B295" s="447" t="s">
        <v>623</v>
      </c>
      <c r="F295" s="348">
        <v>7958588.0687381271</v>
      </c>
      <c r="G295" s="313"/>
      <c r="H295" s="313">
        <f t="shared" si="90"/>
        <v>420</v>
      </c>
      <c r="I295" s="313"/>
      <c r="J295" s="349">
        <f t="shared" si="91"/>
        <v>18949.019211281255</v>
      </c>
      <c r="K295" s="313"/>
      <c r="L295" s="397">
        <f t="shared" si="92"/>
        <v>4.7742552812500012E-2</v>
      </c>
      <c r="P295" s="365"/>
      <c r="Q295" s="366"/>
      <c r="S295" s="365"/>
      <c r="U295" s="365"/>
      <c r="V295" s="313"/>
      <c r="W295" s="313"/>
      <c r="X295" s="313"/>
      <c r="Y295" s="349"/>
      <c r="Z295" s="313"/>
      <c r="AA295" s="367"/>
      <c r="AC295" s="368"/>
      <c r="AD295" s="368"/>
      <c r="AE295" s="368"/>
      <c r="AG295" s="369"/>
      <c r="AI295" s="291"/>
    </row>
    <row r="296" spans="2:35" ht="16" customHeight="1" thickBot="1">
      <c r="B296" s="448" t="s">
        <v>624</v>
      </c>
      <c r="F296" s="352">
        <f>SUM(F294:F295)</f>
        <v>15538195.753250629</v>
      </c>
      <c r="G296" s="313"/>
      <c r="H296" s="313"/>
      <c r="I296" s="313"/>
      <c r="J296" s="353">
        <f>SUM(J294:J295)</f>
        <v>36995.704174406259</v>
      </c>
      <c r="K296" s="313"/>
      <c r="L296" s="354">
        <f>SUM(L294:L295)</f>
        <v>9.3211650729166692E-2</v>
      </c>
      <c r="N296" s="331">
        <f>J296/$J$310</f>
        <v>9.5328018406219475E-2</v>
      </c>
      <c r="P296" s="365"/>
      <c r="Q296" s="366"/>
      <c r="S296" s="365"/>
      <c r="U296" s="365"/>
      <c r="V296" s="313"/>
      <c r="W296" s="313"/>
      <c r="X296" s="313"/>
      <c r="Y296" s="349"/>
      <c r="Z296" s="313"/>
      <c r="AA296" s="367"/>
      <c r="AC296" s="368"/>
      <c r="AD296" s="368"/>
      <c r="AE296" s="368"/>
      <c r="AG296" s="369"/>
      <c r="AI296" s="291"/>
    </row>
    <row r="297" spans="2:35" ht="16" customHeight="1">
      <c r="B297" s="449"/>
      <c r="F297" s="363"/>
      <c r="G297" s="313"/>
      <c r="H297" s="313"/>
      <c r="I297" s="313"/>
      <c r="J297" s="313"/>
      <c r="K297" s="313"/>
      <c r="L297" s="364"/>
      <c r="P297" s="365"/>
      <c r="Q297" s="366"/>
      <c r="S297" s="365"/>
      <c r="U297" s="365"/>
      <c r="V297" s="313"/>
      <c r="W297" s="313"/>
      <c r="X297" s="313"/>
      <c r="Y297" s="349"/>
      <c r="Z297" s="313"/>
      <c r="AA297" s="367"/>
      <c r="AC297" s="368"/>
      <c r="AD297" s="368"/>
      <c r="AE297" s="368"/>
      <c r="AG297" s="369"/>
      <c r="AI297" s="291"/>
    </row>
    <row r="298" spans="2:35" ht="16" customHeight="1" thickBot="1">
      <c r="B298" s="445" t="s">
        <v>625</v>
      </c>
      <c r="C298" s="412"/>
      <c r="D298" s="412"/>
      <c r="E298" s="412"/>
      <c r="F298" s="413">
        <f>F296+F292+F288</f>
        <v>42415109.443500631</v>
      </c>
      <c r="G298" s="414"/>
      <c r="H298" s="414"/>
      <c r="I298" s="414"/>
      <c r="J298" s="415">
        <f>J296+J292+J288</f>
        <v>100988.35581785865</v>
      </c>
      <c r="K298" s="414"/>
      <c r="L298" s="416">
        <f>L296+L292+L288</f>
        <v>0.25444282141057861</v>
      </c>
      <c r="M298" s="412"/>
      <c r="N298" s="417">
        <f>J298/$J$310</f>
        <v>0.26021993788345493</v>
      </c>
      <c r="O298" s="412"/>
      <c r="P298" s="418"/>
      <c r="Q298" s="418"/>
      <c r="R298" s="412"/>
      <c r="S298" s="418"/>
      <c r="T298" s="412"/>
      <c r="U298" s="418"/>
      <c r="V298" s="414"/>
      <c r="W298" s="414"/>
      <c r="X298" s="414"/>
      <c r="Y298" s="419"/>
      <c r="Z298" s="414"/>
      <c r="AA298" s="420"/>
      <c r="AB298" s="412"/>
      <c r="AC298" s="421"/>
      <c r="AD298" s="421"/>
      <c r="AE298" s="421"/>
      <c r="AF298" s="412"/>
      <c r="AG298" s="422"/>
      <c r="AI298" s="291"/>
    </row>
    <row r="299" spans="2:35" ht="16" customHeight="1">
      <c r="B299" s="450"/>
      <c r="F299" s="363"/>
      <c r="G299" s="313"/>
      <c r="H299" s="313"/>
      <c r="I299" s="313"/>
      <c r="J299" s="313"/>
      <c r="K299" s="313"/>
      <c r="L299" s="364"/>
      <c r="P299" s="365"/>
      <c r="Q299" s="366"/>
      <c r="S299" s="365"/>
      <c r="U299" s="365"/>
      <c r="V299" s="313"/>
      <c r="W299" s="313"/>
      <c r="X299" s="313"/>
      <c r="Y299" s="349"/>
      <c r="Z299" s="313"/>
      <c r="AA299" s="367"/>
      <c r="AC299" s="368"/>
      <c r="AD299" s="368"/>
      <c r="AE299" s="368"/>
      <c r="AG299" s="369"/>
      <c r="AI299" s="291"/>
    </row>
    <row r="300" spans="2:35" ht="16" customHeight="1">
      <c r="B300" s="451" t="s">
        <v>626</v>
      </c>
      <c r="C300" s="452"/>
      <c r="D300" s="452"/>
      <c r="E300" s="452"/>
      <c r="F300" s="453"/>
      <c r="G300" s="452"/>
      <c r="H300" s="452"/>
      <c r="I300" s="452"/>
      <c r="J300" s="452"/>
      <c r="K300" s="452"/>
      <c r="L300" s="454"/>
      <c r="M300" s="452"/>
      <c r="N300" s="452"/>
      <c r="O300" s="452"/>
      <c r="P300" s="455"/>
      <c r="Q300" s="455"/>
      <c r="R300" s="452"/>
      <c r="S300" s="455"/>
      <c r="T300" s="452"/>
      <c r="U300" s="455"/>
      <c r="V300" s="452"/>
      <c r="W300" s="452"/>
      <c r="X300" s="452"/>
      <c r="Y300" s="456"/>
      <c r="Z300" s="452"/>
      <c r="AA300" s="457"/>
      <c r="AB300" s="452"/>
      <c r="AC300" s="458"/>
      <c r="AD300" s="458"/>
      <c r="AE300" s="458"/>
      <c r="AF300" s="452"/>
      <c r="AG300" s="459"/>
      <c r="AI300" s="291"/>
    </row>
    <row r="301" spans="2:35" ht="16" customHeight="1">
      <c r="B301" s="450"/>
      <c r="F301" s="363"/>
      <c r="G301" s="313"/>
      <c r="H301" s="313"/>
      <c r="I301" s="313"/>
      <c r="J301" s="313"/>
      <c r="K301" s="313"/>
      <c r="L301" s="364"/>
      <c r="P301" s="365"/>
      <c r="Q301" s="366"/>
      <c r="S301" s="365"/>
      <c r="U301" s="365"/>
      <c r="V301" s="313"/>
      <c r="W301" s="313"/>
      <c r="X301" s="313"/>
      <c r="Y301" s="349"/>
      <c r="Z301" s="313"/>
      <c r="AA301" s="367"/>
      <c r="AC301" s="368"/>
      <c r="AD301" s="368"/>
      <c r="AE301" s="368"/>
      <c r="AG301" s="369"/>
      <c r="AI301" s="291"/>
    </row>
    <row r="302" spans="2:35" ht="16" customHeight="1">
      <c r="B302" s="460" t="s">
        <v>539</v>
      </c>
      <c r="C302" s="461"/>
      <c r="D302" s="461"/>
      <c r="E302" s="461"/>
      <c r="F302" s="462">
        <f>F23</f>
        <v>44844000</v>
      </c>
      <c r="G302" s="463"/>
      <c r="H302" s="463"/>
      <c r="I302" s="463"/>
      <c r="J302" s="464">
        <f>J23</f>
        <v>112110</v>
      </c>
      <c r="K302" s="465"/>
      <c r="L302" s="466">
        <f>L23</f>
        <v>0.28246409674981104</v>
      </c>
      <c r="M302" s="461"/>
      <c r="N302" s="467">
        <f>J302/$J$310</f>
        <v>0.28887743542167038</v>
      </c>
      <c r="O302" s="461"/>
      <c r="P302" s="468"/>
      <c r="Q302" s="468"/>
      <c r="R302" s="461"/>
      <c r="S302" s="468"/>
      <c r="T302" s="461"/>
      <c r="U302" s="468"/>
      <c r="V302" s="465"/>
      <c r="W302" s="465"/>
      <c r="X302" s="465"/>
      <c r="Y302" s="469"/>
      <c r="Z302" s="465"/>
      <c r="AA302" s="470"/>
      <c r="AB302" s="461"/>
      <c r="AC302" s="471"/>
      <c r="AD302" s="471"/>
      <c r="AE302" s="471"/>
      <c r="AF302" s="461"/>
      <c r="AG302" s="472"/>
      <c r="AI302" s="291"/>
    </row>
    <row r="303" spans="2:35" ht="16" customHeight="1">
      <c r="B303" s="450"/>
      <c r="F303" s="473"/>
      <c r="G303" s="281"/>
      <c r="H303" s="281"/>
      <c r="I303" s="281"/>
      <c r="J303" s="281"/>
      <c r="K303" s="313"/>
      <c r="L303" s="474"/>
      <c r="P303" s="365"/>
      <c r="Q303" s="366"/>
      <c r="S303" s="365"/>
      <c r="U303" s="365"/>
      <c r="V303" s="313"/>
      <c r="W303" s="313"/>
      <c r="X303" s="313"/>
      <c r="Y303" s="349"/>
      <c r="Z303" s="313"/>
      <c r="AA303" s="367"/>
      <c r="AC303" s="368"/>
      <c r="AD303" s="368"/>
      <c r="AE303" s="368"/>
      <c r="AG303" s="369"/>
      <c r="AI303" s="291"/>
    </row>
    <row r="304" spans="2:35" ht="16" customHeight="1">
      <c r="B304" s="460" t="s">
        <v>541</v>
      </c>
      <c r="C304" s="461"/>
      <c r="D304" s="461"/>
      <c r="E304" s="461"/>
      <c r="F304" s="462">
        <f>F127</f>
        <v>33711403</v>
      </c>
      <c r="G304" s="463"/>
      <c r="H304" s="463"/>
      <c r="I304" s="463"/>
      <c r="J304" s="464">
        <f>J127</f>
        <v>84278.507499999992</v>
      </c>
      <c r="K304" s="465"/>
      <c r="L304" s="466">
        <f>L127</f>
        <v>0.21234191861929955</v>
      </c>
      <c r="M304" s="461"/>
      <c r="N304" s="467">
        <f>J304/$J$310</f>
        <v>0.21716313538280269</v>
      </c>
      <c r="O304" s="461"/>
      <c r="P304" s="468"/>
      <c r="Q304" s="468"/>
      <c r="R304" s="461"/>
      <c r="S304" s="468"/>
      <c r="T304" s="461"/>
      <c r="U304" s="468"/>
      <c r="V304" s="465"/>
      <c r="W304" s="465"/>
      <c r="X304" s="465"/>
      <c r="Y304" s="469"/>
      <c r="Z304" s="465"/>
      <c r="AA304" s="470"/>
      <c r="AB304" s="461"/>
      <c r="AC304" s="471"/>
      <c r="AD304" s="471"/>
      <c r="AE304" s="471"/>
      <c r="AF304" s="461"/>
      <c r="AG304" s="472"/>
      <c r="AI304" s="291"/>
    </row>
    <row r="305" spans="2:35" ht="16" customHeight="1">
      <c r="B305" s="450"/>
      <c r="F305" s="473"/>
      <c r="G305" s="281"/>
      <c r="H305" s="281"/>
      <c r="I305" s="281"/>
      <c r="J305" s="281"/>
      <c r="K305" s="313"/>
      <c r="L305" s="474"/>
      <c r="P305" s="365"/>
      <c r="Q305" s="366"/>
      <c r="S305" s="365"/>
      <c r="U305" s="365"/>
      <c r="V305" s="313"/>
      <c r="W305" s="313"/>
      <c r="X305" s="313"/>
      <c r="Y305" s="349"/>
      <c r="Z305" s="313"/>
      <c r="AA305" s="367"/>
      <c r="AC305" s="368"/>
      <c r="AD305" s="368"/>
      <c r="AE305" s="368"/>
      <c r="AG305" s="369"/>
      <c r="AI305" s="291"/>
    </row>
    <row r="306" spans="2:35" ht="16" customHeight="1">
      <c r="B306" s="460" t="s">
        <v>594</v>
      </c>
      <c r="C306" s="461"/>
      <c r="D306" s="461"/>
      <c r="E306" s="461"/>
      <c r="F306" s="462">
        <f>F223</f>
        <v>36284640</v>
      </c>
      <c r="G306" s="463"/>
      <c r="H306" s="463"/>
      <c r="I306" s="463"/>
      <c r="J306" s="464">
        <f>J223</f>
        <v>90711.599999999991</v>
      </c>
      <c r="K306" s="465"/>
      <c r="L306" s="466">
        <f>L223</f>
        <v>0.22855026455026453</v>
      </c>
      <c r="M306" s="461"/>
      <c r="N306" s="467">
        <f>J306/$J$310</f>
        <v>0.233739491312072</v>
      </c>
      <c r="O306" s="461"/>
      <c r="P306" s="468"/>
      <c r="Q306" s="468"/>
      <c r="R306" s="461"/>
      <c r="S306" s="468"/>
      <c r="T306" s="461"/>
      <c r="U306" s="468"/>
      <c r="V306" s="465"/>
      <c r="W306" s="465"/>
      <c r="X306" s="465"/>
      <c r="Y306" s="469"/>
      <c r="Z306" s="465"/>
      <c r="AA306" s="470"/>
      <c r="AB306" s="461"/>
      <c r="AC306" s="471"/>
      <c r="AD306" s="471"/>
      <c r="AE306" s="471"/>
      <c r="AF306" s="461"/>
      <c r="AG306" s="472"/>
      <c r="AI306" s="291"/>
    </row>
    <row r="307" spans="2:35" ht="16" customHeight="1">
      <c r="B307" s="450"/>
      <c r="F307" s="473"/>
      <c r="G307" s="281"/>
      <c r="H307" s="281"/>
      <c r="I307" s="281"/>
      <c r="J307" s="281"/>
      <c r="K307" s="313"/>
      <c r="L307" s="474"/>
      <c r="P307" s="365"/>
      <c r="Q307" s="366"/>
      <c r="S307" s="365"/>
      <c r="U307" s="365"/>
      <c r="V307" s="313"/>
      <c r="W307" s="313"/>
      <c r="X307" s="313"/>
      <c r="Y307" s="349"/>
      <c r="Z307" s="313"/>
      <c r="AA307" s="367"/>
      <c r="AC307" s="368"/>
      <c r="AD307" s="368"/>
      <c r="AE307" s="368"/>
      <c r="AG307" s="369"/>
      <c r="AI307" s="291"/>
    </row>
    <row r="308" spans="2:35" ht="16" customHeight="1">
      <c r="B308" s="460" t="s">
        <v>609</v>
      </c>
      <c r="C308" s="461"/>
      <c r="D308" s="461"/>
      <c r="E308" s="461"/>
      <c r="F308" s="462">
        <f>F298</f>
        <v>42415109.443500631</v>
      </c>
      <c r="G308" s="463"/>
      <c r="H308" s="463"/>
      <c r="I308" s="463"/>
      <c r="J308" s="464">
        <f>J298</f>
        <v>100988.35581785865</v>
      </c>
      <c r="K308" s="465"/>
      <c r="L308" s="466">
        <f>L298</f>
        <v>0.25444282141057861</v>
      </c>
      <c r="M308" s="461"/>
      <c r="N308" s="467">
        <f>J308/$J$310</f>
        <v>0.26021993788345493</v>
      </c>
      <c r="O308" s="461"/>
      <c r="P308" s="468"/>
      <c r="Q308" s="468"/>
      <c r="R308" s="461"/>
      <c r="S308" s="468"/>
      <c r="T308" s="461"/>
      <c r="U308" s="468"/>
      <c r="V308" s="465"/>
      <c r="W308" s="465"/>
      <c r="X308" s="465"/>
      <c r="Y308" s="469"/>
      <c r="Z308" s="465"/>
      <c r="AA308" s="470"/>
      <c r="AB308" s="461"/>
      <c r="AC308" s="471"/>
      <c r="AD308" s="471"/>
      <c r="AE308" s="471"/>
      <c r="AF308" s="461"/>
      <c r="AG308" s="472"/>
      <c r="AI308" s="291"/>
    </row>
    <row r="309" spans="2:35" ht="16" customHeight="1">
      <c r="B309" s="450"/>
      <c r="F309" s="363"/>
      <c r="G309" s="313"/>
      <c r="H309" s="313"/>
      <c r="I309" s="313"/>
      <c r="J309" s="313"/>
      <c r="K309" s="313"/>
      <c r="L309" s="397"/>
      <c r="P309" s="365"/>
      <c r="Q309" s="366"/>
      <c r="S309" s="365"/>
      <c r="U309" s="365"/>
      <c r="V309" s="313"/>
      <c r="W309" s="313"/>
      <c r="X309" s="313"/>
      <c r="Y309" s="349"/>
      <c r="Z309" s="313"/>
      <c r="AA309" s="367"/>
      <c r="AC309" s="368"/>
      <c r="AD309" s="368"/>
      <c r="AE309" s="368"/>
      <c r="AG309" s="369"/>
      <c r="AI309" s="291"/>
    </row>
    <row r="310" spans="2:35" ht="16" customHeight="1">
      <c r="B310" s="475" t="s">
        <v>627</v>
      </c>
      <c r="C310" s="452"/>
      <c r="D310" s="452"/>
      <c r="E310" s="452"/>
      <c r="F310" s="476">
        <f>SUM(F302:F308)</f>
        <v>157255152.44350064</v>
      </c>
      <c r="G310" s="477"/>
      <c r="H310" s="477"/>
      <c r="I310" s="477"/>
      <c r="J310" s="478">
        <f>SUM(J302:J308)</f>
        <v>388088.46331785864</v>
      </c>
      <c r="K310" s="477"/>
      <c r="L310" s="479">
        <f>SUM(L302:L308)</f>
        <v>0.97779910132995373</v>
      </c>
      <c r="M310" s="452"/>
      <c r="N310" s="480">
        <f>J310/$J$310</f>
        <v>1</v>
      </c>
      <c r="O310" s="452"/>
      <c r="P310" s="455"/>
      <c r="Q310" s="455"/>
      <c r="R310" s="452"/>
      <c r="S310" s="455"/>
      <c r="T310" s="452"/>
      <c r="U310" s="455"/>
      <c r="V310" s="452"/>
      <c r="W310" s="452"/>
      <c r="X310" s="452"/>
      <c r="Y310" s="456"/>
      <c r="Z310" s="452"/>
      <c r="AA310" s="457"/>
      <c r="AB310" s="452"/>
      <c r="AC310" s="458"/>
      <c r="AD310" s="458"/>
      <c r="AE310" s="458"/>
      <c r="AF310" s="452"/>
      <c r="AG310" s="459"/>
      <c r="AI310" s="291"/>
    </row>
    <row r="311" spans="2:35" ht="16" customHeight="1">
      <c r="B311" s="450"/>
      <c r="F311" s="481"/>
      <c r="G311" s="482"/>
      <c r="H311" s="482"/>
      <c r="I311" s="482"/>
      <c r="J311" s="482"/>
      <c r="K311" s="482"/>
      <c r="L311" s="483"/>
      <c r="P311" s="365"/>
      <c r="Q311" s="366"/>
      <c r="S311" s="365"/>
      <c r="U311" s="365"/>
      <c r="V311" s="313"/>
      <c r="W311" s="313"/>
      <c r="X311" s="313"/>
      <c r="Y311" s="349"/>
      <c r="Z311" s="313"/>
      <c r="AA311" s="367"/>
      <c r="AC311" s="368"/>
      <c r="AD311" s="368"/>
      <c r="AE311" s="368"/>
      <c r="AG311" s="369"/>
      <c r="AI311" s="291"/>
    </row>
    <row r="312" spans="2:35" ht="16" customHeight="1">
      <c r="AI312" s="291"/>
    </row>
    <row r="313" spans="2:35" ht="16" customHeight="1">
      <c r="AI313" s="291"/>
    </row>
    <row r="314" spans="2:35" ht="16" customHeight="1">
      <c r="AI314" s="291"/>
    </row>
  </sheetData>
  <mergeCells count="2">
    <mergeCell ref="F12:L13"/>
    <mergeCell ref="P12:AG13"/>
  </mergeCells>
  <pageMargins left="0.24" right="0.24" top="0.45" bottom="0.4" header="0.31496062992126" footer="0.31496062992126"/>
  <pageSetup paperSize="9" scale="57"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100"/>
  <sheetViews>
    <sheetView zoomScale="120" zoomScaleNormal="120" zoomScalePageLayoutView="120" workbookViewId="0">
      <pane xSplit="1" ySplit="4" topLeftCell="B5" activePane="bottomRight" state="frozen"/>
      <selection activeCell="A2" sqref="A2"/>
      <selection pane="topRight" activeCell="C2" sqref="C2"/>
      <selection pane="bottomLeft" activeCell="A6" sqref="A6"/>
      <selection pane="bottomRight" activeCell="A2" sqref="A2"/>
    </sheetView>
  </sheetViews>
  <sheetFormatPr baseColWidth="10" defaultColWidth="9.1640625" defaultRowHeight="14" x14ac:dyDescent="0"/>
  <cols>
    <col min="1" max="1" width="53.33203125" style="485" customWidth="1"/>
    <col min="2" max="2" width="14.1640625" style="485" customWidth="1"/>
    <col min="3" max="3" width="18.83203125" style="485" bestFit="1" customWidth="1"/>
    <col min="4" max="4" width="12.5" style="485" bestFit="1" customWidth="1"/>
    <col min="5" max="16384" width="9.1640625" style="485"/>
  </cols>
  <sheetData>
    <row r="1" spans="1:8" ht="16" customHeight="1">
      <c r="A1" s="562" t="s">
        <v>722</v>
      </c>
      <c r="B1" s="486"/>
    </row>
    <row r="2" spans="1:8">
      <c r="A2" s="487" t="s">
        <v>629</v>
      </c>
      <c r="B2" s="488" t="s">
        <v>630</v>
      </c>
    </row>
    <row r="3" spans="1:8">
      <c r="A3" s="489" t="s">
        <v>631</v>
      </c>
      <c r="B3" s="490">
        <v>189873</v>
      </c>
    </row>
    <row r="4" spans="1:8" s="493" customFormat="1">
      <c r="A4" s="491" t="s">
        <v>632</v>
      </c>
      <c r="B4" s="492">
        <v>2.3618780921164899</v>
      </c>
    </row>
    <row r="5" spans="1:8" ht="24" thickBot="1">
      <c r="A5" s="494" t="s">
        <v>633</v>
      </c>
      <c r="B5" s="495"/>
    </row>
    <row r="6" spans="1:8" ht="20">
      <c r="A6" s="496" t="s">
        <v>634</v>
      </c>
      <c r="B6" s="497" t="s">
        <v>635</v>
      </c>
      <c r="C6" s="497" t="s">
        <v>636</v>
      </c>
    </row>
    <row r="7" spans="1:8">
      <c r="A7" s="498" t="s">
        <v>637</v>
      </c>
      <c r="B7" s="498"/>
      <c r="C7" s="499"/>
    </row>
    <row r="8" spans="1:8">
      <c r="A8" s="500" t="s">
        <v>638</v>
      </c>
      <c r="B8" s="500"/>
      <c r="C8" s="499"/>
    </row>
    <row r="9" spans="1:8" s="502" customFormat="1">
      <c r="A9" s="501" t="s">
        <v>639</v>
      </c>
      <c r="B9" s="501"/>
      <c r="C9" s="499">
        <v>234</v>
      </c>
    </row>
    <row r="10" spans="1:8">
      <c r="A10" s="503"/>
      <c r="B10" s="503"/>
      <c r="C10" s="504"/>
    </row>
    <row r="11" spans="1:8">
      <c r="A11" s="505" t="s">
        <v>640</v>
      </c>
      <c r="B11" s="505"/>
      <c r="C11" s="506">
        <v>234</v>
      </c>
    </row>
    <row r="12" spans="1:8" s="508" customFormat="1" ht="28">
      <c r="A12" s="507" t="s">
        <v>641</v>
      </c>
      <c r="B12" s="507"/>
      <c r="C12" s="499"/>
    </row>
    <row r="13" spans="1:8">
      <c r="A13" s="509" t="s">
        <v>642</v>
      </c>
      <c r="B13" s="509"/>
      <c r="C13" s="499">
        <v>31733</v>
      </c>
      <c r="D13" s="510"/>
      <c r="E13" s="486"/>
      <c r="F13" s="486" t="s">
        <v>643</v>
      </c>
      <c r="G13" s="486" t="s">
        <v>644</v>
      </c>
      <c r="H13" s="486" t="s">
        <v>645</v>
      </c>
    </row>
    <row r="14" spans="1:8">
      <c r="A14" s="511" t="s">
        <v>646</v>
      </c>
      <c r="B14" s="511"/>
      <c r="C14" s="512">
        <v>15240</v>
      </c>
      <c r="D14" s="513"/>
      <c r="E14" s="486" t="s">
        <v>647</v>
      </c>
      <c r="F14" s="514">
        <v>28807</v>
      </c>
      <c r="G14" s="515">
        <v>4.3023455527095952E-2</v>
      </c>
      <c r="H14" s="515">
        <v>0.28357665051189951</v>
      </c>
    </row>
    <row r="15" spans="1:8">
      <c r="A15" s="516" t="s">
        <v>648</v>
      </c>
      <c r="B15" s="516"/>
      <c r="C15" s="517"/>
      <c r="D15" s="518"/>
      <c r="E15" s="486" t="s">
        <v>649</v>
      </c>
      <c r="F15" s="514">
        <v>50643</v>
      </c>
      <c r="G15" s="515">
        <v>7.5635673907686329E-2</v>
      </c>
      <c r="H15" s="486"/>
    </row>
    <row r="16" spans="1:8">
      <c r="A16" s="516" t="s">
        <v>650</v>
      </c>
      <c r="B16" s="516"/>
      <c r="C16" s="517"/>
      <c r="D16" s="518"/>
      <c r="E16" s="486" t="s">
        <v>651</v>
      </c>
      <c r="F16" s="514">
        <v>41190</v>
      </c>
      <c r="G16" s="515">
        <v>6.1517552440763783E-2</v>
      </c>
      <c r="H16" s="486"/>
    </row>
    <row r="17" spans="1:8">
      <c r="A17" s="516" t="s">
        <v>652</v>
      </c>
      <c r="B17" s="516"/>
      <c r="C17" s="517"/>
      <c r="D17" s="518"/>
      <c r="E17" s="486" t="s">
        <v>653</v>
      </c>
      <c r="F17" s="514">
        <v>69233</v>
      </c>
      <c r="G17" s="515">
        <v>0.10339996863635345</v>
      </c>
      <c r="H17" s="486"/>
    </row>
    <row r="18" spans="1:8">
      <c r="A18" s="519" t="s">
        <v>654</v>
      </c>
      <c r="B18" s="519"/>
      <c r="C18" s="499"/>
      <c r="D18" s="510"/>
      <c r="E18" s="486" t="s">
        <v>655</v>
      </c>
      <c r="F18" s="514">
        <v>117754</v>
      </c>
      <c r="G18" s="515">
        <v>0.17586642073585088</v>
      </c>
      <c r="H18" s="486"/>
    </row>
    <row r="19" spans="1:8">
      <c r="A19" s="505" t="s">
        <v>656</v>
      </c>
      <c r="B19" s="505"/>
      <c r="C19" s="506">
        <v>46973</v>
      </c>
      <c r="D19" s="520"/>
      <c r="E19" s="486" t="s">
        <v>657</v>
      </c>
      <c r="F19" s="514">
        <v>73230</v>
      </c>
      <c r="G19" s="515">
        <v>0.10936951602906364</v>
      </c>
      <c r="H19" s="486"/>
    </row>
    <row r="20" spans="1:8">
      <c r="A20" s="521" t="s">
        <v>658</v>
      </c>
      <c r="B20" s="521"/>
      <c r="C20" s="499"/>
      <c r="D20" s="510"/>
      <c r="E20" s="486" t="s">
        <v>659</v>
      </c>
      <c r="F20" s="514">
        <v>73230</v>
      </c>
      <c r="G20" s="515">
        <v>0.10936951602906364</v>
      </c>
      <c r="H20" s="486"/>
    </row>
    <row r="21" spans="1:8">
      <c r="A21" s="522" t="s">
        <v>660</v>
      </c>
      <c r="B21" s="522"/>
      <c r="C21" s="499"/>
      <c r="D21" s="510"/>
      <c r="E21" s="486" t="s">
        <v>661</v>
      </c>
      <c r="F21" s="514">
        <v>83393</v>
      </c>
      <c r="G21" s="515">
        <v>0.12454802745065827</v>
      </c>
      <c r="H21" s="486"/>
    </row>
    <row r="22" spans="1:8">
      <c r="A22" s="519" t="s">
        <v>662</v>
      </c>
      <c r="B22" s="519"/>
      <c r="C22" s="486"/>
      <c r="D22" s="523"/>
      <c r="E22" s="486" t="s">
        <v>663</v>
      </c>
      <c r="F22" s="514">
        <v>132085</v>
      </c>
      <c r="G22" s="515">
        <v>0.19726986924346404</v>
      </c>
      <c r="H22" s="486"/>
    </row>
    <row r="23" spans="1:8" s="527" customFormat="1">
      <c r="A23" s="519" t="s">
        <v>664</v>
      </c>
      <c r="B23" s="524">
        <v>78453</v>
      </c>
      <c r="C23" s="525">
        <v>22247.438962610053</v>
      </c>
      <c r="D23" s="526"/>
      <c r="F23" s="527">
        <v>669565</v>
      </c>
      <c r="G23" s="528">
        <v>1</v>
      </c>
    </row>
    <row r="24" spans="1:8" s="527" customFormat="1">
      <c r="A24" s="519" t="s">
        <v>665</v>
      </c>
      <c r="B24" s="529">
        <v>62357</v>
      </c>
      <c r="C24" s="524">
        <v>17682.989195970516</v>
      </c>
    </row>
    <row r="25" spans="1:8" s="527" customFormat="1">
      <c r="A25" s="530" t="s">
        <v>666</v>
      </c>
      <c r="B25" s="524">
        <v>42852</v>
      </c>
      <c r="C25" s="531">
        <v>12151.826627735918</v>
      </c>
    </row>
    <row r="26" spans="1:8" s="527" customFormat="1">
      <c r="A26" s="522" t="s">
        <v>667</v>
      </c>
      <c r="B26" s="522"/>
      <c r="C26" s="524">
        <v>67520.11</v>
      </c>
    </row>
    <row r="27" spans="1:8" s="527" customFormat="1">
      <c r="A27" s="516" t="s">
        <v>668</v>
      </c>
      <c r="B27" s="516"/>
      <c r="C27" s="517"/>
    </row>
    <row r="28" spans="1:8">
      <c r="A28" s="516" t="s">
        <v>669</v>
      </c>
      <c r="B28" s="516"/>
      <c r="C28" s="517"/>
    </row>
    <row r="29" spans="1:8">
      <c r="A29" s="516" t="s">
        <v>670</v>
      </c>
      <c r="B29" s="516"/>
      <c r="C29" s="517"/>
    </row>
    <row r="30" spans="1:8">
      <c r="A30" s="516" t="s">
        <v>671</v>
      </c>
      <c r="B30" s="516"/>
      <c r="C30" s="517"/>
    </row>
    <row r="31" spans="1:8">
      <c r="A31" s="516" t="s">
        <v>672</v>
      </c>
      <c r="B31" s="516"/>
      <c r="C31" s="517"/>
    </row>
    <row r="32" spans="1:8">
      <c r="A32" s="516" t="s">
        <v>476</v>
      </c>
      <c r="B32" s="516"/>
      <c r="C32" s="517"/>
    </row>
    <row r="33" spans="1:3">
      <c r="A33" s="516" t="s">
        <v>673</v>
      </c>
      <c r="B33" s="516"/>
      <c r="C33" s="517"/>
    </row>
    <row r="34" spans="1:3">
      <c r="A34" s="516" t="s">
        <v>674</v>
      </c>
      <c r="B34" s="516"/>
      <c r="C34" s="517"/>
    </row>
    <row r="35" spans="1:3">
      <c r="A35" s="516" t="s">
        <v>675</v>
      </c>
      <c r="B35" s="516"/>
      <c r="C35" s="517"/>
    </row>
    <row r="36" spans="1:3">
      <c r="A36" s="532"/>
      <c r="B36" s="532"/>
      <c r="C36" s="512"/>
    </row>
    <row r="37" spans="1:3">
      <c r="A37" s="522" t="s">
        <v>676</v>
      </c>
      <c r="B37" s="522"/>
      <c r="C37" s="512"/>
    </row>
    <row r="38" spans="1:3">
      <c r="A38" s="519" t="s">
        <v>677</v>
      </c>
      <c r="B38" s="519"/>
      <c r="C38" s="524">
        <v>3296</v>
      </c>
    </row>
    <row r="39" spans="1:3">
      <c r="A39" s="519" t="s">
        <v>678</v>
      </c>
      <c r="B39" s="519"/>
      <c r="C39" s="524">
        <v>9000</v>
      </c>
    </row>
    <row r="40" spans="1:3">
      <c r="A40" s="519" t="s">
        <v>679</v>
      </c>
      <c r="B40" s="519"/>
      <c r="C40" s="524">
        <v>22500</v>
      </c>
    </row>
    <row r="41" spans="1:3">
      <c r="A41" s="533" t="s">
        <v>680</v>
      </c>
      <c r="B41" s="524">
        <v>1300</v>
      </c>
      <c r="C41" s="534">
        <v>368.64964566546934</v>
      </c>
    </row>
    <row r="42" spans="1:3">
      <c r="A42" s="533" t="s">
        <v>681</v>
      </c>
      <c r="B42" s="533"/>
      <c r="C42" s="524">
        <v>720</v>
      </c>
    </row>
    <row r="43" spans="1:3">
      <c r="A43" s="533" t="s">
        <v>682</v>
      </c>
      <c r="B43" s="533"/>
      <c r="C43" s="524">
        <v>180</v>
      </c>
    </row>
    <row r="44" spans="1:3">
      <c r="A44" s="535" t="s">
        <v>656</v>
      </c>
      <c r="B44" s="535"/>
      <c r="C44" s="536">
        <v>155667.01443198195</v>
      </c>
    </row>
    <row r="45" spans="1:3">
      <c r="A45" s="522" t="s">
        <v>683</v>
      </c>
      <c r="B45" s="522"/>
      <c r="C45" s="499"/>
    </row>
    <row r="46" spans="1:3">
      <c r="A46" s="519" t="s">
        <v>684</v>
      </c>
      <c r="B46" s="499">
        <v>55900</v>
      </c>
      <c r="C46" s="534">
        <v>15851.934763615183</v>
      </c>
    </row>
    <row r="47" spans="1:3">
      <c r="A47" s="519" t="s">
        <v>685</v>
      </c>
      <c r="B47" s="499">
        <v>16800</v>
      </c>
      <c r="C47" s="534">
        <v>4764.0877285999113</v>
      </c>
    </row>
    <row r="48" spans="1:3">
      <c r="A48" s="537" t="s">
        <v>686</v>
      </c>
      <c r="B48" s="499">
        <v>700</v>
      </c>
      <c r="C48" s="534">
        <v>198.50365535832967</v>
      </c>
    </row>
    <row r="49" spans="1:5">
      <c r="A49" s="537" t="s">
        <v>687</v>
      </c>
      <c r="B49" s="499">
        <v>700</v>
      </c>
      <c r="C49" s="534">
        <v>198.50365535832967</v>
      </c>
    </row>
    <row r="50" spans="1:5">
      <c r="A50" s="537" t="s">
        <v>688</v>
      </c>
      <c r="B50" s="499">
        <v>2150</v>
      </c>
      <c r="C50" s="534">
        <v>609.68979860058391</v>
      </c>
    </row>
    <row r="51" spans="1:5">
      <c r="A51" s="537" t="s">
        <v>689</v>
      </c>
      <c r="B51" s="499">
        <v>840</v>
      </c>
      <c r="C51" s="534">
        <v>238.20438642999559</v>
      </c>
    </row>
    <row r="52" spans="1:5">
      <c r="A52" s="537" t="s">
        <v>690</v>
      </c>
      <c r="B52" s="499">
        <v>4730</v>
      </c>
      <c r="C52" s="534">
        <v>1341.3175569212847</v>
      </c>
      <c r="E52" s="538"/>
    </row>
    <row r="53" spans="1:5">
      <c r="A53" s="537" t="s">
        <v>691</v>
      </c>
      <c r="B53" s="499">
        <v>840</v>
      </c>
      <c r="C53" s="499">
        <v>210</v>
      </c>
    </row>
    <row r="54" spans="1:5">
      <c r="A54" s="537" t="s">
        <v>692</v>
      </c>
      <c r="B54" s="499">
        <v>1400</v>
      </c>
      <c r="C54" s="539">
        <v>350</v>
      </c>
    </row>
    <row r="55" spans="1:5">
      <c r="A55" s="537" t="s">
        <v>693</v>
      </c>
      <c r="B55" s="499">
        <v>26</v>
      </c>
      <c r="C55" s="534">
        <v>7.3729929133093872</v>
      </c>
    </row>
    <row r="56" spans="1:5">
      <c r="A56" s="519" t="s">
        <v>694</v>
      </c>
      <c r="B56" s="499">
        <v>480</v>
      </c>
      <c r="C56" s="534">
        <v>136.11679224571176</v>
      </c>
    </row>
    <row r="57" spans="1:5">
      <c r="A57" s="519" t="s">
        <v>695</v>
      </c>
      <c r="B57" s="499">
        <v>1120</v>
      </c>
      <c r="C57" s="534">
        <v>317.60584857332742</v>
      </c>
    </row>
    <row r="58" spans="1:5" s="508" customFormat="1">
      <c r="A58" s="519" t="s">
        <v>696</v>
      </c>
      <c r="B58" s="499">
        <v>200</v>
      </c>
      <c r="C58" s="534">
        <v>56.715330102379902</v>
      </c>
    </row>
    <row r="59" spans="1:5" s="527" customFormat="1">
      <c r="A59" s="519" t="s">
        <v>697</v>
      </c>
      <c r="B59" s="499">
        <v>11610</v>
      </c>
      <c r="C59" s="534">
        <v>3292.3249124431532</v>
      </c>
    </row>
    <row r="60" spans="1:5">
      <c r="A60" s="519" t="s">
        <v>698</v>
      </c>
      <c r="B60" s="499">
        <v>240</v>
      </c>
      <c r="C60" s="534">
        <v>68.058396122855882</v>
      </c>
    </row>
    <row r="61" spans="1:5">
      <c r="A61" s="540" t="s">
        <v>656</v>
      </c>
      <c r="B61" s="536">
        <v>97736</v>
      </c>
      <c r="C61" s="536">
        <v>27640.435817284353</v>
      </c>
    </row>
    <row r="62" spans="1:5">
      <c r="A62" s="541"/>
      <c r="B62" s="541"/>
      <c r="C62" s="542"/>
    </row>
    <row r="63" spans="1:5" s="544" customFormat="1">
      <c r="A63" s="543" t="s">
        <v>699</v>
      </c>
      <c r="B63" s="543"/>
      <c r="C63" s="542">
        <v>2343</v>
      </c>
    </row>
    <row r="64" spans="1:5" s="544" customFormat="1">
      <c r="A64" s="541"/>
      <c r="B64" s="541"/>
      <c r="C64" s="542"/>
      <c r="D64" s="545"/>
    </row>
    <row r="65" spans="1:3">
      <c r="A65" s="543" t="s">
        <v>700</v>
      </c>
      <c r="B65" s="543"/>
      <c r="C65" s="512">
        <v>39140</v>
      </c>
    </row>
    <row r="66" spans="1:3">
      <c r="A66" s="546" t="s">
        <v>701</v>
      </c>
      <c r="B66" s="546"/>
      <c r="C66" s="499"/>
    </row>
    <row r="67" spans="1:3">
      <c r="A67" s="546" t="s">
        <v>702</v>
      </c>
      <c r="B67" s="546"/>
      <c r="C67" s="499"/>
    </row>
    <row r="68" spans="1:3">
      <c r="A68" s="547"/>
      <c r="B68" s="547"/>
      <c r="C68" s="499"/>
    </row>
    <row r="69" spans="1:3">
      <c r="A69" s="548" t="s">
        <v>703</v>
      </c>
      <c r="B69" s="512"/>
      <c r="C69" s="512">
        <v>6266</v>
      </c>
    </row>
    <row r="70" spans="1:3">
      <c r="A70" s="548" t="s">
        <v>704</v>
      </c>
      <c r="B70" s="524">
        <v>63240</v>
      </c>
      <c r="C70" s="531">
        <v>17933.387378372525</v>
      </c>
    </row>
    <row r="71" spans="1:3">
      <c r="A71" s="548" t="s">
        <v>705</v>
      </c>
      <c r="B71" s="524">
        <v>18464</v>
      </c>
      <c r="C71" s="531">
        <v>5235.9592750517122</v>
      </c>
    </row>
    <row r="72" spans="1:3">
      <c r="A72" s="549"/>
      <c r="B72" s="549"/>
      <c r="C72" s="506">
        <v>70918.346653424247</v>
      </c>
    </row>
    <row r="73" spans="1:3">
      <c r="A73" s="521" t="s">
        <v>706</v>
      </c>
      <c r="B73" s="521"/>
      <c r="C73" s="499"/>
    </row>
    <row r="74" spans="1:3">
      <c r="A74" s="548" t="s">
        <v>707</v>
      </c>
      <c r="B74" s="548"/>
      <c r="C74" s="524">
        <v>2706</v>
      </c>
    </row>
    <row r="75" spans="1:3">
      <c r="A75" s="521"/>
      <c r="B75" s="521"/>
      <c r="C75" s="499"/>
    </row>
    <row r="76" spans="1:3">
      <c r="A76" s="521"/>
      <c r="B76" s="521"/>
      <c r="C76" s="499"/>
    </row>
    <row r="77" spans="1:3" s="550" customFormat="1">
      <c r="A77" s="505" t="s">
        <v>708</v>
      </c>
      <c r="B77" s="505"/>
      <c r="C77" s="506">
        <v>2706</v>
      </c>
    </row>
    <row r="78" spans="1:3">
      <c r="A78" s="521" t="s">
        <v>709</v>
      </c>
      <c r="B78" s="521"/>
      <c r="C78" s="499"/>
    </row>
    <row r="79" spans="1:3">
      <c r="A79" s="551" t="s">
        <v>710</v>
      </c>
      <c r="B79" s="551"/>
      <c r="C79" s="499"/>
    </row>
    <row r="80" spans="1:3">
      <c r="A80" s="552" t="s">
        <v>711</v>
      </c>
      <c r="B80" s="499">
        <v>5012</v>
      </c>
      <c r="C80" s="534">
        <v>1421.2861723656404</v>
      </c>
    </row>
    <row r="81" spans="1:5" s="508" customFormat="1">
      <c r="A81" s="553" t="s">
        <v>712</v>
      </c>
      <c r="B81" s="524">
        <v>4967</v>
      </c>
      <c r="C81" s="534">
        <v>1408.5252230926048</v>
      </c>
    </row>
    <row r="82" spans="1:5" s="508" customFormat="1">
      <c r="A82" s="553" t="s">
        <v>713</v>
      </c>
      <c r="B82" s="524">
        <v>4868</v>
      </c>
      <c r="C82" s="534">
        <v>1380.4511346919269</v>
      </c>
    </row>
    <row r="83" spans="1:5" s="508" customFormat="1">
      <c r="A83" s="554"/>
      <c r="B83" s="554"/>
      <c r="C83" s="512"/>
    </row>
    <row r="84" spans="1:5" s="527" customFormat="1">
      <c r="A84" s="505" t="s">
        <v>714</v>
      </c>
      <c r="B84" s="505"/>
      <c r="C84" s="506">
        <v>4210.2625301501721</v>
      </c>
    </row>
    <row r="85" spans="1:5" s="508" customFormat="1">
      <c r="A85" s="555"/>
      <c r="B85" s="555"/>
      <c r="C85" s="499"/>
    </row>
    <row r="86" spans="1:5">
      <c r="A86" s="556" t="s">
        <v>715</v>
      </c>
      <c r="B86" s="556"/>
      <c r="C86" s="506">
        <v>378444.6236155564</v>
      </c>
    </row>
    <row r="87" spans="1:5">
      <c r="A87" s="557"/>
      <c r="B87" s="557"/>
      <c r="C87" s="486"/>
    </row>
    <row r="88" spans="1:5">
      <c r="A88" s="556" t="s">
        <v>716</v>
      </c>
      <c r="B88" s="556"/>
      <c r="C88" s="506"/>
      <c r="E88" s="538"/>
    </row>
    <row r="89" spans="1:5">
      <c r="A89" s="486" t="s">
        <v>717</v>
      </c>
      <c r="B89" s="486"/>
      <c r="C89" s="558">
        <v>26491.123653088951</v>
      </c>
      <c r="E89" s="538"/>
    </row>
    <row r="90" spans="1:5">
      <c r="A90" s="486" t="s">
        <v>718</v>
      </c>
      <c r="B90" s="486"/>
      <c r="C90" s="534">
        <v>43521.131715788986</v>
      </c>
      <c r="E90" s="538"/>
    </row>
    <row r="91" spans="1:5">
      <c r="A91" s="556" t="s">
        <v>719</v>
      </c>
      <c r="B91" s="556"/>
      <c r="C91" s="506">
        <v>70012.25536887793</v>
      </c>
      <c r="E91" s="538"/>
    </row>
    <row r="92" spans="1:5">
      <c r="A92" s="559" t="s">
        <v>720</v>
      </c>
      <c r="B92" s="559"/>
      <c r="C92" s="560">
        <v>448456.8789844343</v>
      </c>
      <c r="D92" s="538"/>
    </row>
    <row r="99" spans="1:2" ht="16">
      <c r="A99" s="561"/>
      <c r="B99" s="561"/>
    </row>
    <row r="100" spans="1:2" ht="16">
      <c r="A100" s="561" t="s">
        <v>721</v>
      </c>
    </row>
  </sheetData>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D17" sqref="D17"/>
    </sheetView>
  </sheetViews>
  <sheetFormatPr baseColWidth="10" defaultRowHeight="15" x14ac:dyDescent="0"/>
  <cols>
    <col min="1" max="1" width="50" customWidth="1"/>
    <col min="2" max="2" width="16.1640625" customWidth="1"/>
    <col min="3" max="3" width="14.83203125" customWidth="1"/>
  </cols>
  <sheetData>
    <row r="1" spans="1:3">
      <c r="A1" t="s">
        <v>425</v>
      </c>
    </row>
    <row r="3" spans="1:3" ht="30">
      <c r="A3" s="163"/>
      <c r="B3" s="167" t="s">
        <v>423</v>
      </c>
      <c r="C3" s="172" t="s">
        <v>415</v>
      </c>
    </row>
    <row r="4" spans="1:3">
      <c r="A4" s="163"/>
      <c r="B4" s="164"/>
      <c r="C4" s="148"/>
    </row>
    <row r="5" spans="1:3" ht="30">
      <c r="A5" s="165" t="s">
        <v>414</v>
      </c>
      <c r="B5" s="168"/>
      <c r="C5" s="148"/>
    </row>
    <row r="6" spans="1:3" ht="30">
      <c r="A6" s="166" t="s">
        <v>416</v>
      </c>
      <c r="B6" s="169">
        <v>2956.521739130435</v>
      </c>
      <c r="C6" s="148"/>
    </row>
    <row r="7" spans="1:3" ht="30">
      <c r="A7" s="166" t="s">
        <v>410</v>
      </c>
      <c r="B7" s="169">
        <v>1086.9565217391305</v>
      </c>
      <c r="C7" s="148"/>
    </row>
    <row r="8" spans="1:3">
      <c r="A8" s="166" t="s">
        <v>417</v>
      </c>
      <c r="B8" s="169">
        <v>1043.4782608695652</v>
      </c>
      <c r="C8" s="148"/>
    </row>
    <row r="9" spans="1:3">
      <c r="A9" s="166"/>
      <c r="B9" s="169"/>
      <c r="C9" s="148"/>
    </row>
    <row r="10" spans="1:3" ht="30">
      <c r="A10" s="165" t="s">
        <v>411</v>
      </c>
      <c r="B10" s="169"/>
      <c r="C10" s="148"/>
    </row>
    <row r="11" spans="1:3" ht="135">
      <c r="A11" s="166" t="s">
        <v>412</v>
      </c>
      <c r="B11" s="169">
        <v>17190.630434782608</v>
      </c>
      <c r="C11" s="148"/>
    </row>
    <row r="12" spans="1:3" ht="34" customHeight="1">
      <c r="A12" s="166" t="s">
        <v>413</v>
      </c>
      <c r="B12" s="169">
        <v>5000</v>
      </c>
      <c r="C12" s="148"/>
    </row>
    <row r="13" spans="1:3">
      <c r="A13" s="162"/>
      <c r="B13" s="168"/>
    </row>
    <row r="14" spans="1:3">
      <c r="B14" s="170">
        <f>SUM(B5:B12)</f>
        <v>27277.58695652174</v>
      </c>
    </row>
    <row r="16" spans="1:3">
      <c r="A16" t="s">
        <v>424</v>
      </c>
      <c r="B16" s="34">
        <v>268294</v>
      </c>
    </row>
    <row r="17" spans="1:3">
      <c r="A17" t="s">
        <v>321</v>
      </c>
      <c r="B17" s="171">
        <f>B14/B16</f>
        <v>0.10167050681909301</v>
      </c>
      <c r="C17" s="15">
        <f>B17*'Exchange rates'!B24</f>
        <v>0.13428640540665804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Distributions as of Nov '14</vt:lpstr>
      <vt:lpstr>AMF org</vt:lpstr>
      <vt:lpstr>Exchange rates</vt:lpstr>
      <vt:lpstr>Summary</vt:lpstr>
      <vt:lpstr>Balaka and Dedza non-net budget</vt:lpstr>
      <vt:lpstr>Dowa non-net budget</vt:lpstr>
      <vt:lpstr>Kasaï Occidental non-net costs</vt:lpstr>
      <vt:lpstr>CU non-monetary costs Ntcheu</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2014-04-14T17:56:03Z</dcterms:created>
  <dcterms:modified xsi:type="dcterms:W3CDTF">2014-11-26T20:54:20Z</dcterms:modified>
</cp:coreProperties>
</file>