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15" windowHeight="9045"/>
  </bookViews>
  <sheets>
    <sheet name="Explanation" sheetId="3" r:id="rId1"/>
    <sheet name="1. Initial est of net need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G18" i="4"/>
  <c r="L49" i="4"/>
  <c r="L50" i="4"/>
  <c r="L48" i="4"/>
  <c r="L40" i="4"/>
  <c r="M52" i="4" s="1"/>
  <c r="L32" i="4"/>
  <c r="L33" i="4"/>
  <c r="L34" i="4"/>
  <c r="L23" i="4"/>
  <c r="L8" i="4"/>
  <c r="M20" i="4" s="1"/>
  <c r="D24" i="4" l="1"/>
  <c r="G29" i="4" s="1"/>
  <c r="D18" i="4"/>
  <c r="D15" i="4"/>
  <c r="D8" i="4"/>
  <c r="L41" i="4" s="1"/>
  <c r="G33" i="4" l="1"/>
  <c r="G22" i="4"/>
  <c r="M50" i="4"/>
  <c r="L7" i="4"/>
  <c r="G17" i="4"/>
  <c r="M49" i="4"/>
  <c r="M33" i="4"/>
  <c r="L24" i="4"/>
  <c r="M34" i="4"/>
  <c r="H10" i="4"/>
  <c r="H9" i="4"/>
  <c r="H8" i="4"/>
  <c r="L16" i="4"/>
  <c r="L9" i="4"/>
  <c r="L17" i="4"/>
  <c r="M17" i="4" s="1"/>
  <c r="O49" i="4" l="1"/>
  <c r="N49" i="4"/>
  <c r="N50" i="4"/>
  <c r="O50" i="4"/>
  <c r="O34" i="4"/>
  <c r="N34" i="4"/>
  <c r="M36" i="4"/>
  <c r="L25" i="4"/>
  <c r="O33" i="4"/>
  <c r="N33" i="4"/>
  <c r="N17" i="4"/>
  <c r="O17" i="4"/>
  <c r="H12" i="4"/>
  <c r="L18" i="4"/>
  <c r="M18" i="4" s="1"/>
  <c r="G12" i="4"/>
  <c r="P50" i="4" l="1"/>
  <c r="G34" i="4"/>
  <c r="G35" i="4" s="1"/>
  <c r="G36" i="4" s="1"/>
  <c r="G23" i="4"/>
  <c r="G24" i="4" s="1"/>
  <c r="G25" i="4" s="1"/>
  <c r="G19" i="4"/>
  <c r="G30" i="4"/>
  <c r="G31" i="4" s="1"/>
  <c r="G32" i="4" s="1"/>
  <c r="G20" i="4"/>
  <c r="G21" i="4" s="1"/>
  <c r="P49" i="4"/>
  <c r="P33" i="4"/>
  <c r="I10" i="4"/>
  <c r="L42" i="4"/>
  <c r="L43" i="4" s="1"/>
  <c r="L26" i="4"/>
  <c r="L27" i="4" s="1"/>
  <c r="P34" i="4"/>
  <c r="N18" i="4"/>
  <c r="O18" i="4"/>
  <c r="P17" i="4"/>
  <c r="L10" i="4"/>
  <c r="L11" i="4" s="1"/>
  <c r="L12" i="4" s="1"/>
  <c r="I8" i="4"/>
  <c r="I9" i="4"/>
  <c r="L45" i="4" l="1"/>
  <c r="M51" i="4" s="1"/>
  <c r="L51" i="4" s="1"/>
  <c r="L44" i="4"/>
  <c r="L29" i="4"/>
  <c r="M35" i="4" s="1"/>
  <c r="L28" i="4"/>
  <c r="L19" i="4"/>
  <c r="M19" i="4" s="1"/>
  <c r="N19" i="4" s="1"/>
  <c r="P19" i="4" s="1"/>
  <c r="L13" i="4"/>
  <c r="P18" i="4"/>
  <c r="I12" i="4"/>
  <c r="L20" i="4" l="1"/>
  <c r="N51" i="4"/>
  <c r="P51" i="4" s="1"/>
  <c r="L52" i="4"/>
  <c r="M16" i="4"/>
  <c r="O16" i="4" s="1"/>
  <c r="L35" i="4"/>
  <c r="L36" i="4" s="1"/>
  <c r="M32" i="4"/>
  <c r="N35" i="4"/>
  <c r="P35" i="4" s="1"/>
  <c r="N16" i="4" l="1"/>
  <c r="N20" i="4" s="1"/>
  <c r="O32" i="4"/>
  <c r="N32" i="4"/>
  <c r="N36" i="4" s="1"/>
  <c r="O20" i="4"/>
  <c r="P16" i="4" l="1"/>
  <c r="P20" i="4" s="1"/>
  <c r="O36" i="4"/>
  <c r="P32" i="4"/>
  <c r="P36" i="4" l="1"/>
  <c r="Q17" i="4"/>
  <c r="Q19" i="4"/>
  <c r="Q18" i="4"/>
  <c r="Q16" i="4"/>
  <c r="Q20" i="4" l="1"/>
  <c r="Q33" i="4"/>
  <c r="Q34" i="4"/>
  <c r="Q35" i="4"/>
  <c r="Q32" i="4"/>
  <c r="Q36" i="4" s="1"/>
  <c r="M48" i="4" l="1"/>
  <c r="N48" i="4" s="1"/>
  <c r="N52" i="4" s="1"/>
  <c r="O48" i="4" l="1"/>
  <c r="P48" i="4" l="1"/>
  <c r="O52" i="4"/>
  <c r="P52" i="4" l="1"/>
  <c r="Q50" i="4" l="1"/>
  <c r="Q51" i="4"/>
  <c r="Q49" i="4"/>
  <c r="Q48" i="4"/>
  <c r="Q52" i="4" l="1"/>
</calcChain>
</file>

<file path=xl/sharedStrings.xml><?xml version="1.0" encoding="utf-8"?>
<sst xmlns="http://schemas.openxmlformats.org/spreadsheetml/2006/main" count="149" uniqueCount="84">
  <si>
    <t>GF</t>
  </si>
  <si>
    <t>AMF</t>
  </si>
  <si>
    <t>Total</t>
  </si>
  <si>
    <t>PMI</t>
  </si>
  <si>
    <t>OMVS</t>
  </si>
  <si>
    <t>LLINs</t>
  </si>
  <si>
    <t>Before AMF involvement</t>
  </si>
  <si>
    <t>Cost / LLIN (US$)</t>
  </si>
  <si>
    <t>Cost distribution / LLIN (US$)</t>
  </si>
  <si>
    <t>Total cost / LLIN (US$)</t>
  </si>
  <si>
    <t>Cost LLINs (US$)</t>
  </si>
  <si>
    <t>Questions</t>
  </si>
  <si>
    <t>Explanation</t>
  </si>
  <si>
    <t>Aim</t>
  </si>
  <si>
    <t>Steps</t>
  </si>
  <si>
    <t>3. Decide on a net mix and apply that, along with individual costs/net, to derive the total cost of nets to be ordered</t>
  </si>
  <si>
    <t>Spending funds wisely is important and, as the number of nets ordered is linked to the population, overestimates are costly.</t>
  </si>
  <si>
    <r>
      <t>Sources of population estimates include: 1) the most recent official national census; 2) data from the previous net distribution; and 3) district-held population data</t>
    </r>
    <r>
      <rPr>
        <i/>
        <sz val="11"/>
        <color theme="1"/>
        <rFont val="Calibri"/>
        <family val="2"/>
        <scheme val="minor"/>
      </rPr>
      <t xml:space="preserve"> (check: unclear if this is a separate category and if so, from where it is derived)</t>
    </r>
  </si>
  <si>
    <t>1) Official census: Expected to be comprehensive and reliable. However, AMF has experience from several recent nationwide distributions that suggests these can be very inaccurate</t>
  </si>
  <si>
    <t>2) Prior distribution data: This could be more recent than other information and reliable. However, it may also be inflated so not reliable.</t>
  </si>
  <si>
    <t>3) District-held data: Depending on the method of collection and when, it could be of interest.</t>
  </si>
  <si>
    <t>Contents</t>
  </si>
  <si>
    <t>This spreadsheet shows the initial calculation of net need for the Malawi 2018 Agreement.</t>
  </si>
  <si>
    <t>This was based on the programme's net gap, a discussion of the districts for which AMF would fund nets and an estimate of population numbers derived from the most recent official population census figures.</t>
  </si>
  <si>
    <t>It also shows the revised calculation taking into account community level population figures from [to be entered].</t>
  </si>
  <si>
    <t>The following statements are to be checked depending on whether the DHO data is from the last mass distribution (potentially unreliable) or another process/ocassion (more reliable?).</t>
  </si>
  <si>
    <t>Data was also received from the senior district heath officer in each district who shared registration numbers from the previous net campaign.</t>
  </si>
  <si>
    <t>However, these figures were not used as it was suspected there had been inflation of population numbers during the previous campaign.</t>
  </si>
  <si>
    <t>Individual tabs</t>
  </si>
  <si>
    <t>Tab 1: Initial assessment of net need and cost for the purpose of signing the agreement</t>
  </si>
  <si>
    <t>Tab 2: Final net numbers (prior to data from the actual registration process which will give the real numbers) and costs for finlaising the production order</t>
  </si>
  <si>
    <t>Tab 3: Nets ordered and the split between manufacturers and net type which also gives the final average cost/net</t>
  </si>
  <si>
    <t>2. Look at th</t>
  </si>
  <si>
    <t>1. Establish a reasonable estimate for the population of Guinea and therefore the estimated total net need</t>
  </si>
  <si>
    <t>Make clear the calculation of net need and list vthe known or likely funders of Guinea's 2019 universal coverage campiagn (UCC)</t>
  </si>
  <si>
    <t>Importance of determining the best possible estimate of the population</t>
  </si>
  <si>
    <t>Initial estimate of net need</t>
  </si>
  <si>
    <t>People per net (estimate)</t>
  </si>
  <si>
    <t>Implied initial population</t>
  </si>
  <si>
    <t>Implied updated population</t>
  </si>
  <si>
    <t>Initial stated net need</t>
  </si>
  <si>
    <t>Assumed population</t>
  </si>
  <si>
    <t>Implied net need</t>
  </si>
  <si>
    <t>http://worldometers.info/world-population/guinea-population/</t>
  </si>
  <si>
    <t>Updated net need</t>
  </si>
  <si>
    <t>Population</t>
  </si>
  <si>
    <t>Net need</t>
  </si>
  <si>
    <t>Funds need</t>
  </si>
  <si>
    <t>Funds Available</t>
  </si>
  <si>
    <t>Funding gap</t>
  </si>
  <si>
    <t>(A)</t>
  </si>
  <si>
    <t>(B)=(A)/1.8</t>
  </si>
  <si>
    <t>(C)=(B)x$3.5</t>
  </si>
  <si>
    <t>(D)=GF+PMI+OMS</t>
  </si>
  <si>
    <t>(E)=(C)-(D)</t>
  </si>
  <si>
    <t>(E)/$3.5</t>
  </si>
  <si>
    <t>1. Cost estimates</t>
  </si>
  <si>
    <t>Funds (US$)</t>
  </si>
  <si>
    <t>% of Total</t>
  </si>
  <si>
    <t>Updated Net Need (20Mar18)</t>
  </si>
  <si>
    <t xml:space="preserve">Population seems high. Online sources suggest 13m
</t>
  </si>
  <si>
    <t>2. Population estimates</t>
  </si>
  <si>
    <t>3. Initial funds available</t>
  </si>
  <si>
    <t>Non-net (US$)</t>
  </si>
  <si>
    <t>5. Funding Scenarios</t>
  </si>
  <si>
    <t>Scenario: "Updated net need (2)"</t>
  </si>
  <si>
    <t>Scenario: "Assumed population (3)"</t>
  </si>
  <si>
    <t>Net gap (fully funded)</t>
  </si>
  <si>
    <t>Net gap (just nets)</t>
  </si>
  <si>
    <t>(E)/$2</t>
  </si>
  <si>
    <t>Scenario: "NEW"</t>
  </si>
  <si>
    <t>1. What is the best estimate of the population?</t>
  </si>
  <si>
    <t>2. What funds are the government putting in?</t>
  </si>
  <si>
    <t>% of Total Funding</t>
  </si>
  <si>
    <t>% Gap</t>
  </si>
  <si>
    <t>Nets able to be funded</t>
  </si>
  <si>
    <t xml:space="preserve"> "Updated population"</t>
  </si>
  <si>
    <t xml:space="preserve"> "Assumed population"</t>
  </si>
  <si>
    <t>Gap (nets)</t>
  </si>
  <si>
    <t>Gap (USD)</t>
  </si>
  <si>
    <t>Funding required</t>
  </si>
  <si>
    <t>Funding available</t>
  </si>
  <si>
    <t>Gap (%)</t>
  </si>
  <si>
    <t>4. Funding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</si>
</sst>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;[Red]\-\$#,##0"/>
    <numFmt numFmtId="165" formatCode="\$#,##0.00;[Red]\-\$#,##0.0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4D4EF"/>
        <bgColor indexed="64"/>
      </patternFill>
    </fill>
    <fill>
      <patternFill patternType="solid">
        <fgColor rgb="FF5ACD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3" fillId="4" borderId="0" xfId="0" applyFont="1" applyFill="1"/>
    <xf numFmtId="0" fontId="0" fillId="4" borderId="0" xfId="0" applyFill="1"/>
    <xf numFmtId="0" fontId="0" fillId="4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5" borderId="0" xfId="0" applyFont="1" applyFill="1"/>
    <xf numFmtId="0" fontId="1" fillId="7" borderId="0" xfId="0" applyFont="1" applyFill="1"/>
    <xf numFmtId="0" fontId="3" fillId="9" borderId="0" xfId="0" applyFont="1" applyFill="1"/>
    <xf numFmtId="0" fontId="1" fillId="0" borderId="0" xfId="0" applyFont="1" applyBorder="1"/>
    <xf numFmtId="0" fontId="1" fillId="0" borderId="0" xfId="0" applyFont="1" applyBorder="1" applyAlignment="1"/>
    <xf numFmtId="0" fontId="3" fillId="2" borderId="1" xfId="0" applyFont="1" applyFill="1" applyBorder="1" applyAlignment="1">
      <alignment horizontal="right" wrapText="1"/>
    </xf>
    <xf numFmtId="3" fontId="1" fillId="0" borderId="1" xfId="0" applyNumberFormat="1" applyFont="1" applyBorder="1"/>
    <xf numFmtId="3" fontId="3" fillId="0" borderId="6" xfId="0" applyNumberFormat="1" applyFont="1" applyFill="1" applyBorder="1"/>
    <xf numFmtId="9" fontId="1" fillId="0" borderId="0" xfId="1" applyFont="1"/>
    <xf numFmtId="0" fontId="3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1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0" fontId="1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9" fillId="0" borderId="0" xfId="2" applyFont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3" fillId="0" borderId="6" xfId="0" applyNumberFormat="1" applyFont="1" applyBorder="1"/>
    <xf numFmtId="165" fontId="7" fillId="10" borderId="0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vertical="center"/>
    </xf>
    <xf numFmtId="164" fontId="3" fillId="10" borderId="1" xfId="0" applyNumberFormat="1" applyFont="1" applyFill="1" applyBorder="1"/>
    <xf numFmtId="3" fontId="3" fillId="9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1" fillId="8" borderId="0" xfId="0" applyNumberFormat="1" applyFont="1" applyFill="1" applyBorder="1" applyAlignment="1">
      <alignment horizontal="right"/>
    </xf>
    <xf numFmtId="3" fontId="1" fillId="8" borderId="1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1" fillId="0" borderId="0" xfId="0" applyNumberFormat="1" applyFont="1" applyBorder="1"/>
    <xf numFmtId="0" fontId="3" fillId="0" borderId="14" xfId="0" applyFont="1" applyFill="1" applyBorder="1" applyAlignment="1">
      <alignment horizontal="right" wrapText="1"/>
    </xf>
    <xf numFmtId="0" fontId="1" fillId="0" borderId="15" xfId="0" applyFont="1" applyBorder="1"/>
    <xf numFmtId="9" fontId="1" fillId="0" borderId="14" xfId="1" applyFont="1" applyBorder="1"/>
    <xf numFmtId="0" fontId="1" fillId="0" borderId="15" xfId="0" applyFont="1" applyBorder="1" applyAlignment="1">
      <alignment vertical="center"/>
    </xf>
    <xf numFmtId="9" fontId="11" fillId="0" borderId="14" xfId="1" applyFont="1" applyBorder="1"/>
    <xf numFmtId="9" fontId="3" fillId="0" borderId="16" xfId="1" applyFont="1" applyBorder="1"/>
    <xf numFmtId="0" fontId="1" fillId="0" borderId="17" xfId="0" applyFont="1" applyBorder="1"/>
    <xf numFmtId="0" fontId="3" fillId="0" borderId="20" xfId="0" applyFont="1" applyBorder="1"/>
    <xf numFmtId="0" fontId="1" fillId="0" borderId="16" xfId="0" applyFont="1" applyBorder="1"/>
    <xf numFmtId="0" fontId="1" fillId="0" borderId="9" xfId="0" applyFont="1" applyBorder="1"/>
    <xf numFmtId="3" fontId="1" fillId="0" borderId="10" xfId="0" applyNumberFormat="1" applyFont="1" applyBorder="1"/>
    <xf numFmtId="0" fontId="10" fillId="0" borderId="0" xfId="0" applyFont="1"/>
    <xf numFmtId="3" fontId="3" fillId="0" borderId="21" xfId="0" applyNumberFormat="1" applyFont="1" applyFill="1" applyBorder="1"/>
    <xf numFmtId="9" fontId="1" fillId="0" borderId="22" xfId="1" applyFont="1" applyBorder="1"/>
    <xf numFmtId="9" fontId="1" fillId="0" borderId="23" xfId="1" applyFont="1" applyBorder="1" applyAlignment="1">
      <alignment vertical="center"/>
    </xf>
    <xf numFmtId="3" fontId="1" fillId="0" borderId="5" xfId="0" applyNumberFormat="1" applyFont="1" applyFill="1" applyBorder="1"/>
    <xf numFmtId="9" fontId="1" fillId="0" borderId="24" xfId="1" applyFont="1" applyBorder="1"/>
    <xf numFmtId="0" fontId="3" fillId="0" borderId="25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164" fontId="3" fillId="10" borderId="31" xfId="0" applyNumberFormat="1" applyFont="1" applyFill="1" applyBorder="1"/>
    <xf numFmtId="164" fontId="3" fillId="10" borderId="19" xfId="0" applyNumberFormat="1" applyFont="1" applyFill="1" applyBorder="1" applyAlignment="1">
      <alignment vertical="center"/>
    </xf>
    <xf numFmtId="164" fontId="3" fillId="10" borderId="3" xfId="0" applyNumberFormat="1" applyFont="1" applyFill="1" applyBorder="1"/>
    <xf numFmtId="164" fontId="1" fillId="0" borderId="8" xfId="0" applyNumberFormat="1" applyFont="1" applyBorder="1"/>
    <xf numFmtId="0" fontId="1" fillId="0" borderId="32" xfId="0" applyFont="1" applyBorder="1"/>
    <xf numFmtId="0" fontId="1" fillId="0" borderId="33" xfId="0" applyFont="1" applyBorder="1" applyAlignment="1">
      <alignment vertical="center"/>
    </xf>
    <xf numFmtId="0" fontId="1" fillId="0" borderId="33" xfId="0" applyFont="1" applyBorder="1"/>
    <xf numFmtId="0" fontId="1" fillId="0" borderId="34" xfId="0" applyFont="1" applyBorder="1"/>
    <xf numFmtId="0" fontId="12" fillId="0" borderId="0" xfId="0" applyFont="1"/>
    <xf numFmtId="3" fontId="3" fillId="12" borderId="6" xfId="0" applyNumberFormat="1" applyFont="1" applyFill="1" applyBorder="1"/>
    <xf numFmtId="164" fontId="3" fillId="13" borderId="6" xfId="0" applyNumberFormat="1" applyFont="1" applyFill="1" applyBorder="1"/>
    <xf numFmtId="164" fontId="1" fillId="13" borderId="0" xfId="0" applyNumberFormat="1" applyFont="1" applyFill="1" applyBorder="1" applyAlignment="1"/>
    <xf numFmtId="3" fontId="1" fillId="0" borderId="11" xfId="0" applyNumberFormat="1" applyFont="1" applyBorder="1"/>
    <xf numFmtId="3" fontId="1" fillId="0" borderId="13" xfId="0" applyNumberFormat="1" applyFont="1" applyFill="1" applyBorder="1" applyAlignment="1">
      <alignment vertical="center"/>
    </xf>
    <xf numFmtId="3" fontId="3" fillId="12" borderId="13" xfId="0" applyNumberFormat="1" applyFont="1" applyFill="1" applyBorder="1"/>
    <xf numFmtId="9" fontId="1" fillId="0" borderId="13" xfId="1" applyFont="1" applyFill="1" applyBorder="1" applyAlignment="1">
      <alignment vertical="center"/>
    </xf>
    <xf numFmtId="164" fontId="1" fillId="0" borderId="13" xfId="0" applyNumberFormat="1" applyFont="1" applyBorder="1" applyAlignment="1"/>
    <xf numFmtId="164" fontId="1" fillId="13" borderId="13" xfId="0" applyNumberFormat="1" applyFont="1" applyFill="1" applyBorder="1" applyAlignment="1"/>
    <xf numFmtId="9" fontId="1" fillId="0" borderId="18" xfId="1" applyFont="1" applyBorder="1"/>
    <xf numFmtId="164" fontId="3" fillId="11" borderId="0" xfId="0" applyNumberFormat="1" applyFont="1" applyFill="1" applyBorder="1" applyAlignment="1"/>
    <xf numFmtId="3" fontId="3" fillId="3" borderId="10" xfId="0" applyNumberFormat="1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ACDE8"/>
      <color rgb="FFCC99FF"/>
      <color rgb="FF6994D9"/>
      <color rgb="FFF4D4E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orldometers.info/world-population/guinea-popu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abSelected="1" zoomScale="75" zoomScaleNormal="75" workbookViewId="0"/>
  </sheetViews>
  <sheetFormatPr defaultColWidth="11" defaultRowHeight="15.75" x14ac:dyDescent="0.25"/>
  <sheetData>
    <row r="2" spans="2:18" x14ac:dyDescent="0.25">
      <c r="B2" s="1" t="s">
        <v>12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x14ac:dyDescent="0.25">
      <c r="B4" s="4" t="s">
        <v>13</v>
      </c>
      <c r="P4" s="5"/>
    </row>
    <row r="5" spans="2:18" x14ac:dyDescent="0.25">
      <c r="B5" s="7" t="s">
        <v>34</v>
      </c>
    </row>
    <row r="6" spans="2:18" x14ac:dyDescent="0.25">
      <c r="B6" s="7"/>
    </row>
    <row r="7" spans="2:18" x14ac:dyDescent="0.25">
      <c r="B7" s="4" t="s">
        <v>14</v>
      </c>
    </row>
    <row r="8" spans="2:18" x14ac:dyDescent="0.25">
      <c r="B8" s="7" t="s">
        <v>33</v>
      </c>
    </row>
    <row r="9" spans="2:18" x14ac:dyDescent="0.25">
      <c r="B9" s="9" t="s">
        <v>32</v>
      </c>
    </row>
    <row r="10" spans="2:18" x14ac:dyDescent="0.25">
      <c r="B10" s="7" t="s">
        <v>15</v>
      </c>
    </row>
    <row r="11" spans="2:18" x14ac:dyDescent="0.25">
      <c r="B11" s="7"/>
    </row>
    <row r="12" spans="2:18" x14ac:dyDescent="0.25">
      <c r="B12" s="7"/>
    </row>
    <row r="13" spans="2:18" x14ac:dyDescent="0.25">
      <c r="B13" s="4" t="s">
        <v>35</v>
      </c>
    </row>
    <row r="14" spans="2:18" x14ac:dyDescent="0.25">
      <c r="B14" s="7" t="s">
        <v>16</v>
      </c>
    </row>
    <row r="15" spans="2:18" x14ac:dyDescent="0.25">
      <c r="B15" s="7" t="s">
        <v>17</v>
      </c>
    </row>
    <row r="16" spans="2:18" x14ac:dyDescent="0.25">
      <c r="B16" s="7"/>
      <c r="C16" t="s">
        <v>18</v>
      </c>
    </row>
    <row r="17" spans="2:3" x14ac:dyDescent="0.25">
      <c r="B17" s="7"/>
      <c r="C17" t="s">
        <v>19</v>
      </c>
    </row>
    <row r="18" spans="2:3" x14ac:dyDescent="0.25">
      <c r="B18" s="7"/>
      <c r="C18" t="s">
        <v>20</v>
      </c>
    </row>
    <row r="19" spans="2:3" x14ac:dyDescent="0.25">
      <c r="B19" s="7"/>
    </row>
    <row r="20" spans="2:3" x14ac:dyDescent="0.25">
      <c r="B20" s="4" t="s">
        <v>21</v>
      </c>
    </row>
    <row r="21" spans="2:3" x14ac:dyDescent="0.25">
      <c r="B21" s="7" t="s">
        <v>22</v>
      </c>
    </row>
    <row r="22" spans="2:3" x14ac:dyDescent="0.25">
      <c r="B22" s="7" t="s">
        <v>23</v>
      </c>
    </row>
    <row r="23" spans="2:3" x14ac:dyDescent="0.25">
      <c r="B23" s="7"/>
    </row>
    <row r="24" spans="2:3" x14ac:dyDescent="0.25">
      <c r="B24" s="7" t="s">
        <v>24</v>
      </c>
    </row>
    <row r="25" spans="2:3" x14ac:dyDescent="0.25">
      <c r="B25" s="7"/>
    </row>
    <row r="26" spans="2:3" x14ac:dyDescent="0.25">
      <c r="B26" s="6" t="s">
        <v>25</v>
      </c>
    </row>
    <row r="27" spans="2:3" x14ac:dyDescent="0.25">
      <c r="B27" s="7" t="s">
        <v>26</v>
      </c>
    </row>
    <row r="28" spans="2:3" x14ac:dyDescent="0.25">
      <c r="B28" s="7" t="s">
        <v>27</v>
      </c>
    </row>
    <row r="29" spans="2:3" x14ac:dyDescent="0.25">
      <c r="B29" s="7"/>
    </row>
    <row r="30" spans="2:3" x14ac:dyDescent="0.25">
      <c r="B30" s="4" t="s">
        <v>28</v>
      </c>
    </row>
    <row r="31" spans="2:3" x14ac:dyDescent="0.25">
      <c r="B31" s="7" t="s">
        <v>29</v>
      </c>
    </row>
    <row r="32" spans="2:3" x14ac:dyDescent="0.25">
      <c r="B32" s="7" t="s">
        <v>30</v>
      </c>
    </row>
    <row r="33" spans="2:2" x14ac:dyDescent="0.25">
      <c r="B33" s="7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zoomScale="75" zoomScaleNormal="75" workbookViewId="0"/>
  </sheetViews>
  <sheetFormatPr defaultColWidth="11" defaultRowHeight="15" x14ac:dyDescent="0.25"/>
  <cols>
    <col min="1" max="1" width="2.875" style="7" customWidth="1"/>
    <col min="2" max="2" width="2.125" style="7" bestFit="1" customWidth="1"/>
    <col min="3" max="3" width="41.5" style="7" customWidth="1"/>
    <col min="4" max="4" width="16.625" style="7" customWidth="1"/>
    <col min="5" max="5" width="0.875" style="7" customWidth="1"/>
    <col min="6" max="6" width="19.25" style="7" customWidth="1"/>
    <col min="7" max="9" width="16.625" style="7" customWidth="1"/>
    <col min="10" max="10" width="0.875" style="7" customWidth="1"/>
    <col min="11" max="11" width="18.625" style="7" customWidth="1"/>
    <col min="12" max="17" width="16.625" style="7" customWidth="1"/>
    <col min="18" max="18" width="0.875" style="7" customWidth="1"/>
    <col min="19" max="20" width="13.625" style="7" customWidth="1"/>
    <col min="21" max="16384" width="11" style="7"/>
  </cols>
  <sheetData>
    <row r="1" spans="2:17" ht="15" customHeight="1" x14ac:dyDescent="0.25"/>
    <row r="2" spans="2:17" ht="15" customHeight="1" x14ac:dyDescent="0.25">
      <c r="B2" s="10" t="s">
        <v>36</v>
      </c>
      <c r="C2" s="19"/>
      <c r="D2" s="1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5" customHeight="1" x14ac:dyDescent="0.25">
      <c r="D3" s="20"/>
    </row>
    <row r="4" spans="2:17" ht="15" customHeight="1" x14ac:dyDescent="0.25">
      <c r="B4" s="29" t="s">
        <v>56</v>
      </c>
      <c r="C4" s="8"/>
      <c r="D4" s="28"/>
      <c r="F4" s="29" t="s">
        <v>62</v>
      </c>
      <c r="G4" s="29"/>
      <c r="H4" s="29"/>
      <c r="I4" s="29"/>
      <c r="K4" s="29" t="s">
        <v>64</v>
      </c>
      <c r="L4" s="8"/>
      <c r="M4" s="8"/>
      <c r="N4" s="8"/>
      <c r="O4" s="8"/>
      <c r="P4" s="8"/>
      <c r="Q4" s="8"/>
    </row>
    <row r="5" spans="2:17" ht="15" customHeight="1" thickBot="1" x14ac:dyDescent="0.3">
      <c r="D5" s="20"/>
    </row>
    <row r="6" spans="2:17" ht="15" customHeight="1" thickBot="1" x14ac:dyDescent="0.3">
      <c r="C6" s="12" t="s">
        <v>7</v>
      </c>
      <c r="D6" s="40">
        <v>2</v>
      </c>
      <c r="G6" s="102" t="s">
        <v>6</v>
      </c>
      <c r="H6" s="103"/>
      <c r="I6" s="104"/>
      <c r="K6" s="94" t="s">
        <v>65</v>
      </c>
      <c r="L6" s="95"/>
      <c r="M6" s="95"/>
      <c r="N6" s="95"/>
      <c r="O6" s="95"/>
      <c r="P6" s="95"/>
      <c r="Q6" s="96"/>
    </row>
    <row r="7" spans="2:17" ht="15" customHeight="1" thickBot="1" x14ac:dyDescent="0.3">
      <c r="C7" s="12" t="s">
        <v>8</v>
      </c>
      <c r="D7" s="40">
        <v>1.5</v>
      </c>
      <c r="G7" s="72" t="s">
        <v>57</v>
      </c>
      <c r="H7" s="70" t="s">
        <v>5</v>
      </c>
      <c r="I7" s="71" t="s">
        <v>73</v>
      </c>
      <c r="K7" s="62" t="s">
        <v>45</v>
      </c>
      <c r="L7" s="63">
        <f>D18</f>
        <v>15883480.800000001</v>
      </c>
      <c r="M7" s="48" t="s">
        <v>50</v>
      </c>
      <c r="N7" s="48"/>
      <c r="O7" s="48"/>
      <c r="P7" s="48"/>
      <c r="Q7" s="49"/>
    </row>
    <row r="8" spans="2:17" ht="15" customHeight="1" thickBot="1" x14ac:dyDescent="0.3">
      <c r="C8" s="12" t="s">
        <v>9</v>
      </c>
      <c r="D8" s="41">
        <f>SUM(D6:D7)</f>
        <v>3.5</v>
      </c>
      <c r="F8" s="77" t="s">
        <v>0</v>
      </c>
      <c r="G8" s="73">
        <v>11900000</v>
      </c>
      <c r="H8" s="65">
        <f>G8/D8</f>
        <v>3400000</v>
      </c>
      <c r="I8" s="66">
        <f>G8/G$12</f>
        <v>0.69458631256384062</v>
      </c>
      <c r="K8" s="50" t="s">
        <v>46</v>
      </c>
      <c r="L8" s="36">
        <f>D17</f>
        <v>8824156</v>
      </c>
      <c r="M8" s="11" t="s">
        <v>51</v>
      </c>
      <c r="N8" s="11"/>
      <c r="O8" s="11"/>
      <c r="P8" s="11"/>
      <c r="Q8" s="51"/>
    </row>
    <row r="9" spans="2:17" ht="15" customHeight="1" x14ac:dyDescent="0.25">
      <c r="D9" s="20"/>
      <c r="F9" s="78" t="s">
        <v>3</v>
      </c>
      <c r="G9" s="74">
        <v>3482500</v>
      </c>
      <c r="H9" s="42">
        <f>G9/D8</f>
        <v>995000</v>
      </c>
      <c r="I9" s="67">
        <f>G9/G$12</f>
        <v>0.20326864147088866</v>
      </c>
      <c r="K9" s="50" t="s">
        <v>47</v>
      </c>
      <c r="L9" s="92">
        <f>L8*D8</f>
        <v>30884546</v>
      </c>
      <c r="M9" s="11" t="s">
        <v>52</v>
      </c>
      <c r="N9" s="11"/>
      <c r="O9" s="11"/>
      <c r="P9" s="11"/>
      <c r="Q9" s="51"/>
    </row>
    <row r="10" spans="2:17" ht="15" customHeight="1" x14ac:dyDescent="0.25">
      <c r="B10" s="29" t="s">
        <v>61</v>
      </c>
      <c r="C10" s="29"/>
      <c r="D10" s="30"/>
      <c r="F10" s="79" t="s">
        <v>4</v>
      </c>
      <c r="G10" s="75">
        <v>1750000</v>
      </c>
      <c r="H10" s="27">
        <f>G10/D8</f>
        <v>500000</v>
      </c>
      <c r="I10" s="67">
        <f>G10/G$12</f>
        <v>0.10214504596527069</v>
      </c>
      <c r="K10" s="50" t="s">
        <v>48</v>
      </c>
      <c r="L10" s="84">
        <f>G12</f>
        <v>17132500</v>
      </c>
      <c r="M10" s="11" t="s">
        <v>53</v>
      </c>
      <c r="N10" s="11"/>
      <c r="O10" s="11"/>
      <c r="P10" s="11"/>
      <c r="Q10" s="51"/>
    </row>
    <row r="11" spans="2:17" ht="15" customHeight="1" thickBot="1" x14ac:dyDescent="0.3">
      <c r="D11" s="20"/>
      <c r="F11" s="80" t="s">
        <v>1</v>
      </c>
      <c r="G11" s="76"/>
      <c r="H11" s="68"/>
      <c r="I11" s="69"/>
      <c r="K11" s="50" t="s">
        <v>49</v>
      </c>
      <c r="L11" s="52">
        <f>L9-L10</f>
        <v>13752046</v>
      </c>
      <c r="M11" s="11" t="s">
        <v>54</v>
      </c>
      <c r="N11" s="11"/>
      <c r="O11" s="11"/>
      <c r="P11" s="11"/>
      <c r="Q11" s="51"/>
    </row>
    <row r="12" spans="2:17" ht="15" customHeight="1" thickBot="1" x14ac:dyDescent="0.3">
      <c r="C12" s="12" t="s">
        <v>37</v>
      </c>
      <c r="D12" s="23">
        <v>1.8</v>
      </c>
      <c r="F12" s="60" t="s">
        <v>2</v>
      </c>
      <c r="G12" s="83">
        <f>SUM(G8:G11)</f>
        <v>17132500</v>
      </c>
      <c r="H12" s="82">
        <f>SUM(H8:H11)</f>
        <v>4895000</v>
      </c>
      <c r="I12" s="58">
        <f>SUM(I8:I11)</f>
        <v>1</v>
      </c>
      <c r="K12" s="50" t="s">
        <v>67</v>
      </c>
      <c r="L12" s="37">
        <f>L11/D8</f>
        <v>3929156</v>
      </c>
      <c r="M12" s="12" t="s">
        <v>55</v>
      </c>
      <c r="N12" s="11"/>
      <c r="O12" s="11"/>
      <c r="P12" s="11"/>
      <c r="Q12" s="51"/>
    </row>
    <row r="13" spans="2:17" ht="15" customHeight="1" x14ac:dyDescent="0.25">
      <c r="C13" s="18"/>
      <c r="E13" s="17"/>
      <c r="K13" s="50" t="s">
        <v>68</v>
      </c>
      <c r="L13" s="46">
        <f>L11/D6</f>
        <v>6876023</v>
      </c>
      <c r="M13" s="11" t="s">
        <v>69</v>
      </c>
      <c r="N13" s="11"/>
      <c r="O13" s="11"/>
      <c r="P13" s="11"/>
      <c r="Q13" s="51"/>
    </row>
    <row r="14" spans="2:17" ht="15" customHeight="1" x14ac:dyDescent="0.25">
      <c r="B14" s="100">
        <v>1</v>
      </c>
      <c r="C14" s="12" t="s">
        <v>40</v>
      </c>
      <c r="D14" s="24">
        <v>8000000</v>
      </c>
      <c r="E14" s="17"/>
      <c r="F14" s="29" t="s">
        <v>83</v>
      </c>
      <c r="G14" s="29"/>
      <c r="H14" s="29"/>
      <c r="I14" s="29"/>
      <c r="K14" s="50"/>
      <c r="L14" s="11"/>
      <c r="M14" s="11"/>
      <c r="N14" s="11"/>
      <c r="O14" s="11"/>
      <c r="P14" s="11"/>
      <c r="Q14" s="51"/>
    </row>
    <row r="15" spans="2:17" ht="15" customHeight="1" thickBot="1" x14ac:dyDescent="0.3">
      <c r="B15" s="101"/>
      <c r="C15" s="12" t="s">
        <v>38</v>
      </c>
      <c r="D15" s="25">
        <f>D14*D12</f>
        <v>14400000</v>
      </c>
      <c r="E15" s="17"/>
      <c r="K15" s="50"/>
      <c r="L15" s="35" t="s">
        <v>57</v>
      </c>
      <c r="M15" s="13" t="s">
        <v>5</v>
      </c>
      <c r="N15" s="13" t="s">
        <v>10</v>
      </c>
      <c r="O15" s="13" t="s">
        <v>63</v>
      </c>
      <c r="P15" s="35" t="s">
        <v>57</v>
      </c>
      <c r="Q15" s="53" t="s">
        <v>58</v>
      </c>
    </row>
    <row r="16" spans="2:17" ht="15" customHeight="1" thickBot="1" x14ac:dyDescent="0.3">
      <c r="C16" s="12"/>
      <c r="D16" s="22"/>
      <c r="E16" s="17"/>
      <c r="F16" s="60" t="s">
        <v>76</v>
      </c>
      <c r="G16" s="61"/>
      <c r="K16" s="54" t="s">
        <v>0</v>
      </c>
      <c r="L16" s="38">
        <f>G8</f>
        <v>11900000</v>
      </c>
      <c r="M16" s="14">
        <f>M20-SUM(M17:M19)</f>
        <v>453133</v>
      </c>
      <c r="N16" s="38">
        <f>M16*$D$6</f>
        <v>906266</v>
      </c>
      <c r="O16" s="38">
        <f>(M16*$D$7)+(M19*D7)</f>
        <v>10993734</v>
      </c>
      <c r="P16" s="38">
        <f>O16+N16</f>
        <v>11900000</v>
      </c>
      <c r="Q16" s="55">
        <f>P16/$P$20</f>
        <v>0.3853059714719459</v>
      </c>
    </row>
    <row r="17" spans="2:20" ht="15" customHeight="1" x14ac:dyDescent="0.25">
      <c r="B17" s="100">
        <v>2</v>
      </c>
      <c r="C17" s="12" t="s">
        <v>59</v>
      </c>
      <c r="D17" s="44">
        <v>8824156</v>
      </c>
      <c r="E17" s="17"/>
      <c r="F17" s="62" t="s">
        <v>45</v>
      </c>
      <c r="G17" s="85">
        <f>D18</f>
        <v>15883480.800000001</v>
      </c>
      <c r="K17" s="56" t="s">
        <v>3</v>
      </c>
      <c r="L17" s="38">
        <f>G9</f>
        <v>3482500</v>
      </c>
      <c r="M17" s="14">
        <f>L17/D8</f>
        <v>995000</v>
      </c>
      <c r="N17" s="38">
        <f>M17*$D$6</f>
        <v>1990000</v>
      </c>
      <c r="O17" s="38">
        <f>M17*$D$7</f>
        <v>1492500</v>
      </c>
      <c r="P17" s="38">
        <f t="shared" ref="P17:P19" si="0">O17+N17</f>
        <v>3482500</v>
      </c>
      <c r="Q17" s="55">
        <f>P17/$P$20</f>
        <v>0.11275865929840768</v>
      </c>
    </row>
    <row r="18" spans="2:20" ht="15" customHeight="1" x14ac:dyDescent="0.25">
      <c r="B18" s="101"/>
      <c r="C18" s="12" t="s">
        <v>39</v>
      </c>
      <c r="D18" s="26">
        <f>D17*D12</f>
        <v>15883480.800000001</v>
      </c>
      <c r="E18" s="11"/>
      <c r="F18" s="50" t="s">
        <v>44</v>
      </c>
      <c r="G18" s="86">
        <f>D17</f>
        <v>8824156</v>
      </c>
      <c r="K18" s="54" t="s">
        <v>4</v>
      </c>
      <c r="L18" s="38">
        <f>G10</f>
        <v>1750000</v>
      </c>
      <c r="M18" s="14">
        <f>L18/D8</f>
        <v>500000</v>
      </c>
      <c r="N18" s="38">
        <f>M18*$D$6</f>
        <v>1000000</v>
      </c>
      <c r="O18" s="38">
        <f>M18*$D$7</f>
        <v>750000</v>
      </c>
      <c r="P18" s="38">
        <f t="shared" si="0"/>
        <v>1750000</v>
      </c>
      <c r="Q18" s="55">
        <f>P18/$P$20</f>
        <v>5.6662642863521455E-2</v>
      </c>
    </row>
    <row r="19" spans="2:20" ht="15" customHeight="1" thickBot="1" x14ac:dyDescent="0.3">
      <c r="B19" s="32"/>
      <c r="C19" s="12"/>
      <c r="D19" s="26"/>
      <c r="E19" s="11"/>
      <c r="F19" s="50" t="s">
        <v>75</v>
      </c>
      <c r="G19" s="87">
        <f>H12</f>
        <v>4895000</v>
      </c>
      <c r="K19" s="54" t="s">
        <v>1</v>
      </c>
      <c r="L19" s="38">
        <f>L11</f>
        <v>13752046</v>
      </c>
      <c r="M19" s="47">
        <f>L19/D6</f>
        <v>6876023</v>
      </c>
      <c r="N19" s="38">
        <f>M19*$D$6</f>
        <v>13752046</v>
      </c>
      <c r="O19" s="43">
        <v>0</v>
      </c>
      <c r="P19" s="38">
        <f t="shared" si="0"/>
        <v>13752046</v>
      </c>
      <c r="Q19" s="57">
        <f>P19/$P$20</f>
        <v>0.44527272636612497</v>
      </c>
    </row>
    <row r="20" spans="2:20" ht="15" customHeight="1" thickBot="1" x14ac:dyDescent="0.3">
      <c r="B20" s="32"/>
      <c r="C20" s="33" t="s">
        <v>60</v>
      </c>
      <c r="D20" s="26"/>
      <c r="E20" s="11"/>
      <c r="F20" s="50" t="s">
        <v>78</v>
      </c>
      <c r="G20" s="86">
        <f>G18-H12</f>
        <v>3929156</v>
      </c>
      <c r="K20" s="59"/>
      <c r="L20" s="39">
        <f>SUM(L16:L19)</f>
        <v>30884546</v>
      </c>
      <c r="M20" s="15">
        <f>L8</f>
        <v>8824156</v>
      </c>
      <c r="N20" s="39">
        <f>SUM(N16:N19)</f>
        <v>17648312</v>
      </c>
      <c r="O20" s="39">
        <f>SUM(O16:O19)</f>
        <v>13236234</v>
      </c>
      <c r="P20" s="39">
        <f>SUM(P16:P19)</f>
        <v>30884546</v>
      </c>
      <c r="Q20" s="58">
        <f>SUM(Q16:Q19)</f>
        <v>1</v>
      </c>
    </row>
    <row r="21" spans="2:20" ht="15" customHeight="1" thickBot="1" x14ac:dyDescent="0.3">
      <c r="B21" s="32"/>
      <c r="C21" s="34" t="s">
        <v>43</v>
      </c>
      <c r="D21" s="26"/>
      <c r="E21" s="11"/>
      <c r="F21" s="50" t="s">
        <v>74</v>
      </c>
      <c r="G21" s="88">
        <f>G20/G18</f>
        <v>0.44527272636612497</v>
      </c>
    </row>
    <row r="22" spans="2:20" ht="15" customHeight="1" thickBot="1" x14ac:dyDescent="0.3">
      <c r="C22" s="12"/>
      <c r="D22" s="21"/>
      <c r="E22" s="11"/>
      <c r="F22" s="50" t="s">
        <v>80</v>
      </c>
      <c r="G22" s="89">
        <f>G18*D8</f>
        <v>30884546</v>
      </c>
      <c r="K22" s="94" t="s">
        <v>66</v>
      </c>
      <c r="L22" s="95"/>
      <c r="M22" s="95"/>
      <c r="N22" s="95"/>
      <c r="O22" s="95"/>
      <c r="P22" s="95"/>
      <c r="Q22" s="96"/>
    </row>
    <row r="23" spans="2:20" ht="15" customHeight="1" x14ac:dyDescent="0.25">
      <c r="B23" s="100">
        <v>3</v>
      </c>
      <c r="C23" s="7" t="s">
        <v>41</v>
      </c>
      <c r="D23" s="24">
        <v>13000000</v>
      </c>
      <c r="F23" s="50" t="s">
        <v>81</v>
      </c>
      <c r="G23" s="90">
        <f>G12</f>
        <v>17132500</v>
      </c>
      <c r="K23" s="62" t="s">
        <v>45</v>
      </c>
      <c r="L23" s="63">
        <f>D23</f>
        <v>13000000</v>
      </c>
      <c r="M23" s="48" t="s">
        <v>50</v>
      </c>
      <c r="N23" s="48"/>
      <c r="O23" s="48"/>
      <c r="P23" s="48"/>
      <c r="Q23" s="49"/>
    </row>
    <row r="24" spans="2:20" ht="15" customHeight="1" x14ac:dyDescent="0.25">
      <c r="B24" s="101"/>
      <c r="C24" s="7" t="s">
        <v>42</v>
      </c>
      <c r="D24" s="45">
        <f>D23/D12</f>
        <v>7222222.222222222</v>
      </c>
      <c r="F24" s="50" t="s">
        <v>79</v>
      </c>
      <c r="G24" s="89">
        <f>G22-G23</f>
        <v>13752046</v>
      </c>
      <c r="K24" s="50" t="s">
        <v>46</v>
      </c>
      <c r="L24" s="36">
        <f>D24</f>
        <v>7222222.222222222</v>
      </c>
      <c r="M24" s="11" t="s">
        <v>51</v>
      </c>
      <c r="N24" s="11"/>
      <c r="O24" s="11"/>
      <c r="P24" s="11"/>
      <c r="Q24" s="51"/>
    </row>
    <row r="25" spans="2:20" ht="15" customHeight="1" thickBot="1" x14ac:dyDescent="0.3">
      <c r="E25" s="12"/>
      <c r="F25" s="59" t="s">
        <v>82</v>
      </c>
      <c r="G25" s="91">
        <f>G24/G22</f>
        <v>0.44527272636612497</v>
      </c>
      <c r="K25" s="50" t="s">
        <v>47</v>
      </c>
      <c r="L25" s="92">
        <f>L24*D8</f>
        <v>25277777.777777776</v>
      </c>
      <c r="M25" s="11" t="s">
        <v>52</v>
      </c>
      <c r="N25" s="11"/>
      <c r="O25" s="11"/>
      <c r="P25" s="11"/>
      <c r="Q25" s="51"/>
    </row>
    <row r="26" spans="2:20" ht="15" customHeight="1" thickBot="1" x14ac:dyDescent="0.3">
      <c r="K26" s="50" t="s">
        <v>48</v>
      </c>
      <c r="L26" s="84">
        <f>G12</f>
        <v>17132500</v>
      </c>
      <c r="M26" s="11" t="s">
        <v>53</v>
      </c>
      <c r="N26" s="11"/>
      <c r="O26" s="11"/>
      <c r="P26" s="11"/>
      <c r="Q26" s="51"/>
    </row>
    <row r="27" spans="2:20" ht="15" customHeight="1" thickBot="1" x14ac:dyDescent="0.3">
      <c r="F27" s="60" t="s">
        <v>77</v>
      </c>
      <c r="G27" s="61"/>
      <c r="K27" s="50" t="s">
        <v>49</v>
      </c>
      <c r="L27" s="52">
        <f>L25-L26</f>
        <v>8145277.7777777761</v>
      </c>
      <c r="M27" s="11" t="s">
        <v>54</v>
      </c>
      <c r="N27" s="11"/>
      <c r="O27" s="11"/>
      <c r="P27" s="11"/>
      <c r="Q27" s="51"/>
    </row>
    <row r="28" spans="2:20" ht="15" customHeight="1" x14ac:dyDescent="0.25">
      <c r="C28" s="81" t="s">
        <v>11</v>
      </c>
      <c r="F28" s="62" t="s">
        <v>45</v>
      </c>
      <c r="G28" s="85">
        <f>D23</f>
        <v>13000000</v>
      </c>
      <c r="K28" s="50" t="s">
        <v>67</v>
      </c>
      <c r="L28" s="37">
        <f>L27/D8</f>
        <v>2327222.2222222215</v>
      </c>
      <c r="M28" s="12" t="s">
        <v>55</v>
      </c>
      <c r="N28" s="11"/>
      <c r="O28" s="11"/>
      <c r="P28" s="11"/>
      <c r="Q28" s="51"/>
    </row>
    <row r="29" spans="2:20" ht="15" customHeight="1" x14ac:dyDescent="0.25">
      <c r="C29" s="64" t="s">
        <v>71</v>
      </c>
      <c r="F29" s="50" t="s">
        <v>44</v>
      </c>
      <c r="G29" s="86">
        <f>D24</f>
        <v>7222222.222222222</v>
      </c>
      <c r="K29" s="50" t="s">
        <v>68</v>
      </c>
      <c r="L29" s="46">
        <f>L27/D6</f>
        <v>4072638.8888888881</v>
      </c>
      <c r="M29" s="11" t="s">
        <v>69</v>
      </c>
      <c r="N29" s="11"/>
      <c r="O29" s="11"/>
      <c r="P29" s="11"/>
      <c r="Q29" s="51"/>
    </row>
    <row r="30" spans="2:20" ht="15" customHeight="1" x14ac:dyDescent="0.25">
      <c r="C30" s="64" t="s">
        <v>72</v>
      </c>
      <c r="F30" s="50" t="s">
        <v>75</v>
      </c>
      <c r="G30" s="87">
        <f>H12</f>
        <v>4895000</v>
      </c>
      <c r="K30" s="50"/>
      <c r="L30" s="11"/>
      <c r="M30" s="11"/>
      <c r="N30" s="11"/>
      <c r="O30" s="11"/>
      <c r="P30" s="11"/>
      <c r="Q30" s="51"/>
    </row>
    <row r="31" spans="2:20" ht="15" customHeight="1" x14ac:dyDescent="0.25">
      <c r="F31" s="50" t="s">
        <v>78</v>
      </c>
      <c r="G31" s="86">
        <f>G29-G30</f>
        <v>2327222.222222222</v>
      </c>
      <c r="K31" s="50"/>
      <c r="L31" s="35" t="s">
        <v>57</v>
      </c>
      <c r="M31" s="13" t="s">
        <v>5</v>
      </c>
      <c r="N31" s="13" t="s">
        <v>10</v>
      </c>
      <c r="O31" s="13" t="s">
        <v>63</v>
      </c>
      <c r="P31" s="35" t="s">
        <v>57</v>
      </c>
      <c r="Q31" s="53" t="s">
        <v>58</v>
      </c>
    </row>
    <row r="32" spans="2:20" s="4" customFormat="1" ht="15" customHeight="1" x14ac:dyDescent="0.25">
      <c r="E32" s="7"/>
      <c r="F32" s="50" t="s">
        <v>74</v>
      </c>
      <c r="G32" s="88">
        <f>G31/G29</f>
        <v>0.32223076923076921</v>
      </c>
      <c r="H32" s="7"/>
      <c r="I32" s="7"/>
      <c r="J32" s="7"/>
      <c r="K32" s="54" t="s">
        <v>0</v>
      </c>
      <c r="L32" s="38">
        <f>G8</f>
        <v>11900000</v>
      </c>
      <c r="M32" s="14">
        <f>M36-SUM(M33:M35)</f>
        <v>1654583.333333334</v>
      </c>
      <c r="N32" s="38">
        <f>M32*$D$6</f>
        <v>3309166.6666666679</v>
      </c>
      <c r="O32" s="38">
        <f>(M32*$D$7)+(M35*D7)</f>
        <v>8590833.3333333321</v>
      </c>
      <c r="P32" s="38">
        <f>O32+N32</f>
        <v>11900000</v>
      </c>
      <c r="Q32" s="55">
        <f>P32/P$36</f>
        <v>0.47076923076923077</v>
      </c>
      <c r="R32" s="7"/>
      <c r="S32" s="7"/>
      <c r="T32" s="7"/>
    </row>
    <row r="33" spans="4:20" s="4" customFormat="1" ht="15" customHeight="1" x14ac:dyDescent="0.25">
      <c r="D33" s="31"/>
      <c r="E33" s="7"/>
      <c r="F33" s="50" t="s">
        <v>80</v>
      </c>
      <c r="G33" s="89">
        <f>G29*D8</f>
        <v>25277777.777777776</v>
      </c>
      <c r="H33" s="7"/>
      <c r="I33" s="7"/>
      <c r="J33" s="7"/>
      <c r="K33" s="56" t="s">
        <v>3</v>
      </c>
      <c r="L33" s="38">
        <f>G9</f>
        <v>3482500</v>
      </c>
      <c r="M33" s="14">
        <f>L33/D8</f>
        <v>995000</v>
      </c>
      <c r="N33" s="38">
        <f>M33*$D$6</f>
        <v>1990000</v>
      </c>
      <c r="O33" s="38">
        <f>M33*$D$7</f>
        <v>1492500</v>
      </c>
      <c r="P33" s="38">
        <f t="shared" ref="P33:P35" si="1">O33+N33</f>
        <v>3482500</v>
      </c>
      <c r="Q33" s="55">
        <f>P33/P$36</f>
        <v>0.13776923076923078</v>
      </c>
      <c r="R33" s="7"/>
      <c r="S33" s="7"/>
      <c r="T33" s="7"/>
    </row>
    <row r="34" spans="4:20" s="4" customFormat="1" ht="15" customHeight="1" x14ac:dyDescent="0.25">
      <c r="E34" s="7"/>
      <c r="F34" s="50" t="s">
        <v>81</v>
      </c>
      <c r="G34" s="90">
        <f>G12</f>
        <v>17132500</v>
      </c>
      <c r="H34" s="7"/>
      <c r="I34" s="7"/>
      <c r="J34" s="7"/>
      <c r="K34" s="54" t="s">
        <v>4</v>
      </c>
      <c r="L34" s="38">
        <f>G10</f>
        <v>1750000</v>
      </c>
      <c r="M34" s="14">
        <f>L34/D8</f>
        <v>500000</v>
      </c>
      <c r="N34" s="38">
        <f>M34*$D$6</f>
        <v>1000000</v>
      </c>
      <c r="O34" s="38">
        <f>M34*$D$7</f>
        <v>750000</v>
      </c>
      <c r="P34" s="38">
        <f t="shared" si="1"/>
        <v>1750000</v>
      </c>
      <c r="Q34" s="55">
        <f>P34/P$36</f>
        <v>6.9230769230769235E-2</v>
      </c>
      <c r="R34" s="7"/>
      <c r="S34" s="7"/>
      <c r="T34" s="7"/>
    </row>
    <row r="35" spans="4:20" ht="15" customHeight="1" thickBot="1" x14ac:dyDescent="0.3">
      <c r="F35" s="50" t="s">
        <v>79</v>
      </c>
      <c r="G35" s="89">
        <f>G33-G34</f>
        <v>8145277.7777777761</v>
      </c>
      <c r="K35" s="54" t="s">
        <v>1</v>
      </c>
      <c r="L35" s="38">
        <f>M35*D6</f>
        <v>8145277.7777777761</v>
      </c>
      <c r="M35" s="47">
        <f>L29</f>
        <v>4072638.8888888881</v>
      </c>
      <c r="N35" s="38">
        <f>M35*$D$6</f>
        <v>8145277.7777777761</v>
      </c>
      <c r="O35" s="43">
        <v>0</v>
      </c>
      <c r="P35" s="38">
        <f t="shared" si="1"/>
        <v>8145277.7777777761</v>
      </c>
      <c r="Q35" s="57">
        <f>P35/P$36</f>
        <v>0.32223076923076921</v>
      </c>
    </row>
    <row r="36" spans="4:20" ht="15" customHeight="1" thickBot="1" x14ac:dyDescent="0.3">
      <c r="F36" s="59" t="s">
        <v>82</v>
      </c>
      <c r="G36" s="91">
        <f>G35/G33</f>
        <v>0.32223076923076921</v>
      </c>
      <c r="K36" s="59"/>
      <c r="L36" s="39">
        <f>SUM(L32:L35)</f>
        <v>25277777.777777776</v>
      </c>
      <c r="M36" s="15">
        <f>L24</f>
        <v>7222222.222222222</v>
      </c>
      <c r="N36" s="39">
        <f>SUM(N32:N35)</f>
        <v>14444444.444444444</v>
      </c>
      <c r="O36" s="39">
        <f>SUM(O32:O35)</f>
        <v>10833333.333333332</v>
      </c>
      <c r="P36" s="39">
        <f>SUM(P32:P35)</f>
        <v>25277777.777777776</v>
      </c>
      <c r="Q36" s="58">
        <f>SUM(Q32:Q35)</f>
        <v>1</v>
      </c>
    </row>
    <row r="37" spans="4:20" ht="15" customHeight="1" thickBot="1" x14ac:dyDescent="0.3"/>
    <row r="38" spans="4:20" ht="15" customHeight="1" thickBot="1" x14ac:dyDescent="0.3">
      <c r="F38" s="16"/>
      <c r="G38" s="16"/>
      <c r="K38" s="97" t="s">
        <v>70</v>
      </c>
      <c r="L38" s="98"/>
      <c r="M38" s="98"/>
      <c r="N38" s="98"/>
      <c r="O38" s="98"/>
      <c r="P38" s="98"/>
      <c r="Q38" s="99"/>
    </row>
    <row r="39" spans="4:20" ht="15" customHeight="1" x14ac:dyDescent="0.25">
      <c r="K39" s="62" t="s">
        <v>45</v>
      </c>
      <c r="L39" s="93">
        <v>14000000</v>
      </c>
      <c r="M39" s="48" t="s">
        <v>50</v>
      </c>
      <c r="N39" s="48"/>
      <c r="O39" s="48"/>
      <c r="P39" s="48"/>
      <c r="Q39" s="49"/>
    </row>
    <row r="40" spans="4:20" ht="15" customHeight="1" x14ac:dyDescent="0.25">
      <c r="K40" s="50" t="s">
        <v>46</v>
      </c>
      <c r="L40" s="36">
        <f>L39/D12</f>
        <v>7777777.777777778</v>
      </c>
      <c r="M40" s="11" t="s">
        <v>51</v>
      </c>
      <c r="N40" s="11"/>
      <c r="O40" s="11"/>
      <c r="P40" s="11"/>
      <c r="Q40" s="51"/>
    </row>
    <row r="41" spans="4:20" ht="15" customHeight="1" x14ac:dyDescent="0.25">
      <c r="K41" s="50" t="s">
        <v>47</v>
      </c>
      <c r="L41" s="92">
        <f>L40*D8</f>
        <v>27222222.222222224</v>
      </c>
      <c r="M41" s="11" t="s">
        <v>52</v>
      </c>
      <c r="N41" s="11"/>
      <c r="O41" s="11"/>
      <c r="P41" s="11"/>
      <c r="Q41" s="51"/>
    </row>
    <row r="42" spans="4:20" ht="15" customHeight="1" x14ac:dyDescent="0.25">
      <c r="K42" s="50" t="s">
        <v>48</v>
      </c>
      <c r="L42" s="84">
        <f>G12</f>
        <v>17132500</v>
      </c>
      <c r="M42" s="11" t="s">
        <v>53</v>
      </c>
      <c r="N42" s="11"/>
      <c r="O42" s="11"/>
      <c r="P42" s="11"/>
      <c r="Q42" s="51"/>
    </row>
    <row r="43" spans="4:20" ht="15" customHeight="1" x14ac:dyDescent="0.25">
      <c r="K43" s="50" t="s">
        <v>49</v>
      </c>
      <c r="L43" s="52">
        <f>L41-L42</f>
        <v>10089722.222222224</v>
      </c>
      <c r="M43" s="11" t="s">
        <v>54</v>
      </c>
      <c r="N43" s="11"/>
      <c r="O43" s="11"/>
      <c r="P43" s="11"/>
      <c r="Q43" s="51"/>
    </row>
    <row r="44" spans="4:20" ht="15" customHeight="1" x14ac:dyDescent="0.25">
      <c r="K44" s="50" t="s">
        <v>67</v>
      </c>
      <c r="L44" s="37">
        <f>L43/D8</f>
        <v>2882777.7777777785</v>
      </c>
      <c r="M44" s="12" t="s">
        <v>55</v>
      </c>
      <c r="N44" s="11"/>
      <c r="O44" s="11"/>
      <c r="P44" s="11"/>
      <c r="Q44" s="51"/>
    </row>
    <row r="45" spans="4:20" ht="15" customHeight="1" x14ac:dyDescent="0.25">
      <c r="K45" s="50" t="s">
        <v>68</v>
      </c>
      <c r="L45" s="46">
        <f>L43/D6</f>
        <v>5044861.1111111119</v>
      </c>
      <c r="M45" s="11" t="s">
        <v>69</v>
      </c>
      <c r="N45" s="11"/>
      <c r="O45" s="11"/>
      <c r="P45" s="11"/>
      <c r="Q45" s="51"/>
    </row>
    <row r="46" spans="4:20" ht="15" customHeight="1" x14ac:dyDescent="0.25">
      <c r="K46" s="50"/>
      <c r="L46" s="11"/>
      <c r="M46" s="11"/>
      <c r="N46" s="11"/>
      <c r="O46" s="11"/>
      <c r="P46" s="11"/>
      <c r="Q46" s="51"/>
    </row>
    <row r="47" spans="4:20" ht="15" customHeight="1" x14ac:dyDescent="0.25">
      <c r="K47" s="50"/>
      <c r="L47" s="35" t="s">
        <v>57</v>
      </c>
      <c r="M47" s="13" t="s">
        <v>5</v>
      </c>
      <c r="N47" s="13" t="s">
        <v>10</v>
      </c>
      <c r="O47" s="13" t="s">
        <v>63</v>
      </c>
      <c r="P47" s="35" t="s">
        <v>57</v>
      </c>
      <c r="Q47" s="53" t="s">
        <v>58</v>
      </c>
    </row>
    <row r="48" spans="4:20" ht="15" customHeight="1" x14ac:dyDescent="0.25">
      <c r="K48" s="54" t="s">
        <v>0</v>
      </c>
      <c r="L48" s="38">
        <f>G8</f>
        <v>11900000</v>
      </c>
      <c r="M48" s="14">
        <f>M52-SUM(M49:M51)</f>
        <v>1237916.666666666</v>
      </c>
      <c r="N48" s="38">
        <f>M48*$D$6</f>
        <v>2475833.3333333321</v>
      </c>
      <c r="O48" s="38">
        <f>(M48*$D$7)+(M51*D7)</f>
        <v>9424166.6666666679</v>
      </c>
      <c r="P48" s="38">
        <f>O48+N48</f>
        <v>11900000</v>
      </c>
      <c r="Q48" s="55">
        <f>P48/P$52</f>
        <v>0.43714285714285711</v>
      </c>
    </row>
    <row r="49" spans="11:17" ht="15" customHeight="1" x14ac:dyDescent="0.25">
      <c r="K49" s="56" t="s">
        <v>3</v>
      </c>
      <c r="L49" s="38">
        <f>G9</f>
        <v>3482500</v>
      </c>
      <c r="M49" s="14">
        <f>L49/D8</f>
        <v>995000</v>
      </c>
      <c r="N49" s="38">
        <f>M49*$D$6</f>
        <v>1990000</v>
      </c>
      <c r="O49" s="38">
        <f>M49*$D$7</f>
        <v>1492500</v>
      </c>
      <c r="P49" s="38">
        <f t="shared" ref="P49:P51" si="2">O49+N49</f>
        <v>3482500</v>
      </c>
      <c r="Q49" s="55">
        <f>P49/P$52</f>
        <v>0.12792857142857142</v>
      </c>
    </row>
    <row r="50" spans="11:17" ht="15" customHeight="1" x14ac:dyDescent="0.25">
      <c r="K50" s="54" t="s">
        <v>4</v>
      </c>
      <c r="L50" s="38">
        <f>G10</f>
        <v>1750000</v>
      </c>
      <c r="M50" s="14">
        <f>L50/D8</f>
        <v>500000</v>
      </c>
      <c r="N50" s="38">
        <f>M50*$D$6</f>
        <v>1000000</v>
      </c>
      <c r="O50" s="38">
        <f>M50*$D$7</f>
        <v>750000</v>
      </c>
      <c r="P50" s="38">
        <f t="shared" si="2"/>
        <v>1750000</v>
      </c>
      <c r="Q50" s="55">
        <f>P50/P$52</f>
        <v>6.4285714285714279E-2</v>
      </c>
    </row>
    <row r="51" spans="11:17" ht="15" customHeight="1" thickBot="1" x14ac:dyDescent="0.3">
      <c r="K51" s="54" t="s">
        <v>1</v>
      </c>
      <c r="L51" s="38">
        <f>M51*D6</f>
        <v>10089722.222222224</v>
      </c>
      <c r="M51" s="47">
        <f>L45</f>
        <v>5044861.1111111119</v>
      </c>
      <c r="N51" s="38">
        <f>M51*$D$6</f>
        <v>10089722.222222224</v>
      </c>
      <c r="O51" s="43">
        <v>0</v>
      </c>
      <c r="P51" s="38">
        <f t="shared" si="2"/>
        <v>10089722.222222224</v>
      </c>
      <c r="Q51" s="57">
        <f>P51/P$52</f>
        <v>0.37064285714285716</v>
      </c>
    </row>
    <row r="52" spans="11:17" ht="15" customHeight="1" thickBot="1" x14ac:dyDescent="0.3">
      <c r="K52" s="59"/>
      <c r="L52" s="39">
        <f>SUM(L48:L51)</f>
        <v>27222222.222222224</v>
      </c>
      <c r="M52" s="15">
        <f>L40</f>
        <v>7777777.777777778</v>
      </c>
      <c r="N52" s="39">
        <f>SUM(N48:N51)</f>
        <v>15555555.555555556</v>
      </c>
      <c r="O52" s="39">
        <f>SUM(O48:O51)</f>
        <v>11666666.666666668</v>
      </c>
      <c r="P52" s="39">
        <f>SUM(P48:P51)</f>
        <v>27222222.222222224</v>
      </c>
      <c r="Q52" s="58">
        <f>SUM(Q48:Q51)</f>
        <v>1</v>
      </c>
    </row>
  </sheetData>
  <mergeCells count="7">
    <mergeCell ref="K6:Q6"/>
    <mergeCell ref="K22:Q22"/>
    <mergeCell ref="K38:Q38"/>
    <mergeCell ref="B14:B15"/>
    <mergeCell ref="B17:B18"/>
    <mergeCell ref="B23:B24"/>
    <mergeCell ref="G6:I6"/>
  </mergeCells>
  <hyperlinks>
    <hyperlink ref="C21" r:id="rId1"/>
  </hyperlinks>
  <pageMargins left="0.7" right="0.7" top="0.75" bottom="0.75" header="0.3" footer="0.3"/>
  <pageSetup paperSize="9" orientation="portrait" r:id="rId2"/>
  <ignoredErrors>
    <ignoredError sqref="M52 M36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Explanation</vt:lpstr>
      <vt:lpstr>1. Initial est of net need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2018-11-09T00:11:00Z</dcterms:created>
  <dcterms:modified xsi:type="dcterms:W3CDTF">2018-11-09T00:11:07Z</dcterms:modified>
</cp:coreProperties>
</file>