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2400" yWindow="-18620" windowWidth="21800" windowHeight="16120" tabRatio="698" firstSheet="1" activeTab="3"/>
  </bookViews>
  <sheets>
    <sheet name="Spending from SCI" sheetId="2" r:id="rId1"/>
    <sheet name="Commitments from SCI" sheetId="3" r:id="rId2"/>
    <sheet name="Summary" sheetId="1" r:id="rId3"/>
    <sheet name="Combined with previous updates" sheetId="7" r:id="rId4"/>
    <sheet name="Exchange rates" sheetId="4" r:id="rId5"/>
    <sheet name="Global need" sheetId="5" r:id="rId6"/>
    <sheet name="Ethiopia" sheetId="6" r:id="rId7"/>
    <sheet name="Due to GiveWell" sheetId="8" r:id="rId8"/>
  </sheets>
  <calcPr calcId="140000" calcMode="manual" calcCompleted="0"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H10" i="7" l="1"/>
  <c r="H13" i="7"/>
  <c r="H11" i="7"/>
  <c r="H12" i="7"/>
  <c r="H14" i="7"/>
  <c r="I13" i="7"/>
  <c r="I12" i="7"/>
  <c r="I11" i="7"/>
  <c r="I10" i="7"/>
  <c r="H12" i="1"/>
  <c r="I14" i="7"/>
  <c r="B16" i="6"/>
  <c r="B19" i="1"/>
  <c r="C2" i="1"/>
  <c r="C19" i="1"/>
  <c r="H15" i="1"/>
  <c r="B9" i="1"/>
  <c r="B10" i="1"/>
  <c r="B11" i="1"/>
  <c r="B12" i="1"/>
  <c r="B13" i="1"/>
  <c r="B14" i="1"/>
  <c r="B15" i="1"/>
  <c r="B16" i="1"/>
  <c r="B17" i="1"/>
  <c r="B18" i="1"/>
  <c r="B20" i="1"/>
  <c r="B21" i="1"/>
  <c r="B22" i="1"/>
  <c r="B24" i="1"/>
  <c r="C24" i="1"/>
  <c r="I15" i="1"/>
  <c r="C15" i="6"/>
  <c r="H16" i="1"/>
  <c r="I16" i="1"/>
  <c r="C9" i="1"/>
  <c r="H17" i="1"/>
  <c r="I17" i="1"/>
  <c r="H18" i="1"/>
  <c r="I18" i="1"/>
  <c r="I19" i="1"/>
  <c r="H19" i="1"/>
  <c r="C10" i="6"/>
  <c r="D10" i="6"/>
  <c r="E10" i="6"/>
  <c r="G10" i="6"/>
  <c r="B10" i="6"/>
  <c r="C11" i="1"/>
  <c r="C14" i="1"/>
  <c r="C17" i="1"/>
  <c r="C20" i="1"/>
  <c r="H9" i="1"/>
  <c r="C12" i="1"/>
  <c r="C13" i="1"/>
  <c r="C15" i="1"/>
  <c r="C16" i="1"/>
  <c r="C21" i="1"/>
  <c r="C22" i="1"/>
  <c r="H10" i="1"/>
  <c r="H11" i="1"/>
  <c r="C10" i="1"/>
  <c r="C18" i="1"/>
  <c r="H13" i="1"/>
  <c r="I9" i="1"/>
  <c r="I10" i="1"/>
  <c r="I11" i="1"/>
  <c r="I12" i="1"/>
  <c r="I13" i="1"/>
  <c r="B28" i="1"/>
  <c r="C28" i="1"/>
  <c r="C29" i="7"/>
  <c r="D29" i="7"/>
  <c r="C3" i="8"/>
  <c r="C4" i="8"/>
  <c r="C7" i="8"/>
  <c r="C5" i="1"/>
  <c r="B29" i="7"/>
  <c r="B27" i="7"/>
  <c r="B5" i="7"/>
  <c r="D5" i="7"/>
  <c r="C26" i="1"/>
  <c r="C7" i="7"/>
  <c r="C5" i="7"/>
  <c r="D7" i="7"/>
  <c r="D10" i="7"/>
  <c r="D11" i="7"/>
  <c r="D12" i="7"/>
  <c r="D13" i="7"/>
  <c r="D14" i="7"/>
  <c r="D15" i="7"/>
  <c r="D16" i="7"/>
  <c r="D17" i="7"/>
  <c r="D18" i="7"/>
  <c r="D19" i="7"/>
  <c r="D20" i="7"/>
  <c r="D21" i="7"/>
  <c r="D22" i="7"/>
  <c r="D23" i="7"/>
  <c r="D24" i="7"/>
  <c r="D25" i="7"/>
  <c r="D27" i="7"/>
  <c r="E10" i="7"/>
  <c r="E11" i="7"/>
  <c r="E12" i="7"/>
  <c r="E13" i="7"/>
  <c r="E14" i="7"/>
  <c r="E15" i="7"/>
  <c r="E16" i="7"/>
  <c r="E17" i="7"/>
  <c r="E18" i="7"/>
  <c r="E19" i="7"/>
  <c r="E20" i="7"/>
  <c r="E21" i="7"/>
  <c r="E22" i="7"/>
  <c r="E23" i="7"/>
  <c r="E24" i="7"/>
  <c r="E25" i="7"/>
  <c r="C27" i="7"/>
  <c r="E21" i="5"/>
  <c r="E15" i="6"/>
  <c r="E16" i="6"/>
  <c r="E17" i="6"/>
  <c r="E19" i="6"/>
  <c r="D15" i="6"/>
  <c r="D16" i="6"/>
  <c r="D17" i="6"/>
  <c r="D19" i="6"/>
  <c r="C16" i="6"/>
  <c r="C17" i="6"/>
  <c r="C19" i="6"/>
  <c r="B15" i="6"/>
  <c r="B17" i="6"/>
  <c r="B19" i="6"/>
  <c r="G17" i="6"/>
  <c r="G16" i="6"/>
  <c r="B32" i="1"/>
  <c r="B33" i="1"/>
  <c r="B34" i="1"/>
  <c r="B35" i="1"/>
  <c r="B36" i="1"/>
  <c r="B37" i="1"/>
  <c r="B38" i="1"/>
  <c r="B39" i="1"/>
  <c r="B41" i="1"/>
  <c r="B43" i="1"/>
  <c r="C43" i="1"/>
  <c r="C47" i="1"/>
  <c r="B45" i="1"/>
  <c r="B47" i="1"/>
  <c r="D21" i="5"/>
  <c r="D20" i="5"/>
  <c r="B20" i="5"/>
  <c r="D10" i="1"/>
  <c r="D11" i="1"/>
  <c r="D12" i="1"/>
  <c r="D13" i="1"/>
  <c r="D14" i="1"/>
  <c r="D15" i="1"/>
  <c r="D16" i="1"/>
  <c r="D17" i="1"/>
  <c r="D18" i="1"/>
  <c r="D19" i="1"/>
  <c r="D20" i="1"/>
  <c r="D21" i="1"/>
  <c r="D22" i="1"/>
  <c r="D9" i="1"/>
  <c r="C41" i="1"/>
  <c r="C39" i="1"/>
  <c r="C38" i="1"/>
  <c r="C37" i="1"/>
  <c r="C36" i="1"/>
  <c r="C35" i="1"/>
  <c r="C34" i="1"/>
  <c r="C33" i="1"/>
  <c r="C32" i="1"/>
</calcChain>
</file>

<file path=xl/comments1.xml><?xml version="1.0" encoding="utf-8"?>
<comments xmlns="http://schemas.openxmlformats.org/spreadsheetml/2006/main">
  <authors>
    <author>Natalie Crispin</author>
  </authors>
  <commentList>
    <comment ref="B5" authorId="0">
      <text>
        <r>
          <rPr>
            <b/>
            <sz val="9"/>
            <color indexed="81"/>
            <rFont val="Calibri"/>
            <family val="2"/>
          </rPr>
          <t>Natalie Crispin:</t>
        </r>
        <r>
          <rPr>
            <sz val="9"/>
            <color indexed="81"/>
            <rFont val="Calibri"/>
            <family val="2"/>
          </rPr>
          <t xml:space="preserve">
SCI report to GiveWell, version 2 (September 2013)</t>
        </r>
      </text>
    </comment>
    <comment ref="A7" authorId="0">
      <text>
        <r>
          <rPr>
            <b/>
            <sz val="9"/>
            <color indexed="81"/>
            <rFont val="Calibri"/>
            <family val="2"/>
          </rPr>
          <t>Natalie Crispin:</t>
        </r>
        <r>
          <rPr>
            <sz val="9"/>
            <color indexed="81"/>
            <rFont val="Calibri"/>
            <family val="2"/>
          </rPr>
          <t xml:space="preserve">
See Sheet 'Spending from SCI'</t>
        </r>
      </text>
    </comment>
    <comment ref="A10" authorId="0">
      <text>
        <r>
          <rPr>
            <b/>
            <sz val="9"/>
            <color indexed="81"/>
            <rFont val="Calibri"/>
            <family val="2"/>
          </rPr>
          <t>Natalie Crispin:</t>
        </r>
        <r>
          <rPr>
            <sz val="9"/>
            <color indexed="81"/>
            <rFont val="Calibri"/>
            <family val="2"/>
          </rPr>
          <t xml:space="preserve">
"Supports work that conducts additional monitoring and evaluation of programmes to answer specific operational questions that assist in the validation and development of international guidelines." SCI report to GiveWell (October 2013).</t>
        </r>
      </text>
    </comment>
    <comment ref="H15" authorId="0">
      <text>
        <r>
          <rPr>
            <b/>
            <sz val="9"/>
            <color indexed="81"/>
            <rFont val="Calibri"/>
            <family val="2"/>
          </rPr>
          <t>Natalie Crispin:</t>
        </r>
        <r>
          <rPr>
            <sz val="9"/>
            <color indexed="81"/>
            <rFont val="Calibri"/>
            <family val="2"/>
          </rPr>
          <t xml:space="preserve">
$158k for prevalance survey in Zimbabwe, and $140k for prevalance survey in Senegal. See October 2013 update for sources. </t>
        </r>
      </text>
    </comment>
    <comment ref="B26" authorId="0">
      <text>
        <r>
          <rPr>
            <b/>
            <sz val="9"/>
            <color indexed="81"/>
            <rFont val="Calibri"/>
            <family val="2"/>
          </rPr>
          <t>Natalie Crispin:</t>
        </r>
        <r>
          <rPr>
            <sz val="9"/>
            <color indexed="81"/>
            <rFont val="Calibri"/>
            <family val="2"/>
          </rPr>
          <t xml:space="preserve">
SCI report to GiveWell (October 2013)</t>
        </r>
      </text>
    </comment>
    <comment ref="A30" authorId="0">
      <text>
        <r>
          <rPr>
            <b/>
            <sz val="9"/>
            <color indexed="81"/>
            <rFont val="Calibri"/>
            <family val="2"/>
          </rPr>
          <t>Natalie Crispin:</t>
        </r>
        <r>
          <rPr>
            <sz val="9"/>
            <color indexed="81"/>
            <rFont val="Calibri"/>
            <family val="2"/>
          </rPr>
          <t xml:space="preserve">
See sheet 'Commitments from SCI'</t>
        </r>
      </text>
    </comment>
    <comment ref="A33" authorId="0">
      <text>
        <r>
          <rPr>
            <b/>
            <sz val="9"/>
            <color indexed="81"/>
            <rFont val="Calibri"/>
            <family val="2"/>
          </rPr>
          <t>Natalie Crispin:</t>
        </r>
        <r>
          <rPr>
            <sz val="9"/>
            <color indexed="81"/>
            <rFont val="Calibri"/>
            <family val="2"/>
          </rPr>
          <t xml:space="preserve">
"Supports work that conducts additional monitoring and evaluation of programmes to answer specific operational questions that assist in the validation and development of international guidelines." SCI report to GiveWell (October 2013).</t>
        </r>
      </text>
    </comment>
    <comment ref="C45" authorId="0">
      <text>
        <r>
          <rPr>
            <b/>
            <sz val="9"/>
            <color indexed="81"/>
            <rFont val="Calibri"/>
            <family val="2"/>
          </rPr>
          <t>Natalie Crispin:</t>
        </r>
        <r>
          <rPr>
            <sz val="9"/>
            <color indexed="81"/>
            <rFont val="Calibri"/>
            <family val="2"/>
          </rPr>
          <t xml:space="preserve">
GiveWell internal records</t>
        </r>
      </text>
    </comment>
  </commentList>
</comments>
</file>

<file path=xl/comments2.xml><?xml version="1.0" encoding="utf-8"?>
<comments xmlns="http://schemas.openxmlformats.org/spreadsheetml/2006/main">
  <authors>
    <author>Natalie Crispin</author>
  </authors>
  <commentList>
    <comment ref="C5" authorId="0">
      <text>
        <r>
          <rPr>
            <b/>
            <sz val="9"/>
            <color indexed="81"/>
            <rFont val="Calibri"/>
            <family val="2"/>
          </rPr>
          <t>Natalie Crispin:</t>
        </r>
        <r>
          <rPr>
            <sz val="9"/>
            <color indexed="81"/>
            <rFont val="Calibri"/>
            <family val="2"/>
          </rPr>
          <t xml:space="preserve">
Difference with prior ending balance due to different currency exchange rates used for the different periods.</t>
        </r>
      </text>
    </comment>
  </commentList>
</comments>
</file>

<file path=xl/comments3.xml><?xml version="1.0" encoding="utf-8"?>
<comments xmlns="http://schemas.openxmlformats.org/spreadsheetml/2006/main">
  <authors>
    <author>Natalie Crispin</author>
  </authors>
  <commentList>
    <comment ref="E3" authorId="0">
      <text>
        <r>
          <rPr>
            <b/>
            <sz val="9"/>
            <color indexed="81"/>
            <rFont val="Calibri"/>
            <family val="2"/>
          </rPr>
          <t>Natalie Crispin:</t>
        </r>
        <r>
          <rPr>
            <sz val="9"/>
            <color indexed="81"/>
            <rFont val="Calibri"/>
            <family val="2"/>
          </rPr>
          <t xml:space="preserve">
SCI director's presentation (June 2013)</t>
        </r>
      </text>
    </comment>
  </commentList>
</comments>
</file>

<file path=xl/sharedStrings.xml><?xml version="1.0" encoding="utf-8"?>
<sst xmlns="http://schemas.openxmlformats.org/spreadsheetml/2006/main" count="301" uniqueCount="224">
  <si>
    <t>Unrestricted funds</t>
  </si>
  <si>
    <t>GBP</t>
  </si>
  <si>
    <t>USD</t>
  </si>
  <si>
    <t>Spending (October 2012 to August 2013)</t>
  </si>
  <si>
    <t>General organization costs</t>
  </si>
  <si>
    <t>Private donations 1 Oct 12 – 31 Aug 13</t>
  </si>
  <si>
    <t xml:space="preserve">SCI expenditure category </t>
  </si>
  <si>
    <t xml:space="preserve">Sum in GBP </t>
  </si>
  <si>
    <t>Total expenditure</t>
  </si>
  <si>
    <t>% of total</t>
  </si>
  <si>
    <t>Advocacy &amp; Fundraising - Travel</t>
  </si>
  <si>
    <t>Advocacy &amp; Fundraising - Salary</t>
  </si>
  <si>
    <t>Advocacy &amp; Fundraising - Resources</t>
  </si>
  <si>
    <t>SCI Development - Salary</t>
  </si>
  <si>
    <t>SCI Development - Travel</t>
  </si>
  <si>
    <t>SCI Development Training</t>
  </si>
  <si>
    <t>SCI Development - Office Running Support</t>
  </si>
  <si>
    <t>SCI Development - Strategic Partnership</t>
  </si>
  <si>
    <t>SCI - Students Support</t>
  </si>
  <si>
    <t>Enhanced monitoring and evaluation</t>
  </si>
  <si>
    <t>Country Programmes*</t>
  </si>
  <si>
    <t>Cote D'Ivoire</t>
  </si>
  <si>
    <t>DRC</t>
  </si>
  <si>
    <t>Ethiopia</t>
  </si>
  <si>
    <t xml:space="preserve"> Liberia</t>
  </si>
  <si>
    <t>Madagascar</t>
  </si>
  <si>
    <t>Mauritania</t>
  </si>
  <si>
    <t>Mozambique</t>
  </si>
  <si>
    <t>Rwanda</t>
  </si>
  <si>
    <t>Senegal</t>
  </si>
  <si>
    <t xml:space="preserve">Uganda </t>
  </si>
  <si>
    <t>Yemen</t>
  </si>
  <si>
    <t>Zimbabwe</t>
  </si>
  <si>
    <t xml:space="preserve">Total Country Programmes </t>
  </si>
  <si>
    <t>Total Expenditure</t>
  </si>
  <si>
    <t>Revenue (October 2012 to August 2013)</t>
  </si>
  <si>
    <t>Liberia</t>
  </si>
  <si>
    <t>TOTAL</t>
  </si>
  <si>
    <t>Commitments (August 2013)</t>
  </si>
  <si>
    <t xml:space="preserve">Recipient </t>
  </si>
  <si>
    <t xml:space="preserve">SCI Expenditure category </t>
  </si>
  <si>
    <t xml:space="preserve"> GBP</t>
  </si>
  <si>
    <t xml:space="preserve">  (£)</t>
  </si>
  <si>
    <t xml:space="preserve">Comments </t>
  </si>
  <si>
    <t xml:space="preserve">Timeline of Expenditure </t>
  </si>
  <si>
    <t xml:space="preserve">University of Queensland  </t>
  </si>
  <si>
    <t xml:space="preserve">Enhanced Monitoring and Evaluation </t>
  </si>
  <si>
    <t xml:space="preserve">PhD student support for development of decision making  tools for NTD programme managers </t>
  </si>
  <si>
    <t xml:space="preserve">University of  Cambridge </t>
  </si>
  <si>
    <t xml:space="preserve">Collaboration with University of Cambridge assessing strategies to increase coverage  </t>
  </si>
  <si>
    <t xml:space="preserve">Ethiopian Ministry of Health </t>
  </si>
  <si>
    <t xml:space="preserve">Ethiopia </t>
  </si>
  <si>
    <t xml:space="preserve">To support mapping and treatment of at risk regions </t>
  </si>
  <si>
    <t>Senegal Ministry of Health</t>
  </si>
  <si>
    <t xml:space="preserve">Support of M&amp;E of USAID funded SCH treatment at request of MOH </t>
  </si>
  <si>
    <t xml:space="preserve">Jan 14 – Jan 18 </t>
  </si>
  <si>
    <t xml:space="preserve">Ugandan Ministry of Health </t>
  </si>
  <si>
    <t xml:space="preserve">Enhanced M&amp;E in Uganda to explore elimination strategies </t>
  </si>
  <si>
    <t xml:space="preserve">Technical University Munich </t>
  </si>
  <si>
    <t xml:space="preserve">Matched funding with BMGF to support cysticercosis project in Malawi </t>
  </si>
  <si>
    <t xml:space="preserve">Donor Relationships manager </t>
  </si>
  <si>
    <t xml:space="preserve">SCI development </t>
  </si>
  <si>
    <t>Funds to support improved donor communication or resources</t>
  </si>
  <si>
    <t xml:space="preserve">University of Antwerp </t>
  </si>
  <si>
    <t xml:space="preserve">Capacity building </t>
  </si>
  <si>
    <t xml:space="preserve">Analysis of the best approaches to capacity building in Burundi </t>
  </si>
  <si>
    <t>DRC Ministry of Health</t>
  </si>
  <si>
    <t xml:space="preserve">In partnership with CNTD, Liverpool support coordinated mapping in at risk </t>
  </si>
  <si>
    <t xml:space="preserve">Mozambique Ministry of Health </t>
  </si>
  <si>
    <t xml:space="preserve">Mozambique </t>
  </si>
  <si>
    <t xml:space="preserve">To support treatment of at risk populations  </t>
  </si>
  <si>
    <t xml:space="preserve">University of Edinburgh </t>
  </si>
  <si>
    <t>In partnership with University of Edinburgh to support mapping and treatment of at risk regions</t>
  </si>
  <si>
    <t xml:space="preserve"> June 14 </t>
  </si>
  <si>
    <t xml:space="preserve">SCI team </t>
  </si>
  <si>
    <t xml:space="preserve"> SCI team travel </t>
  </si>
  <si>
    <t xml:space="preserve">SCI Development Travel </t>
  </si>
  <si>
    <t>1 GBP =</t>
  </si>
  <si>
    <t>Period Average</t>
  </si>
  <si>
    <t>Period High</t>
  </si>
  <si>
    <t>Period Low</t>
  </si>
  <si>
    <t>Aug 19, 2013 - Aug 25, 2013</t>
  </si>
  <si>
    <t>Aug 12, 2013 - Aug 18, 2013</t>
  </si>
  <si>
    <t>Aug 5, 2013 - Aug 11, 2013</t>
  </si>
  <si>
    <t>Jul 29, 2013 - Aug 4, 2013</t>
  </si>
  <si>
    <t>Jul 22, 2013 - Jul 28, 2013</t>
  </si>
  <si>
    <t>Jul 15, 2013 - Jul 21, 2013</t>
  </si>
  <si>
    <t>Jul 8, 2013 - Jul 14, 2013</t>
  </si>
  <si>
    <t>Jul 1, 2013 - Jul 7, 2013</t>
  </si>
  <si>
    <t>Jun 24, 2013 - Jun 30, 2013</t>
  </si>
  <si>
    <t>Jun 17, 2013 - Jun 23, 2013</t>
  </si>
  <si>
    <t>Jun 10, 2013 - Jun 16, 2013</t>
  </si>
  <si>
    <t>Jun 3, 2013 - Jun 9, 2013</t>
  </si>
  <si>
    <t>May 27, 2013 - Jun 2, 2013</t>
  </si>
  <si>
    <t>May 20, 2013 - May 26, 2013</t>
  </si>
  <si>
    <t>May 13, 2013 - May 19, 2013</t>
  </si>
  <si>
    <t>May 6, 2013 - May 12, 2013</t>
  </si>
  <si>
    <t>Apr 29, 2013 - May 5, 2013</t>
  </si>
  <si>
    <t>Apr 22, 2013 - Apr 28, 2013</t>
  </si>
  <si>
    <t>Apr 15, 2013 - Apr 21, 2013</t>
  </si>
  <si>
    <t>Apr 8, 2013 - Apr 14, 2013</t>
  </si>
  <si>
    <t>Apr 1, 2013 - Apr 7, 2013</t>
  </si>
  <si>
    <t>Mar 25, 2013 - Mar 31, 2013</t>
  </si>
  <si>
    <t>Mar 18, 2013 - Mar 24, 2013</t>
  </si>
  <si>
    <t>Mar 11, 2013 - Mar 17, 2013</t>
  </si>
  <si>
    <t>Mar 4, 2013 - Mar 10, 2013</t>
  </si>
  <si>
    <t>Feb 25, 2013 - Mar 3, 2013</t>
  </si>
  <si>
    <t>Feb 18, 2013 - Feb 24, 2013</t>
  </si>
  <si>
    <t>Feb 11, 2013 - Feb 17, 2013</t>
  </si>
  <si>
    <t>Feb 4, 2013 - Feb 10, 2013</t>
  </si>
  <si>
    <t>Jan 28, 2013 - Feb 3, 2013</t>
  </si>
  <si>
    <t>Jan 21, 2013 - Jan 27, 2013</t>
  </si>
  <si>
    <t>Jan 14, 2013 - Jan 20, 2013</t>
  </si>
  <si>
    <t>Jan 7, 2013 - Jan 13, 2013</t>
  </si>
  <si>
    <t>Dec 31, 2012 - Jan 6, 2013</t>
  </si>
  <si>
    <t>Dec 24, 2012 - Dec 30, 2012</t>
  </si>
  <si>
    <t>Dec 17, 2012 - Dec 23, 2012</t>
  </si>
  <si>
    <t>Dec 10, 2012 - Dec 16, 2012</t>
  </si>
  <si>
    <t>Dec 3, 2012 - Dec 9, 2012</t>
  </si>
  <si>
    <t>Nov 26, 2012 - Dec 2, 2012</t>
  </si>
  <si>
    <t>Nov 19, 2012 - Nov 25, 2012</t>
  </si>
  <si>
    <t>Nov 12, 2012 - Nov 18, 2012</t>
  </si>
  <si>
    <t>Nov 5, 2012 - Nov 11, 2012</t>
  </si>
  <si>
    <t>Oct 29, 2012 - Nov 4, 2012</t>
  </si>
  <si>
    <t>Oct 22, 2012 - Oct 28, 2012</t>
  </si>
  <si>
    <t>Oct 15, 2012 - Oct 21, 2012</t>
  </si>
  <si>
    <t>Oct 8, 2012 - Oct 14, 2012</t>
  </si>
  <si>
    <t>Oct 1, 2012 - Oct 7, 2012</t>
  </si>
  <si>
    <t>http://www.oanda.com/currency/historical-rates/</t>
  </si>
  <si>
    <t>Accessed September 13, 2013</t>
  </si>
  <si>
    <t>GBP / USD</t>
  </si>
  <si>
    <t>DFID</t>
  </si>
  <si>
    <t>DFID-funded countries</t>
  </si>
  <si>
    <t>Over the next 4 years</t>
  </si>
  <si>
    <t>Oct 2013</t>
  </si>
  <si>
    <t>Aug 2014</t>
  </si>
  <si>
    <t>Dec 2013</t>
  </si>
  <si>
    <t>Mar 2014</t>
  </si>
  <si>
    <t>Jun 2014</t>
  </si>
  <si>
    <t>Sep - Dec 2013</t>
  </si>
  <si>
    <t>Sep 2013</t>
  </si>
  <si>
    <t>Senegal – M&amp;E support for USAID program</t>
  </si>
  <si>
    <t>Zimbabwe – mapping and treatment</t>
  </si>
  <si>
    <t>Mozambique – treatment</t>
  </si>
  <si>
    <t>Ethiopia – mapping and treatment</t>
  </si>
  <si>
    <t>DRC – mapping</t>
  </si>
  <si>
    <t xml:space="preserve">Burundi </t>
  </si>
  <si>
    <t>Burundi – capacity building research</t>
  </si>
  <si>
    <t xml:space="preserve">DRC </t>
  </si>
  <si>
    <t>Malawi</t>
  </si>
  <si>
    <t xml:space="preserve">Mauritania </t>
  </si>
  <si>
    <t xml:space="preserve">Niger </t>
  </si>
  <si>
    <t xml:space="preserve">Rwanda </t>
  </si>
  <si>
    <t>Uganda</t>
  </si>
  <si>
    <t>Zambia</t>
  </si>
  <si>
    <t xml:space="preserve">Zimbabwe </t>
  </si>
  <si>
    <t>3.83m</t>
  </si>
  <si>
    <t>1m</t>
  </si>
  <si>
    <t>3.5m</t>
  </si>
  <si>
    <t>2.7m</t>
  </si>
  <si>
    <t>16.5m</t>
  </si>
  <si>
    <t>15.7m</t>
  </si>
  <si>
    <t>4.149m</t>
  </si>
  <si>
    <t>8.0m</t>
  </si>
  <si>
    <t>6.0m</t>
  </si>
  <si>
    <t>5.125m</t>
  </si>
  <si>
    <t>3.519m</t>
  </si>
  <si>
    <t xml:space="preserve">2013 doses
2.5 /dose </t>
  </si>
  <si>
    <t>Tanzania (Zanzibar)</t>
  </si>
  <si>
    <r>
      <t xml:space="preserve">2013 tablets delivered 
</t>
    </r>
    <r>
      <rPr>
        <b/>
        <sz val="11"/>
        <color rgb="FFFF0000"/>
        <rFont val="Arial"/>
      </rPr>
      <t>(SCI in red)</t>
    </r>
    <r>
      <rPr>
        <b/>
        <sz val="11"/>
        <color rgb="FF365F91"/>
        <rFont val="Arial"/>
      </rPr>
      <t xml:space="preserve"> </t>
    </r>
  </si>
  <si>
    <t>At risk population WHO estimates 2012</t>
  </si>
  <si>
    <t>Total</t>
  </si>
  <si>
    <t>SCI total</t>
  </si>
  <si>
    <t>GiveWell grant to SCI on September 17, 2013</t>
  </si>
  <si>
    <t>Non-DFID</t>
  </si>
  <si>
    <t>Budget Line</t>
  </si>
  <si>
    <t>Budgeted Cost</t>
  </si>
  <si>
    <t>Actual Expenditure</t>
  </si>
  <si>
    <t>Variance</t>
  </si>
  <si>
    <t>Donor’s Funding used for Line Item</t>
  </si>
  <si>
    <t>Other funding sources</t>
  </si>
  <si>
    <t>Budgeted cost for next period</t>
  </si>
  <si>
    <t>Mass Drug Administration</t>
  </si>
  <si>
    <t>Private Donors</t>
  </si>
  <si>
    <t>TBC</t>
  </si>
  <si>
    <t>Mapping of SCH/STH, and Water and sanitation</t>
  </si>
  <si>
    <t>Launch of NTD Master Plan</t>
  </si>
  <si>
    <t>In GBP:</t>
  </si>
  <si>
    <t>In USD:</t>
  </si>
  <si>
    <t>Source: SCI report to GiveWell (September 2013)</t>
  </si>
  <si>
    <t>Expected timing of expenditure</t>
  </si>
  <si>
    <t>SCI contribution as reported in another source</t>
  </si>
  <si>
    <t>Source: SCI report to Ethiopia donor (August 2013)</t>
  </si>
  <si>
    <t>Ending balance</t>
  </si>
  <si>
    <t>Total spending</t>
  </si>
  <si>
    <t>Operating costs</t>
  </si>
  <si>
    <t>Niger</t>
  </si>
  <si>
    <t>Spending, by line item:</t>
  </si>
  <si>
    <t>Revenue</t>
  </si>
  <si>
    <t>October 2012 to August 2013</t>
  </si>
  <si>
    <t>November 2011 to October 2012</t>
  </si>
  <si>
    <t>Reporting period</t>
  </si>
  <si>
    <t>Combined</t>
  </si>
  <si>
    <t>October 2013 update</t>
  </si>
  <si>
    <t>November 2012 update</t>
  </si>
  <si>
    <t>Uncommitted unrestricted funds, with September grant [calculated]</t>
  </si>
  <si>
    <t>Uncommitted unrestricted funds (August 31, 2013) [calculated, confirmed by SCI]</t>
  </si>
  <si>
    <t>Unrestricted funds on hand (August 2013) [calculated, confirmed by SCI]</t>
  </si>
  <si>
    <t>Starting balance [calculated for Nov 2012 update]</t>
  </si>
  <si>
    <t>Start date</t>
  </si>
  <si>
    <t>End date</t>
  </si>
  <si>
    <t>Amount</t>
  </si>
  <si>
    <t>Source</t>
  </si>
  <si>
    <t>http://www.givewell.org/about/impact</t>
  </si>
  <si>
    <t>GiveWell internal records</t>
  </si>
  <si>
    <t>(Between October 1, 2012 and August 13, 2013, this rate ranged from 1.54 to 1.62 and averaged 1.56 according to http://www.oanda.com/currency/historical-rates/ - recorded in Sheet Exchange rates)</t>
  </si>
  <si>
    <t>Starting balance (October 2012)</t>
  </si>
  <si>
    <t>Countries not funded by restricted funds</t>
  </si>
  <si>
    <t>General organization cost</t>
  </si>
  <si>
    <t>Other</t>
  </si>
  <si>
    <t>Other spending summaries:</t>
  </si>
  <si>
    <t>Prevalance surveys</t>
  </si>
  <si>
    <t>Treatment</t>
  </si>
  <si>
    <t>Other and unclear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</si>
</sst>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2" formatCode="_(&quot;$&quot;* #,##0_);_(&quot;$&quot;* \(#,##0\);_(&quot;$&quot;* &quot;-&quot;_);_(@_)"/>
    <numFmt numFmtId="44" formatCode="_(&quot;$&quot;* #,##0.00_);_(&quot;$&quot;* \(#,##0.00\);_(&quot;$&quot;* &quot;-&quot;??_);_(@_)"/>
    <numFmt numFmtId="164" formatCode="_-[$£-809]* #,##0_-;\-[$£-809]* #,##0_-;_-[$£-809]* &quot;-&quot;_-;_-@_-"/>
    <numFmt numFmtId="165" formatCode="[$£-809]#,##0"/>
    <numFmt numFmtId="166" formatCode="&quot;$&quot;#,##0"/>
  </numFmts>
  <fonts count="19" x14ac:knownFonts="1">
    <font>
      <sz val="12"/>
      <color theme="1"/>
      <name val="Calibri"/>
      <family val="2"/>
      <scheme val="minor"/>
    </font>
    <font>
      <b/>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1"/>
      <color theme="1"/>
      <name val="Calibri"/>
      <scheme val="minor"/>
    </font>
    <font>
      <b/>
      <sz val="11"/>
      <color theme="1"/>
      <name val="Calibri"/>
      <scheme val="minor"/>
    </font>
    <font>
      <b/>
      <sz val="11"/>
      <color rgb="FF000000"/>
      <name val="Calibri"/>
      <scheme val="minor"/>
    </font>
    <font>
      <sz val="11"/>
      <color rgb="FF000000"/>
      <name val="Calibri"/>
      <scheme val="minor"/>
    </font>
    <font>
      <b/>
      <sz val="10"/>
      <color theme="1"/>
      <name val="Calibri"/>
      <scheme val="minor"/>
    </font>
    <font>
      <b/>
      <sz val="11"/>
      <color rgb="FF365F91"/>
      <name val="Arial"/>
    </font>
    <font>
      <sz val="11"/>
      <color rgb="FF365F91"/>
      <name val="Arial"/>
    </font>
    <font>
      <b/>
      <sz val="11"/>
      <color rgb="FFFF0000"/>
      <name val="Arial"/>
    </font>
    <font>
      <sz val="11"/>
      <color rgb="FFFF0000"/>
      <name val="Arial"/>
    </font>
    <font>
      <sz val="12"/>
      <color rgb="FF000000"/>
      <name val="Calibri"/>
      <family val="2"/>
      <scheme val="minor"/>
    </font>
    <font>
      <i/>
      <sz val="12"/>
      <color theme="1"/>
      <name val="Calibri"/>
      <scheme val="minor"/>
    </font>
    <font>
      <sz val="10"/>
      <name val="Verdana"/>
      <family val="2"/>
    </font>
    <font>
      <sz val="12"/>
      <color rgb="FFFF0000"/>
      <name val="Calibri"/>
      <family val="2"/>
      <scheme val="minor"/>
    </font>
  </fonts>
  <fills count="11">
    <fill>
      <patternFill patternType="none"/>
    </fill>
    <fill>
      <patternFill patternType="gray125"/>
    </fill>
    <fill>
      <patternFill patternType="solid">
        <fgColor rgb="FF8DB4E2"/>
        <bgColor indexed="64"/>
      </patternFill>
    </fill>
    <fill>
      <patternFill patternType="solid">
        <fgColor rgb="FFDCE6F1"/>
        <bgColor indexed="64"/>
      </patternFill>
    </fill>
    <fill>
      <patternFill patternType="solid">
        <fgColor rgb="FFDBE5F1"/>
        <bgColor indexed="64"/>
      </patternFill>
    </fill>
    <fill>
      <patternFill patternType="solid">
        <fgColor rgb="FF4F81BD"/>
        <bgColor indexed="64"/>
      </patternFill>
    </fill>
    <fill>
      <patternFill patternType="solid">
        <fgColor rgb="FF548DD4"/>
        <bgColor indexed="64"/>
      </patternFill>
    </fill>
    <fill>
      <patternFill patternType="solid">
        <fgColor rgb="FFD3DFEE"/>
        <bgColor indexed="64"/>
      </patternFill>
    </fill>
    <fill>
      <patternFill patternType="solid">
        <fgColor rgb="FFB8CCE4"/>
        <bgColor indexed="64"/>
      </patternFill>
    </fill>
    <fill>
      <patternFill patternType="solid">
        <fgColor theme="8" tint="0.39997558519241921"/>
        <bgColor indexed="64"/>
      </patternFill>
    </fill>
    <fill>
      <patternFill patternType="solid">
        <fgColor theme="6" tint="0.39997558519241921"/>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auto="1"/>
      </right>
      <top/>
      <bottom/>
      <diagonal/>
    </border>
    <border>
      <left/>
      <right style="medium">
        <color auto="1"/>
      </right>
      <top/>
      <bottom style="medium">
        <color auto="1"/>
      </bottom>
      <diagonal/>
    </border>
    <border>
      <left style="medium">
        <color rgb="FF000000"/>
      </left>
      <right style="medium">
        <color auto="1"/>
      </right>
      <top style="medium">
        <color rgb="FF000000"/>
      </top>
      <bottom/>
      <diagonal/>
    </border>
    <border>
      <left style="medium">
        <color auto="1"/>
      </left>
      <right style="medium">
        <color auto="1"/>
      </right>
      <top/>
      <bottom style="medium">
        <color auto="1"/>
      </bottom>
      <diagonal/>
    </border>
    <border>
      <left style="medium">
        <color rgb="FF4F81BD"/>
      </left>
      <right style="medium">
        <color rgb="FF4F81BD"/>
      </right>
      <top style="medium">
        <color rgb="FF4F81BD"/>
      </top>
      <bottom/>
      <diagonal/>
    </border>
    <border>
      <left style="medium">
        <color rgb="FF4F81BD"/>
      </left>
      <right style="medium">
        <color rgb="FF4F81BD"/>
      </right>
      <top/>
      <bottom style="thick">
        <color rgb="FF4F81BD"/>
      </bottom>
      <diagonal/>
    </border>
    <border>
      <left/>
      <right style="medium">
        <color rgb="FF4F81BD"/>
      </right>
      <top style="medium">
        <color rgb="FF4F81BD"/>
      </top>
      <bottom/>
      <diagonal/>
    </border>
    <border>
      <left/>
      <right style="medium">
        <color rgb="FF4F81BD"/>
      </right>
      <top/>
      <bottom style="thick">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right/>
      <top/>
      <bottom style="thin">
        <color auto="1"/>
      </bottom>
      <diagonal/>
    </border>
    <border>
      <left/>
      <right/>
      <top style="thin">
        <color auto="1"/>
      </top>
      <bottom/>
      <diagonal/>
    </border>
  </borders>
  <cellStyleXfs count="12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4">
    <xf numFmtId="0" fontId="0" fillId="0" borderId="0" xfId="0"/>
    <xf numFmtId="164" fontId="0" fillId="0" borderId="0" xfId="0" applyNumberFormat="1"/>
    <xf numFmtId="0" fontId="8" fillId="3" borderId="5" xfId="0" applyFont="1" applyFill="1" applyBorder="1" applyAlignment="1">
      <alignment vertical="center"/>
    </xf>
    <xf numFmtId="0" fontId="6" fillId="3" borderId="7" xfId="0" applyFont="1" applyFill="1" applyBorder="1"/>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6" fillId="3" borderId="1" xfId="0" applyFont="1" applyFill="1" applyBorder="1" applyAlignment="1">
      <alignment vertical="center"/>
    </xf>
    <xf numFmtId="3" fontId="0" fillId="0" borderId="0" xfId="0" applyNumberFormat="1"/>
    <xf numFmtId="3" fontId="9" fillId="4" borderId="6" xfId="0" applyNumberFormat="1" applyFont="1" applyFill="1" applyBorder="1" applyAlignment="1">
      <alignment horizontal="right" vertical="center"/>
    </xf>
    <xf numFmtId="0" fontId="9" fillId="4" borderId="6" xfId="0" applyFont="1" applyFill="1" applyBorder="1" applyAlignment="1">
      <alignment horizontal="right" vertical="center"/>
    </xf>
    <xf numFmtId="0" fontId="6" fillId="3" borderId="8" xfId="0" applyFont="1" applyFill="1" applyBorder="1" applyAlignment="1">
      <alignment vertical="center"/>
    </xf>
    <xf numFmtId="3" fontId="9" fillId="3" borderId="6" xfId="0" applyNumberFormat="1" applyFont="1" applyFill="1" applyBorder="1" applyAlignment="1">
      <alignment horizontal="right" vertical="center"/>
    </xf>
    <xf numFmtId="0" fontId="7" fillId="3" borderId="8" xfId="0" applyFont="1" applyFill="1" applyBorder="1" applyAlignment="1">
      <alignment vertical="center"/>
    </xf>
    <xf numFmtId="3" fontId="8" fillId="3" borderId="6" xfId="0" applyNumberFormat="1" applyFont="1" applyFill="1" applyBorder="1" applyAlignment="1">
      <alignment horizontal="right" vertical="center"/>
    </xf>
    <xf numFmtId="0" fontId="8" fillId="4" borderId="6" xfId="0" applyFont="1" applyFill="1" applyBorder="1" applyAlignment="1">
      <alignment horizontal="right" vertical="center"/>
    </xf>
    <xf numFmtId="0" fontId="8" fillId="5" borderId="8" xfId="0" applyFont="1" applyFill="1" applyBorder="1" applyAlignment="1">
      <alignment vertical="center"/>
    </xf>
    <xf numFmtId="3" fontId="8" fillId="5" borderId="6" xfId="0" applyNumberFormat="1" applyFont="1" applyFill="1" applyBorder="1" applyAlignment="1">
      <alignment horizontal="right" vertical="center"/>
    </xf>
    <xf numFmtId="0" fontId="8" fillId="6" borderId="6" xfId="0" applyFont="1" applyFill="1" applyBorder="1" applyAlignment="1">
      <alignment horizontal="right" vertical="center"/>
    </xf>
    <xf numFmtId="165" fontId="0" fillId="0" borderId="0" xfId="0" applyNumberFormat="1"/>
    <xf numFmtId="42" fontId="0" fillId="0" borderId="0" xfId="0" applyNumberFormat="1"/>
    <xf numFmtId="0" fontId="9" fillId="7" borderId="14" xfId="0" applyFont="1" applyFill="1" applyBorder="1" applyAlignment="1">
      <alignment vertical="center" wrapText="1"/>
    </xf>
    <xf numFmtId="16" fontId="9" fillId="7" borderId="14" xfId="0" applyNumberFormat="1" applyFont="1" applyFill="1" applyBorder="1" applyAlignment="1">
      <alignment vertical="center" wrapText="1"/>
    </xf>
    <xf numFmtId="0" fontId="9" fillId="0" borderId="14" xfId="0" applyFont="1" applyBorder="1" applyAlignment="1">
      <alignment vertical="center" wrapText="1"/>
    </xf>
    <xf numFmtId="16" fontId="9" fillId="0" borderId="14" xfId="0" applyNumberFormat="1" applyFont="1" applyBorder="1" applyAlignment="1">
      <alignment vertical="center" wrapText="1"/>
    </xf>
    <xf numFmtId="0" fontId="6" fillId="0" borderId="14" xfId="0" applyFont="1" applyBorder="1" applyAlignment="1">
      <alignment vertical="center" wrapText="1"/>
    </xf>
    <xf numFmtId="17" fontId="6" fillId="0" borderId="14" xfId="0" applyNumberFormat="1" applyFont="1" applyBorder="1" applyAlignment="1">
      <alignment vertical="center"/>
    </xf>
    <xf numFmtId="0" fontId="8" fillId="7" borderId="13" xfId="0" applyFont="1" applyFill="1" applyBorder="1" applyAlignment="1">
      <alignment vertical="center" wrapText="1"/>
    </xf>
    <xf numFmtId="0" fontId="8" fillId="0" borderId="13"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wrapText="1"/>
    </xf>
    <xf numFmtId="165" fontId="1" fillId="0" borderId="11" xfId="0" applyNumberFormat="1" applyFont="1" applyBorder="1" applyAlignment="1">
      <alignment vertical="center"/>
    </xf>
    <xf numFmtId="165" fontId="1" fillId="0" borderId="12" xfId="0" applyNumberFormat="1" applyFont="1" applyBorder="1" applyAlignment="1">
      <alignment vertical="center"/>
    </xf>
    <xf numFmtId="165" fontId="9" fillId="7" borderId="14" xfId="0" applyNumberFormat="1" applyFont="1" applyFill="1" applyBorder="1" applyAlignment="1">
      <alignment horizontal="right" vertical="center"/>
    </xf>
    <xf numFmtId="165" fontId="9" fillId="0" borderId="14" xfId="0" applyNumberFormat="1" applyFont="1" applyBorder="1" applyAlignment="1">
      <alignment horizontal="right" vertical="center"/>
    </xf>
    <xf numFmtId="165" fontId="6" fillId="0" borderId="14" xfId="0" applyNumberFormat="1" applyFont="1" applyBorder="1" applyAlignment="1">
      <alignment horizontal="right" vertical="center"/>
    </xf>
    <xf numFmtId="44" fontId="0" fillId="0" borderId="0" xfId="0" applyNumberFormat="1"/>
    <xf numFmtId="6" fontId="0" fillId="0" borderId="0" xfId="0" applyNumberFormat="1"/>
    <xf numFmtId="9" fontId="0" fillId="0" borderId="0" xfId="0" applyNumberFormat="1"/>
    <xf numFmtId="49" fontId="0" fillId="0" borderId="0" xfId="0" applyNumberFormat="1"/>
    <xf numFmtId="0" fontId="11" fillId="0" borderId="0" xfId="0" applyFont="1" applyBorder="1" applyAlignment="1">
      <alignment vertical="center" wrapText="1"/>
    </xf>
    <xf numFmtId="0" fontId="11" fillId="7" borderId="0" xfId="0" applyFont="1" applyFill="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4" fillId="0" borderId="0" xfId="0" applyFont="1" applyAlignment="1">
      <alignment vertical="center" wrapText="1"/>
    </xf>
    <xf numFmtId="3" fontId="12" fillId="7" borderId="0" xfId="0" applyNumberFormat="1" applyFont="1" applyFill="1" applyAlignment="1">
      <alignment vertical="center" wrapText="1"/>
    </xf>
    <xf numFmtId="0" fontId="12" fillId="0" borderId="0" xfId="0" applyFont="1" applyAlignment="1">
      <alignment vertical="center"/>
    </xf>
    <xf numFmtId="0" fontId="14" fillId="0" borderId="0" xfId="0" applyFont="1" applyAlignment="1">
      <alignment vertical="center"/>
    </xf>
    <xf numFmtId="3" fontId="12" fillId="7" borderId="0" xfId="0" applyNumberFormat="1" applyFont="1" applyFill="1" applyAlignment="1">
      <alignment vertical="center"/>
    </xf>
    <xf numFmtId="3" fontId="14" fillId="7" borderId="0" xfId="0" applyNumberFormat="1" applyFont="1" applyFill="1" applyAlignment="1">
      <alignment vertical="center" wrapText="1"/>
    </xf>
    <xf numFmtId="0" fontId="11" fillId="0" borderId="0" xfId="0" applyFont="1" applyFill="1" applyBorder="1" applyAlignment="1">
      <alignment vertical="center" wrapText="1"/>
    </xf>
    <xf numFmtId="10" fontId="0" fillId="0" borderId="0" xfId="0" applyNumberFormat="1"/>
    <xf numFmtId="0" fontId="6" fillId="8" borderId="1" xfId="0" applyFont="1" applyFill="1" applyBorder="1" applyAlignment="1">
      <alignment vertical="center" wrapText="1"/>
    </xf>
    <xf numFmtId="0" fontId="6" fillId="8" borderId="4" xfId="0" applyFont="1" applyFill="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0" xfId="0" applyFont="1" applyFill="1" applyBorder="1" applyAlignment="1">
      <alignment vertical="center" wrapText="1"/>
    </xf>
    <xf numFmtId="165" fontId="6" fillId="0" borderId="6" xfId="0" applyNumberFormat="1" applyFont="1" applyBorder="1" applyAlignment="1">
      <alignment vertical="center" wrapText="1"/>
    </xf>
    <xf numFmtId="166" fontId="6" fillId="0" borderId="6" xfId="0" applyNumberFormat="1" applyFont="1" applyBorder="1" applyAlignment="1">
      <alignment vertical="center" wrapText="1"/>
    </xf>
    <xf numFmtId="166" fontId="0" fillId="0" borderId="0" xfId="0" applyNumberFormat="1"/>
    <xf numFmtId="166" fontId="15" fillId="0" borderId="0" xfId="0" applyNumberFormat="1" applyFont="1"/>
    <xf numFmtId="0" fontId="16" fillId="0" borderId="0" xfId="0" applyFont="1"/>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42" fontId="0" fillId="0" borderId="0" xfId="0" applyNumberFormat="1" applyFont="1"/>
    <xf numFmtId="0" fontId="0" fillId="0" borderId="0" xfId="0" applyAlignment="1">
      <alignment horizontal="right" wrapText="1"/>
    </xf>
    <xf numFmtId="15" fontId="0" fillId="0" borderId="0" xfId="0" applyNumberFormat="1"/>
    <xf numFmtId="0" fontId="18" fillId="0" borderId="0" xfId="0" applyFont="1" applyAlignment="1">
      <alignment wrapText="1"/>
    </xf>
    <xf numFmtId="0" fontId="18" fillId="0" borderId="0" xfId="0" applyFont="1"/>
    <xf numFmtId="42" fontId="18" fillId="0" borderId="0" xfId="0" applyNumberFormat="1" applyFont="1" applyAlignment="1">
      <alignment wrapText="1"/>
    </xf>
    <xf numFmtId="0" fontId="0" fillId="9" borderId="0" xfId="0" applyFill="1"/>
    <xf numFmtId="42" fontId="0" fillId="9" borderId="0" xfId="0" applyNumberFormat="1" applyFill="1"/>
    <xf numFmtId="9" fontId="0" fillId="9" borderId="0" xfId="0" applyNumberFormat="1" applyFill="1"/>
    <xf numFmtId="42" fontId="0" fillId="9" borderId="15" xfId="0" applyNumberFormat="1" applyFill="1" applyBorder="1"/>
    <xf numFmtId="9" fontId="0" fillId="9" borderId="15" xfId="0" applyNumberFormat="1" applyFill="1" applyBorder="1"/>
    <xf numFmtId="0" fontId="1" fillId="0" borderId="0" xfId="0" applyFont="1"/>
    <xf numFmtId="42" fontId="0" fillId="10" borderId="0" xfId="0" applyNumberFormat="1" applyFill="1"/>
    <xf numFmtId="9" fontId="0" fillId="10" borderId="0" xfId="0" applyNumberFormat="1" applyFill="1"/>
    <xf numFmtId="42" fontId="0" fillId="10" borderId="16" xfId="0" applyNumberFormat="1" applyFill="1" applyBorder="1"/>
    <xf numFmtId="9" fontId="0" fillId="10" borderId="16" xfId="0" applyNumberFormat="1" applyFill="1" applyBorder="1"/>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4" borderId="2" xfId="0" applyFont="1" applyFill="1" applyBorder="1" applyAlignment="1">
      <alignment vertical="center"/>
    </xf>
    <xf numFmtId="0" fontId="8" fillId="4" borderId="4"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9" xfId="0" applyFont="1" applyBorder="1" applyAlignment="1">
      <alignment vertical="center"/>
    </xf>
    <xf numFmtId="0" fontId="1" fillId="0" borderId="10" xfId="0" applyFont="1" applyBorder="1" applyAlignment="1">
      <alignment vertical="center"/>
    </xf>
    <xf numFmtId="0" fontId="10" fillId="0" borderId="9" xfId="0" applyFont="1" applyBorder="1" applyAlignment="1">
      <alignment vertical="center" wrapText="1"/>
    </xf>
    <xf numFmtId="0" fontId="10" fillId="0" borderId="10" xfId="0" applyFont="1" applyBorder="1" applyAlignment="1">
      <alignment vertical="center" wrapText="1"/>
    </xf>
  </cellXfs>
  <cellStyles count="1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Normal" xfId="0" builtinId="0"/>
    <cellStyle name="Normal 4" xfId="9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baseColWidth="10" defaultRowHeight="15" x14ac:dyDescent="0"/>
  <cols>
    <col min="1" max="1" width="35.6640625" customWidth="1"/>
    <col min="2" max="2" width="16" customWidth="1"/>
  </cols>
  <sheetData>
    <row r="1" spans="1:3">
      <c r="A1" t="s">
        <v>189</v>
      </c>
    </row>
    <row r="2" spans="1:3" ht="16" thickBot="1"/>
    <row r="3" spans="1:3" ht="16" thickBot="1">
      <c r="A3" s="80" t="s">
        <v>5</v>
      </c>
      <c r="B3" s="81"/>
      <c r="C3" s="82"/>
    </row>
    <row r="4" spans="1:3" ht="16" thickBot="1">
      <c r="A4" s="2" t="s">
        <v>6</v>
      </c>
      <c r="B4" s="83" t="s">
        <v>7</v>
      </c>
      <c r="C4" s="84"/>
    </row>
    <row r="5" spans="1:3" ht="16" thickBot="1">
      <c r="A5" s="3"/>
      <c r="B5" s="4" t="s">
        <v>8</v>
      </c>
      <c r="C5" s="5" t="s">
        <v>9</v>
      </c>
    </row>
    <row r="6" spans="1:3" ht="16" thickBot="1">
      <c r="A6" s="6" t="s">
        <v>10</v>
      </c>
      <c r="B6" s="8">
        <v>2482</v>
      </c>
      <c r="C6" s="9">
        <v>0.2</v>
      </c>
    </row>
    <row r="7" spans="1:3" ht="16" thickBot="1">
      <c r="A7" s="10" t="s">
        <v>11</v>
      </c>
      <c r="B7" s="8">
        <v>18693</v>
      </c>
      <c r="C7" s="9">
        <v>1.8</v>
      </c>
    </row>
    <row r="8" spans="1:3" ht="16" thickBot="1">
      <c r="A8" s="10" t="s">
        <v>12</v>
      </c>
      <c r="B8" s="8">
        <v>15532</v>
      </c>
      <c r="C8" s="9">
        <v>1.5</v>
      </c>
    </row>
    <row r="9" spans="1:3" ht="16" thickBot="1">
      <c r="A9" s="10" t="s">
        <v>13</v>
      </c>
      <c r="B9" s="8">
        <v>25104</v>
      </c>
      <c r="C9" s="9">
        <v>2.4</v>
      </c>
    </row>
    <row r="10" spans="1:3" ht="16" thickBot="1">
      <c r="A10" s="10" t="s">
        <v>14</v>
      </c>
      <c r="B10" s="8">
        <v>28782</v>
      </c>
      <c r="C10" s="9">
        <v>2.7</v>
      </c>
    </row>
    <row r="11" spans="1:3" ht="16" thickBot="1">
      <c r="A11" s="10" t="s">
        <v>15</v>
      </c>
      <c r="B11" s="8">
        <v>1003</v>
      </c>
      <c r="C11" s="9">
        <v>0.1</v>
      </c>
    </row>
    <row r="12" spans="1:3" ht="16" thickBot="1">
      <c r="A12" s="10" t="s">
        <v>16</v>
      </c>
      <c r="B12" s="8">
        <v>4789</v>
      </c>
      <c r="C12" s="9">
        <v>0.5</v>
      </c>
    </row>
    <row r="13" spans="1:3" ht="16" thickBot="1">
      <c r="A13" s="10" t="s">
        <v>17</v>
      </c>
      <c r="B13" s="8">
        <v>6321</v>
      </c>
      <c r="C13" s="9">
        <v>0.6</v>
      </c>
    </row>
    <row r="14" spans="1:3" ht="16" thickBot="1">
      <c r="A14" s="10" t="s">
        <v>18</v>
      </c>
      <c r="B14" s="8">
        <v>1413</v>
      </c>
      <c r="C14" s="9">
        <v>0.1</v>
      </c>
    </row>
    <row r="15" spans="1:3" ht="16" thickBot="1">
      <c r="A15" s="10" t="s">
        <v>19</v>
      </c>
      <c r="B15" s="8">
        <v>14517</v>
      </c>
      <c r="C15" s="9">
        <v>1.4</v>
      </c>
    </row>
    <row r="16" spans="1:3" ht="16" thickBot="1">
      <c r="A16" s="85" t="s">
        <v>20</v>
      </c>
      <c r="B16" s="86"/>
      <c r="C16" s="87"/>
    </row>
    <row r="17" spans="1:3" ht="16" thickBot="1">
      <c r="A17" s="10" t="s">
        <v>21</v>
      </c>
      <c r="B17" s="8">
        <v>30000</v>
      </c>
      <c r="C17" s="9">
        <v>2.8</v>
      </c>
    </row>
    <row r="18" spans="1:3" ht="16" thickBot="1">
      <c r="A18" s="10" t="s">
        <v>22</v>
      </c>
      <c r="B18" s="8">
        <v>7239</v>
      </c>
      <c r="C18" s="9">
        <v>0.7</v>
      </c>
    </row>
    <row r="19" spans="1:3" ht="16" thickBot="1">
      <c r="A19" s="10" t="s">
        <v>23</v>
      </c>
      <c r="B19" s="8">
        <v>596044</v>
      </c>
      <c r="C19" s="9">
        <v>56.3</v>
      </c>
    </row>
    <row r="20" spans="1:3" ht="16" thickBot="1">
      <c r="A20" s="10" t="s">
        <v>24</v>
      </c>
      <c r="B20" s="8">
        <v>5182</v>
      </c>
      <c r="C20" s="9">
        <v>0.5</v>
      </c>
    </row>
    <row r="21" spans="1:3" ht="16" thickBot="1">
      <c r="A21" s="10" t="s">
        <v>25</v>
      </c>
      <c r="B21" s="8">
        <v>1314</v>
      </c>
      <c r="C21" s="9">
        <v>0.1</v>
      </c>
    </row>
    <row r="22" spans="1:3" ht="16" thickBot="1">
      <c r="A22" s="10" t="s">
        <v>26</v>
      </c>
      <c r="B22" s="11">
        <v>39589</v>
      </c>
      <c r="C22" s="9">
        <v>3.7</v>
      </c>
    </row>
    <row r="23" spans="1:3" ht="16" thickBot="1">
      <c r="A23" s="10" t="s">
        <v>27</v>
      </c>
      <c r="B23" s="11">
        <v>20925</v>
      </c>
      <c r="C23" s="9">
        <v>2</v>
      </c>
    </row>
    <row r="24" spans="1:3" ht="16" thickBot="1">
      <c r="A24" s="10" t="s">
        <v>28</v>
      </c>
      <c r="B24" s="11">
        <v>1314</v>
      </c>
      <c r="C24" s="9">
        <v>0.1</v>
      </c>
    </row>
    <row r="25" spans="1:3" ht="16" thickBot="1">
      <c r="A25" s="10" t="s">
        <v>29</v>
      </c>
      <c r="B25" s="11">
        <v>90239</v>
      </c>
      <c r="C25" s="9">
        <v>8.5</v>
      </c>
    </row>
    <row r="26" spans="1:3" ht="16" thickBot="1">
      <c r="A26" s="10" t="s">
        <v>30</v>
      </c>
      <c r="B26" s="11">
        <v>1424</v>
      </c>
      <c r="C26" s="9">
        <v>0.1</v>
      </c>
    </row>
    <row r="27" spans="1:3" ht="16" thickBot="1">
      <c r="A27" s="10" t="s">
        <v>31</v>
      </c>
      <c r="B27" s="11">
        <v>37279</v>
      </c>
      <c r="C27" s="9">
        <v>3.5</v>
      </c>
    </row>
    <row r="28" spans="1:3" ht="16" thickBot="1">
      <c r="A28" s="10" t="s">
        <v>32</v>
      </c>
      <c r="B28" s="11">
        <v>110000</v>
      </c>
      <c r="C28" s="9">
        <v>10.4</v>
      </c>
    </row>
    <row r="29" spans="1:3" ht="16" thickBot="1">
      <c r="A29" s="12" t="s">
        <v>33</v>
      </c>
      <c r="B29" s="13">
        <v>940549</v>
      </c>
      <c r="C29" s="14">
        <v>88.8</v>
      </c>
    </row>
    <row r="30" spans="1:3" ht="16" thickBot="1">
      <c r="A30" s="15" t="s">
        <v>34</v>
      </c>
      <c r="B30" s="16">
        <v>1059185</v>
      </c>
      <c r="C30" s="17">
        <v>100</v>
      </c>
    </row>
  </sheetData>
  <mergeCells count="3">
    <mergeCell ref="A3:C3"/>
    <mergeCell ref="B4:C4"/>
    <mergeCell ref="A16:C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RowHeight="15" x14ac:dyDescent="0"/>
  <cols>
    <col min="1" max="1" width="19.6640625" style="29" customWidth="1"/>
    <col min="2" max="2" width="14.6640625" style="29" customWidth="1"/>
    <col min="3" max="3" width="10.83203125" style="18"/>
    <col min="4" max="4" width="31" customWidth="1"/>
  </cols>
  <sheetData>
    <row r="1" spans="1:5">
      <c r="A1" t="s">
        <v>189</v>
      </c>
    </row>
    <row r="2" spans="1:5" ht="16" thickBot="1"/>
    <row r="3" spans="1:5">
      <c r="A3" s="88" t="s">
        <v>39</v>
      </c>
      <c r="B3" s="88" t="s">
        <v>40</v>
      </c>
      <c r="C3" s="30" t="s">
        <v>41</v>
      </c>
      <c r="D3" s="90" t="s">
        <v>43</v>
      </c>
      <c r="E3" s="92" t="s">
        <v>44</v>
      </c>
    </row>
    <row r="4" spans="1:5" ht="16" thickBot="1">
      <c r="A4" s="89"/>
      <c r="B4" s="89"/>
      <c r="C4" s="31" t="s">
        <v>42</v>
      </c>
      <c r="D4" s="91"/>
      <c r="E4" s="93"/>
    </row>
    <row r="5" spans="1:5" ht="44" thickTop="1" thickBot="1">
      <c r="A5" s="26" t="s">
        <v>45</v>
      </c>
      <c r="B5" s="20" t="s">
        <v>46</v>
      </c>
      <c r="C5" s="32">
        <v>9375</v>
      </c>
      <c r="D5" s="20" t="s">
        <v>47</v>
      </c>
      <c r="E5" s="21">
        <v>41560</v>
      </c>
    </row>
    <row r="6" spans="1:5" ht="43" thickBot="1">
      <c r="A6" s="27" t="s">
        <v>48</v>
      </c>
      <c r="B6" s="22" t="s">
        <v>46</v>
      </c>
      <c r="C6" s="33">
        <v>70000</v>
      </c>
      <c r="D6" s="22" t="s">
        <v>49</v>
      </c>
      <c r="E6" s="23">
        <v>41530</v>
      </c>
    </row>
    <row r="7" spans="1:5" ht="29" thickBot="1">
      <c r="A7" s="26" t="s">
        <v>50</v>
      </c>
      <c r="B7" s="20" t="s">
        <v>51</v>
      </c>
      <c r="C7" s="32">
        <v>222500</v>
      </c>
      <c r="D7" s="20" t="s">
        <v>52</v>
      </c>
      <c r="E7" s="21">
        <v>41621</v>
      </c>
    </row>
    <row r="8" spans="1:5" ht="29" thickBot="1">
      <c r="A8" s="27" t="s">
        <v>53</v>
      </c>
      <c r="B8" s="22" t="s">
        <v>29</v>
      </c>
      <c r="C8" s="33">
        <v>160000</v>
      </c>
      <c r="D8" s="22" t="s">
        <v>54</v>
      </c>
      <c r="E8" s="22" t="s">
        <v>55</v>
      </c>
    </row>
    <row r="9" spans="1:5" ht="43" thickBot="1">
      <c r="A9" s="26" t="s">
        <v>56</v>
      </c>
      <c r="B9" s="20" t="s">
        <v>46</v>
      </c>
      <c r="C9" s="32">
        <v>20000</v>
      </c>
      <c r="D9" s="20" t="s">
        <v>57</v>
      </c>
      <c r="E9" s="21">
        <v>41621</v>
      </c>
    </row>
    <row r="10" spans="1:5" ht="43" thickBot="1">
      <c r="A10" s="27" t="s">
        <v>58</v>
      </c>
      <c r="B10" s="22" t="s">
        <v>46</v>
      </c>
      <c r="C10" s="33">
        <v>20000</v>
      </c>
      <c r="D10" s="22" t="s">
        <v>59</v>
      </c>
      <c r="E10" s="23">
        <v>41622</v>
      </c>
    </row>
    <row r="11" spans="1:5" ht="29" thickBot="1">
      <c r="A11" s="26" t="s">
        <v>60</v>
      </c>
      <c r="B11" s="20" t="s">
        <v>61</v>
      </c>
      <c r="C11" s="32">
        <v>10000</v>
      </c>
      <c r="D11" s="20" t="s">
        <v>62</v>
      </c>
      <c r="E11" s="21">
        <v>41439</v>
      </c>
    </row>
    <row r="12" spans="1:5" ht="29" thickBot="1">
      <c r="A12" s="27" t="s">
        <v>63</v>
      </c>
      <c r="B12" s="22" t="s">
        <v>64</v>
      </c>
      <c r="C12" s="33">
        <v>45000</v>
      </c>
      <c r="D12" s="22" t="s">
        <v>65</v>
      </c>
      <c r="E12" s="23">
        <v>41530</v>
      </c>
    </row>
    <row r="13" spans="1:5" ht="29" thickBot="1">
      <c r="A13" s="26" t="s">
        <v>66</v>
      </c>
      <c r="B13" s="20" t="s">
        <v>22</v>
      </c>
      <c r="C13" s="32">
        <v>60000</v>
      </c>
      <c r="D13" s="20" t="s">
        <v>67</v>
      </c>
      <c r="E13" s="21">
        <v>41500</v>
      </c>
    </row>
    <row r="14" spans="1:5" ht="29" thickBot="1">
      <c r="A14" s="27" t="s">
        <v>68</v>
      </c>
      <c r="B14" s="22" t="s">
        <v>69</v>
      </c>
      <c r="C14" s="33">
        <v>400000</v>
      </c>
      <c r="D14" s="22" t="s">
        <v>70</v>
      </c>
      <c r="E14" s="23">
        <v>41347</v>
      </c>
    </row>
    <row r="15" spans="1:5" ht="43" thickBot="1">
      <c r="A15" s="26" t="s">
        <v>71</v>
      </c>
      <c r="B15" s="20" t="s">
        <v>32</v>
      </c>
      <c r="C15" s="32">
        <v>140000</v>
      </c>
      <c r="D15" s="20" t="s">
        <v>72</v>
      </c>
      <c r="E15" s="20" t="s">
        <v>73</v>
      </c>
    </row>
    <row r="16" spans="1:5" ht="29" thickBot="1">
      <c r="A16" s="28" t="s">
        <v>74</v>
      </c>
      <c r="B16" s="24" t="s">
        <v>76</v>
      </c>
      <c r="C16" s="34">
        <v>20000</v>
      </c>
      <c r="D16" s="24" t="s">
        <v>75</v>
      </c>
      <c r="E16" s="25">
        <v>41913</v>
      </c>
    </row>
  </sheetData>
  <mergeCells count="4">
    <mergeCell ref="A3:A4"/>
    <mergeCell ref="B3:B4"/>
    <mergeCell ref="D3:D4"/>
    <mergeCell ref="E3:E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workbookViewId="0">
      <selection activeCell="H13" sqref="H13"/>
    </sheetView>
  </sheetViews>
  <sheetFormatPr baseColWidth="10" defaultRowHeight="15" x14ac:dyDescent="0"/>
  <cols>
    <col min="1" max="1" width="43.33203125" style="29" customWidth="1"/>
    <col min="2" max="2" width="13.5" style="1" customWidth="1"/>
    <col min="3" max="3" width="13.5" style="19" customWidth="1"/>
    <col min="6" max="6" width="1.83203125" customWidth="1"/>
    <col min="7" max="7" width="35.33203125" customWidth="1"/>
    <col min="8" max="8" width="11.5" bestFit="1" customWidth="1"/>
    <col min="9" max="9" width="6.5" customWidth="1"/>
  </cols>
  <sheetData>
    <row r="1" spans="1:9">
      <c r="A1" s="63" t="s">
        <v>0</v>
      </c>
    </row>
    <row r="2" spans="1:9">
      <c r="A2" s="63"/>
      <c r="B2" s="1" t="s">
        <v>77</v>
      </c>
      <c r="C2" s="35">
        <f>'Exchange rates'!B5</f>
        <v>1.5591999999999999</v>
      </c>
      <c r="D2" t="s">
        <v>215</v>
      </c>
    </row>
    <row r="3" spans="1:9">
      <c r="A3" s="63"/>
    </row>
    <row r="4" spans="1:9">
      <c r="B4" s="1" t="s">
        <v>1</v>
      </c>
      <c r="C4" s="19" t="s">
        <v>2</v>
      </c>
    </row>
    <row r="5" spans="1:9">
      <c r="A5" s="63" t="s">
        <v>216</v>
      </c>
      <c r="B5" s="1">
        <v>1255416.97</v>
      </c>
      <c r="C5" s="19">
        <f>B5*C$2</f>
        <v>1957446.1396239998</v>
      </c>
    </row>
    <row r="7" spans="1:9">
      <c r="A7" s="63" t="s">
        <v>3</v>
      </c>
      <c r="G7" s="75" t="s">
        <v>220</v>
      </c>
    </row>
    <row r="9" spans="1:9">
      <c r="A9" s="29" t="s">
        <v>4</v>
      </c>
      <c r="B9" s="1">
        <f>SUM('Spending from SCI'!B6:B14)</f>
        <v>104119</v>
      </c>
      <c r="C9" s="19">
        <f t="shared" ref="C9:C22" si="0">B9*C$2</f>
        <v>162342.34479999999</v>
      </c>
      <c r="D9" s="37">
        <f>C9/C$24</f>
        <v>9.8301052224115712E-2</v>
      </c>
      <c r="G9" s="70" t="s">
        <v>132</v>
      </c>
      <c r="H9" s="71">
        <f>C11+C14+C17+C20</f>
        <v>89702.335200000001</v>
      </c>
      <c r="I9" s="72">
        <f>H9/C24</f>
        <v>5.4316290355320367E-2</v>
      </c>
    </row>
    <row r="10" spans="1:9">
      <c r="A10" s="29" t="s">
        <v>19</v>
      </c>
      <c r="B10" s="1">
        <f>'Spending from SCI'!B15</f>
        <v>14517</v>
      </c>
      <c r="C10" s="19">
        <f t="shared" si="0"/>
        <v>22634.9064</v>
      </c>
      <c r="D10" s="37">
        <f t="shared" ref="D10:D22" si="1">C10/C$24</f>
        <v>1.3705820985002622E-2</v>
      </c>
      <c r="G10" s="70" t="s">
        <v>217</v>
      </c>
      <c r="H10" s="71">
        <f>C12+C13+C15+C16+C19+C21+C22</f>
        <v>1374752.8768</v>
      </c>
      <c r="I10" s="72">
        <f>H10/C24</f>
        <v>0.83243625995458781</v>
      </c>
    </row>
    <row r="11" spans="1:9">
      <c r="A11" s="29" t="s">
        <v>21</v>
      </c>
      <c r="B11" s="1">
        <f>'Spending from SCI'!B17</f>
        <v>30000</v>
      </c>
      <c r="C11" s="19">
        <f t="shared" si="0"/>
        <v>46776</v>
      </c>
      <c r="D11" s="37">
        <f t="shared" si="1"/>
        <v>2.8323663949168468E-2</v>
      </c>
      <c r="E11" t="s">
        <v>131</v>
      </c>
      <c r="G11" s="70" t="s">
        <v>218</v>
      </c>
      <c r="H11" s="71">
        <f>C9</f>
        <v>162342.34479999999</v>
      </c>
      <c r="I11" s="72">
        <f>H11/C24</f>
        <v>9.8301052224115712E-2</v>
      </c>
    </row>
    <row r="12" spans="1:9">
      <c r="A12" s="29" t="s">
        <v>22</v>
      </c>
      <c r="B12" s="1">
        <f>'Spending from SCI'!B18</f>
        <v>7239</v>
      </c>
      <c r="C12" s="19">
        <f t="shared" si="0"/>
        <v>11287.048799999999</v>
      </c>
      <c r="D12" s="37">
        <f t="shared" si="1"/>
        <v>6.8345001109343505E-3</v>
      </c>
      <c r="E12" t="s">
        <v>174</v>
      </c>
      <c r="G12" s="70" t="s">
        <v>219</v>
      </c>
      <c r="H12" s="73">
        <f ca="1">C10+C18</f>
        <v>24683.695199999998</v>
      </c>
      <c r="I12" s="74">
        <f>H12/C24</f>
        <v>1.4946397465976199E-2</v>
      </c>
    </row>
    <row r="13" spans="1:9">
      <c r="A13" s="29" t="s">
        <v>23</v>
      </c>
      <c r="B13" s="1">
        <f>'Spending from SCI'!B19</f>
        <v>596044</v>
      </c>
      <c r="C13" s="19">
        <f t="shared" si="0"/>
        <v>929351.80479999993</v>
      </c>
      <c r="D13" s="37">
        <f t="shared" si="1"/>
        <v>0.56273833183060562</v>
      </c>
      <c r="E13" t="s">
        <v>174</v>
      </c>
      <c r="G13" s="70"/>
      <c r="H13" s="71">
        <f>SUM(H9:H12)</f>
        <v>1651481.2520000001</v>
      </c>
      <c r="I13" s="72">
        <f>SUM(I9:I12)</f>
        <v>1</v>
      </c>
    </row>
    <row r="14" spans="1:9">
      <c r="A14" s="29" t="s">
        <v>36</v>
      </c>
      <c r="B14" s="1">
        <f>'Spending from SCI'!B20</f>
        <v>5182</v>
      </c>
      <c r="C14" s="19">
        <f t="shared" si="0"/>
        <v>8079.7743999999993</v>
      </c>
      <c r="D14" s="37">
        <f t="shared" si="1"/>
        <v>4.8924408861530325E-3</v>
      </c>
      <c r="E14" t="s">
        <v>131</v>
      </c>
    </row>
    <row r="15" spans="1:9">
      <c r="A15" s="29" t="s">
        <v>25</v>
      </c>
      <c r="B15" s="1">
        <f>'Spending from SCI'!B21</f>
        <v>1314</v>
      </c>
      <c r="C15" s="19">
        <f t="shared" si="0"/>
        <v>2048.7887999999998</v>
      </c>
      <c r="D15" s="37">
        <f t="shared" si="1"/>
        <v>1.2405764809735786E-3</v>
      </c>
      <c r="E15" t="s">
        <v>174</v>
      </c>
      <c r="G15" s="76" t="s">
        <v>221</v>
      </c>
      <c r="H15" s="76">
        <f>Ethiopia!B16+158000+C19</f>
        <v>1051738.1176</v>
      </c>
      <c r="I15" s="77">
        <f>H15/C$24</f>
        <v>0.63684532677940453</v>
      </c>
    </row>
    <row r="16" spans="1:9">
      <c r="A16" s="29" t="s">
        <v>26</v>
      </c>
      <c r="B16" s="1">
        <f>'Spending from SCI'!B22</f>
        <v>39589</v>
      </c>
      <c r="C16" s="19">
        <f t="shared" si="0"/>
        <v>61727.168799999999</v>
      </c>
      <c r="D16" s="37">
        <f t="shared" si="1"/>
        <v>3.7376851069454348E-2</v>
      </c>
      <c r="E16" t="s">
        <v>174</v>
      </c>
      <c r="G16" s="76" t="s">
        <v>222</v>
      </c>
      <c r="H16" s="76">
        <f>Ethiopia!C15</f>
        <v>324093.75279999996</v>
      </c>
      <c r="I16" s="77">
        <f t="shared" ref="I16:I17" si="2">H16/C$24</f>
        <v>0.19624428216034026</v>
      </c>
    </row>
    <row r="17" spans="1:9">
      <c r="A17" s="29" t="s">
        <v>27</v>
      </c>
      <c r="B17" s="1">
        <f>'Spending from SCI'!B23</f>
        <v>20925</v>
      </c>
      <c r="C17" s="19">
        <f t="shared" si="0"/>
        <v>32626.26</v>
      </c>
      <c r="D17" s="37">
        <f t="shared" si="1"/>
        <v>1.9755755604545004E-2</v>
      </c>
      <c r="E17" t="s">
        <v>131</v>
      </c>
      <c r="G17" s="76" t="s">
        <v>4</v>
      </c>
      <c r="H17" s="76">
        <f>C9</f>
        <v>162342.34479999999</v>
      </c>
      <c r="I17" s="77">
        <f t="shared" si="2"/>
        <v>9.8301052224115712E-2</v>
      </c>
    </row>
    <row r="18" spans="1:9">
      <c r="A18" s="29" t="s">
        <v>28</v>
      </c>
      <c r="B18" s="1">
        <f>'Spending from SCI'!B24</f>
        <v>1314</v>
      </c>
      <c r="C18" s="19">
        <f t="shared" si="0"/>
        <v>2048.7887999999998</v>
      </c>
      <c r="D18" s="37">
        <f t="shared" si="1"/>
        <v>1.2405764809735786E-3</v>
      </c>
      <c r="E18" t="s">
        <v>174</v>
      </c>
      <c r="G18" s="76" t="s">
        <v>223</v>
      </c>
      <c r="H18" s="76">
        <f>C24-SUM(H15:H17)</f>
        <v>113307.03679999989</v>
      </c>
      <c r="I18" s="77">
        <f>H18/C$24</f>
        <v>6.8609338836139511E-2</v>
      </c>
    </row>
    <row r="19" spans="1:9">
      <c r="A19" s="29" t="s">
        <v>29</v>
      </c>
      <c r="B19" s="1">
        <f>'Spending from SCI'!B25</f>
        <v>90239</v>
      </c>
      <c r="C19" s="19">
        <f t="shared" si="0"/>
        <v>140700.6488</v>
      </c>
      <c r="D19" s="37">
        <f t="shared" si="1"/>
        <v>8.5196637036967102E-2</v>
      </c>
      <c r="E19" t="s">
        <v>174</v>
      </c>
      <c r="G19" s="76"/>
      <c r="H19" s="78">
        <f>SUM(H15:H18)</f>
        <v>1651481.2519999999</v>
      </c>
      <c r="I19" s="79">
        <f>SUM(I15:I18)</f>
        <v>1</v>
      </c>
    </row>
    <row r="20" spans="1:9">
      <c r="A20" s="29" t="s">
        <v>30</v>
      </c>
      <c r="B20" s="1">
        <f>'Spending from SCI'!B26</f>
        <v>1424</v>
      </c>
      <c r="C20" s="19">
        <f t="shared" si="0"/>
        <v>2220.3008</v>
      </c>
      <c r="D20" s="37">
        <f t="shared" si="1"/>
        <v>1.3444299154538632E-3</v>
      </c>
      <c r="E20" t="s">
        <v>131</v>
      </c>
    </row>
    <row r="21" spans="1:9">
      <c r="A21" s="29" t="s">
        <v>31</v>
      </c>
      <c r="B21" s="1">
        <f>'Spending from SCI'!B27</f>
        <v>37279</v>
      </c>
      <c r="C21" s="19">
        <f t="shared" si="0"/>
        <v>58125.416799999999</v>
      </c>
      <c r="D21" s="37">
        <f t="shared" si="1"/>
        <v>3.5195928945368375E-2</v>
      </c>
      <c r="E21" t="s">
        <v>174</v>
      </c>
    </row>
    <row r="22" spans="1:9">
      <c r="A22" s="29" t="s">
        <v>32</v>
      </c>
      <c r="B22" s="1">
        <f>'Spending from SCI'!B28</f>
        <v>110000</v>
      </c>
      <c r="C22" s="19">
        <f t="shared" si="0"/>
        <v>171512</v>
      </c>
      <c r="D22" s="37">
        <f t="shared" si="1"/>
        <v>0.10385343448028438</v>
      </c>
      <c r="E22" t="s">
        <v>174</v>
      </c>
    </row>
    <row r="23" spans="1:9">
      <c r="E23" s="19"/>
    </row>
    <row r="24" spans="1:9">
      <c r="A24" s="29" t="s">
        <v>37</v>
      </c>
      <c r="B24" s="1">
        <f>SUM(B9:B22)</f>
        <v>1059185</v>
      </c>
      <c r="C24" s="19">
        <f>B24*C$2</f>
        <v>1651481.2519999999</v>
      </c>
    </row>
    <row r="26" spans="1:9">
      <c r="A26" s="63" t="s">
        <v>35</v>
      </c>
      <c r="B26" s="1">
        <v>1502336</v>
      </c>
      <c r="C26" s="19">
        <f>B26*C$2</f>
        <v>2342442.2911999999</v>
      </c>
    </row>
    <row r="28" spans="1:9" ht="30">
      <c r="A28" s="63" t="s">
        <v>207</v>
      </c>
      <c r="B28" s="1">
        <f>B5-B24+B26</f>
        <v>1698567.97</v>
      </c>
      <c r="C28" s="19">
        <f>B28*C$2</f>
        <v>2648407.1788239996</v>
      </c>
    </row>
    <row r="30" spans="1:9">
      <c r="A30" s="63" t="s">
        <v>38</v>
      </c>
    </row>
    <row r="31" spans="1:9">
      <c r="D31" s="60" t="s">
        <v>190</v>
      </c>
    </row>
    <row r="32" spans="1:9">
      <c r="A32" s="29" t="s">
        <v>4</v>
      </c>
      <c r="B32" s="1">
        <f>'Commitments from SCI'!C11+'Commitments from SCI'!C16</f>
        <v>30000</v>
      </c>
      <c r="C32" s="19">
        <f t="shared" ref="C32:C39" si="3">B32*C$2</f>
        <v>46776</v>
      </c>
      <c r="D32" s="38" t="s">
        <v>134</v>
      </c>
    </row>
    <row r="33" spans="1:5">
      <c r="A33" s="29" t="s">
        <v>19</v>
      </c>
      <c r="B33" s="1">
        <f>'Commitments from SCI'!C5+'Commitments from SCI'!C6+'Commitments from SCI'!C9+'Commitments from SCI'!C10</f>
        <v>119375</v>
      </c>
      <c r="C33" s="19">
        <f t="shared" si="3"/>
        <v>186129.5</v>
      </c>
      <c r="D33" t="s">
        <v>139</v>
      </c>
    </row>
    <row r="34" spans="1:5">
      <c r="A34" s="29" t="s">
        <v>147</v>
      </c>
      <c r="B34" s="1">
        <f>'Commitments from SCI'!C12</f>
        <v>45000</v>
      </c>
      <c r="C34" s="19">
        <f t="shared" si="3"/>
        <v>70164</v>
      </c>
      <c r="D34" s="38" t="s">
        <v>140</v>
      </c>
    </row>
    <row r="35" spans="1:5">
      <c r="A35" s="29" t="s">
        <v>145</v>
      </c>
      <c r="B35" s="1">
        <f>'Commitments from SCI'!C13</f>
        <v>60000</v>
      </c>
      <c r="C35" s="19">
        <f t="shared" si="3"/>
        <v>93552</v>
      </c>
      <c r="D35" s="38" t="s">
        <v>135</v>
      </c>
    </row>
    <row r="36" spans="1:5">
      <c r="A36" s="29" t="s">
        <v>144</v>
      </c>
      <c r="B36" s="1">
        <f>'Commitments from SCI'!C7</f>
        <v>222500</v>
      </c>
      <c r="C36" s="19">
        <f t="shared" si="3"/>
        <v>346922</v>
      </c>
      <c r="D36" s="38" t="s">
        <v>136</v>
      </c>
    </row>
    <row r="37" spans="1:5">
      <c r="A37" s="29" t="s">
        <v>143</v>
      </c>
      <c r="B37" s="1">
        <f>'Commitments from SCI'!C14</f>
        <v>400000</v>
      </c>
      <c r="C37" s="19">
        <f t="shared" si="3"/>
        <v>623680</v>
      </c>
      <c r="D37" s="38" t="s">
        <v>137</v>
      </c>
      <c r="E37" s="35"/>
    </row>
    <row r="38" spans="1:5">
      <c r="A38" s="29" t="s">
        <v>141</v>
      </c>
      <c r="B38" s="1">
        <f>'Commitments from SCI'!C8</f>
        <v>160000</v>
      </c>
      <c r="C38" s="19">
        <f t="shared" si="3"/>
        <v>249472</v>
      </c>
      <c r="D38" t="s">
        <v>133</v>
      </c>
    </row>
    <row r="39" spans="1:5">
      <c r="A39" s="29" t="s">
        <v>142</v>
      </c>
      <c r="B39" s="1">
        <f>'Commitments from SCI'!C15</f>
        <v>140000</v>
      </c>
      <c r="C39" s="19">
        <f t="shared" si="3"/>
        <v>218288</v>
      </c>
      <c r="D39" s="38" t="s">
        <v>138</v>
      </c>
    </row>
    <row r="41" spans="1:5">
      <c r="A41" s="29" t="s">
        <v>37</v>
      </c>
      <c r="B41" s="1">
        <f>SUM(B32:B39)</f>
        <v>1176875</v>
      </c>
      <c r="C41" s="19">
        <f>B41*C$2</f>
        <v>1834983.5</v>
      </c>
    </row>
    <row r="43" spans="1:5" ht="30">
      <c r="A43" s="63" t="s">
        <v>206</v>
      </c>
      <c r="B43" s="1">
        <f>B28-B41</f>
        <v>521692.97</v>
      </c>
      <c r="C43" s="19">
        <f>B43*C$2</f>
        <v>813423.67882399994</v>
      </c>
    </row>
    <row r="45" spans="1:5">
      <c r="A45" s="29" t="s">
        <v>173</v>
      </c>
      <c r="B45" s="1">
        <f>C45/C2</f>
        <v>122639.81528989226</v>
      </c>
      <c r="C45" s="36">
        <v>191220</v>
      </c>
    </row>
    <row r="47" spans="1:5" ht="30">
      <c r="A47" s="63" t="s">
        <v>205</v>
      </c>
      <c r="B47" s="1">
        <f>B45+B43</f>
        <v>644332.78528989223</v>
      </c>
      <c r="C47" s="36">
        <f>C45+C43</f>
        <v>1004643.6788239999</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tabSelected="1" workbookViewId="0">
      <selection activeCell="G16" sqref="G16"/>
    </sheetView>
  </sheetViews>
  <sheetFormatPr baseColWidth="10" defaultRowHeight="15" x14ac:dyDescent="0"/>
  <cols>
    <col min="1" max="1" width="32.1640625" style="29" customWidth="1"/>
    <col min="2" max="2" width="20.5" customWidth="1"/>
    <col min="3" max="3" width="19.1640625" customWidth="1"/>
    <col min="4" max="4" width="18.5" customWidth="1"/>
    <col min="5" max="5" width="11.1640625" bestFit="1" customWidth="1"/>
    <col min="6" max="6" width="2.1640625" customWidth="1"/>
    <col min="7" max="7" width="34.5" customWidth="1"/>
    <col min="8" max="8" width="12.5" customWidth="1"/>
    <col min="9" max="9" width="11.5" bestFit="1" customWidth="1"/>
  </cols>
  <sheetData>
    <row r="1" spans="1:9" s="61" customFormat="1" ht="30">
      <c r="B1" s="62" t="s">
        <v>204</v>
      </c>
      <c r="C1" s="62" t="s">
        <v>203</v>
      </c>
      <c r="D1" s="62" t="s">
        <v>202</v>
      </c>
    </row>
    <row r="2" spans="1:9">
      <c r="E2" s="68"/>
    </row>
    <row r="3" spans="1:9" s="29" customFormat="1" ht="30">
      <c r="A3" s="29" t="s">
        <v>201</v>
      </c>
      <c r="B3" s="29" t="s">
        <v>200</v>
      </c>
      <c r="C3" s="29" t="s">
        <v>199</v>
      </c>
      <c r="D3" s="67"/>
      <c r="E3" s="69"/>
    </row>
    <row r="5" spans="1:9" ht="30">
      <c r="A5" s="29" t="s">
        <v>208</v>
      </c>
      <c r="B5" s="64">
        <f>B29-B7+B27</f>
        <v>526490.68262399989</v>
      </c>
      <c r="C5" s="19">
        <f>B29</f>
        <v>1957446.1396239998</v>
      </c>
      <c r="D5" s="19">
        <f>B5</f>
        <v>526490.68262399989</v>
      </c>
    </row>
    <row r="6" spans="1:9">
      <c r="B6" s="19"/>
      <c r="C6" s="19"/>
    </row>
    <row r="7" spans="1:9">
      <c r="A7" s="29" t="s">
        <v>198</v>
      </c>
      <c r="B7" s="19">
        <v>2067957.9569999999</v>
      </c>
      <c r="C7" s="19">
        <f>Summary!C26</f>
        <v>2342442.2911999999</v>
      </c>
      <c r="D7" s="19">
        <f>SUM(B7:C7)</f>
        <v>4410400.2481999993</v>
      </c>
    </row>
    <row r="8" spans="1:9">
      <c r="B8" s="19"/>
      <c r="C8" s="19"/>
    </row>
    <row r="9" spans="1:9">
      <c r="A9" s="29" t="s">
        <v>197</v>
      </c>
      <c r="B9" s="19"/>
      <c r="C9" s="19"/>
    </row>
    <row r="10" spans="1:9">
      <c r="A10" s="65" t="s">
        <v>21</v>
      </c>
      <c r="B10" s="19">
        <v>47400</v>
      </c>
      <c r="C10" s="19">
        <v>46776</v>
      </c>
      <c r="D10" s="19">
        <f t="shared" ref="D10:D25" si="0">SUM(B10:C10)</f>
        <v>94176</v>
      </c>
      <c r="E10" s="37">
        <f t="shared" ref="E10:E25" si="1">D10/D$27</f>
        <v>4.1152138361347644E-2</v>
      </c>
      <c r="G10" s="70" t="s">
        <v>132</v>
      </c>
      <c r="H10" s="71">
        <f ca="1">D10+D13+D17+D18+D21+D16</f>
        <v>291152.33520000003</v>
      </c>
      <c r="I10" s="72">
        <f ca="1">H10/H$14</f>
        <v>0.12722499556553549</v>
      </c>
    </row>
    <row r="11" spans="1:9">
      <c r="A11" s="65" t="s">
        <v>22</v>
      </c>
      <c r="B11" s="19">
        <v>27921.760000000002</v>
      </c>
      <c r="C11" s="19">
        <v>11287.048799999999</v>
      </c>
      <c r="D11" s="19">
        <f t="shared" si="0"/>
        <v>39208.808799999999</v>
      </c>
      <c r="E11" s="37">
        <f t="shared" si="1"/>
        <v>1.7133094681460511E-2</v>
      </c>
      <c r="G11" s="70" t="s">
        <v>217</v>
      </c>
      <c r="H11" s="71">
        <f ca="1">D11+D12+D14+D15+D20+D22+D23</f>
        <v>1635570.0168000001</v>
      </c>
      <c r="I11" s="72">
        <f ca="1">H11/H$14</f>
        <v>0.71469592710483876</v>
      </c>
    </row>
    <row r="12" spans="1:9">
      <c r="A12" s="65" t="s">
        <v>23</v>
      </c>
      <c r="B12" s="19">
        <v>50779.62</v>
      </c>
      <c r="C12" s="19">
        <v>929351.80479999993</v>
      </c>
      <c r="D12" s="19">
        <f t="shared" si="0"/>
        <v>980131.42479999992</v>
      </c>
      <c r="E12" s="37">
        <f t="shared" si="1"/>
        <v>0.42828856614927796</v>
      </c>
      <c r="G12" s="70" t="s">
        <v>218</v>
      </c>
      <c r="H12" s="71">
        <f ca="1">D24</f>
        <v>337077.70479999995</v>
      </c>
      <c r="I12" s="72">
        <f ca="1">H12/H$14</f>
        <v>0.14729302950279366</v>
      </c>
    </row>
    <row r="13" spans="1:9">
      <c r="A13" s="65" t="s">
        <v>36</v>
      </c>
      <c r="B13" s="19">
        <v>84471.540000000008</v>
      </c>
      <c r="C13" s="19">
        <v>8079.7743999999993</v>
      </c>
      <c r="D13" s="19">
        <f t="shared" si="0"/>
        <v>92551.314400000003</v>
      </c>
      <c r="E13" s="37">
        <f t="shared" si="1"/>
        <v>4.0442198603820367E-2</v>
      </c>
      <c r="G13" s="70" t="s">
        <v>219</v>
      </c>
      <c r="H13" s="73">
        <f ca="1">D25+D19</f>
        <v>24683.695199999998</v>
      </c>
      <c r="I13" s="72">
        <f ca="1">H13/H$14</f>
        <v>1.0786047826832023E-2</v>
      </c>
    </row>
    <row r="14" spans="1:9">
      <c r="A14" s="65" t="s">
        <v>25</v>
      </c>
      <c r="B14" s="19">
        <v>0</v>
      </c>
      <c r="C14" s="19">
        <v>2048.7887999999998</v>
      </c>
      <c r="D14" s="19">
        <f t="shared" si="0"/>
        <v>2048.7887999999998</v>
      </c>
      <c r="E14" s="37">
        <f t="shared" si="1"/>
        <v>8.9526036538799052E-4</v>
      </c>
      <c r="G14" s="70"/>
      <c r="H14" s="71">
        <f ca="1">SUM(H10:H13)</f>
        <v>2288483.7520000003</v>
      </c>
      <c r="I14" s="72">
        <f ca="1">SUM(I10:I13)</f>
        <v>0.99999999999999989</v>
      </c>
    </row>
    <row r="15" spans="1:9">
      <c r="A15" s="65" t="s">
        <v>26</v>
      </c>
      <c r="B15" s="19">
        <v>0</v>
      </c>
      <c r="C15" s="19">
        <v>61727.168799999999</v>
      </c>
      <c r="D15" s="19">
        <f t="shared" si="0"/>
        <v>61727.168799999999</v>
      </c>
      <c r="E15" s="37">
        <f t="shared" si="1"/>
        <v>2.6972954798588401E-2</v>
      </c>
    </row>
    <row r="16" spans="1:9">
      <c r="A16" s="65" t="s">
        <v>149</v>
      </c>
      <c r="B16" s="19">
        <v>4152.24</v>
      </c>
      <c r="C16" s="19">
        <v>0</v>
      </c>
      <c r="D16" s="19">
        <f t="shared" si="0"/>
        <v>4152.24</v>
      </c>
      <c r="E16" s="37">
        <f t="shared" si="1"/>
        <v>1.8144065896780722E-3</v>
      </c>
    </row>
    <row r="17" spans="1:9">
      <c r="A17" s="65" t="s">
        <v>27</v>
      </c>
      <c r="B17" s="19">
        <v>33826.22</v>
      </c>
      <c r="C17" s="19">
        <v>32626.26</v>
      </c>
      <c r="D17" s="19">
        <f t="shared" si="0"/>
        <v>66452.479999999996</v>
      </c>
      <c r="E17" s="37">
        <f t="shared" si="1"/>
        <v>2.9037776624773689E-2</v>
      </c>
    </row>
    <row r="18" spans="1:9">
      <c r="A18" s="65" t="s">
        <v>196</v>
      </c>
      <c r="B18" s="19">
        <v>31600</v>
      </c>
      <c r="C18">
        <v>0</v>
      </c>
      <c r="D18" s="19">
        <f t="shared" si="0"/>
        <v>31600</v>
      </c>
      <c r="E18" s="37">
        <f t="shared" si="1"/>
        <v>1.380826932783921E-2</v>
      </c>
    </row>
    <row r="19" spans="1:9">
      <c r="A19" s="65" t="s">
        <v>28</v>
      </c>
      <c r="B19" s="19">
        <v>0</v>
      </c>
      <c r="C19" s="19">
        <v>2048.7887999999998</v>
      </c>
      <c r="D19" s="19">
        <f t="shared" si="0"/>
        <v>2048.7887999999998</v>
      </c>
      <c r="E19" s="37">
        <f t="shared" si="1"/>
        <v>8.9526036538799052E-4</v>
      </c>
    </row>
    <row r="20" spans="1:9">
      <c r="A20" s="65" t="s">
        <v>29</v>
      </c>
      <c r="B20" s="19">
        <v>82115.760000000009</v>
      </c>
      <c r="C20" s="19">
        <v>140700.6488</v>
      </c>
      <c r="D20" s="19">
        <f t="shared" si="0"/>
        <v>222816.4088</v>
      </c>
      <c r="E20" s="37">
        <f t="shared" si="1"/>
        <v>9.7364208334567187E-2</v>
      </c>
    </row>
    <row r="21" spans="1:9">
      <c r="A21" s="65" t="s">
        <v>153</v>
      </c>
      <c r="B21" s="19">
        <v>0</v>
      </c>
      <c r="C21" s="19">
        <v>2220.3008</v>
      </c>
      <c r="D21" s="19">
        <f t="shared" si="0"/>
        <v>2220.3008</v>
      </c>
      <c r="E21" s="37">
        <f t="shared" si="1"/>
        <v>9.7020605807648301E-4</v>
      </c>
    </row>
    <row r="22" spans="1:9">
      <c r="A22" s="65" t="s">
        <v>31</v>
      </c>
      <c r="B22" s="19">
        <v>100000</v>
      </c>
      <c r="C22" s="19">
        <v>58125.416799999999</v>
      </c>
      <c r="D22" s="19">
        <f t="shared" si="0"/>
        <v>158125.41680000001</v>
      </c>
      <c r="E22" s="37">
        <f t="shared" si="1"/>
        <v>6.9096150087064281E-2</v>
      </c>
    </row>
    <row r="23" spans="1:9">
      <c r="A23" s="65" t="s">
        <v>32</v>
      </c>
      <c r="B23" s="19">
        <v>0</v>
      </c>
      <c r="C23" s="19">
        <v>171512</v>
      </c>
      <c r="D23" s="19">
        <f t="shared" si="0"/>
        <v>171512</v>
      </c>
      <c r="E23" s="37">
        <f t="shared" si="1"/>
        <v>7.4945692688492369E-2</v>
      </c>
    </row>
    <row r="24" spans="1:9">
      <c r="A24" s="65" t="s">
        <v>195</v>
      </c>
      <c r="B24" s="19">
        <v>174735.35999999999</v>
      </c>
      <c r="C24" s="19">
        <v>162342.34479999999</v>
      </c>
      <c r="D24" s="19">
        <f t="shared" si="0"/>
        <v>337077.70479999995</v>
      </c>
      <c r="E24" s="37">
        <f t="shared" si="1"/>
        <v>0.14729302950279366</v>
      </c>
    </row>
    <row r="25" spans="1:9">
      <c r="A25" s="65" t="s">
        <v>19</v>
      </c>
      <c r="B25" s="19">
        <v>0</v>
      </c>
      <c r="C25" s="19">
        <v>22634.9064</v>
      </c>
      <c r="D25" s="19">
        <f t="shared" si="0"/>
        <v>22634.9064</v>
      </c>
      <c r="E25" s="37">
        <f t="shared" si="1"/>
        <v>9.8907874614440339E-3</v>
      </c>
      <c r="I25" s="19"/>
    </row>
    <row r="26" spans="1:9">
      <c r="A26" s="65"/>
      <c r="B26" s="19"/>
      <c r="C26" s="19"/>
      <c r="D26" s="19"/>
      <c r="I26" s="19"/>
    </row>
    <row r="27" spans="1:9">
      <c r="A27" s="65" t="s">
        <v>194</v>
      </c>
      <c r="B27" s="19">
        <f>SUM(B10:B25)</f>
        <v>637002.5</v>
      </c>
      <c r="C27" s="19">
        <f>SUM(C10:C25)</f>
        <v>1651481.2520000001</v>
      </c>
      <c r="D27" s="19">
        <f>SUM(D10:D25)</f>
        <v>2288483.7520000003</v>
      </c>
      <c r="I27" s="19"/>
    </row>
    <row r="28" spans="1:9">
      <c r="B28" s="19"/>
      <c r="C28" s="19"/>
    </row>
    <row r="29" spans="1:9">
      <c r="A29" s="29" t="s">
        <v>193</v>
      </c>
      <c r="B29" s="19">
        <f>Summary!C5</f>
        <v>1957446.1396239998</v>
      </c>
      <c r="C29" s="19">
        <f>Summary!C28</f>
        <v>2648407.1788239996</v>
      </c>
      <c r="D29" s="19">
        <f>C29</f>
        <v>2648407.1788239996</v>
      </c>
    </row>
    <row r="30" spans="1:9">
      <c r="B30" s="58"/>
      <c r="C30" s="58"/>
    </row>
    <row r="31" spans="1:9">
      <c r="B31" s="58"/>
      <c r="C31" s="58"/>
    </row>
    <row r="32" spans="1:9">
      <c r="B32" s="58"/>
      <c r="C32" s="58"/>
    </row>
    <row r="33" spans="2:3">
      <c r="B33" s="58"/>
      <c r="C33" s="58"/>
    </row>
    <row r="34" spans="2:3">
      <c r="B34" s="58"/>
      <c r="C34" s="58"/>
    </row>
    <row r="35" spans="2:3">
      <c r="B35" s="58"/>
      <c r="C35" s="58"/>
    </row>
    <row r="36" spans="2:3">
      <c r="B36" s="58"/>
      <c r="C36" s="58"/>
    </row>
    <row r="37" spans="2:3">
      <c r="B37" s="58"/>
      <c r="C37" s="58"/>
    </row>
    <row r="38" spans="2:3">
      <c r="B38" s="58"/>
      <c r="C38" s="58"/>
    </row>
    <row r="39" spans="2:3">
      <c r="B39" s="58"/>
      <c r="C39" s="58"/>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A39" sqref="A39"/>
    </sheetView>
  </sheetViews>
  <sheetFormatPr baseColWidth="10" defaultRowHeight="15" x14ac:dyDescent="0"/>
  <cols>
    <col min="1" max="1" width="30.6640625" customWidth="1"/>
  </cols>
  <sheetData>
    <row r="1" spans="1:2">
      <c r="A1" t="s">
        <v>128</v>
      </c>
      <c r="B1" t="s">
        <v>129</v>
      </c>
    </row>
    <row r="3" spans="1:2">
      <c r="A3" t="s">
        <v>130</v>
      </c>
    </row>
    <row r="5" spans="1:2">
      <c r="A5" t="s">
        <v>78</v>
      </c>
      <c r="B5">
        <v>1.5591999999999999</v>
      </c>
    </row>
    <row r="6" spans="1:2">
      <c r="A6" t="s">
        <v>79</v>
      </c>
      <c r="B6">
        <v>1.6214999999999999</v>
      </c>
    </row>
    <row r="7" spans="1:2">
      <c r="A7" t="s">
        <v>80</v>
      </c>
      <c r="B7">
        <v>1.4979</v>
      </c>
    </row>
    <row r="8" spans="1:2">
      <c r="A8" t="s">
        <v>81</v>
      </c>
      <c r="B8">
        <v>1.5619000000000001</v>
      </c>
    </row>
    <row r="9" spans="1:2">
      <c r="A9" t="s">
        <v>82</v>
      </c>
      <c r="B9">
        <v>1.5530999999999999</v>
      </c>
    </row>
    <row r="10" spans="1:2">
      <c r="A10" t="s">
        <v>83</v>
      </c>
      <c r="B10">
        <v>1.5411999999999999</v>
      </c>
    </row>
    <row r="11" spans="1:2">
      <c r="A11" t="s">
        <v>84</v>
      </c>
      <c r="B11">
        <v>1.5268999999999999</v>
      </c>
    </row>
    <row r="12" spans="1:2">
      <c r="A12" t="s">
        <v>85</v>
      </c>
      <c r="B12">
        <v>1.5339</v>
      </c>
    </row>
    <row r="13" spans="1:2">
      <c r="A13" t="s">
        <v>86</v>
      </c>
      <c r="B13">
        <v>1.5166999999999999</v>
      </c>
    </row>
    <row r="14" spans="1:2">
      <c r="A14" t="s">
        <v>87</v>
      </c>
      <c r="B14">
        <v>1.4990000000000001</v>
      </c>
    </row>
    <row r="15" spans="1:2">
      <c r="A15" t="s">
        <v>88</v>
      </c>
      <c r="B15">
        <v>1.5124</v>
      </c>
    </row>
    <row r="16" spans="1:2">
      <c r="A16" t="s">
        <v>89</v>
      </c>
      <c r="B16">
        <v>1.5337000000000001</v>
      </c>
    </row>
    <row r="17" spans="1:2">
      <c r="A17" t="s">
        <v>90</v>
      </c>
      <c r="B17">
        <v>1.5577000000000001</v>
      </c>
    </row>
    <row r="18" spans="1:2">
      <c r="A18" t="s">
        <v>91</v>
      </c>
      <c r="B18">
        <v>1.5627</v>
      </c>
    </row>
    <row r="19" spans="1:2">
      <c r="A19" t="s">
        <v>92</v>
      </c>
      <c r="B19">
        <v>1.5385</v>
      </c>
    </row>
    <row r="20" spans="1:2">
      <c r="A20" t="s">
        <v>93</v>
      </c>
      <c r="B20">
        <v>1.5136000000000001</v>
      </c>
    </row>
    <row r="21" spans="1:2">
      <c r="A21" t="s">
        <v>94</v>
      </c>
      <c r="B21">
        <v>1.5138</v>
      </c>
    </row>
    <row r="22" spans="1:2">
      <c r="A22" t="s">
        <v>95</v>
      </c>
      <c r="B22">
        <v>1.5262</v>
      </c>
    </row>
    <row r="23" spans="1:2">
      <c r="A23" t="s">
        <v>96</v>
      </c>
      <c r="B23">
        <v>1.5490999999999999</v>
      </c>
    </row>
    <row r="24" spans="1:2">
      <c r="A24" t="s">
        <v>97</v>
      </c>
      <c r="B24">
        <v>1.5528</v>
      </c>
    </row>
    <row r="25" spans="1:2">
      <c r="A25" t="s">
        <v>98</v>
      </c>
      <c r="B25">
        <v>1.5326</v>
      </c>
    </row>
    <row r="26" spans="1:2">
      <c r="A26" t="s">
        <v>99</v>
      </c>
      <c r="B26">
        <v>1.5293000000000001</v>
      </c>
    </row>
    <row r="27" spans="1:2">
      <c r="A27" t="s">
        <v>100</v>
      </c>
      <c r="B27">
        <v>1.5330999999999999</v>
      </c>
    </row>
    <row r="28" spans="1:2">
      <c r="A28" t="s">
        <v>101</v>
      </c>
      <c r="B28">
        <v>1.5202</v>
      </c>
    </row>
    <row r="29" spans="1:2">
      <c r="A29" t="s">
        <v>102</v>
      </c>
      <c r="B29">
        <v>1.5184</v>
      </c>
    </row>
    <row r="30" spans="1:2">
      <c r="A30" t="s">
        <v>103</v>
      </c>
      <c r="B30">
        <v>1.5142</v>
      </c>
    </row>
    <row r="31" spans="1:2">
      <c r="A31" t="s">
        <v>104</v>
      </c>
      <c r="B31">
        <v>1.4979</v>
      </c>
    </row>
    <row r="32" spans="1:2">
      <c r="A32" t="s">
        <v>105</v>
      </c>
      <c r="B32">
        <v>1.5033000000000001</v>
      </c>
    </row>
    <row r="33" spans="1:2">
      <c r="A33" t="s">
        <v>106</v>
      </c>
      <c r="B33">
        <v>1.5126999999999999</v>
      </c>
    </row>
    <row r="34" spans="1:2">
      <c r="A34" t="s">
        <v>107</v>
      </c>
      <c r="B34">
        <v>1.5354000000000001</v>
      </c>
    </row>
    <row r="35" spans="1:2">
      <c r="A35" t="s">
        <v>108</v>
      </c>
      <c r="B35">
        <v>1.5618000000000001</v>
      </c>
    </row>
    <row r="36" spans="1:2">
      <c r="A36" t="s">
        <v>109</v>
      </c>
      <c r="B36">
        <v>1.5717000000000001</v>
      </c>
    </row>
    <row r="37" spans="1:2">
      <c r="A37" t="s">
        <v>110</v>
      </c>
      <c r="B37">
        <v>1.5763</v>
      </c>
    </row>
    <row r="38" spans="1:2">
      <c r="A38" t="s">
        <v>111</v>
      </c>
      <c r="B38">
        <v>1.583</v>
      </c>
    </row>
    <row r="39" spans="1:2">
      <c r="A39" t="s">
        <v>112</v>
      </c>
      <c r="B39">
        <v>1.6020000000000001</v>
      </c>
    </row>
    <row r="40" spans="1:2">
      <c r="A40" t="s">
        <v>113</v>
      </c>
      <c r="B40">
        <v>1.6082000000000001</v>
      </c>
    </row>
    <row r="41" spans="1:2">
      <c r="A41" t="s">
        <v>114</v>
      </c>
      <c r="B41">
        <v>1.617</v>
      </c>
    </row>
    <row r="42" spans="1:2">
      <c r="A42" t="s">
        <v>115</v>
      </c>
      <c r="B42">
        <v>1.6143000000000001</v>
      </c>
    </row>
    <row r="43" spans="1:2">
      <c r="A43" t="s">
        <v>116</v>
      </c>
      <c r="B43">
        <v>1.6214999999999999</v>
      </c>
    </row>
    <row r="44" spans="1:2">
      <c r="A44" t="s">
        <v>117</v>
      </c>
      <c r="B44">
        <v>1.6104000000000001</v>
      </c>
    </row>
    <row r="45" spans="1:2">
      <c r="A45" t="s">
        <v>118</v>
      </c>
      <c r="B45">
        <v>1.6062000000000001</v>
      </c>
    </row>
    <row r="46" spans="1:2">
      <c r="A46" t="s">
        <v>119</v>
      </c>
      <c r="B46">
        <v>1.6020000000000001</v>
      </c>
    </row>
    <row r="47" spans="1:2">
      <c r="A47" t="s">
        <v>120</v>
      </c>
      <c r="B47">
        <v>1.5936999999999999</v>
      </c>
    </row>
    <row r="48" spans="1:2">
      <c r="A48" t="s">
        <v>121</v>
      </c>
      <c r="B48">
        <v>1.5873999999999999</v>
      </c>
    </row>
    <row r="49" spans="1:2">
      <c r="A49" t="s">
        <v>122</v>
      </c>
      <c r="B49">
        <v>1.5974999999999999</v>
      </c>
    </row>
    <row r="50" spans="1:2">
      <c r="A50" t="s">
        <v>123</v>
      </c>
      <c r="B50">
        <v>1.6079000000000001</v>
      </c>
    </row>
    <row r="51" spans="1:2">
      <c r="A51" t="s">
        <v>124</v>
      </c>
      <c r="B51">
        <v>1.6042000000000001</v>
      </c>
    </row>
    <row r="52" spans="1:2">
      <c r="A52" t="s">
        <v>125</v>
      </c>
      <c r="B52">
        <v>1.6074999999999999</v>
      </c>
    </row>
    <row r="53" spans="1:2">
      <c r="A53" t="s">
        <v>126</v>
      </c>
      <c r="B53">
        <v>1.6053999999999999</v>
      </c>
    </row>
    <row r="54" spans="1:2">
      <c r="A54" t="s">
        <v>127</v>
      </c>
      <c r="B54">
        <v>1.6141000000000001</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
  <sheetViews>
    <sheetView topLeftCell="A3" workbookViewId="0">
      <selection activeCell="B26" sqref="B26"/>
    </sheetView>
  </sheetViews>
  <sheetFormatPr baseColWidth="10" defaultRowHeight="15" x14ac:dyDescent="0"/>
  <cols>
    <col min="1" max="1" width="13.5" customWidth="1"/>
    <col min="2" max="2" width="16.33203125" customWidth="1"/>
    <col min="3" max="3" width="13.5" customWidth="1"/>
    <col min="4" max="4" width="15.1640625" customWidth="1"/>
    <col min="5" max="5" width="13.33203125" customWidth="1"/>
  </cols>
  <sheetData>
    <row r="1" spans="1:5">
      <c r="A1" t="s">
        <v>189</v>
      </c>
    </row>
    <row r="3" spans="1:5" ht="75">
      <c r="A3" s="39"/>
      <c r="B3" s="40" t="s">
        <v>170</v>
      </c>
      <c r="C3" s="41" t="s">
        <v>169</v>
      </c>
      <c r="D3" s="40" t="s">
        <v>167</v>
      </c>
      <c r="E3" s="61" t="s">
        <v>191</v>
      </c>
    </row>
    <row r="4" spans="1:5">
      <c r="A4" s="39" t="s">
        <v>146</v>
      </c>
      <c r="B4" s="44">
        <v>907000</v>
      </c>
      <c r="C4" s="42">
        <v>0</v>
      </c>
      <c r="D4" s="44">
        <v>0</v>
      </c>
      <c r="E4" s="7">
        <v>600000</v>
      </c>
    </row>
    <row r="5" spans="1:5">
      <c r="A5" s="39" t="s">
        <v>21</v>
      </c>
      <c r="B5" s="44">
        <v>3879000</v>
      </c>
      <c r="C5" s="43" t="s">
        <v>156</v>
      </c>
      <c r="D5" s="48">
        <v>1530000</v>
      </c>
      <c r="E5" s="7">
        <v>3026719</v>
      </c>
    </row>
    <row r="6" spans="1:5">
      <c r="A6" s="39" t="s">
        <v>148</v>
      </c>
      <c r="B6" s="44">
        <v>18026000</v>
      </c>
      <c r="C6" s="42" t="s">
        <v>157</v>
      </c>
      <c r="D6" s="44">
        <v>400000</v>
      </c>
      <c r="E6" s="7"/>
    </row>
    <row r="7" spans="1:5">
      <c r="A7" s="39" t="s">
        <v>51</v>
      </c>
      <c r="B7" s="44">
        <v>22092000</v>
      </c>
      <c r="C7" s="43" t="s">
        <v>158</v>
      </c>
      <c r="D7" s="48">
        <v>1400000</v>
      </c>
      <c r="E7" s="7">
        <v>1500000</v>
      </c>
    </row>
    <row r="8" spans="1:5">
      <c r="A8" s="39" t="s">
        <v>36</v>
      </c>
      <c r="B8" s="44">
        <v>1040000</v>
      </c>
      <c r="C8" s="43" t="s">
        <v>159</v>
      </c>
      <c r="D8" s="48">
        <v>1080000</v>
      </c>
      <c r="E8" s="7">
        <v>490719</v>
      </c>
    </row>
    <row r="9" spans="1:5">
      <c r="A9" s="39" t="s">
        <v>149</v>
      </c>
      <c r="B9" s="44">
        <v>6782000</v>
      </c>
      <c r="C9" s="43" t="s">
        <v>160</v>
      </c>
      <c r="D9" s="48">
        <v>6600000</v>
      </c>
      <c r="E9" s="7">
        <v>5600000</v>
      </c>
    </row>
    <row r="10" spans="1:5">
      <c r="A10" s="39" t="s">
        <v>150</v>
      </c>
      <c r="B10" s="47">
        <v>662000</v>
      </c>
      <c r="C10" s="45">
        <v>0</v>
      </c>
      <c r="D10" s="44">
        <v>0</v>
      </c>
      <c r="E10" s="7"/>
    </row>
    <row r="11" spans="1:5">
      <c r="A11" s="39" t="s">
        <v>69</v>
      </c>
      <c r="B11" s="47">
        <v>13456000</v>
      </c>
      <c r="C11" s="45">
        <v>0</v>
      </c>
      <c r="D11" s="44">
        <v>0</v>
      </c>
      <c r="E11" s="7">
        <v>3664345</v>
      </c>
    </row>
    <row r="12" spans="1:5">
      <c r="A12" s="39" t="s">
        <v>151</v>
      </c>
      <c r="B12" s="47">
        <v>5733000</v>
      </c>
      <c r="C12" s="45" t="s">
        <v>161</v>
      </c>
      <c r="D12" s="44">
        <v>6280000</v>
      </c>
      <c r="E12" s="7">
        <v>490000</v>
      </c>
    </row>
    <row r="13" spans="1:5">
      <c r="A13" s="39" t="s">
        <v>152</v>
      </c>
      <c r="B13" s="47">
        <v>757000</v>
      </c>
      <c r="C13" s="45">
        <v>0</v>
      </c>
      <c r="D13" s="44">
        <v>0</v>
      </c>
      <c r="E13" s="7">
        <v>600000</v>
      </c>
    </row>
    <row r="14" spans="1:5">
      <c r="A14" s="39" t="s">
        <v>29</v>
      </c>
      <c r="B14" s="47">
        <v>4179000.0000000005</v>
      </c>
      <c r="C14" s="45" t="s">
        <v>162</v>
      </c>
      <c r="D14" s="44">
        <v>1660000</v>
      </c>
      <c r="E14" s="7"/>
    </row>
    <row r="15" spans="1:5" ht="26">
      <c r="A15" s="39" t="s">
        <v>168</v>
      </c>
      <c r="B15" s="47">
        <v>10135000</v>
      </c>
      <c r="C15" s="45" t="s">
        <v>163</v>
      </c>
      <c r="D15" s="44">
        <v>3200000</v>
      </c>
      <c r="E15" s="7">
        <v>2276453</v>
      </c>
    </row>
    <row r="16" spans="1:5">
      <c r="A16" s="39" t="s">
        <v>153</v>
      </c>
      <c r="B16" s="47">
        <v>8624000</v>
      </c>
      <c r="C16" s="45" t="s">
        <v>164</v>
      </c>
      <c r="D16" s="44">
        <v>1500000</v>
      </c>
      <c r="E16" s="7">
        <v>700000</v>
      </c>
    </row>
    <row r="17" spans="1:5">
      <c r="A17" s="39" t="s">
        <v>154</v>
      </c>
      <c r="B17" s="47">
        <v>4626000</v>
      </c>
      <c r="C17" s="46" t="s">
        <v>165</v>
      </c>
      <c r="D17" s="48">
        <v>2049999.9999999998</v>
      </c>
      <c r="E17" s="7">
        <v>650000</v>
      </c>
    </row>
    <row r="18" spans="1:5">
      <c r="A18" s="39" t="s">
        <v>155</v>
      </c>
      <c r="B18" s="47">
        <v>3059000</v>
      </c>
      <c r="C18" s="45" t="s">
        <v>166</v>
      </c>
      <c r="D18" s="47">
        <v>1410000</v>
      </c>
      <c r="E18" s="7"/>
    </row>
    <row r="20" spans="1:5">
      <c r="A20" s="49" t="s">
        <v>171</v>
      </c>
      <c r="B20" s="7">
        <f>SUM(B4:B18)</f>
        <v>103957000</v>
      </c>
      <c r="D20" s="7">
        <f>SUM(D4:D18)</f>
        <v>27110000</v>
      </c>
      <c r="E20" s="50"/>
    </row>
    <row r="21" spans="1:5">
      <c r="A21" s="49" t="s">
        <v>172</v>
      </c>
      <c r="D21" s="7">
        <f>D5+D7+D8+D9+D17</f>
        <v>12660000</v>
      </c>
      <c r="E21" s="7">
        <f>SUM(E4:E18)</f>
        <v>19598236</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6" sqref="B16"/>
    </sheetView>
  </sheetViews>
  <sheetFormatPr baseColWidth="10" defaultRowHeight="15" x14ac:dyDescent="0"/>
  <cols>
    <col min="1" max="1" width="20.33203125" customWidth="1"/>
    <col min="2" max="2" width="11" bestFit="1" customWidth="1"/>
  </cols>
  <sheetData>
    <row r="1" spans="1:7">
      <c r="A1" t="s">
        <v>192</v>
      </c>
    </row>
    <row r="3" spans="1:7">
      <c r="A3" t="s">
        <v>187</v>
      </c>
    </row>
    <row r="4" spans="1:7" ht="16" thickBot="1"/>
    <row r="5" spans="1:7" ht="57" thickBot="1">
      <c r="A5" s="51" t="s">
        <v>175</v>
      </c>
      <c r="B5" s="52" t="s">
        <v>176</v>
      </c>
      <c r="C5" s="52" t="s">
        <v>177</v>
      </c>
      <c r="D5" s="52" t="s">
        <v>178</v>
      </c>
      <c r="E5" s="52" t="s">
        <v>179</v>
      </c>
      <c r="F5" s="52" t="s">
        <v>180</v>
      </c>
      <c r="G5" s="52" t="s">
        <v>181</v>
      </c>
    </row>
    <row r="6" spans="1:7" ht="29" thickBot="1">
      <c r="A6" s="53" t="s">
        <v>182</v>
      </c>
      <c r="B6" s="56">
        <v>224603</v>
      </c>
      <c r="C6" s="56">
        <v>207859</v>
      </c>
      <c r="D6" s="56">
        <v>16744</v>
      </c>
      <c r="E6" s="56">
        <v>50000</v>
      </c>
      <c r="F6" s="54" t="s">
        <v>183</v>
      </c>
      <c r="G6" s="54" t="s">
        <v>184</v>
      </c>
    </row>
    <row r="7" spans="1:7" ht="29" thickBot="1">
      <c r="A7" s="53" t="s">
        <v>185</v>
      </c>
      <c r="B7" s="56">
        <v>482964</v>
      </c>
      <c r="C7" s="56">
        <v>257581</v>
      </c>
      <c r="D7" s="56">
        <v>225383</v>
      </c>
      <c r="E7" s="56">
        <v>50000</v>
      </c>
      <c r="F7" s="54" t="s">
        <v>183</v>
      </c>
      <c r="G7" s="56">
        <v>225383</v>
      </c>
    </row>
    <row r="8" spans="1:7" ht="29" thickBot="1">
      <c r="A8" s="53" t="s">
        <v>186</v>
      </c>
      <c r="B8" s="56">
        <v>32198</v>
      </c>
      <c r="C8" s="56">
        <v>32198</v>
      </c>
      <c r="D8" s="56">
        <v>0</v>
      </c>
      <c r="E8" s="56">
        <v>0</v>
      </c>
      <c r="F8" s="54" t="s">
        <v>183</v>
      </c>
      <c r="G8" s="56">
        <v>0</v>
      </c>
    </row>
    <row r="10" spans="1:7">
      <c r="B10" s="18">
        <f>SUM(B6:B8)</f>
        <v>739765</v>
      </c>
      <c r="C10" s="18">
        <f t="shared" ref="C10:G10" si="0">SUM(C6:C8)</f>
        <v>497638</v>
      </c>
      <c r="D10" s="18">
        <f t="shared" si="0"/>
        <v>242127</v>
      </c>
      <c r="E10" s="18">
        <f t="shared" si="0"/>
        <v>100000</v>
      </c>
      <c r="F10" s="18"/>
      <c r="G10" s="18">
        <f t="shared" si="0"/>
        <v>225383</v>
      </c>
    </row>
    <row r="11" spans="1:7">
      <c r="B11" s="18"/>
      <c r="C11" s="18"/>
      <c r="D11" s="18"/>
      <c r="E11" s="18"/>
      <c r="F11" s="18"/>
      <c r="G11" s="18"/>
    </row>
    <row r="12" spans="1:7">
      <c r="A12" s="55" t="s">
        <v>188</v>
      </c>
      <c r="B12" s="18"/>
      <c r="C12" s="18"/>
      <c r="D12" s="18"/>
      <c r="E12" s="18"/>
      <c r="F12" s="18"/>
      <c r="G12" s="18"/>
    </row>
    <row r="13" spans="1:7" ht="16" thickBot="1"/>
    <row r="14" spans="1:7" ht="57" thickBot="1">
      <c r="A14" s="51" t="s">
        <v>175</v>
      </c>
      <c r="B14" s="52" t="s">
        <v>176</v>
      </c>
      <c r="C14" s="52" t="s">
        <v>177</v>
      </c>
      <c r="D14" s="52" t="s">
        <v>178</v>
      </c>
      <c r="E14" s="52" t="s">
        <v>179</v>
      </c>
      <c r="F14" s="52" t="s">
        <v>180</v>
      </c>
      <c r="G14" s="52" t="s">
        <v>181</v>
      </c>
    </row>
    <row r="15" spans="1:7" ht="29" thickBot="1">
      <c r="A15" s="53" t="s">
        <v>182</v>
      </c>
      <c r="B15" s="57">
        <f>B6*'Exchange rates'!$B$5</f>
        <v>350200.9976</v>
      </c>
      <c r="C15" s="57">
        <f>C6*'Exchange rates'!$B$5</f>
        <v>324093.75279999996</v>
      </c>
      <c r="D15" s="57">
        <f>D6*'Exchange rates'!$B$5</f>
        <v>26107.2448</v>
      </c>
      <c r="E15" s="57">
        <f>E6*'Exchange rates'!$B$5</f>
        <v>77960</v>
      </c>
      <c r="F15" s="54" t="s">
        <v>183</v>
      </c>
      <c r="G15" s="54" t="s">
        <v>184</v>
      </c>
    </row>
    <row r="16" spans="1:7" ht="29" thickBot="1">
      <c r="A16" s="53" t="s">
        <v>185</v>
      </c>
      <c r="B16" s="57">
        <f>B7*'Exchange rates'!$B$5</f>
        <v>753037.46879999992</v>
      </c>
      <c r="C16" s="57">
        <f>C7*'Exchange rates'!$B$5</f>
        <v>401620.29519999999</v>
      </c>
      <c r="D16" s="57">
        <f>D7*'Exchange rates'!$B$5</f>
        <v>351417.17359999998</v>
      </c>
      <c r="E16" s="57">
        <f>E7*'Exchange rates'!$B$5</f>
        <v>77960</v>
      </c>
      <c r="F16" s="54" t="s">
        <v>183</v>
      </c>
      <c r="G16" s="57">
        <f>G7*'Exchange rates'!$B$5</f>
        <v>351417.17359999998</v>
      </c>
    </row>
    <row r="17" spans="1:7" ht="29" thickBot="1">
      <c r="A17" s="53" t="s">
        <v>186</v>
      </c>
      <c r="B17" s="57">
        <f>B8*'Exchange rates'!$B$5</f>
        <v>50203.121599999999</v>
      </c>
      <c r="C17" s="57">
        <f>C8*'Exchange rates'!$B$5</f>
        <v>50203.121599999999</v>
      </c>
      <c r="D17" s="57">
        <f>D8*'Exchange rates'!$B$5</f>
        <v>0</v>
      </c>
      <c r="E17" s="57">
        <f>E8*'Exchange rates'!$B$5</f>
        <v>0</v>
      </c>
      <c r="F17" s="54" t="s">
        <v>183</v>
      </c>
      <c r="G17" s="57">
        <f>G8*'Exchange rates'!$B$5</f>
        <v>0</v>
      </c>
    </row>
    <row r="19" spans="1:7">
      <c r="A19" s="55" t="s">
        <v>37</v>
      </c>
      <c r="B19" s="58">
        <f>SUM(B15:B17)</f>
        <v>1153441.5879999998</v>
      </c>
      <c r="C19" s="58">
        <f>SUM(C15:C17)</f>
        <v>775917.16959999991</v>
      </c>
      <c r="D19" s="58">
        <f>SUM(D15:D17)</f>
        <v>377524.41839999997</v>
      </c>
      <c r="E19" s="58">
        <f>SUM(E15:E17)</f>
        <v>155920</v>
      </c>
      <c r="G19" s="59">
        <v>377524</v>
      </c>
    </row>
    <row r="20" spans="1:7">
      <c r="B20" s="58"/>
    </row>
    <row r="21" spans="1:7">
      <c r="B21" s="58"/>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2" workbookViewId="0">
      <selection activeCell="F34" sqref="F34"/>
    </sheetView>
  </sheetViews>
  <sheetFormatPr baseColWidth="10" defaultRowHeight="15" x14ac:dyDescent="0"/>
  <cols>
    <col min="3" max="3" width="12.5" customWidth="1"/>
  </cols>
  <sheetData>
    <row r="1" spans="1:4">
      <c r="A1" t="s">
        <v>209</v>
      </c>
      <c r="B1" t="s">
        <v>210</v>
      </c>
      <c r="C1" t="s">
        <v>211</v>
      </c>
      <c r="D1" t="s">
        <v>212</v>
      </c>
    </row>
    <row r="2" spans="1:4">
      <c r="A2" s="66">
        <v>40210</v>
      </c>
      <c r="B2" s="66">
        <v>40574</v>
      </c>
      <c r="C2" s="19">
        <v>6200</v>
      </c>
      <c r="D2" t="s">
        <v>213</v>
      </c>
    </row>
    <row r="3" spans="1:4">
      <c r="A3" s="66">
        <v>40575</v>
      </c>
      <c r="B3" s="66">
        <v>40939</v>
      </c>
      <c r="C3" s="19">
        <f>862766</f>
        <v>862766</v>
      </c>
      <c r="D3" t="s">
        <v>213</v>
      </c>
    </row>
    <row r="4" spans="1:4">
      <c r="A4" s="66">
        <v>40940</v>
      </c>
      <c r="B4" s="66">
        <v>41305</v>
      </c>
      <c r="C4" s="19">
        <f>1111548</f>
        <v>1111548</v>
      </c>
      <c r="D4" t="s">
        <v>213</v>
      </c>
    </row>
    <row r="5" spans="1:4">
      <c r="A5" s="66">
        <v>41306</v>
      </c>
      <c r="B5" s="66">
        <v>41517</v>
      </c>
      <c r="C5" s="19">
        <v>114468</v>
      </c>
      <c r="D5" t="s">
        <v>214</v>
      </c>
    </row>
    <row r="7" spans="1:4">
      <c r="B7" t="s">
        <v>37</v>
      </c>
      <c r="C7" s="19">
        <f>SUM(C2:C5)</f>
        <v>2094982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Spending from SCI</vt:lpstr>
      <vt:lpstr>Commitments from SCI</vt:lpstr>
      <vt:lpstr>Summary</vt:lpstr>
      <vt:lpstr>Combined with previous updates</vt:lpstr>
      <vt:lpstr>Exchange rates</vt:lpstr>
      <vt:lpstr>Global need</vt:lpstr>
      <vt:lpstr>Ethiopia</vt:lpstr>
      <vt:lpstr>Due to GiveWell</vt:lpstr>
    </vt:vector>
  </TitlesOfParts>
  <Company>GiveWell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Crispin</dc:creator>
  <cp:lastModifiedBy>Natalie Crispin</cp:lastModifiedBy>
  <dcterms:created xsi:type="dcterms:W3CDTF">2013-09-13T20:20:21Z</dcterms:created>
  <dcterms:modified xsi:type="dcterms:W3CDTF">2013-11-07T21:46:38Z</dcterms:modified>
</cp:coreProperties>
</file>