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1305" yWindow="1605" windowWidth="19200" windowHeight="12285" tabRatio="721" activeTab="2"/>
  </bookViews>
  <sheets>
    <sheet name="BVA" sheetId="7" r:id="rId1"/>
    <sheet name="USD xrate" sheetId="14" r:id="rId2"/>
    <sheet name="BVA in USD" sheetId="16" r:id="rId3"/>
  </sheets>
  <definedNames>
    <definedName name="_xlnm.Print_Area" localSheetId="0">BVA!$A$1:$N$33</definedName>
    <definedName name="_xlnm.Print_Area" localSheetId="2">'BVA in USD'!$A$2:$N$34</definedName>
  </definedNames>
  <calcPr calcId="15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7" l="1"/>
  <c r="L18" i="16"/>
  <c r="G7" i="16"/>
  <c r="I7" i="16"/>
  <c r="J7" i="16"/>
  <c r="K7" i="16"/>
  <c r="L6" i="7"/>
  <c r="L7" i="16"/>
  <c r="I10" i="16"/>
  <c r="J10" i="16"/>
  <c r="K10" i="16"/>
  <c r="L9" i="7"/>
  <c r="L10" i="16"/>
  <c r="E11" i="16"/>
  <c r="F11" i="16"/>
  <c r="G11" i="16"/>
  <c r="I11" i="16"/>
  <c r="J11" i="16"/>
  <c r="K11" i="16"/>
  <c r="L10" i="7"/>
  <c r="L11" i="16"/>
  <c r="E12" i="16"/>
  <c r="F12" i="16"/>
  <c r="G12" i="16"/>
  <c r="I12" i="16"/>
  <c r="J12" i="16"/>
  <c r="K12" i="16"/>
  <c r="L11" i="7"/>
  <c r="L12" i="16"/>
  <c r="E13" i="16"/>
  <c r="F13" i="16"/>
  <c r="G13" i="16"/>
  <c r="I13" i="16"/>
  <c r="J13" i="16"/>
  <c r="K13" i="16"/>
  <c r="L12" i="7"/>
  <c r="L13" i="16"/>
  <c r="E14" i="16"/>
  <c r="F14" i="16"/>
  <c r="G14" i="16"/>
  <c r="I14" i="16"/>
  <c r="J14" i="16"/>
  <c r="K14" i="16"/>
  <c r="L13" i="7"/>
  <c r="L14" i="16"/>
  <c r="E15" i="16"/>
  <c r="F15" i="16"/>
  <c r="G15" i="16"/>
  <c r="I15" i="16"/>
  <c r="J15" i="16"/>
  <c r="K15" i="16"/>
  <c r="L14" i="7"/>
  <c r="L15" i="16"/>
  <c r="E16" i="16"/>
  <c r="F16" i="16"/>
  <c r="G16" i="16"/>
  <c r="I16" i="16"/>
  <c r="J16" i="16"/>
  <c r="K16" i="16"/>
  <c r="L15" i="7"/>
  <c r="L16" i="16"/>
  <c r="E17" i="16"/>
  <c r="F17" i="16"/>
  <c r="G17" i="16"/>
  <c r="I17" i="16"/>
  <c r="J17" i="16"/>
  <c r="K17" i="16"/>
  <c r="L16" i="7"/>
  <c r="L17" i="16"/>
  <c r="E18" i="16"/>
  <c r="F18" i="16"/>
  <c r="G18" i="16"/>
  <c r="I18" i="16"/>
  <c r="J18" i="16"/>
  <c r="K18" i="16"/>
  <c r="E19" i="16"/>
  <c r="F19" i="16"/>
  <c r="G19" i="16"/>
  <c r="I19" i="16"/>
  <c r="J19" i="16"/>
  <c r="K19" i="16"/>
  <c r="L18" i="7"/>
  <c r="L19" i="16"/>
  <c r="E20" i="16"/>
  <c r="F20" i="16"/>
  <c r="G20" i="16"/>
  <c r="I20" i="16"/>
  <c r="J20" i="16"/>
  <c r="K20" i="16"/>
  <c r="L19" i="7"/>
  <c r="L20" i="16"/>
  <c r="E21" i="16"/>
  <c r="F21" i="16"/>
  <c r="G21" i="16"/>
  <c r="I21" i="16"/>
  <c r="J21" i="16"/>
  <c r="K21" i="16"/>
  <c r="L20" i="7"/>
  <c r="L21" i="16"/>
  <c r="E22" i="16"/>
  <c r="F22" i="16"/>
  <c r="G22" i="16"/>
  <c r="I22" i="16"/>
  <c r="J22" i="16"/>
  <c r="K22" i="16"/>
  <c r="L21" i="7"/>
  <c r="L22" i="16"/>
  <c r="E23" i="16"/>
  <c r="F23" i="16"/>
  <c r="G23" i="16"/>
  <c r="I23" i="16"/>
  <c r="J23" i="16"/>
  <c r="K23" i="16"/>
  <c r="L22" i="7"/>
  <c r="L23" i="16"/>
  <c r="E24" i="16"/>
  <c r="F24" i="16"/>
  <c r="G24" i="16"/>
  <c r="I24" i="16"/>
  <c r="J24" i="16"/>
  <c r="K24" i="16"/>
  <c r="L23" i="7"/>
  <c r="L24" i="16"/>
  <c r="E25" i="16"/>
  <c r="F25" i="16"/>
  <c r="G25" i="16"/>
  <c r="I25" i="16"/>
  <c r="J25" i="16"/>
  <c r="K25" i="16"/>
  <c r="L24" i="7"/>
  <c r="L25" i="16"/>
  <c r="E26" i="16"/>
  <c r="F26" i="16"/>
  <c r="G26" i="16"/>
  <c r="I26" i="16"/>
  <c r="J26" i="16"/>
  <c r="K26" i="16"/>
  <c r="L25" i="7"/>
  <c r="L26" i="16"/>
  <c r="E27" i="16"/>
  <c r="F27" i="16"/>
  <c r="G27" i="16"/>
  <c r="I27" i="16"/>
  <c r="J27" i="16"/>
  <c r="K27" i="16"/>
  <c r="L26" i="7"/>
  <c r="L27" i="16"/>
  <c r="E28" i="16"/>
  <c r="F28" i="16"/>
  <c r="G28" i="16"/>
  <c r="I28" i="16"/>
  <c r="J28" i="16"/>
  <c r="K28" i="16"/>
  <c r="L27" i="7"/>
  <c r="L28" i="16"/>
  <c r="E30" i="16"/>
  <c r="F30" i="16"/>
  <c r="G30" i="16"/>
  <c r="I29" i="7"/>
  <c r="I30" i="16"/>
  <c r="J29" i="7"/>
  <c r="J30" i="16"/>
  <c r="K29" i="7"/>
  <c r="K30" i="16"/>
  <c r="L29" i="7"/>
  <c r="L30" i="16"/>
  <c r="E32" i="16"/>
  <c r="F32" i="16"/>
  <c r="G32" i="16"/>
  <c r="I31" i="7"/>
  <c r="I32" i="16"/>
  <c r="J31" i="7"/>
  <c r="J32" i="16"/>
  <c r="K31" i="7"/>
  <c r="K32" i="16"/>
  <c r="L31" i="7"/>
  <c r="L32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30" i="16"/>
  <c r="D32" i="16"/>
  <c r="D7" i="16"/>
  <c r="G21" i="7"/>
  <c r="E12" i="7"/>
  <c r="E11" i="7"/>
  <c r="D29" i="7"/>
  <c r="D31" i="7"/>
  <c r="E10" i="7"/>
  <c r="F10" i="7"/>
  <c r="F27" i="7"/>
  <c r="E27" i="7"/>
  <c r="F17" i="7"/>
  <c r="G17" i="7"/>
  <c r="F26" i="7"/>
  <c r="G26" i="7"/>
  <c r="E25" i="7"/>
  <c r="F11" i="7"/>
  <c r="G6" i="7"/>
  <c r="F29" i="7"/>
  <c r="F31" i="7"/>
  <c r="G12" i="7"/>
  <c r="G10" i="7"/>
  <c r="G9" i="7"/>
  <c r="G14" i="7"/>
  <c r="G15" i="7"/>
  <c r="G16" i="7"/>
  <c r="G19" i="7"/>
  <c r="G20" i="7"/>
  <c r="G22" i="7"/>
  <c r="G23" i="7"/>
  <c r="G24" i="7"/>
  <c r="G25" i="7"/>
  <c r="G27" i="7"/>
  <c r="E18" i="7"/>
  <c r="G18" i="7"/>
  <c r="E13" i="7"/>
  <c r="G13" i="7"/>
  <c r="E29" i="7"/>
  <c r="E31" i="7"/>
  <c r="G11" i="7"/>
  <c r="G29" i="7"/>
  <c r="G31" i="7"/>
</calcChain>
</file>

<file path=xl/comments1.xml><?xml version="1.0" encoding="utf-8"?>
<comments xmlns="http://schemas.openxmlformats.org/spreadsheetml/2006/main">
  <authors>
    <author>Author</author>
  </authors>
  <commentList>
    <comment ref="E9" authorId="0">
      <text>
        <r>
          <rPr>
            <sz val="9"/>
            <color indexed="81"/>
            <rFont val="Tahoma"/>
            <family val="2"/>
          </rPr>
          <t>No contract is signed yet with Burundi</t>
        </r>
      </text>
    </comment>
    <comment ref="E10" authorId="0">
      <text>
        <r>
          <rPr>
            <sz val="9"/>
            <color indexed="81"/>
            <rFont val="Tahoma"/>
            <family val="2"/>
          </rPr>
          <t xml:space="preserve">contract with MAP
</t>
        </r>
      </text>
    </comment>
    <comment ref="E11" authorId="0">
      <text>
        <r>
          <rPr>
            <sz val="9"/>
            <color indexed="81"/>
            <rFont val="Tahoma"/>
            <family val="2"/>
          </rPr>
          <t xml:space="preserve">contract with UFAR
</t>
        </r>
      </text>
    </comment>
    <comment ref="E13" authorId="0">
      <text>
        <r>
          <rPr>
            <sz val="9"/>
            <color indexed="81"/>
            <rFont val="Tahoma"/>
            <family val="2"/>
          </rPr>
          <t xml:space="preserve">End Fund &amp; DFID
</t>
        </r>
      </text>
    </comment>
    <comment ref="E25" authorId="0">
      <text>
        <r>
          <rPr>
            <sz val="9"/>
            <color indexed="81"/>
            <rFont val="Tahoma"/>
            <family val="2"/>
          </rPr>
          <t xml:space="preserve">new agreement with End Fund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E10" authorId="0">
      <text>
        <r>
          <rPr>
            <sz val="9"/>
            <color indexed="81"/>
            <rFont val="Tahoma"/>
            <family val="2"/>
          </rPr>
          <t>No contract is signed yet with Burundi</t>
        </r>
      </text>
    </comment>
    <comment ref="I10" authorId="0">
      <text>
        <r>
          <rPr>
            <sz val="9"/>
            <color indexed="81"/>
            <rFont val="Tahoma"/>
            <family val="2"/>
          </rPr>
          <t>Traveling costs+ PM salary</t>
        </r>
      </text>
    </comment>
    <comment ref="E11" authorId="0">
      <text>
        <r>
          <rPr>
            <sz val="9"/>
            <color indexed="81"/>
            <rFont val="Tahoma"/>
            <family val="2"/>
          </rPr>
          <t xml:space="preserve">contract with MAP
</t>
        </r>
      </text>
    </comment>
    <comment ref="E12" authorId="0">
      <text>
        <r>
          <rPr>
            <sz val="9"/>
            <color indexed="81"/>
            <rFont val="Tahoma"/>
            <family val="2"/>
          </rPr>
          <t xml:space="preserve">contract with UFAR
</t>
        </r>
      </text>
    </comment>
    <comment ref="E14" authorId="0">
      <text>
        <r>
          <rPr>
            <sz val="9"/>
            <color indexed="81"/>
            <rFont val="Tahoma"/>
            <family val="2"/>
          </rPr>
          <t xml:space="preserve">End Fund &amp; DFID
</t>
        </r>
      </text>
    </comment>
    <comment ref="E26" authorId="0">
      <text>
        <r>
          <rPr>
            <sz val="9"/>
            <color indexed="81"/>
            <rFont val="Tahoma"/>
            <family val="2"/>
          </rPr>
          <t xml:space="preserve">new agreement with End Fund
</t>
        </r>
      </text>
    </comment>
  </commentList>
</comments>
</file>

<file path=xl/sharedStrings.xml><?xml version="1.0" encoding="utf-8"?>
<sst xmlns="http://schemas.openxmlformats.org/spreadsheetml/2006/main" count="107" uniqueCount="54">
  <si>
    <t xml:space="preserve">Restricted </t>
  </si>
  <si>
    <t>Unrestricted</t>
  </si>
  <si>
    <t>Total</t>
  </si>
  <si>
    <t>Notes</t>
  </si>
  <si>
    <t>Total Central Expenditure</t>
  </si>
  <si>
    <t>Country Programmes Expenditure</t>
  </si>
  <si>
    <t>Burundi</t>
  </si>
  <si>
    <t>Cote d'Ivoire</t>
  </si>
  <si>
    <t>Democratic Republic of the Congo</t>
  </si>
  <si>
    <t>Ethiopia</t>
  </si>
  <si>
    <t>Liberia</t>
  </si>
  <si>
    <t>Madagascar</t>
  </si>
  <si>
    <t>Malawi</t>
  </si>
  <si>
    <t>Mauritania</t>
  </si>
  <si>
    <t xml:space="preserve">Mozambique </t>
  </si>
  <si>
    <t>Niger</t>
  </si>
  <si>
    <t>Rwanda</t>
  </si>
  <si>
    <t>Senegal</t>
  </si>
  <si>
    <t>Sudan</t>
  </si>
  <si>
    <t>Tanzania</t>
  </si>
  <si>
    <t>Uganda</t>
  </si>
  <si>
    <t>Yemen</t>
  </si>
  <si>
    <t>Zambia</t>
  </si>
  <si>
    <t>Zanzibar</t>
  </si>
  <si>
    <t>Total Country Programmes Expenditure</t>
  </si>
  <si>
    <t>Total Expenditure</t>
  </si>
  <si>
    <t>Revised Budget (figures in the contract with the countries)</t>
  </si>
  <si>
    <t>Nigeria</t>
  </si>
  <si>
    <t>Original Budget on  13 Aug. 2015</t>
  </si>
  <si>
    <t>Money transferred Last fiscal year</t>
  </si>
  <si>
    <t>ICT</t>
  </si>
  <si>
    <t xml:space="preserve">IC </t>
  </si>
  <si>
    <t>Restricted (DFID, END Fund, Score, Gates, CIFF)</t>
  </si>
  <si>
    <t>In country bank account; expenses recorded relating to last year contract.</t>
  </si>
  <si>
    <t>SCI Budget vs Actuals period 1 April 2015-31 March 2016 (all figures in GBP)</t>
  </si>
  <si>
    <t>Actual expenditure from 1 April 2015 to 31 March 2016</t>
  </si>
  <si>
    <t>Central programme costs include programme management, travel, monitoring  &amp;evaluation, payments to partners, and overhead costs. Previous figure Including 303K to LSTM related to Mozambique rolled from previous fiscal year.</t>
  </si>
  <si>
    <t>Transfer to LSTM in March didn't show on the accounts until April; will be rolled into next year budget</t>
  </si>
  <si>
    <t>Not all contract value was transferred; the balance to be rolled to next year budget</t>
  </si>
  <si>
    <t>Note:</t>
  </si>
  <si>
    <t>The budget is only the implementation budget and doesn't include research costs and rolled budgets from previous years.</t>
  </si>
  <si>
    <t>Contract not signed yet; activities in Liberia delayed until April because of delay in contract &amp; drugs availability in the country; budget will be rolled over;  45,616 is already in the country from 2013.</t>
  </si>
  <si>
    <t>Errors in book-keeping to be corrected; costs are booked as DFID while they are covered from unrestricted</t>
  </si>
  <si>
    <t>No implementation costs; only consultancies and travel</t>
  </si>
  <si>
    <t>Including Salary of program manager based in Egypt</t>
  </si>
  <si>
    <t>Transfers were made in April 2015 relating to last year's contracts; including in-country costs and salaries not only implementation costs</t>
  </si>
  <si>
    <t>Transfer to LSTM in March didn't show on the accounts until April;  will be rolled into next year budget; the costs include research costs and consultant costs</t>
  </si>
  <si>
    <t>In country bank account; expenses recorded relating to last year contract;  expenses include costs of PHD student and research costs</t>
  </si>
  <si>
    <t>This sheet added by GiveWell</t>
  </si>
  <si>
    <t>http://www.usforex.com/forex-tools/historical-rate-tools/historical-exchange-rates</t>
  </si>
  <si>
    <t>1 unit of GBP = X units of USD</t>
  </si>
  <si>
    <t>April 1, 2015 - March 31, 2016 average</t>
  </si>
  <si>
    <t>This sheet added by GiveWell. Converted to USD</t>
  </si>
  <si>
    <t>SCI Budget vs Actuals period 1 April 2015-31 March 2016 (all figures in 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</si>
</sst>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4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4" applyNumberFormat="0" applyAlignment="0" applyProtection="0"/>
    <xf numFmtId="0" fontId="17" fillId="8" borderId="15" applyNumberFormat="0" applyAlignment="0" applyProtection="0"/>
    <xf numFmtId="0" fontId="18" fillId="8" borderId="14" applyNumberFormat="0" applyAlignment="0" applyProtection="0"/>
    <xf numFmtId="0" fontId="19" fillId="0" borderId="16" applyNumberFormat="0" applyFill="0" applyAlignment="0" applyProtection="0"/>
    <xf numFmtId="0" fontId="20" fillId="9" borderId="17" applyNumberFormat="0" applyAlignment="0" applyProtection="0"/>
    <xf numFmtId="0" fontId="21" fillId="0" borderId="0" applyNumberFormat="0" applyFill="0" applyBorder="0" applyAlignment="0" applyProtection="0"/>
    <xf numFmtId="0" fontId="2" fillId="10" borderId="18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2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3" fillId="34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Font="1"/>
    <xf numFmtId="165" fontId="0" fillId="0" borderId="0" xfId="0" applyNumberFormat="1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Border="1"/>
    <xf numFmtId="0" fontId="7" fillId="0" borderId="0" xfId="0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3" fontId="7" fillId="0" borderId="0" xfId="0" applyNumberFormat="1" applyFont="1" applyBorder="1" applyAlignment="1"/>
    <xf numFmtId="3" fontId="5" fillId="0" borderId="0" xfId="0" applyNumberFormat="1" applyFont="1" applyBorder="1" applyAlignment="1"/>
    <xf numFmtId="3" fontId="5" fillId="0" borderId="0" xfId="0" applyNumberFormat="1" applyFont="1" applyBorder="1"/>
    <xf numFmtId="3" fontId="5" fillId="0" borderId="7" xfId="1" applyNumberFormat="1" applyFont="1" applyBorder="1"/>
    <xf numFmtId="3" fontId="7" fillId="0" borderId="7" xfId="1" applyNumberFormat="1" applyFont="1" applyBorder="1"/>
    <xf numFmtId="3" fontId="6" fillId="0" borderId="6" xfId="0" applyNumberFormat="1" applyFont="1" applyBorder="1"/>
    <xf numFmtId="0" fontId="0" fillId="0" borderId="0" xfId="0" applyFont="1" applyBorder="1"/>
    <xf numFmtId="0" fontId="0" fillId="0" borderId="0" xfId="0"/>
    <xf numFmtId="3" fontId="7" fillId="0" borderId="7" xfId="0" applyNumberFormat="1" applyFont="1" applyBorder="1"/>
    <xf numFmtId="0" fontId="5" fillId="0" borderId="20" xfId="0" applyFont="1" applyBorder="1"/>
    <xf numFmtId="0" fontId="7" fillId="0" borderId="21" xfId="0" applyFont="1" applyBorder="1" applyAlignment="1"/>
    <xf numFmtId="3" fontId="7" fillId="0" borderId="21" xfId="0" applyNumberFormat="1" applyFont="1" applyBorder="1" applyAlignment="1"/>
    <xf numFmtId="0" fontId="7" fillId="0" borderId="2" xfId="0" applyFont="1" applyBorder="1"/>
    <xf numFmtId="0" fontId="0" fillId="0" borderId="4" xfId="0" applyBorder="1" applyAlignment="1">
      <alignment wrapText="1"/>
    </xf>
    <xf numFmtId="0" fontId="7" fillId="0" borderId="2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22" xfId="0" applyFont="1" applyBorder="1" applyAlignment="1">
      <alignment wrapText="1"/>
    </xf>
    <xf numFmtId="3" fontId="5" fillId="0" borderId="4" xfId="0" applyNumberFormat="1" applyFont="1" applyBorder="1"/>
    <xf numFmtId="3" fontId="7" fillId="0" borderId="4" xfId="0" applyNumberFormat="1" applyFont="1" applyBorder="1"/>
    <xf numFmtId="3" fontId="6" fillId="0" borderId="26" xfId="0" applyNumberFormat="1" applyFont="1" applyBorder="1"/>
    <xf numFmtId="3" fontId="6" fillId="0" borderId="27" xfId="0" applyNumberFormat="1" applyFont="1" applyBorder="1"/>
    <xf numFmtId="0" fontId="5" fillId="2" borderId="8" xfId="0" applyFont="1" applyFill="1" applyBorder="1"/>
    <xf numFmtId="3" fontId="5" fillId="2" borderId="8" xfId="0" applyNumberFormat="1" applyFont="1" applyFill="1" applyBorder="1"/>
    <xf numFmtId="3" fontId="5" fillId="2" borderId="8" xfId="0" applyNumberFormat="1" applyFont="1" applyFill="1" applyBorder="1" applyAlignment="1"/>
    <xf numFmtId="3" fontId="7" fillId="2" borderId="8" xfId="0" applyNumberFormat="1" applyFont="1" applyFill="1" applyBorder="1" applyAlignment="1"/>
    <xf numFmtId="3" fontId="7" fillId="2" borderId="23" xfId="0" applyNumberFormat="1" applyFont="1" applyFill="1" applyBorder="1" applyAlignment="1"/>
    <xf numFmtId="3" fontId="5" fillId="3" borderId="28" xfId="0" applyNumberFormat="1" applyFont="1" applyFill="1" applyBorder="1"/>
    <xf numFmtId="3" fontId="5" fillId="3" borderId="7" xfId="0" applyNumberFormat="1" applyFont="1" applyFill="1" applyBorder="1"/>
    <xf numFmtId="3" fontId="5" fillId="3" borderId="29" xfId="0" applyNumberFormat="1" applyFont="1" applyFill="1" applyBorder="1"/>
    <xf numFmtId="3" fontId="5" fillId="3" borderId="28" xfId="0" applyNumberFormat="1" applyFont="1" applyFill="1" applyBorder="1" applyAlignment="1"/>
    <xf numFmtId="3" fontId="5" fillId="3" borderId="7" xfId="0" applyNumberFormat="1" applyFont="1" applyFill="1" applyBorder="1" applyAlignment="1"/>
    <xf numFmtId="3" fontId="7" fillId="3" borderId="28" xfId="0" applyNumberFormat="1" applyFont="1" applyFill="1" applyBorder="1" applyAlignment="1"/>
    <xf numFmtId="3" fontId="7" fillId="3" borderId="7" xfId="0" applyNumberFormat="1" applyFont="1" applyFill="1" applyBorder="1" applyAlignment="1"/>
    <xf numFmtId="3" fontId="0" fillId="3" borderId="28" xfId="0" applyNumberFormat="1" applyFill="1" applyBorder="1"/>
    <xf numFmtId="3" fontId="7" fillId="3" borderId="29" xfId="0" applyNumberFormat="1" applyFont="1" applyFill="1" applyBorder="1"/>
    <xf numFmtId="3" fontId="7" fillId="3" borderId="26" xfId="0" applyNumberFormat="1" applyFont="1" applyFill="1" applyBorder="1" applyAlignment="1"/>
    <xf numFmtId="3" fontId="7" fillId="3" borderId="6" xfId="0" applyNumberFormat="1" applyFont="1" applyFill="1" applyBorder="1" applyAlignment="1"/>
    <xf numFmtId="3" fontId="7" fillId="3" borderId="27" xfId="0" applyNumberFormat="1" applyFont="1" applyFill="1" applyBorder="1"/>
    <xf numFmtId="4" fontId="7" fillId="2" borderId="9" xfId="0" applyNumberFormat="1" applyFont="1" applyFill="1" applyBorder="1" applyAlignment="1">
      <alignment wrapText="1"/>
    </xf>
    <xf numFmtId="0" fontId="7" fillId="0" borderId="5" xfId="0" applyFont="1" applyBorder="1" applyAlignment="1">
      <alignment horizontal="center"/>
    </xf>
    <xf numFmtId="3" fontId="7" fillId="0" borderId="0" xfId="0" applyNumberFormat="1" applyFont="1" applyBorder="1"/>
    <xf numFmtId="3" fontId="6" fillId="0" borderId="21" xfId="0" applyNumberFormat="1" applyFont="1" applyBorder="1"/>
    <xf numFmtId="3" fontId="7" fillId="0" borderId="0" xfId="1" applyNumberFormat="1" applyFont="1" applyBorder="1"/>
    <xf numFmtId="3" fontId="6" fillId="0" borderId="32" xfId="0" applyNumberFormat="1" applyFont="1" applyBorder="1"/>
    <xf numFmtId="0" fontId="7" fillId="0" borderId="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41" xfId="0" applyFont="1" applyBorder="1" applyAlignment="1">
      <alignment horizontal="center" wrapText="1"/>
    </xf>
    <xf numFmtId="3" fontId="5" fillId="0" borderId="28" xfId="1" applyNumberFormat="1" applyFont="1" applyBorder="1"/>
    <xf numFmtId="3" fontId="7" fillId="0" borderId="28" xfId="1" applyNumberFormat="1" applyFont="1" applyBorder="1"/>
    <xf numFmtId="0" fontId="24" fillId="0" borderId="0" xfId="0" applyFont="1"/>
    <xf numFmtId="0" fontId="26" fillId="0" borderId="0" xfId="0" applyFont="1"/>
    <xf numFmtId="0" fontId="25" fillId="0" borderId="0" xfId="43"/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/>
    <xf numFmtId="165" fontId="0" fillId="0" borderId="0" xfId="0" applyNumberFormat="1" applyFont="1"/>
    <xf numFmtId="3" fontId="0" fillId="0" borderId="0" xfId="0" applyNumberFormat="1"/>
    <xf numFmtId="0" fontId="24" fillId="0" borderId="0" xfId="0" applyFont="1"/>
    <xf numFmtId="3" fontId="0" fillId="0" borderId="25" xfId="0" applyNumberFormat="1" applyBorder="1"/>
    <xf numFmtId="3" fontId="0" fillId="0" borderId="7" xfId="0" applyNumberFormat="1" applyBorder="1"/>
    <xf numFmtId="3" fontId="7" fillId="0" borderId="42" xfId="0" applyNumberFormat="1" applyFont="1" applyBorder="1"/>
    <xf numFmtId="3" fontId="5" fillId="0" borderId="43" xfId="0" applyNumberFormat="1" applyFont="1" applyBorder="1"/>
    <xf numFmtId="3" fontId="5" fillId="0" borderId="43" xfId="1" applyNumberFormat="1" applyFont="1" applyBorder="1"/>
    <xf numFmtId="0" fontId="7" fillId="3" borderId="30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24" xfId="0" applyFont="1" applyFill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3" fillId="0" borderId="5" xfId="0" applyFont="1" applyBorder="1" applyAlignment="1">
      <alignment horizontal="left"/>
    </xf>
    <xf numFmtId="0" fontId="7" fillId="0" borderId="34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/>
    </xf>
    <xf numFmtId="0" fontId="7" fillId="0" borderId="38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7" xfId="0" applyFont="1" applyBorder="1" applyAlignment="1">
      <alignment horizontal="center"/>
    </xf>
    <xf numFmtId="0" fontId="7" fillId="0" borderId="40" xfId="0" applyFont="1" applyBorder="1" applyAlignment="1">
      <alignment horizont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5"/>
  <sheetViews>
    <sheetView workbookViewId="0">
      <selection activeCell="D2" sqref="D2"/>
    </sheetView>
  </sheetViews>
  <sheetFormatPr defaultColWidth="9.140625" defaultRowHeight="15" x14ac:dyDescent="0.25"/>
  <cols>
    <col min="1" max="1" width="3.7109375" style="1" customWidth="1"/>
    <col min="2" max="2" width="9.140625" style="1"/>
    <col min="3" max="3" width="40.140625" style="1" customWidth="1"/>
    <col min="4" max="7" width="18" style="1" customWidth="1"/>
    <col min="8" max="8" width="3.7109375" style="1" customWidth="1"/>
    <col min="9" max="9" width="16.7109375" style="1" customWidth="1"/>
    <col min="10" max="10" width="16.7109375" style="20" customWidth="1"/>
    <col min="11" max="11" width="13.28515625" style="1" bestFit="1" customWidth="1"/>
    <col min="12" max="12" width="16.7109375" style="1" customWidth="1"/>
    <col min="13" max="13" width="3.7109375" style="20" customWidth="1"/>
    <col min="14" max="14" width="46.140625" style="12" customWidth="1"/>
    <col min="15" max="16384" width="9.140625" style="1"/>
  </cols>
  <sheetData>
    <row r="1" spans="1:14" ht="29.1" x14ac:dyDescent="0.35">
      <c r="A1" s="83" t="s">
        <v>34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19"/>
    </row>
    <row r="2" spans="1:14" ht="27" thickBot="1" x14ac:dyDescent="0.35">
      <c r="A2" s="2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</row>
    <row r="3" spans="1:14" ht="63" customHeight="1" x14ac:dyDescent="0.2">
      <c r="A3" s="5"/>
      <c r="B3" s="6"/>
      <c r="C3" s="6"/>
      <c r="D3" s="51" t="s">
        <v>28</v>
      </c>
      <c r="E3" s="77" t="s">
        <v>26</v>
      </c>
      <c r="F3" s="78"/>
      <c r="G3" s="79"/>
      <c r="H3" s="25"/>
      <c r="I3" s="80" t="s">
        <v>35</v>
      </c>
      <c r="J3" s="81"/>
      <c r="K3" s="81"/>
      <c r="L3" s="82"/>
      <c r="M3" s="25"/>
      <c r="N3" s="27" t="s">
        <v>3</v>
      </c>
    </row>
    <row r="4" spans="1:14" ht="63" customHeight="1" x14ac:dyDescent="0.25">
      <c r="A4" s="7"/>
      <c r="B4" s="8"/>
      <c r="C4" s="8"/>
      <c r="D4" s="34"/>
      <c r="E4" s="86" t="s">
        <v>0</v>
      </c>
      <c r="F4" s="88" t="s">
        <v>1</v>
      </c>
      <c r="G4" s="90" t="s">
        <v>2</v>
      </c>
      <c r="H4" s="8"/>
      <c r="I4" s="92" t="s">
        <v>32</v>
      </c>
      <c r="J4" s="84" t="s">
        <v>1</v>
      </c>
      <c r="K4" s="85"/>
      <c r="L4" s="94" t="s">
        <v>2</v>
      </c>
      <c r="M4" s="52"/>
      <c r="N4" s="26"/>
    </row>
    <row r="5" spans="1:14" s="20" customFormat="1" ht="15.75" x14ac:dyDescent="0.25">
      <c r="A5" s="7"/>
      <c r="B5" s="8"/>
      <c r="C5" s="8"/>
      <c r="D5" s="34"/>
      <c r="E5" s="87"/>
      <c r="F5" s="89"/>
      <c r="G5" s="91"/>
      <c r="H5" s="8"/>
      <c r="I5" s="93"/>
      <c r="J5" s="59" t="s">
        <v>30</v>
      </c>
      <c r="K5" s="58" t="s">
        <v>31</v>
      </c>
      <c r="L5" s="95"/>
      <c r="M5" s="57"/>
      <c r="N5" s="26"/>
    </row>
    <row r="6" spans="1:14" ht="60" x14ac:dyDescent="0.2">
      <c r="A6" s="7"/>
      <c r="B6" s="9" t="s">
        <v>4</v>
      </c>
      <c r="C6" s="9"/>
      <c r="D6" s="37">
        <v>1826215.3391999998</v>
      </c>
      <c r="E6" s="44"/>
      <c r="F6" s="45"/>
      <c r="G6" s="47">
        <f>D6</f>
        <v>1826215.3391999998</v>
      </c>
      <c r="H6" s="13"/>
      <c r="I6" s="72">
        <v>787023.54000000097</v>
      </c>
      <c r="J6" s="72">
        <v>308486.95</v>
      </c>
      <c r="K6" s="72">
        <v>189208.81000000003</v>
      </c>
      <c r="L6" s="74">
        <f>I6+J6+K6</f>
        <v>1284719.300000001</v>
      </c>
      <c r="M6" s="53"/>
      <c r="N6" s="28" t="s">
        <v>36</v>
      </c>
    </row>
    <row r="7" spans="1:14" ht="15.95" x14ac:dyDescent="0.2">
      <c r="A7" s="7"/>
      <c r="B7" s="10"/>
      <c r="C7" s="10"/>
      <c r="D7" s="36"/>
      <c r="E7" s="42"/>
      <c r="F7" s="43"/>
      <c r="G7" s="41"/>
      <c r="H7" s="14"/>
      <c r="I7" s="73"/>
      <c r="J7" s="73"/>
      <c r="K7" s="73"/>
      <c r="L7" s="75"/>
      <c r="M7" s="15"/>
      <c r="N7" s="26"/>
    </row>
    <row r="8" spans="1:14" ht="15.95" x14ac:dyDescent="0.2">
      <c r="A8" s="7"/>
      <c r="B8" s="9" t="s">
        <v>5</v>
      </c>
      <c r="C8" s="9"/>
      <c r="D8" s="37"/>
      <c r="E8" s="44"/>
      <c r="F8" s="45"/>
      <c r="G8" s="41"/>
      <c r="H8" s="13"/>
      <c r="I8" s="73"/>
      <c r="J8" s="73"/>
      <c r="K8" s="73"/>
      <c r="L8" s="75"/>
      <c r="M8" s="15"/>
      <c r="N8" s="26"/>
    </row>
    <row r="9" spans="1:14" ht="36" customHeight="1" x14ac:dyDescent="0.2">
      <c r="A9" s="7"/>
      <c r="B9" s="8"/>
      <c r="C9" s="11" t="s">
        <v>6</v>
      </c>
      <c r="D9" s="35">
        <v>198414</v>
      </c>
      <c r="E9" s="39"/>
      <c r="F9" s="40"/>
      <c r="G9" s="41">
        <f t="shared" ref="G9:G12" si="0">E9+F9</f>
        <v>0</v>
      </c>
      <c r="H9" s="15"/>
      <c r="I9" s="73">
        <v>4762.88</v>
      </c>
      <c r="J9" s="73">
        <v>35179.82</v>
      </c>
      <c r="K9" s="73">
        <v>18195.91</v>
      </c>
      <c r="L9" s="75">
        <f>I9+K9+J9</f>
        <v>58138.61</v>
      </c>
      <c r="M9" s="15"/>
      <c r="N9" s="26" t="s">
        <v>43</v>
      </c>
    </row>
    <row r="10" spans="1:14" ht="36" customHeight="1" x14ac:dyDescent="0.2">
      <c r="A10" s="7"/>
      <c r="B10" s="8"/>
      <c r="C10" s="11" t="s">
        <v>7</v>
      </c>
      <c r="D10" s="35">
        <v>172042</v>
      </c>
      <c r="E10" s="39">
        <f>44249+29950</f>
        <v>74199</v>
      </c>
      <c r="F10" s="40">
        <f>81379+12655</f>
        <v>94034</v>
      </c>
      <c r="G10" s="41">
        <f t="shared" si="0"/>
        <v>168233</v>
      </c>
      <c r="H10" s="15"/>
      <c r="I10" s="73">
        <v>48284.63</v>
      </c>
      <c r="J10" s="73">
        <v>0</v>
      </c>
      <c r="K10" s="73">
        <v>87042.040000000008</v>
      </c>
      <c r="L10" s="75">
        <f t="shared" ref="L10:L27" si="1">I10+K10+J10</f>
        <v>135326.67000000001</v>
      </c>
      <c r="M10" s="15"/>
      <c r="N10" s="26" t="s">
        <v>38</v>
      </c>
    </row>
    <row r="11" spans="1:14" ht="36" customHeight="1" x14ac:dyDescent="0.2">
      <c r="A11" s="7"/>
      <c r="B11" s="8"/>
      <c r="C11" s="11" t="s">
        <v>8</v>
      </c>
      <c r="D11" s="35">
        <v>375000</v>
      </c>
      <c r="E11" s="39">
        <f>61840+6367.8+142158.09*0.67847</f>
        <v>164657.79932230001</v>
      </c>
      <c r="F11" s="40">
        <f>(286248.47+21787.55)*0.67847</f>
        <v>208993.19848939998</v>
      </c>
      <c r="G11" s="41">
        <f t="shared" si="0"/>
        <v>373650.99781169998</v>
      </c>
      <c r="H11" s="15"/>
      <c r="I11" s="73">
        <v>104025.97000000002</v>
      </c>
      <c r="J11" s="73">
        <v>0</v>
      </c>
      <c r="K11" s="73">
        <v>124140.14000000001</v>
      </c>
      <c r="L11" s="75">
        <f t="shared" si="1"/>
        <v>228166.11000000004</v>
      </c>
      <c r="M11" s="15"/>
      <c r="N11" s="26" t="s">
        <v>38</v>
      </c>
    </row>
    <row r="12" spans="1:14" ht="45" x14ac:dyDescent="0.2">
      <c r="A12" s="7"/>
      <c r="B12" s="8"/>
      <c r="C12" s="11" t="s">
        <v>9</v>
      </c>
      <c r="D12" s="35">
        <v>1805512</v>
      </c>
      <c r="E12" s="39">
        <f>136050+443821*0.67847</f>
        <v>437169.23387</v>
      </c>
      <c r="F12" s="40">
        <v>1136987</v>
      </c>
      <c r="G12" s="41">
        <f t="shared" si="0"/>
        <v>1574156.2338700001</v>
      </c>
      <c r="H12" s="15"/>
      <c r="I12" s="73">
        <v>511303.06999999995</v>
      </c>
      <c r="J12" s="73">
        <v>0</v>
      </c>
      <c r="K12" s="73">
        <v>1410357.8699999989</v>
      </c>
      <c r="L12" s="75">
        <f t="shared" si="1"/>
        <v>1921660.939999999</v>
      </c>
      <c r="M12" s="15"/>
      <c r="N12" s="26" t="s">
        <v>45</v>
      </c>
    </row>
    <row r="13" spans="1:14" ht="60" x14ac:dyDescent="0.2">
      <c r="A13" s="7"/>
      <c r="B13" s="8"/>
      <c r="C13" s="11" t="s">
        <v>10</v>
      </c>
      <c r="D13" s="35">
        <v>67273</v>
      </c>
      <c r="E13" s="39">
        <f>47715 +79775</f>
        <v>127490</v>
      </c>
      <c r="F13" s="40">
        <v>45616</v>
      </c>
      <c r="G13" s="41">
        <f>E13+F13</f>
        <v>173106</v>
      </c>
      <c r="H13" s="15"/>
      <c r="I13" s="73">
        <v>0</v>
      </c>
      <c r="J13" s="73">
        <v>0</v>
      </c>
      <c r="K13" s="73">
        <v>0</v>
      </c>
      <c r="L13" s="75">
        <f t="shared" si="1"/>
        <v>0</v>
      </c>
      <c r="M13" s="15"/>
      <c r="N13" s="26" t="s">
        <v>41</v>
      </c>
    </row>
    <row r="14" spans="1:14" ht="36" customHeight="1" x14ac:dyDescent="0.25">
      <c r="A14" s="7"/>
      <c r="B14" s="8"/>
      <c r="C14" s="11" t="s">
        <v>11</v>
      </c>
      <c r="D14" s="35">
        <v>318011</v>
      </c>
      <c r="E14" s="39"/>
      <c r="F14" s="40">
        <v>490461</v>
      </c>
      <c r="G14" s="41">
        <f t="shared" ref="G14:G27" si="2">E14+F14</f>
        <v>490461</v>
      </c>
      <c r="H14" s="15"/>
      <c r="I14" s="73">
        <v>0</v>
      </c>
      <c r="J14" s="73">
        <v>54112.810000000034</v>
      </c>
      <c r="K14" s="73">
        <v>313414.22999999986</v>
      </c>
      <c r="L14" s="75">
        <f t="shared" si="1"/>
        <v>367527.03999999992</v>
      </c>
      <c r="M14" s="15"/>
      <c r="N14" s="26"/>
    </row>
    <row r="15" spans="1:14" ht="48" customHeight="1" x14ac:dyDescent="0.25">
      <c r="A15" s="7"/>
      <c r="B15" s="8"/>
      <c r="C15" s="11" t="s">
        <v>12</v>
      </c>
      <c r="D15" s="35">
        <v>591229</v>
      </c>
      <c r="E15" s="46">
        <v>141602</v>
      </c>
      <c r="F15" s="40">
        <v>449628</v>
      </c>
      <c r="G15" s="41">
        <f t="shared" si="2"/>
        <v>591230</v>
      </c>
      <c r="H15" s="15"/>
      <c r="I15" s="73">
        <v>476458.94</v>
      </c>
      <c r="J15" s="73">
        <v>56422</v>
      </c>
      <c r="K15" s="73">
        <v>0</v>
      </c>
      <c r="L15" s="75">
        <f t="shared" si="1"/>
        <v>532880.93999999994</v>
      </c>
      <c r="M15" s="15"/>
      <c r="N15" s="26" t="s">
        <v>42</v>
      </c>
    </row>
    <row r="16" spans="1:14" ht="36" customHeight="1" x14ac:dyDescent="0.25">
      <c r="A16" s="7"/>
      <c r="B16" s="8"/>
      <c r="C16" s="11" t="s">
        <v>13</v>
      </c>
      <c r="D16" s="35">
        <v>0</v>
      </c>
      <c r="E16" s="39">
        <v>0</v>
      </c>
      <c r="F16" s="40">
        <v>43534</v>
      </c>
      <c r="G16" s="41">
        <f t="shared" si="2"/>
        <v>43534</v>
      </c>
      <c r="H16" s="15"/>
      <c r="I16" s="73">
        <v>0</v>
      </c>
      <c r="J16" s="73">
        <v>0</v>
      </c>
      <c r="K16" s="73">
        <v>43533.53</v>
      </c>
      <c r="L16" s="75">
        <f t="shared" si="1"/>
        <v>43533.53</v>
      </c>
      <c r="M16" s="15"/>
      <c r="N16" s="26"/>
    </row>
    <row r="17" spans="1:17" ht="60" x14ac:dyDescent="0.25">
      <c r="A17" s="7"/>
      <c r="B17" s="8"/>
      <c r="C17" s="11" t="s">
        <v>14</v>
      </c>
      <c r="D17" s="35">
        <v>743094</v>
      </c>
      <c r="E17" s="39">
        <v>210294</v>
      </c>
      <c r="F17" s="40">
        <f>478170-210294</f>
        <v>267876</v>
      </c>
      <c r="G17" s="41">
        <f t="shared" si="2"/>
        <v>478170</v>
      </c>
      <c r="H17" s="15"/>
      <c r="I17" s="73">
        <v>380113.76</v>
      </c>
      <c r="J17" s="73">
        <v>0</v>
      </c>
      <c r="K17" s="73">
        <v>0</v>
      </c>
      <c r="L17" s="75">
        <f>I17+K17+J17</f>
        <v>380113.76</v>
      </c>
      <c r="M17" s="15"/>
      <c r="N17" s="26" t="s">
        <v>46</v>
      </c>
    </row>
    <row r="18" spans="1:17" ht="36" customHeight="1" x14ac:dyDescent="0.25">
      <c r="A18" s="7"/>
      <c r="B18" s="8"/>
      <c r="C18" s="11" t="s">
        <v>15</v>
      </c>
      <c r="D18" s="35">
        <v>199060</v>
      </c>
      <c r="E18" s="39">
        <f>156154+37452</f>
        <v>193606</v>
      </c>
      <c r="F18" s="40">
        <v>0</v>
      </c>
      <c r="G18" s="41">
        <f t="shared" si="2"/>
        <v>193606</v>
      </c>
      <c r="H18" s="15"/>
      <c r="I18" s="73">
        <v>362358.74</v>
      </c>
      <c r="J18" s="73">
        <v>0</v>
      </c>
      <c r="K18" s="73">
        <v>1094.44</v>
      </c>
      <c r="L18" s="75">
        <f t="shared" si="1"/>
        <v>363453.18</v>
      </c>
      <c r="M18" s="15"/>
      <c r="N18" s="26"/>
    </row>
    <row r="19" spans="1:17" ht="36" customHeight="1" x14ac:dyDescent="0.25">
      <c r="A19" s="7"/>
      <c r="B19" s="8"/>
      <c r="C19" s="11" t="s">
        <v>27</v>
      </c>
      <c r="D19" s="35">
        <v>0</v>
      </c>
      <c r="E19" s="39">
        <v>0</v>
      </c>
      <c r="F19" s="40">
        <v>0</v>
      </c>
      <c r="G19" s="41">
        <f t="shared" si="2"/>
        <v>0</v>
      </c>
      <c r="H19" s="15"/>
      <c r="I19" s="73">
        <v>0</v>
      </c>
      <c r="J19" s="73">
        <v>0</v>
      </c>
      <c r="K19" s="73">
        <v>1079.1100000000001</v>
      </c>
      <c r="L19" s="75">
        <f t="shared" si="1"/>
        <v>1079.1100000000001</v>
      </c>
      <c r="M19" s="15"/>
      <c r="N19" s="26"/>
    </row>
    <row r="20" spans="1:17" ht="36" customHeight="1" x14ac:dyDescent="0.25">
      <c r="A20" s="7"/>
      <c r="B20" s="8"/>
      <c r="C20" s="11" t="s">
        <v>16</v>
      </c>
      <c r="D20" s="35">
        <v>403189</v>
      </c>
      <c r="E20" s="39">
        <v>188383</v>
      </c>
      <c r="F20" s="40">
        <v>0</v>
      </c>
      <c r="G20" s="41">
        <f t="shared" si="2"/>
        <v>188383</v>
      </c>
      <c r="H20" s="15"/>
      <c r="I20" s="73">
        <v>0</v>
      </c>
      <c r="J20" s="73">
        <v>250528.8</v>
      </c>
      <c r="K20" s="73">
        <v>11303</v>
      </c>
      <c r="L20" s="75">
        <f t="shared" si="1"/>
        <v>261831.8</v>
      </c>
      <c r="M20" s="15"/>
      <c r="N20" s="26"/>
    </row>
    <row r="21" spans="1:17" ht="36.75" customHeight="1" x14ac:dyDescent="0.25">
      <c r="A21" s="7"/>
      <c r="B21" s="8"/>
      <c r="C21" s="11" t="s">
        <v>17</v>
      </c>
      <c r="D21" s="35">
        <v>0</v>
      </c>
      <c r="E21" s="39">
        <v>0</v>
      </c>
      <c r="F21" s="40">
        <v>0</v>
      </c>
      <c r="G21" s="41">
        <f t="shared" si="2"/>
        <v>0</v>
      </c>
      <c r="H21" s="15"/>
      <c r="I21" s="73">
        <v>0</v>
      </c>
      <c r="J21" s="73">
        <v>0</v>
      </c>
      <c r="K21" s="73">
        <v>8894.9799999999977</v>
      </c>
      <c r="L21" s="75">
        <f t="shared" si="1"/>
        <v>8894.9799999999977</v>
      </c>
      <c r="M21" s="15"/>
      <c r="N21" s="26"/>
    </row>
    <row r="22" spans="1:17" ht="36" customHeight="1" x14ac:dyDescent="0.25">
      <c r="A22" s="7"/>
      <c r="B22" s="8"/>
      <c r="C22" s="11" t="s">
        <v>18</v>
      </c>
      <c r="D22" s="35">
        <v>200000</v>
      </c>
      <c r="E22" s="39">
        <v>0</v>
      </c>
      <c r="F22" s="40">
        <v>0</v>
      </c>
      <c r="G22" s="41">
        <f t="shared" si="2"/>
        <v>0</v>
      </c>
      <c r="H22" s="15"/>
      <c r="I22" s="73">
        <v>0</v>
      </c>
      <c r="J22" s="73">
        <v>0</v>
      </c>
      <c r="K22" s="73">
        <v>1169.77</v>
      </c>
      <c r="L22" s="75">
        <f t="shared" si="1"/>
        <v>1169.77</v>
      </c>
      <c r="M22" s="15"/>
      <c r="N22" s="26" t="s">
        <v>29</v>
      </c>
    </row>
    <row r="23" spans="1:17" ht="36" customHeight="1" x14ac:dyDescent="0.25">
      <c r="A23" s="7"/>
      <c r="B23" s="8"/>
      <c r="C23" s="11" t="s">
        <v>19</v>
      </c>
      <c r="D23" s="35">
        <v>751995</v>
      </c>
      <c r="E23" s="39">
        <v>345018</v>
      </c>
      <c r="F23" s="40">
        <v>406696</v>
      </c>
      <c r="G23" s="41">
        <f t="shared" si="2"/>
        <v>751714</v>
      </c>
      <c r="H23" s="15"/>
      <c r="I23" s="73">
        <v>480010.08</v>
      </c>
      <c r="J23" s="73">
        <v>0</v>
      </c>
      <c r="K23" s="73">
        <v>428912.58999999997</v>
      </c>
      <c r="L23" s="75">
        <f t="shared" si="1"/>
        <v>908922.66999999993</v>
      </c>
      <c r="M23" s="15"/>
      <c r="N23" s="26" t="s">
        <v>33</v>
      </c>
    </row>
    <row r="24" spans="1:17" ht="60" customHeight="1" x14ac:dyDescent="0.25">
      <c r="A24" s="7"/>
      <c r="B24" s="8"/>
      <c r="C24" s="11" t="s">
        <v>20</v>
      </c>
      <c r="D24" s="35">
        <v>186077</v>
      </c>
      <c r="E24" s="39">
        <v>54576</v>
      </c>
      <c r="F24" s="40">
        <v>131501</v>
      </c>
      <c r="G24" s="41">
        <f t="shared" si="2"/>
        <v>186077</v>
      </c>
      <c r="H24" s="15"/>
      <c r="I24" s="73">
        <v>250947.15000000011</v>
      </c>
      <c r="J24" s="73">
        <v>0</v>
      </c>
      <c r="K24" s="73">
        <v>117005</v>
      </c>
      <c r="L24" s="75">
        <f t="shared" si="1"/>
        <v>367952.15000000014</v>
      </c>
      <c r="M24" s="15"/>
      <c r="N24" s="26" t="s">
        <v>47</v>
      </c>
    </row>
    <row r="25" spans="1:17" ht="36" customHeight="1" x14ac:dyDescent="0.25">
      <c r="A25" s="7"/>
      <c r="B25" s="8"/>
      <c r="C25" s="11" t="s">
        <v>21</v>
      </c>
      <c r="D25" s="35">
        <v>53264</v>
      </c>
      <c r="E25" s="39">
        <f>80000*0.67847+283002*0.67847</f>
        <v>246285.96694000001</v>
      </c>
      <c r="F25" s="40">
        <v>0</v>
      </c>
      <c r="G25" s="41">
        <f t="shared" si="2"/>
        <v>246285.96694000001</v>
      </c>
      <c r="H25" s="15"/>
      <c r="I25" s="73">
        <v>229494.97</v>
      </c>
      <c r="J25" s="73">
        <v>0</v>
      </c>
      <c r="K25" s="73">
        <v>10299.11</v>
      </c>
      <c r="L25" s="75">
        <f t="shared" si="1"/>
        <v>239794.08000000002</v>
      </c>
      <c r="M25" s="15"/>
      <c r="N25" s="26" t="s">
        <v>44</v>
      </c>
    </row>
    <row r="26" spans="1:17" ht="53.25" customHeight="1" x14ac:dyDescent="0.25">
      <c r="A26" s="7"/>
      <c r="B26" s="8"/>
      <c r="C26" s="11" t="s">
        <v>22</v>
      </c>
      <c r="D26" s="35">
        <v>458000</v>
      </c>
      <c r="E26" s="39">
        <v>117798</v>
      </c>
      <c r="F26" s="40">
        <f>223451-117798</f>
        <v>105653</v>
      </c>
      <c r="G26" s="41">
        <f t="shared" si="2"/>
        <v>223451</v>
      </c>
      <c r="H26" s="15"/>
      <c r="I26" s="73"/>
      <c r="J26" s="73"/>
      <c r="K26" s="73">
        <v>0</v>
      </c>
      <c r="L26" s="75">
        <f t="shared" si="1"/>
        <v>0</v>
      </c>
      <c r="M26" s="15"/>
      <c r="N26" s="26" t="s">
        <v>37</v>
      </c>
    </row>
    <row r="27" spans="1:17" ht="36" customHeight="1" x14ac:dyDescent="0.25">
      <c r="A27" s="7"/>
      <c r="B27" s="8"/>
      <c r="C27" s="11" t="s">
        <v>23</v>
      </c>
      <c r="D27" s="35">
        <v>430907</v>
      </c>
      <c r="E27" s="39">
        <f>54328+44986</f>
        <v>99314</v>
      </c>
      <c r="F27" s="40">
        <f>201472+129921</f>
        <v>331393</v>
      </c>
      <c r="G27" s="41">
        <f t="shared" si="2"/>
        <v>430707</v>
      </c>
      <c r="H27" s="15"/>
      <c r="I27" s="73">
        <v>99731.209999999992</v>
      </c>
      <c r="J27" s="73"/>
      <c r="K27" s="73">
        <v>331392.5</v>
      </c>
      <c r="L27" s="75">
        <f t="shared" si="1"/>
        <v>431123.70999999996</v>
      </c>
      <c r="M27" s="15"/>
      <c r="N27" s="26"/>
    </row>
    <row r="28" spans="1:17" ht="28.5" customHeight="1" x14ac:dyDescent="0.25">
      <c r="A28" s="7"/>
      <c r="B28" s="8"/>
      <c r="C28" s="8"/>
      <c r="D28" s="35"/>
      <c r="E28" s="39"/>
      <c r="F28" s="40"/>
      <c r="G28" s="41"/>
      <c r="H28" s="15"/>
      <c r="I28" s="60"/>
      <c r="J28" s="16"/>
      <c r="K28" s="76"/>
      <c r="L28" s="30"/>
      <c r="M28" s="15"/>
      <c r="N28" s="26"/>
    </row>
    <row r="29" spans="1:17" ht="15.75" x14ac:dyDescent="0.25">
      <c r="A29" s="7"/>
      <c r="B29" s="9" t="s">
        <v>24</v>
      </c>
      <c r="C29" s="9"/>
      <c r="D29" s="37">
        <f>SUM(D9:D27)</f>
        <v>6953067</v>
      </c>
      <c r="E29" s="44">
        <f>SUM(E9:E28)</f>
        <v>2400393.0001323</v>
      </c>
      <c r="F29" s="45">
        <f>SUM(F9:F28)</f>
        <v>3712372.1984894001</v>
      </c>
      <c r="G29" s="47">
        <f>SUM(G9:G28)</f>
        <v>6112765.1986216996</v>
      </c>
      <c r="H29" s="13"/>
      <c r="I29" s="61">
        <f>SUM(I9:I28)</f>
        <v>2947491.4</v>
      </c>
      <c r="J29" s="55">
        <f>SUM(J9:J28)</f>
        <v>396243.43000000005</v>
      </c>
      <c r="K29" s="17">
        <f>SUM(K9:K28)</f>
        <v>2907834.2199999988</v>
      </c>
      <c r="L29" s="31">
        <f>I29+K29+J29</f>
        <v>6251569.0499999989</v>
      </c>
      <c r="M29" s="53"/>
      <c r="N29" s="26"/>
    </row>
    <row r="30" spans="1:17" ht="16.5" thickBot="1" x14ac:dyDescent="0.3">
      <c r="A30" s="7"/>
      <c r="B30" s="8"/>
      <c r="C30" s="8"/>
      <c r="D30" s="35"/>
      <c r="E30" s="39"/>
      <c r="F30" s="40"/>
      <c r="G30" s="41"/>
      <c r="H30" s="15"/>
      <c r="I30" s="61"/>
      <c r="J30" s="55"/>
      <c r="K30" s="21"/>
      <c r="L30" s="30"/>
      <c r="M30" s="15"/>
      <c r="N30" s="26"/>
    </row>
    <row r="31" spans="1:17" s="3" customFormat="1" ht="16.5" thickBot="1" x14ac:dyDescent="0.3">
      <c r="A31" s="22"/>
      <c r="B31" s="23" t="s">
        <v>25</v>
      </c>
      <c r="C31" s="23"/>
      <c r="D31" s="38">
        <f>D6+D29</f>
        <v>8779282.3391999993</v>
      </c>
      <c r="E31" s="48">
        <f>E6+E29</f>
        <v>2400393.0001323</v>
      </c>
      <c r="F31" s="49">
        <f>F6+F29</f>
        <v>3712372.1984894001</v>
      </c>
      <c r="G31" s="50">
        <f>G29+G6</f>
        <v>7938980.5378216989</v>
      </c>
      <c r="H31" s="24"/>
      <c r="I31" s="32">
        <f>I6+I29</f>
        <v>3734514.9400000009</v>
      </c>
      <c r="J31" s="56">
        <f>J29+J6</f>
        <v>704730.38000000012</v>
      </c>
      <c r="K31" s="18">
        <f>K6+K29</f>
        <v>3097043.0299999989</v>
      </c>
      <c r="L31" s="33">
        <f>I31+K31+J31</f>
        <v>7536288.3499999996</v>
      </c>
      <c r="M31" s="54"/>
      <c r="N31" s="29"/>
      <c r="Q31" s="1"/>
    </row>
    <row r="32" spans="1:17" x14ac:dyDescent="0.25">
      <c r="A32" s="3"/>
      <c r="B32" s="3"/>
      <c r="C32" s="3"/>
      <c r="D32" s="3"/>
      <c r="E32" s="3"/>
      <c r="F32" s="3"/>
      <c r="G32" s="3"/>
      <c r="H32" s="3"/>
      <c r="I32" s="4"/>
      <c r="J32" s="4"/>
      <c r="K32" s="3"/>
      <c r="L32" s="3"/>
      <c r="M32" s="3"/>
      <c r="Q32" s="3"/>
    </row>
    <row r="33" spans="1:13" x14ac:dyDescent="0.25">
      <c r="A33" s="3"/>
      <c r="B33" s="62" t="s">
        <v>39</v>
      </c>
      <c r="C33" s="62" t="s">
        <v>40</v>
      </c>
      <c r="D33" s="62"/>
      <c r="E33" s="62"/>
      <c r="F33" s="62"/>
      <c r="G33" s="62"/>
      <c r="H33" s="3"/>
      <c r="I33" s="4"/>
      <c r="J33" s="4"/>
      <c r="K33" s="4"/>
      <c r="L33" s="4"/>
      <c r="M33" s="4"/>
    </row>
    <row r="34" spans="1:13" x14ac:dyDescent="0.25">
      <c r="I34" s="70"/>
      <c r="J34" s="70"/>
      <c r="K34" s="70"/>
    </row>
    <row r="35" spans="1:13" x14ac:dyDescent="0.25">
      <c r="I35" s="70"/>
      <c r="J35" s="70"/>
      <c r="K35" s="70"/>
    </row>
    <row r="36" spans="1:13" x14ac:dyDescent="0.25">
      <c r="I36" s="70"/>
      <c r="J36" s="70"/>
      <c r="K36" s="70"/>
    </row>
    <row r="37" spans="1:13" x14ac:dyDescent="0.25">
      <c r="I37" s="70"/>
      <c r="J37" s="70"/>
      <c r="K37" s="70"/>
    </row>
    <row r="38" spans="1:13" x14ac:dyDescent="0.25">
      <c r="I38" s="70"/>
      <c r="J38" s="70"/>
      <c r="K38" s="70"/>
    </row>
    <row r="39" spans="1:13" x14ac:dyDescent="0.25">
      <c r="I39" s="70"/>
      <c r="J39" s="70"/>
      <c r="K39" s="70"/>
    </row>
    <row r="40" spans="1:13" x14ac:dyDescent="0.25">
      <c r="I40" s="70"/>
      <c r="J40" s="70"/>
      <c r="K40" s="70"/>
    </row>
    <row r="41" spans="1:13" x14ac:dyDescent="0.25">
      <c r="I41" s="70"/>
      <c r="J41" s="70"/>
      <c r="K41" s="70"/>
    </row>
    <row r="42" spans="1:13" x14ac:dyDescent="0.25">
      <c r="I42" s="70"/>
      <c r="J42" s="70"/>
      <c r="K42" s="70"/>
    </row>
    <row r="43" spans="1:13" x14ac:dyDescent="0.25">
      <c r="I43" s="70"/>
      <c r="J43" s="70"/>
      <c r="K43" s="70"/>
    </row>
    <row r="44" spans="1:13" x14ac:dyDescent="0.25">
      <c r="I44" s="70"/>
      <c r="J44" s="70"/>
      <c r="K44" s="70"/>
    </row>
    <row r="45" spans="1:13" x14ac:dyDescent="0.25">
      <c r="I45" s="70"/>
      <c r="J45" s="70"/>
      <c r="K45" s="70"/>
    </row>
    <row r="46" spans="1:13" x14ac:dyDescent="0.25">
      <c r="I46" s="70"/>
      <c r="J46" s="70"/>
      <c r="K46" s="70"/>
    </row>
    <row r="47" spans="1:13" x14ac:dyDescent="0.25">
      <c r="I47" s="70"/>
      <c r="J47" s="70"/>
      <c r="K47" s="70"/>
    </row>
    <row r="48" spans="1:13" x14ac:dyDescent="0.25">
      <c r="I48" s="70"/>
      <c r="J48" s="70"/>
      <c r="K48" s="70"/>
    </row>
    <row r="49" spans="9:11" x14ac:dyDescent="0.25">
      <c r="I49" s="70"/>
      <c r="J49" s="70"/>
      <c r="K49" s="70"/>
    </row>
    <row r="50" spans="9:11" x14ac:dyDescent="0.25">
      <c r="I50" s="70"/>
      <c r="J50" s="70"/>
      <c r="K50" s="70"/>
    </row>
    <row r="51" spans="9:11" x14ac:dyDescent="0.25">
      <c r="I51" s="70"/>
      <c r="J51" s="70"/>
      <c r="K51" s="70"/>
    </row>
    <row r="52" spans="9:11" x14ac:dyDescent="0.25">
      <c r="I52" s="70"/>
      <c r="J52" s="70"/>
      <c r="K52" s="70"/>
    </row>
    <row r="53" spans="9:11" x14ac:dyDescent="0.25">
      <c r="I53" s="70"/>
      <c r="J53" s="70"/>
      <c r="K53" s="70"/>
    </row>
    <row r="54" spans="9:11" x14ac:dyDescent="0.25">
      <c r="I54" s="70"/>
      <c r="J54" s="70"/>
      <c r="K54" s="70"/>
    </row>
    <row r="55" spans="9:11" x14ac:dyDescent="0.25">
      <c r="I55" s="70"/>
      <c r="J55" s="70"/>
      <c r="K55" s="70"/>
    </row>
  </sheetData>
  <mergeCells count="9">
    <mergeCell ref="E3:G3"/>
    <mergeCell ref="I3:L3"/>
    <mergeCell ref="A1:L1"/>
    <mergeCell ref="J4:K4"/>
    <mergeCell ref="E4:E5"/>
    <mergeCell ref="F4:F5"/>
    <mergeCell ref="G4:G5"/>
    <mergeCell ref="I4:I5"/>
    <mergeCell ref="L4:L5"/>
  </mergeCells>
  <pageMargins left="0.7" right="0.7" top="0.75" bottom="0.75" header="0.3" footer="0.3"/>
  <pageSetup paperSize="9" scale="46" orientation="landscape" r:id="rId1"/>
  <colBreaks count="1" manualBreakCount="1">
    <brk id="14" max="1048575" man="1"/>
  </colBreaks>
  <ignoredErrors>
    <ignoredError sqref="J31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32" sqref="A32"/>
    </sheetView>
  </sheetViews>
  <sheetFormatPr defaultColWidth="8.85546875" defaultRowHeight="15" x14ac:dyDescent="0.25"/>
  <cols>
    <col min="1" max="1" width="34.7109375" customWidth="1"/>
  </cols>
  <sheetData>
    <row r="1" spans="1:2" x14ac:dyDescent="0.2">
      <c r="A1" s="62" t="s">
        <v>48</v>
      </c>
    </row>
    <row r="3" spans="1:2" x14ac:dyDescent="0.2">
      <c r="A3" s="64" t="s">
        <v>49</v>
      </c>
    </row>
    <row r="4" spans="1:2" x14ac:dyDescent="0.2">
      <c r="A4" s="65" t="s">
        <v>50</v>
      </c>
    </row>
    <row r="6" spans="1:2" x14ac:dyDescent="0.2">
      <c r="A6" t="s">
        <v>51</v>
      </c>
      <c r="B6" s="63">
        <v>1.5081830000000001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1"/>
  <sheetViews>
    <sheetView tabSelected="1" topLeftCell="C1" workbookViewId="0">
      <pane xSplit="1" topLeftCell="D1" activePane="topRight" state="frozen"/>
      <selection activeCell="C4" sqref="C4"/>
      <selection pane="topRight" activeCell="F3" sqref="F3"/>
    </sheetView>
  </sheetViews>
  <sheetFormatPr defaultColWidth="9.140625" defaultRowHeight="15" x14ac:dyDescent="0.25"/>
  <cols>
    <col min="1" max="1" width="3.7109375" style="65" customWidth="1"/>
    <col min="2" max="2" width="9.140625" style="65"/>
    <col min="3" max="3" width="40.140625" style="65" customWidth="1"/>
    <col min="4" max="7" width="18" style="65" customWidth="1"/>
    <col min="8" max="8" width="3.7109375" style="65" customWidth="1"/>
    <col min="9" max="10" width="16.7109375" style="65" customWidth="1"/>
    <col min="11" max="11" width="13.28515625" style="65" bestFit="1" customWidth="1"/>
    <col min="12" max="12" width="16.7109375" style="65" customWidth="1"/>
    <col min="13" max="13" width="3.7109375" style="65" customWidth="1"/>
    <col min="14" max="14" width="46.140625" style="12" customWidth="1"/>
    <col min="15" max="16384" width="9.140625" style="65"/>
  </cols>
  <sheetData>
    <row r="1" spans="1:14" x14ac:dyDescent="0.2">
      <c r="A1" s="71" t="s">
        <v>52</v>
      </c>
    </row>
    <row r="2" spans="1:14" ht="29.1" x14ac:dyDescent="0.35">
      <c r="A2" s="83" t="s">
        <v>53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68"/>
    </row>
    <row r="3" spans="1:14" ht="27" thickBot="1" x14ac:dyDescent="0.35">
      <c r="A3" s="66"/>
      <c r="B3" s="66"/>
      <c r="C3" s="66"/>
      <c r="D3" s="66"/>
      <c r="E3" s="66"/>
      <c r="F3" s="66"/>
      <c r="G3" s="66"/>
      <c r="H3" s="67"/>
      <c r="I3" s="67"/>
      <c r="J3" s="67"/>
      <c r="K3" s="67"/>
      <c r="L3" s="67"/>
      <c r="M3" s="67"/>
    </row>
    <row r="4" spans="1:14" ht="63" customHeight="1" x14ac:dyDescent="0.2">
      <c r="A4" s="5"/>
      <c r="B4" s="6"/>
      <c r="C4" s="6"/>
      <c r="D4" s="51" t="s">
        <v>28</v>
      </c>
      <c r="E4" s="77" t="s">
        <v>26</v>
      </c>
      <c r="F4" s="78"/>
      <c r="G4" s="79"/>
      <c r="H4" s="25"/>
      <c r="I4" s="80" t="s">
        <v>35</v>
      </c>
      <c r="J4" s="81"/>
      <c r="K4" s="81"/>
      <c r="L4" s="82"/>
      <c r="M4" s="25"/>
      <c r="N4" s="27" t="s">
        <v>3</v>
      </c>
    </row>
    <row r="5" spans="1:14" ht="63" customHeight="1" x14ac:dyDescent="0.25">
      <c r="A5" s="7"/>
      <c r="B5" s="8"/>
      <c r="C5" s="8"/>
      <c r="D5" s="34"/>
      <c r="E5" s="86" t="s">
        <v>0</v>
      </c>
      <c r="F5" s="88" t="s">
        <v>1</v>
      </c>
      <c r="G5" s="90" t="s">
        <v>2</v>
      </c>
      <c r="H5" s="8"/>
      <c r="I5" s="92" t="s">
        <v>32</v>
      </c>
      <c r="J5" s="84" t="s">
        <v>1</v>
      </c>
      <c r="K5" s="85"/>
      <c r="L5" s="94" t="s">
        <v>2</v>
      </c>
      <c r="M5" s="52"/>
      <c r="N5" s="26"/>
    </row>
    <row r="6" spans="1:14" ht="15.75" x14ac:dyDescent="0.25">
      <c r="A6" s="7"/>
      <c r="B6" s="8"/>
      <c r="C6" s="8"/>
      <c r="D6" s="34"/>
      <c r="E6" s="87"/>
      <c r="F6" s="89"/>
      <c r="G6" s="91"/>
      <c r="H6" s="8"/>
      <c r="I6" s="93"/>
      <c r="J6" s="59" t="s">
        <v>30</v>
      </c>
      <c r="K6" s="58" t="s">
        <v>31</v>
      </c>
      <c r="L6" s="95"/>
      <c r="M6" s="57"/>
      <c r="N6" s="26"/>
    </row>
    <row r="7" spans="1:14" ht="60" x14ac:dyDescent="0.2">
      <c r="A7" s="7"/>
      <c r="B7" s="9" t="s">
        <v>4</v>
      </c>
      <c r="C7" s="9"/>
      <c r="D7" s="37">
        <f>BVA!D6*'USD xrate'!$B$6</f>
        <v>2754266.9289206732</v>
      </c>
      <c r="E7" s="37"/>
      <c r="F7" s="37"/>
      <c r="G7" s="37">
        <f>BVA!G6*'USD xrate'!$B$6</f>
        <v>2754266.9289206732</v>
      </c>
      <c r="H7" s="37"/>
      <c r="I7" s="37">
        <f>BVA!I6*'USD xrate'!$B$6</f>
        <v>1186975.5236278216</v>
      </c>
      <c r="J7" s="37">
        <f>BVA!J6*'USD xrate'!$B$6</f>
        <v>465254.77371185005</v>
      </c>
      <c r="K7" s="37">
        <f>BVA!K6*'USD xrate'!$B$6</f>
        <v>285361.51069223008</v>
      </c>
      <c r="L7" s="37">
        <f>BVA!L6*'USD xrate'!$B$6</f>
        <v>1937591.8080319015</v>
      </c>
      <c r="M7" s="53"/>
      <c r="N7" s="28" t="s">
        <v>36</v>
      </c>
    </row>
    <row r="8" spans="1:14" ht="15.95" x14ac:dyDescent="0.2">
      <c r="A8" s="7"/>
      <c r="B8" s="10"/>
      <c r="C8" s="10"/>
      <c r="D8" s="37"/>
      <c r="E8" s="37"/>
      <c r="F8" s="37"/>
      <c r="G8" s="37"/>
      <c r="H8" s="37"/>
      <c r="I8" s="37"/>
      <c r="J8" s="37"/>
      <c r="K8" s="37"/>
      <c r="L8" s="37"/>
      <c r="M8" s="15"/>
      <c r="N8" s="26"/>
    </row>
    <row r="9" spans="1:14" ht="15.95" x14ac:dyDescent="0.2">
      <c r="A9" s="7"/>
      <c r="B9" s="9" t="s">
        <v>5</v>
      </c>
      <c r="C9" s="9"/>
      <c r="D9" s="37"/>
      <c r="E9" s="37"/>
      <c r="F9" s="37"/>
      <c r="G9" s="37"/>
      <c r="H9" s="37"/>
      <c r="I9" s="37"/>
      <c r="J9" s="37"/>
      <c r="K9" s="37"/>
      <c r="L9" s="37"/>
      <c r="M9" s="15"/>
      <c r="N9" s="26"/>
    </row>
    <row r="10" spans="1:14" ht="36" customHeight="1" x14ac:dyDescent="0.2">
      <c r="A10" s="7"/>
      <c r="B10" s="8"/>
      <c r="C10" s="11" t="s">
        <v>6</v>
      </c>
      <c r="D10" s="36">
        <f>BVA!D9*'USD xrate'!$B$6</f>
        <v>299244.62176200002</v>
      </c>
      <c r="E10" s="36"/>
      <c r="F10" s="36"/>
      <c r="G10" s="36"/>
      <c r="H10" s="36"/>
      <c r="I10" s="36">
        <f>BVA!I9*'USD xrate'!$B$6</f>
        <v>7183.2946470400002</v>
      </c>
      <c r="J10" s="36">
        <f>BVA!J9*'USD xrate'!$B$6</f>
        <v>53057.606467060003</v>
      </c>
      <c r="K10" s="36">
        <f>BVA!K9*'USD xrate'!$B$6</f>
        <v>27442.762131530002</v>
      </c>
      <c r="L10" s="36">
        <f>BVA!L9*'USD xrate'!$B$6</f>
        <v>87683.663245629999</v>
      </c>
      <c r="M10" s="15"/>
      <c r="N10" s="26" t="s">
        <v>43</v>
      </c>
    </row>
    <row r="11" spans="1:14" ht="36" customHeight="1" x14ac:dyDescent="0.2">
      <c r="A11" s="7"/>
      <c r="B11" s="8"/>
      <c r="C11" s="11" t="s">
        <v>7</v>
      </c>
      <c r="D11" s="36">
        <f>BVA!D10*'USD xrate'!$B$6</f>
        <v>259470.819686</v>
      </c>
      <c r="E11" s="36">
        <f>BVA!E10*'USD xrate'!$B$6</f>
        <v>111905.670417</v>
      </c>
      <c r="F11" s="36">
        <f>BVA!F10*'USD xrate'!$B$6</f>
        <v>141820.48022200001</v>
      </c>
      <c r="G11" s="36">
        <f>BVA!G10*'USD xrate'!$B$6</f>
        <v>253726.150639</v>
      </c>
      <c r="H11" s="36"/>
      <c r="I11" s="36">
        <f>BVA!I10*'USD xrate'!$B$6</f>
        <v>72822.058127290002</v>
      </c>
      <c r="J11" s="36">
        <f>BVA!J10*'USD xrate'!$B$6</f>
        <v>0</v>
      </c>
      <c r="K11" s="36">
        <f>BVA!K10*'USD xrate'!$B$6</f>
        <v>131275.32501332002</v>
      </c>
      <c r="L11" s="36">
        <f>BVA!L10*'USD xrate'!$B$6</f>
        <v>204097.38314061004</v>
      </c>
      <c r="M11" s="15"/>
      <c r="N11" s="26" t="s">
        <v>38</v>
      </c>
    </row>
    <row r="12" spans="1:14" ht="36" customHeight="1" x14ac:dyDescent="0.2">
      <c r="A12" s="7"/>
      <c r="B12" s="8"/>
      <c r="C12" s="11" t="s">
        <v>8</v>
      </c>
      <c r="D12" s="36">
        <f>BVA!D11*'USD xrate'!$B$6</f>
        <v>565568.625</v>
      </c>
      <c r="E12" s="36">
        <f>BVA!E11*'USD xrate'!$B$6</f>
        <v>248334.09375530441</v>
      </c>
      <c r="F12" s="36">
        <f>BVA!F11*'USD xrate'!$B$6</f>
        <v>315199.98907733872</v>
      </c>
      <c r="G12" s="36">
        <f>BVA!G11*'USD xrate'!$B$6</f>
        <v>563534.08283264318</v>
      </c>
      <c r="H12" s="36"/>
      <c r="I12" s="36">
        <f>BVA!I11*'USD xrate'!$B$6</f>
        <v>156890.19951251004</v>
      </c>
      <c r="J12" s="36">
        <f>BVA!J11*'USD xrate'!$B$6</f>
        <v>0</v>
      </c>
      <c r="K12" s="36">
        <f>BVA!K11*'USD xrate'!$B$6</f>
        <v>187226.04876562001</v>
      </c>
      <c r="L12" s="36">
        <f>BVA!L11*'USD xrate'!$B$6</f>
        <v>344116.24827813008</v>
      </c>
      <c r="M12" s="15"/>
      <c r="N12" s="26" t="s">
        <v>38</v>
      </c>
    </row>
    <row r="13" spans="1:14" ht="45" x14ac:dyDescent="0.2">
      <c r="A13" s="7"/>
      <c r="B13" s="8"/>
      <c r="C13" s="11" t="s">
        <v>9</v>
      </c>
      <c r="D13" s="36">
        <f>BVA!D12*'USD xrate'!$B$6</f>
        <v>2723042.5046959999</v>
      </c>
      <c r="E13" s="36">
        <f>BVA!E12*'USD xrate'!$B$6</f>
        <v>659331.20664575824</v>
      </c>
      <c r="F13" s="36">
        <f>BVA!F12*'USD xrate'!$B$6</f>
        <v>1714784.464621</v>
      </c>
      <c r="G13" s="36">
        <f>BVA!G12*'USD xrate'!$B$6</f>
        <v>2374115.6712667583</v>
      </c>
      <c r="H13" s="36"/>
      <c r="I13" s="36">
        <f>BVA!I12*'USD xrate'!$B$6</f>
        <v>771138.59802180994</v>
      </c>
      <c r="J13" s="36">
        <f>BVA!J12*'USD xrate'!$B$6</f>
        <v>0</v>
      </c>
      <c r="K13" s="36">
        <f>BVA!K12*'USD xrate'!$B$6</f>
        <v>2127077.7634502086</v>
      </c>
      <c r="L13" s="36">
        <f>BVA!L12*'USD xrate'!$B$6</f>
        <v>2898216.3614720185</v>
      </c>
      <c r="M13" s="15"/>
      <c r="N13" s="26" t="s">
        <v>45</v>
      </c>
    </row>
    <row r="14" spans="1:14" ht="60" x14ac:dyDescent="0.2">
      <c r="A14" s="7"/>
      <c r="B14" s="8"/>
      <c r="C14" s="11" t="s">
        <v>10</v>
      </c>
      <c r="D14" s="36">
        <f>BVA!D13*'USD xrate'!$B$6</f>
        <v>101459.994959</v>
      </c>
      <c r="E14" s="36">
        <f>BVA!E13*'USD xrate'!$B$6</f>
        <v>192278.25067000001</v>
      </c>
      <c r="F14" s="36">
        <f>BVA!F13*'USD xrate'!$B$6</f>
        <v>68797.275728000008</v>
      </c>
      <c r="G14" s="36">
        <f>BVA!G13*'USD xrate'!$B$6</f>
        <v>261075.52639800002</v>
      </c>
      <c r="H14" s="36"/>
      <c r="I14" s="36">
        <f>BVA!I13*'USD xrate'!$B$6</f>
        <v>0</v>
      </c>
      <c r="J14" s="36">
        <f>BVA!J13*'USD xrate'!$B$6</f>
        <v>0</v>
      </c>
      <c r="K14" s="36">
        <f>BVA!K13*'USD xrate'!$B$6</f>
        <v>0</v>
      </c>
      <c r="L14" s="36">
        <f>BVA!L13*'USD xrate'!$B$6</f>
        <v>0</v>
      </c>
      <c r="M14" s="15"/>
      <c r="N14" s="26" t="s">
        <v>41</v>
      </c>
    </row>
    <row r="15" spans="1:14" ht="36" customHeight="1" x14ac:dyDescent="0.25">
      <c r="A15" s="7"/>
      <c r="B15" s="8"/>
      <c r="C15" s="11" t="s">
        <v>11</v>
      </c>
      <c r="D15" s="36">
        <f>BVA!D14*'USD xrate'!$B$6</f>
        <v>479618.78401300003</v>
      </c>
      <c r="E15" s="36">
        <f>BVA!E14*'USD xrate'!$B$6</f>
        <v>0</v>
      </c>
      <c r="F15" s="36">
        <f>BVA!F14*'USD xrate'!$B$6</f>
        <v>739704.94236300001</v>
      </c>
      <c r="G15" s="36">
        <f>BVA!G14*'USD xrate'!$B$6</f>
        <v>739704.94236300001</v>
      </c>
      <c r="H15" s="36"/>
      <c r="I15" s="36">
        <f>BVA!I14*'USD xrate'!$B$6</f>
        <v>0</v>
      </c>
      <c r="J15" s="36">
        <f>BVA!J14*'USD xrate'!$B$6</f>
        <v>81612.020124230054</v>
      </c>
      <c r="K15" s="36">
        <f>BVA!K14*'USD xrate'!$B$6</f>
        <v>472686.01364408981</v>
      </c>
      <c r="L15" s="36">
        <f>BVA!L14*'USD xrate'!$B$6</f>
        <v>554298.03376831987</v>
      </c>
      <c r="M15" s="15"/>
      <c r="N15" s="26"/>
    </row>
    <row r="16" spans="1:14" ht="48" customHeight="1" x14ac:dyDescent="0.25">
      <c r="A16" s="7"/>
      <c r="B16" s="8"/>
      <c r="C16" s="11" t="s">
        <v>12</v>
      </c>
      <c r="D16" s="36">
        <f>BVA!D15*'USD xrate'!$B$6</f>
        <v>891681.52690699999</v>
      </c>
      <c r="E16" s="36">
        <f>BVA!E15*'USD xrate'!$B$6</f>
        <v>213561.729166</v>
      </c>
      <c r="F16" s="36">
        <f>BVA!F15*'USD xrate'!$B$6</f>
        <v>678121.30592399999</v>
      </c>
      <c r="G16" s="36">
        <f>BVA!G15*'USD xrate'!$B$6</f>
        <v>891683.03509000002</v>
      </c>
      <c r="H16" s="36"/>
      <c r="I16" s="36">
        <f>BVA!I15*'USD xrate'!$B$6</f>
        <v>718587.27350602008</v>
      </c>
      <c r="J16" s="36">
        <f>BVA!J15*'USD xrate'!$B$6</f>
        <v>85094.701226000005</v>
      </c>
      <c r="K16" s="36">
        <f>BVA!K15*'USD xrate'!$B$6</f>
        <v>0</v>
      </c>
      <c r="L16" s="36">
        <f>BVA!L15*'USD xrate'!$B$6</f>
        <v>803681.97473201994</v>
      </c>
      <c r="M16" s="15"/>
      <c r="N16" s="26" t="s">
        <v>42</v>
      </c>
    </row>
    <row r="17" spans="1:17" ht="36" customHeight="1" x14ac:dyDescent="0.25">
      <c r="A17" s="7"/>
      <c r="B17" s="8"/>
      <c r="C17" s="11" t="s">
        <v>13</v>
      </c>
      <c r="D17" s="36">
        <f>BVA!D16*'USD xrate'!$B$6</f>
        <v>0</v>
      </c>
      <c r="E17" s="36">
        <f>BVA!E16*'USD xrate'!$B$6</f>
        <v>0</v>
      </c>
      <c r="F17" s="36">
        <f>BVA!F16*'USD xrate'!$B$6</f>
        <v>65657.238722000009</v>
      </c>
      <c r="G17" s="36">
        <f>BVA!G16*'USD xrate'!$B$6</f>
        <v>65657.238722000009</v>
      </c>
      <c r="H17" s="36"/>
      <c r="I17" s="36">
        <f>BVA!I16*'USD xrate'!$B$6</f>
        <v>0</v>
      </c>
      <c r="J17" s="36">
        <f>BVA!J16*'USD xrate'!$B$6</f>
        <v>0</v>
      </c>
      <c r="K17" s="36">
        <f>BVA!K16*'USD xrate'!$B$6</f>
        <v>65656.529875990003</v>
      </c>
      <c r="L17" s="36">
        <f>BVA!L16*'USD xrate'!$B$6</f>
        <v>65656.529875990003</v>
      </c>
      <c r="M17" s="15"/>
      <c r="N17" s="26"/>
    </row>
    <row r="18" spans="1:17" ht="60" x14ac:dyDescent="0.25">
      <c r="A18" s="7"/>
      <c r="B18" s="8"/>
      <c r="C18" s="11" t="s">
        <v>14</v>
      </c>
      <c r="D18" s="36">
        <f>BVA!D17*'USD xrate'!$B$6</f>
        <v>1120721.738202</v>
      </c>
      <c r="E18" s="36">
        <f>BVA!E17*'USD xrate'!$B$6</f>
        <v>317161.83580200002</v>
      </c>
      <c r="F18" s="36">
        <f>BVA!F17*'USD xrate'!$B$6</f>
        <v>404006.029308</v>
      </c>
      <c r="G18" s="36">
        <f>BVA!G17*'USD xrate'!$B$6</f>
        <v>721167.86511000001</v>
      </c>
      <c r="H18" s="36"/>
      <c r="I18" s="36">
        <f>BVA!I17*'USD xrate'!$B$6</f>
        <v>573281.11089808005</v>
      </c>
      <c r="J18" s="36">
        <f>BVA!J17*'USD xrate'!$B$6</f>
        <v>0</v>
      </c>
      <c r="K18" s="36">
        <f>BVA!K17*'USD xrate'!$B$6</f>
        <v>0</v>
      </c>
      <c r="L18" s="36">
        <f>BVA!L17*'USD xrate'!$B$6</f>
        <v>573281.11089808005</v>
      </c>
      <c r="M18" s="15"/>
      <c r="N18" s="26" t="s">
        <v>46</v>
      </c>
    </row>
    <row r="19" spans="1:17" ht="36" customHeight="1" x14ac:dyDescent="0.25">
      <c r="A19" s="7"/>
      <c r="B19" s="8"/>
      <c r="C19" s="11" t="s">
        <v>15</v>
      </c>
      <c r="D19" s="36">
        <f>BVA!D18*'USD xrate'!$B$6</f>
        <v>300218.90798000002</v>
      </c>
      <c r="E19" s="36">
        <f>BVA!E18*'USD xrate'!$B$6</f>
        <v>291993.27789800003</v>
      </c>
      <c r="F19" s="36">
        <f>BVA!F18*'USD xrate'!$B$6</f>
        <v>0</v>
      </c>
      <c r="G19" s="36">
        <f>BVA!G18*'USD xrate'!$B$6</f>
        <v>291993.27789800003</v>
      </c>
      <c r="H19" s="36"/>
      <c r="I19" s="36">
        <f>BVA!I18*'USD xrate'!$B$6</f>
        <v>546503.29156942002</v>
      </c>
      <c r="J19" s="36">
        <f>BVA!J18*'USD xrate'!$B$6</f>
        <v>0</v>
      </c>
      <c r="K19" s="36">
        <f>BVA!K18*'USD xrate'!$B$6</f>
        <v>1650.6158025200002</v>
      </c>
      <c r="L19" s="36">
        <f>BVA!L18*'USD xrate'!$B$6</f>
        <v>548153.90737193997</v>
      </c>
      <c r="M19" s="15"/>
      <c r="N19" s="26"/>
    </row>
    <row r="20" spans="1:17" ht="36" customHeight="1" x14ac:dyDescent="0.25">
      <c r="A20" s="7"/>
      <c r="B20" s="8"/>
      <c r="C20" s="11" t="s">
        <v>27</v>
      </c>
      <c r="D20" s="36">
        <f>BVA!D19*'USD xrate'!$B$6</f>
        <v>0</v>
      </c>
      <c r="E20" s="36">
        <f>BVA!E19*'USD xrate'!$B$6</f>
        <v>0</v>
      </c>
      <c r="F20" s="36">
        <f>BVA!F19*'USD xrate'!$B$6</f>
        <v>0</v>
      </c>
      <c r="G20" s="36">
        <f>BVA!G19*'USD xrate'!$B$6</f>
        <v>0</v>
      </c>
      <c r="H20" s="36"/>
      <c r="I20" s="36">
        <f>BVA!I19*'USD xrate'!$B$6</f>
        <v>0</v>
      </c>
      <c r="J20" s="36">
        <f>BVA!J19*'USD xrate'!$B$6</f>
        <v>0</v>
      </c>
      <c r="K20" s="36">
        <f>BVA!K19*'USD xrate'!$B$6</f>
        <v>1627.4953571300002</v>
      </c>
      <c r="L20" s="36">
        <f>BVA!L19*'USD xrate'!$B$6</f>
        <v>1627.4953571300002</v>
      </c>
      <c r="M20" s="15"/>
      <c r="N20" s="26"/>
    </row>
    <row r="21" spans="1:17" ht="36" customHeight="1" x14ac:dyDescent="0.25">
      <c r="A21" s="7"/>
      <c r="B21" s="8"/>
      <c r="C21" s="11" t="s">
        <v>16</v>
      </c>
      <c r="D21" s="36">
        <f>BVA!D20*'USD xrate'!$B$6</f>
        <v>608082.79558699997</v>
      </c>
      <c r="E21" s="36">
        <f>BVA!E20*'USD xrate'!$B$6</f>
        <v>284116.03808900004</v>
      </c>
      <c r="F21" s="36">
        <f>BVA!F20*'USD xrate'!$B$6</f>
        <v>0</v>
      </c>
      <c r="G21" s="36">
        <f>BVA!G20*'USD xrate'!$B$6</f>
        <v>284116.03808900004</v>
      </c>
      <c r="H21" s="36"/>
      <c r="I21" s="36">
        <f>BVA!I20*'USD xrate'!$B$6</f>
        <v>0</v>
      </c>
      <c r="J21" s="36">
        <f>BVA!J20*'USD xrate'!$B$6</f>
        <v>377843.27717040002</v>
      </c>
      <c r="K21" s="36">
        <f>BVA!K20*'USD xrate'!$B$6</f>
        <v>17046.992449000001</v>
      </c>
      <c r="L21" s="36">
        <f>BVA!L20*'USD xrate'!$B$6</f>
        <v>394890.26961939997</v>
      </c>
      <c r="M21" s="15"/>
      <c r="N21" s="26"/>
    </row>
    <row r="22" spans="1:17" ht="36.75" customHeight="1" x14ac:dyDescent="0.25">
      <c r="A22" s="7"/>
      <c r="B22" s="8"/>
      <c r="C22" s="11" t="s">
        <v>17</v>
      </c>
      <c r="D22" s="36">
        <f>BVA!D21*'USD xrate'!$B$6</f>
        <v>0</v>
      </c>
      <c r="E22" s="36">
        <f>BVA!E21*'USD xrate'!$B$6</f>
        <v>0</v>
      </c>
      <c r="F22" s="36">
        <f>BVA!F21*'USD xrate'!$B$6</f>
        <v>0</v>
      </c>
      <c r="G22" s="36">
        <f>BVA!G21*'USD xrate'!$B$6</f>
        <v>0</v>
      </c>
      <c r="H22" s="36"/>
      <c r="I22" s="36">
        <f>BVA!I21*'USD xrate'!$B$6</f>
        <v>0</v>
      </c>
      <c r="J22" s="36">
        <f>BVA!J21*'USD xrate'!$B$6</f>
        <v>0</v>
      </c>
      <c r="K22" s="36">
        <f>BVA!K21*'USD xrate'!$B$6</f>
        <v>13415.257621339997</v>
      </c>
      <c r="L22" s="36">
        <f>BVA!L21*'USD xrate'!$B$6</f>
        <v>13415.257621339997</v>
      </c>
      <c r="M22" s="15"/>
      <c r="N22" s="26"/>
    </row>
    <row r="23" spans="1:17" ht="36" customHeight="1" x14ac:dyDescent="0.25">
      <c r="A23" s="7"/>
      <c r="B23" s="8"/>
      <c r="C23" s="11" t="s">
        <v>18</v>
      </c>
      <c r="D23" s="36">
        <f>BVA!D22*'USD xrate'!$B$6</f>
        <v>301636.60000000003</v>
      </c>
      <c r="E23" s="36">
        <f>BVA!E22*'USD xrate'!$B$6</f>
        <v>0</v>
      </c>
      <c r="F23" s="36">
        <f>BVA!F22*'USD xrate'!$B$6</f>
        <v>0</v>
      </c>
      <c r="G23" s="36">
        <f>BVA!G22*'USD xrate'!$B$6</f>
        <v>0</v>
      </c>
      <c r="H23" s="36"/>
      <c r="I23" s="36">
        <f>BVA!I22*'USD xrate'!$B$6</f>
        <v>0</v>
      </c>
      <c r="J23" s="36">
        <f>BVA!J22*'USD xrate'!$B$6</f>
        <v>0</v>
      </c>
      <c r="K23" s="36">
        <f>BVA!K22*'USD xrate'!$B$6</f>
        <v>1764.22722791</v>
      </c>
      <c r="L23" s="36">
        <f>BVA!L22*'USD xrate'!$B$6</f>
        <v>1764.22722791</v>
      </c>
      <c r="M23" s="15"/>
      <c r="N23" s="26" t="s">
        <v>29</v>
      </c>
    </row>
    <row r="24" spans="1:17" ht="36" customHeight="1" x14ac:dyDescent="0.25">
      <c r="A24" s="7"/>
      <c r="B24" s="8"/>
      <c r="C24" s="11" t="s">
        <v>19</v>
      </c>
      <c r="D24" s="36">
        <f>BVA!D23*'USD xrate'!$B$6</f>
        <v>1134146.0750850001</v>
      </c>
      <c r="E24" s="36">
        <f>BVA!E23*'USD xrate'!$B$6</f>
        <v>520350.28229400003</v>
      </c>
      <c r="F24" s="36">
        <f>BVA!F23*'USD xrate'!$B$6</f>
        <v>613371.99336800002</v>
      </c>
      <c r="G24" s="36">
        <f>BVA!G23*'USD xrate'!$B$6</f>
        <v>1133722.2756620001</v>
      </c>
      <c r="H24" s="36"/>
      <c r="I24" s="36">
        <f>BVA!I23*'USD xrate'!$B$6</f>
        <v>723943.04248464003</v>
      </c>
      <c r="J24" s="36">
        <f>BVA!J23*'USD xrate'!$B$6</f>
        <v>0</v>
      </c>
      <c r="K24" s="36">
        <f>BVA!K23*'USD xrate'!$B$6</f>
        <v>646878.67672396998</v>
      </c>
      <c r="L24" s="36">
        <f>BVA!L23*'USD xrate'!$B$6</f>
        <v>1370821.71920861</v>
      </c>
      <c r="M24" s="15"/>
      <c r="N24" s="26" t="s">
        <v>33</v>
      </c>
    </row>
    <row r="25" spans="1:17" ht="60" customHeight="1" x14ac:dyDescent="0.25">
      <c r="A25" s="7"/>
      <c r="B25" s="8"/>
      <c r="C25" s="11" t="s">
        <v>20</v>
      </c>
      <c r="D25" s="36">
        <f>BVA!D24*'USD xrate'!$B$6</f>
        <v>280638.168091</v>
      </c>
      <c r="E25" s="36">
        <f>BVA!E24*'USD xrate'!$B$6</f>
        <v>82310.595408000008</v>
      </c>
      <c r="F25" s="36">
        <f>BVA!F24*'USD xrate'!$B$6</f>
        <v>198327.57268300001</v>
      </c>
      <c r="G25" s="36">
        <f>BVA!G24*'USD xrate'!$B$6</f>
        <v>280638.168091</v>
      </c>
      <c r="H25" s="36"/>
      <c r="I25" s="36">
        <f>BVA!I24*'USD xrate'!$B$6</f>
        <v>378474.22552845016</v>
      </c>
      <c r="J25" s="36">
        <f>BVA!J24*'USD xrate'!$B$6</f>
        <v>0</v>
      </c>
      <c r="K25" s="36">
        <f>BVA!K24*'USD xrate'!$B$6</f>
        <v>176464.95191500001</v>
      </c>
      <c r="L25" s="36">
        <f>BVA!L24*'USD xrate'!$B$6</f>
        <v>554939.1774434502</v>
      </c>
      <c r="M25" s="15"/>
      <c r="N25" s="26" t="s">
        <v>47</v>
      </c>
    </row>
    <row r="26" spans="1:17" ht="36" customHeight="1" x14ac:dyDescent="0.25">
      <c r="A26" s="7"/>
      <c r="B26" s="8"/>
      <c r="C26" s="11" t="s">
        <v>21</v>
      </c>
      <c r="D26" s="36">
        <f>BVA!D25*'USD xrate'!$B$6</f>
        <v>80331.859312000001</v>
      </c>
      <c r="E26" s="36">
        <f>BVA!E25*'USD xrate'!$B$6</f>
        <v>371444.30847747007</v>
      </c>
      <c r="F26" s="36">
        <f>BVA!F25*'USD xrate'!$B$6</f>
        <v>0</v>
      </c>
      <c r="G26" s="36">
        <f>BVA!G25*'USD xrate'!$B$6</f>
        <v>371444.30847747007</v>
      </c>
      <c r="H26" s="36"/>
      <c r="I26" s="36">
        <f>BVA!I25*'USD xrate'!$B$6</f>
        <v>346120.41233950999</v>
      </c>
      <c r="J26" s="36">
        <f>BVA!J25*'USD xrate'!$B$6</f>
        <v>0</v>
      </c>
      <c r="K26" s="36">
        <f>BVA!K25*'USD xrate'!$B$6</f>
        <v>15532.942617130002</v>
      </c>
      <c r="L26" s="36">
        <f>BVA!L25*'USD xrate'!$B$6</f>
        <v>361653.35495664005</v>
      </c>
      <c r="M26" s="15"/>
      <c r="N26" s="26" t="s">
        <v>44</v>
      </c>
    </row>
    <row r="27" spans="1:17" ht="53.25" customHeight="1" x14ac:dyDescent="0.25">
      <c r="A27" s="7"/>
      <c r="B27" s="8"/>
      <c r="C27" s="11" t="s">
        <v>22</v>
      </c>
      <c r="D27" s="36">
        <f>BVA!D26*'USD xrate'!$B$6</f>
        <v>690747.81400000001</v>
      </c>
      <c r="E27" s="36">
        <f>BVA!E26*'USD xrate'!$B$6</f>
        <v>177660.94103400002</v>
      </c>
      <c r="F27" s="36">
        <f>BVA!F26*'USD xrate'!$B$6</f>
        <v>159344.05849900001</v>
      </c>
      <c r="G27" s="36">
        <f>BVA!G26*'USD xrate'!$B$6</f>
        <v>337004.99953299999</v>
      </c>
      <c r="H27" s="36"/>
      <c r="I27" s="36">
        <f>BVA!I26*'USD xrate'!$B$6</f>
        <v>0</v>
      </c>
      <c r="J27" s="36">
        <f>BVA!J26*'USD xrate'!$B$6</f>
        <v>0</v>
      </c>
      <c r="K27" s="36">
        <f>BVA!K26*'USD xrate'!$B$6</f>
        <v>0</v>
      </c>
      <c r="L27" s="36">
        <f>BVA!L26*'USD xrate'!$B$6</f>
        <v>0</v>
      </c>
      <c r="M27" s="15"/>
      <c r="N27" s="26" t="s">
        <v>37</v>
      </c>
    </row>
    <row r="28" spans="1:17" ht="36" customHeight="1" x14ac:dyDescent="0.25">
      <c r="A28" s="7"/>
      <c r="B28" s="8"/>
      <c r="C28" s="11" t="s">
        <v>23</v>
      </c>
      <c r="D28" s="36">
        <f>BVA!D27*'USD xrate'!$B$6</f>
        <v>649886.61198100005</v>
      </c>
      <c r="E28" s="36">
        <f>BVA!E27*'USD xrate'!$B$6</f>
        <v>149783.68646200001</v>
      </c>
      <c r="F28" s="36">
        <f>BVA!F27*'USD xrate'!$B$6</f>
        <v>499801.28891900001</v>
      </c>
      <c r="G28" s="36">
        <f>BVA!G27*'USD xrate'!$B$6</f>
        <v>649584.97538099997</v>
      </c>
      <c r="H28" s="36"/>
      <c r="I28" s="36">
        <f>BVA!I27*'USD xrate'!$B$6</f>
        <v>150412.91549143</v>
      </c>
      <c r="J28" s="36">
        <f>BVA!J27*'USD xrate'!$B$6</f>
        <v>0</v>
      </c>
      <c r="K28" s="36">
        <f>BVA!K27*'USD xrate'!$B$6</f>
        <v>499800.5348275</v>
      </c>
      <c r="L28" s="36">
        <f>BVA!L27*'USD xrate'!$B$6</f>
        <v>650213.45031892997</v>
      </c>
      <c r="M28" s="15"/>
      <c r="N28" s="26"/>
    </row>
    <row r="29" spans="1:17" ht="28.5" customHeight="1" x14ac:dyDescent="0.25">
      <c r="A29" s="7"/>
      <c r="B29" s="8"/>
      <c r="C29" s="8"/>
      <c r="D29" s="37"/>
      <c r="E29" s="37"/>
      <c r="F29" s="37"/>
      <c r="G29" s="37"/>
      <c r="H29" s="37"/>
      <c r="I29" s="37"/>
      <c r="J29" s="37"/>
      <c r="K29" s="37"/>
      <c r="L29" s="37"/>
      <c r="M29" s="15"/>
      <c r="N29" s="26"/>
    </row>
    <row r="30" spans="1:17" ht="15.75" x14ac:dyDescent="0.25">
      <c r="A30" s="7"/>
      <c r="B30" s="9" t="s">
        <v>24</v>
      </c>
      <c r="C30" s="9"/>
      <c r="D30" s="37">
        <f>BVA!D29*'USD xrate'!$B$6</f>
        <v>10486497.447261</v>
      </c>
      <c r="E30" s="37">
        <f>BVA!E29*'USD xrate'!$B$6</f>
        <v>3620231.9161185329</v>
      </c>
      <c r="F30" s="37">
        <f>BVA!F29*'USD xrate'!$B$6</f>
        <v>5598936.6394343395</v>
      </c>
      <c r="G30" s="37">
        <f>BVA!G29*'USD xrate'!$B$6</f>
        <v>9219168.5555528719</v>
      </c>
      <c r="H30" s="37"/>
      <c r="I30" s="37">
        <f>BVA!I29*'USD xrate'!$B$6</f>
        <v>4445356.4221262001</v>
      </c>
      <c r="J30" s="37">
        <f>BVA!J29*'USD xrate'!$B$6</f>
        <v>597607.60498769011</v>
      </c>
      <c r="K30" s="37">
        <f>BVA!K29*'USD xrate'!$B$6</f>
        <v>4385546.137422258</v>
      </c>
      <c r="L30" s="37">
        <f>BVA!L29*'USD xrate'!$B$6</f>
        <v>9428510.1645361483</v>
      </c>
      <c r="M30" s="53"/>
      <c r="N30" s="26"/>
    </row>
    <row r="31" spans="1:17" ht="16.5" thickBot="1" x14ac:dyDescent="0.3">
      <c r="A31" s="7"/>
      <c r="B31" s="8"/>
      <c r="C31" s="8"/>
      <c r="D31" s="37"/>
      <c r="E31" s="37"/>
      <c r="F31" s="37"/>
      <c r="G31" s="37"/>
      <c r="H31" s="37"/>
      <c r="I31" s="37"/>
      <c r="J31" s="37"/>
      <c r="K31" s="37"/>
      <c r="L31" s="37"/>
      <c r="M31" s="15"/>
      <c r="N31" s="26"/>
    </row>
    <row r="32" spans="1:17" s="67" customFormat="1" ht="16.5" thickBot="1" x14ac:dyDescent="0.3">
      <c r="A32" s="22"/>
      <c r="B32" s="23" t="s">
        <v>25</v>
      </c>
      <c r="C32" s="23"/>
      <c r="D32" s="37">
        <f>BVA!D31*'USD xrate'!$B$6</f>
        <v>13240764.376181673</v>
      </c>
      <c r="E32" s="37">
        <f>BVA!E31*'USD xrate'!$B$6</f>
        <v>3620231.9161185329</v>
      </c>
      <c r="F32" s="37">
        <f>BVA!F31*'USD xrate'!$B$6</f>
        <v>5598936.6394343395</v>
      </c>
      <c r="G32" s="37">
        <f>BVA!G31*'USD xrate'!$B$6</f>
        <v>11973435.484473543</v>
      </c>
      <c r="H32" s="37"/>
      <c r="I32" s="37">
        <f>BVA!I31*'USD xrate'!$B$6</f>
        <v>5632331.9457540214</v>
      </c>
      <c r="J32" s="37">
        <f>BVA!J31*'USD xrate'!$B$6</f>
        <v>1062862.3786995402</v>
      </c>
      <c r="K32" s="37">
        <f>BVA!K31*'USD xrate'!$B$6</f>
        <v>4670907.6481144885</v>
      </c>
      <c r="L32" s="37">
        <f>BVA!L31*'USD xrate'!$B$6</f>
        <v>11366101.97256805</v>
      </c>
      <c r="M32" s="54"/>
      <c r="N32" s="29"/>
      <c r="Q32" s="65"/>
    </row>
    <row r="33" spans="1:17" x14ac:dyDescent="0.25">
      <c r="A33" s="67"/>
      <c r="B33" s="67"/>
      <c r="C33" s="67"/>
      <c r="D33" s="67"/>
      <c r="E33" s="67"/>
      <c r="F33" s="67"/>
      <c r="G33" s="67"/>
      <c r="H33" s="67"/>
      <c r="I33" s="69"/>
      <c r="J33" s="69"/>
      <c r="K33" s="67"/>
      <c r="L33" s="67"/>
      <c r="M33" s="67"/>
      <c r="Q33" s="67"/>
    </row>
    <row r="34" spans="1:17" s="12" customFormat="1" x14ac:dyDescent="0.25">
      <c r="A34" s="67"/>
      <c r="B34" s="71" t="s">
        <v>39</v>
      </c>
      <c r="C34" s="71" t="s">
        <v>40</v>
      </c>
      <c r="D34" s="71"/>
      <c r="E34" s="71"/>
      <c r="F34" s="71"/>
      <c r="G34" s="71"/>
      <c r="H34" s="67"/>
      <c r="I34" s="69"/>
      <c r="J34" s="69"/>
      <c r="K34" s="69"/>
      <c r="L34" s="69"/>
      <c r="M34" s="69"/>
      <c r="O34" s="65"/>
      <c r="P34" s="65"/>
      <c r="Q34" s="65"/>
    </row>
    <row r="35" spans="1:17" s="12" customFormat="1" x14ac:dyDescent="0.2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70"/>
      <c r="L35" s="65"/>
      <c r="M35" s="65"/>
      <c r="O35" s="65"/>
      <c r="P35" s="65"/>
      <c r="Q35" s="65"/>
    </row>
    <row r="36" spans="1:17" s="12" customFormat="1" x14ac:dyDescent="0.25">
      <c r="A36" s="65"/>
      <c r="B36" s="65"/>
      <c r="C36" s="65"/>
      <c r="D36" s="65"/>
      <c r="E36" s="65"/>
      <c r="F36" s="65"/>
      <c r="G36" s="65"/>
      <c r="H36" s="65"/>
      <c r="I36" s="70"/>
      <c r="J36" s="70"/>
      <c r="K36" s="65"/>
      <c r="L36" s="65"/>
      <c r="M36" s="65"/>
      <c r="O36" s="65"/>
      <c r="P36" s="65"/>
      <c r="Q36" s="65"/>
    </row>
    <row r="41" spans="1:17" s="12" customFormat="1" x14ac:dyDescent="0.2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70"/>
      <c r="L41" s="65"/>
      <c r="M41" s="65"/>
      <c r="O41" s="65"/>
      <c r="P41" s="65"/>
      <c r="Q41" s="65"/>
    </row>
  </sheetData>
  <mergeCells count="9">
    <mergeCell ref="A2:L2"/>
    <mergeCell ref="E4:G4"/>
    <mergeCell ref="I4:L4"/>
    <mergeCell ref="E5:E6"/>
    <mergeCell ref="F5:F6"/>
    <mergeCell ref="G5:G6"/>
    <mergeCell ref="I5:I6"/>
    <mergeCell ref="J5:K5"/>
    <mergeCell ref="L5:L6"/>
  </mergeCells>
  <pageMargins left="0.7" right="0.7" top="0.75" bottom="0.75" header="0.3" footer="0.3"/>
  <pageSetup paperSize="9" scale="46" orientation="landscape" r:id="rId1"/>
  <colBreaks count="1" manualBreakCount="1">
    <brk id="1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BVA</vt:lpstr>
      <vt:lpstr>USD xrate</vt:lpstr>
      <vt:lpstr>BVA in USD</vt:lpstr>
      <vt:lpstr>BVA!Print_Area</vt:lpstr>
      <vt:lpstr>'BVA in USD'!Print_Area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2016-06-17T11:34:04Z</dcterms:created>
  <dcterms:modified xsi:type="dcterms:W3CDTF">2016-07-12T00:55:43Z</dcterms:modified>
</cp:coreProperties>
</file>