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filterPrivacy="1" showInkAnnotation="0" autoCompressPictures="0"/>
  <bookViews>
    <workbookView xWindow="885" yWindow="405" windowWidth="24240" windowHeight="13665" tabRatio="543"/>
  </bookViews>
  <sheets>
    <sheet name="ALL COUNTRY SUMMARY" sheetId="9" r:id="rId1"/>
    <sheet name="Burundi" sheetId="10" r:id="rId2"/>
    <sheet name="Malawi" sheetId="1" r:id="rId3"/>
    <sheet name="Rwanda" sheetId="7" r:id="rId4"/>
    <sheet name="Liberia" sheetId="8" r:id="rId5"/>
    <sheet name="Zambia" sheetId="13" r:id="rId6"/>
    <sheet name="Sierra Leone" sheetId="11" r:id="rId7"/>
    <sheet name="Zimbabwe" sheetId="12" r:id="rId8"/>
    <sheet name="Sugar Budget" sheetId="2" r:id="rId9"/>
    <sheet name="Vegetable Oil Budget" sheetId="3" r:id="rId10"/>
    <sheet name="Wheat Flour Budget" sheetId="4" r:id="rId11"/>
    <sheet name="Maize Flour Budget" sheetId="5" r:id="rId12"/>
    <sheet name="Salt Budget" sheetId="6" r:id="rId13"/>
  </sheets>
  <externalReferences>
    <externalReference r:id="rId14"/>
  </externalReferences>
  <definedNames>
    <definedName name="Births">[1]Assumptions!$F$3</definedName>
    <definedName name="ConsumerCostMaize">'[1]Cost to Consumer'!$B$6</definedName>
    <definedName name="ConsumerCostOil">'[1]Cost to Consumer'!$C$4</definedName>
    <definedName name="ConsumerCostSalt">'[1]Cost to Consumer'!$B$7</definedName>
    <definedName name="ConsumerCostSugar">'[1]Cost to Consumer'!$C$3</definedName>
    <definedName name="ConsumerCostWheat">'[1]Cost to Consumer'!$B$5</definedName>
    <definedName name="CurrencyConversion">[1]Assumptions!$F$25</definedName>
    <definedName name="DiscountRate">[1]Assumptions!$F$2</definedName>
    <definedName name="GDP">[1]Assumptions!$F$24</definedName>
    <definedName name="IMR">[1]Assumptions!$F$19</definedName>
    <definedName name="MedianMaternalAge">[1]Assumptions!$F$21</definedName>
    <definedName name="MMR">[1]Assumptions!$F$22</definedName>
    <definedName name="PopulationU5">[1]Assumptions!$F$4</definedName>
    <definedName name="PotentialWorkforceFemale">[1]Assumptions!$F$5</definedName>
    <definedName name="PotentialWorkforceMale">[1]Assumptions!$F$6</definedName>
    <definedName name="PotentialWorkforceTotal">[1]Assumptions!$F$7</definedName>
    <definedName name="_xlnm.Print_Area" localSheetId="11">'Maize Flour Budget'!$A$5:$G$79</definedName>
    <definedName name="_xlnm.Print_Area" localSheetId="12">'Salt Budget'!$A$5:$G$79</definedName>
    <definedName name="_xlnm.Print_Area" localSheetId="8">'Sugar Budget'!$A$1:$G$82</definedName>
    <definedName name="_xlnm.Print_Area" localSheetId="9">'Vegetable Oil Budget'!$A$1:$G$79</definedName>
    <definedName name="_xlnm.Print_Area" localSheetId="10">'Wheat Flour Budget'!$A$5:$G$79</definedName>
    <definedName name="ScaledParticipationRateFemale">[1]Assumptions!$F$17</definedName>
    <definedName name="ScaledParticipationRateMale">[1]Assumptions!$F$18</definedName>
    <definedName name="ScaledParticipationRateTotal">[1]Assumptions!$F$16</definedName>
    <definedName name="TGR">[1]Assumptions!$F$23</definedName>
    <definedName name="U5MR">[1]Assumptions!$F$20</definedName>
    <definedName name="ValueAddedFemale">[1]Assumptions!$F$12</definedName>
    <definedName name="ValueAddedHeavy">[1]Assumptions!$F$15</definedName>
    <definedName name="ValueAddedMale">[1]Assumptions!$F$13</definedName>
    <definedName name="ValueAddedManual">[1]Assumptions!$F$14</definedName>
    <definedName name="ValueAddedTotal">[1]Assumptions!$F$11</definedName>
    <definedName name="WorkBeginAge">[1]Assumptions!$F$8</definedName>
    <definedName name="WorkEndAge">[1]Assumptions!$F$9</definedName>
    <definedName name="WorkLife">[1]Assumptions!$F$10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3" i="9" l="1"/>
  <c r="D153" i="9"/>
  <c r="E153" i="9"/>
  <c r="F153" i="9"/>
  <c r="G153" i="9"/>
  <c r="E144" i="9"/>
  <c r="E156" i="9"/>
  <c r="D140" i="9"/>
  <c r="E147" i="9"/>
  <c r="C129" i="9"/>
  <c r="F129" i="9"/>
  <c r="D129" i="9"/>
  <c r="E129" i="9"/>
  <c r="G129" i="9"/>
  <c r="E120" i="9"/>
  <c r="E132" i="9"/>
  <c r="D116" i="9"/>
  <c r="E123" i="9"/>
  <c r="C101" i="9"/>
  <c r="D101" i="9"/>
  <c r="E101" i="9"/>
  <c r="F101" i="9"/>
  <c r="G101" i="9"/>
  <c r="E92" i="9"/>
  <c r="E104" i="9"/>
  <c r="F73" i="9"/>
  <c r="E73" i="9"/>
  <c r="D73" i="9"/>
  <c r="C73" i="9"/>
  <c r="E64" i="9"/>
  <c r="D60" i="9"/>
  <c r="F45" i="9"/>
  <c r="E45" i="9"/>
  <c r="D45" i="9"/>
  <c r="C45" i="9"/>
  <c r="E36" i="9"/>
  <c r="D32" i="9"/>
  <c r="F18" i="9"/>
  <c r="E18" i="9"/>
  <c r="D18" i="9"/>
  <c r="C18" i="9"/>
  <c r="E9" i="9"/>
  <c r="D5" i="9"/>
  <c r="E39" i="9"/>
  <c r="G73" i="9"/>
  <c r="E76" i="9"/>
  <c r="E67" i="9"/>
  <c r="G45" i="9"/>
  <c r="E48" i="9"/>
  <c r="G18" i="9"/>
  <c r="E20" i="9"/>
  <c r="E12" i="9"/>
  <c r="D88" i="9"/>
  <c r="E95" i="9"/>
  <c r="C7" i="10"/>
  <c r="E59" i="10"/>
  <c r="E52" i="10"/>
  <c r="E53" i="10"/>
  <c r="E54" i="10"/>
  <c r="E55" i="10"/>
  <c r="E56" i="10"/>
  <c r="E57" i="10"/>
  <c r="E58" i="10"/>
  <c r="E60" i="10"/>
  <c r="D10" i="10"/>
  <c r="D12" i="10"/>
  <c r="C41" i="10"/>
  <c r="E20" i="10"/>
  <c r="E21" i="10"/>
  <c r="E22" i="10"/>
  <c r="E23" i="10"/>
  <c r="E24" i="10"/>
  <c r="E25" i="10"/>
  <c r="E27" i="10"/>
  <c r="E28" i="10"/>
  <c r="E29" i="10"/>
  <c r="E30" i="10"/>
  <c r="E31" i="10"/>
  <c r="E32" i="10"/>
  <c r="E33" i="10"/>
  <c r="H41" i="10"/>
  <c r="C48" i="10"/>
  <c r="G41" i="10"/>
  <c r="C47" i="10"/>
  <c r="C45" i="10"/>
  <c r="C6" i="10"/>
  <c r="G25" i="10"/>
  <c r="C46" i="10"/>
  <c r="C12" i="8"/>
  <c r="C9" i="8"/>
  <c r="E49" i="8"/>
  <c r="E51" i="8"/>
  <c r="C39" i="8"/>
  <c r="E30" i="8"/>
  <c r="E31" i="8"/>
  <c r="E32" i="8"/>
  <c r="E23" i="8"/>
  <c r="E24" i="8"/>
  <c r="E25" i="8"/>
  <c r="E26" i="8"/>
  <c r="E27" i="8"/>
  <c r="E33" i="8"/>
  <c r="H39" i="8"/>
  <c r="C46" i="8"/>
  <c r="G39" i="8"/>
  <c r="C45" i="8"/>
  <c r="C11" i="8"/>
  <c r="F27" i="8"/>
  <c r="F33" i="8"/>
  <c r="D13" i="8"/>
  <c r="D14" i="8"/>
  <c r="C44" i="8"/>
  <c r="C43" i="8"/>
  <c r="C19" i="5"/>
  <c r="E19" i="5"/>
  <c r="G19" i="5"/>
  <c r="C20" i="5"/>
  <c r="E20" i="5"/>
  <c r="G20" i="5"/>
  <c r="C21" i="5"/>
  <c r="E21" i="5"/>
  <c r="G21" i="5"/>
  <c r="C22" i="5"/>
  <c r="E22" i="5"/>
  <c r="G22" i="5"/>
  <c r="C24" i="5"/>
  <c r="E24" i="5"/>
  <c r="G24" i="5"/>
  <c r="C14" i="5"/>
  <c r="E14" i="5"/>
  <c r="C25" i="5"/>
  <c r="E25" i="5"/>
  <c r="G25" i="5"/>
  <c r="C26" i="5"/>
  <c r="E26" i="5"/>
  <c r="G26" i="5"/>
  <c r="C27" i="5"/>
  <c r="E27" i="5"/>
  <c r="G27" i="5"/>
  <c r="C28" i="5"/>
  <c r="E28" i="5"/>
  <c r="G28" i="5"/>
  <c r="C29" i="5"/>
  <c r="E29" i="5"/>
  <c r="G29" i="5"/>
  <c r="G30" i="5"/>
  <c r="C75" i="5"/>
  <c r="B101" i="5"/>
  <c r="C40" i="5"/>
  <c r="D40" i="5"/>
  <c r="E40" i="5"/>
  <c r="G40" i="5"/>
  <c r="C41" i="5"/>
  <c r="E41" i="5"/>
  <c r="G41" i="5"/>
  <c r="C42" i="5"/>
  <c r="E42" i="5"/>
  <c r="G42" i="5"/>
  <c r="C43" i="5"/>
  <c r="E43" i="5"/>
  <c r="G43" i="5"/>
  <c r="C44" i="5"/>
  <c r="E44" i="5"/>
  <c r="G44" i="5"/>
  <c r="C46" i="5"/>
  <c r="D46" i="5"/>
  <c r="E46" i="5"/>
  <c r="G46" i="5"/>
  <c r="C47" i="5"/>
  <c r="E47" i="5"/>
  <c r="G47" i="5"/>
  <c r="C48" i="5"/>
  <c r="E48" i="5"/>
  <c r="G48" i="5"/>
  <c r="C49" i="5"/>
  <c r="E49" i="5"/>
  <c r="G49" i="5"/>
  <c r="C50" i="5"/>
  <c r="E50" i="5"/>
  <c r="G50" i="5"/>
  <c r="C52" i="5"/>
  <c r="E52" i="5"/>
  <c r="G52" i="5"/>
  <c r="C53" i="5"/>
  <c r="E53" i="5"/>
  <c r="G53" i="5"/>
  <c r="C54" i="5"/>
  <c r="E54" i="5"/>
  <c r="G54" i="5"/>
  <c r="C55" i="5"/>
  <c r="E55" i="5"/>
  <c r="G55" i="5"/>
  <c r="E56" i="5"/>
  <c r="G56" i="5"/>
  <c r="G57" i="5"/>
  <c r="C76" i="5"/>
  <c r="C101" i="5"/>
  <c r="E70" i="5"/>
  <c r="G70" i="5"/>
  <c r="G71" i="5"/>
  <c r="C78" i="5"/>
  <c r="E101" i="5"/>
  <c r="F101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H101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B100" i="5"/>
  <c r="C100" i="5"/>
  <c r="E100" i="5"/>
  <c r="F100" i="5"/>
  <c r="H100" i="5"/>
  <c r="B99" i="5"/>
  <c r="C99" i="5"/>
  <c r="E99" i="5"/>
  <c r="F99" i="5"/>
  <c r="H99" i="5"/>
  <c r="B98" i="5"/>
  <c r="C98" i="5"/>
  <c r="E98" i="5"/>
  <c r="F98" i="5"/>
  <c r="H98" i="5"/>
  <c r="B97" i="5"/>
  <c r="C97" i="5"/>
  <c r="E97" i="5"/>
  <c r="F97" i="5"/>
  <c r="H97" i="5"/>
  <c r="B96" i="5"/>
  <c r="C96" i="5"/>
  <c r="E96" i="5"/>
  <c r="F96" i="5"/>
  <c r="H96" i="5"/>
  <c r="B95" i="5"/>
  <c r="C95" i="5"/>
  <c r="E95" i="5"/>
  <c r="F95" i="5"/>
  <c r="H95" i="5"/>
  <c r="B94" i="5"/>
  <c r="C94" i="5"/>
  <c r="E94" i="5"/>
  <c r="F94" i="5"/>
  <c r="H94" i="5"/>
  <c r="B93" i="5"/>
  <c r="C93" i="5"/>
  <c r="E93" i="5"/>
  <c r="F93" i="5"/>
  <c r="H93" i="5"/>
  <c r="B92" i="5"/>
  <c r="C92" i="5"/>
  <c r="E92" i="5"/>
  <c r="F92" i="5"/>
  <c r="H92" i="5"/>
  <c r="B91" i="5"/>
  <c r="C91" i="5"/>
  <c r="E91" i="5"/>
  <c r="F91" i="5"/>
  <c r="H91" i="5"/>
  <c r="B90" i="5"/>
  <c r="C90" i="5"/>
  <c r="E69" i="5"/>
  <c r="F69" i="5"/>
  <c r="E90" i="5"/>
  <c r="F90" i="5"/>
  <c r="H90" i="5"/>
  <c r="B89" i="5"/>
  <c r="C89" i="5"/>
  <c r="E89" i="5"/>
  <c r="F89" i="5"/>
  <c r="H89" i="5"/>
  <c r="B88" i="5"/>
  <c r="C88" i="5"/>
  <c r="E68" i="5"/>
  <c r="F68" i="5"/>
  <c r="E88" i="5"/>
  <c r="F88" i="5"/>
  <c r="H88" i="5"/>
  <c r="B87" i="5"/>
  <c r="C87" i="5"/>
  <c r="E59" i="5"/>
  <c r="F59" i="5"/>
  <c r="E60" i="5"/>
  <c r="F60" i="5"/>
  <c r="E61" i="5"/>
  <c r="F61" i="5"/>
  <c r="E62" i="5"/>
  <c r="F62" i="5"/>
  <c r="E63" i="5"/>
  <c r="F63" i="5"/>
  <c r="C64" i="5"/>
  <c r="E64" i="5"/>
  <c r="F64" i="5"/>
  <c r="F65" i="5"/>
  <c r="B77" i="5"/>
  <c r="D87" i="5"/>
  <c r="E87" i="5"/>
  <c r="F87" i="5"/>
  <c r="H87" i="5"/>
  <c r="F14" i="5"/>
  <c r="C17" i="5"/>
  <c r="E17" i="5"/>
  <c r="F17" i="5"/>
  <c r="F30" i="5"/>
  <c r="B75" i="5"/>
  <c r="B86" i="5"/>
  <c r="E33" i="5"/>
  <c r="F33" i="5"/>
  <c r="E34" i="5"/>
  <c r="F34" i="5"/>
  <c r="E35" i="5"/>
  <c r="F35" i="5"/>
  <c r="E36" i="5"/>
  <c r="F36" i="5"/>
  <c r="E37" i="5"/>
  <c r="F37" i="5"/>
  <c r="F57" i="5"/>
  <c r="B76" i="5"/>
  <c r="C86" i="5"/>
  <c r="D86" i="5"/>
  <c r="E67" i="5"/>
  <c r="F67" i="5"/>
  <c r="E86" i="5"/>
  <c r="F86" i="5"/>
  <c r="H86" i="5"/>
  <c r="H84" i="5"/>
  <c r="D75" i="5"/>
  <c r="E75" i="5"/>
  <c r="F75" i="5"/>
  <c r="D76" i="5"/>
  <c r="E76" i="5"/>
  <c r="F76" i="5"/>
  <c r="G65" i="5"/>
  <c r="C77" i="5"/>
  <c r="D77" i="5"/>
  <c r="E77" i="5"/>
  <c r="F77" i="5"/>
  <c r="F71" i="5"/>
  <c r="B78" i="5"/>
  <c r="D78" i="5"/>
  <c r="E78" i="5"/>
  <c r="F78" i="5"/>
  <c r="F79" i="5"/>
  <c r="E79" i="5"/>
  <c r="D79" i="5"/>
  <c r="C79" i="5"/>
  <c r="B79" i="5"/>
  <c r="E71" i="5"/>
  <c r="E65" i="5"/>
  <c r="E57" i="5"/>
  <c r="C56" i="5"/>
  <c r="E30" i="5"/>
  <c r="D12" i="1"/>
  <c r="C11" i="1"/>
  <c r="C10" i="1"/>
  <c r="E54" i="1"/>
  <c r="E55" i="1"/>
  <c r="E56" i="1"/>
  <c r="E57" i="1"/>
  <c r="E58" i="1"/>
  <c r="E59" i="1"/>
  <c r="E60" i="1"/>
  <c r="E61" i="1"/>
  <c r="E63" i="1"/>
  <c r="C43" i="1"/>
  <c r="E20" i="1"/>
  <c r="E21" i="1"/>
  <c r="E22" i="1"/>
  <c r="E23" i="1"/>
  <c r="E24" i="1"/>
  <c r="E25" i="1"/>
  <c r="E27" i="1"/>
  <c r="E28" i="1"/>
  <c r="E29" i="1"/>
  <c r="E30" i="1"/>
  <c r="E32" i="1"/>
  <c r="E33" i="1"/>
  <c r="H43" i="1"/>
  <c r="C50" i="1"/>
  <c r="G43" i="1"/>
  <c r="C49" i="1"/>
  <c r="C47" i="1"/>
  <c r="C9" i="1"/>
  <c r="C48" i="1"/>
  <c r="D15" i="7"/>
  <c r="C45" i="7"/>
  <c r="E23" i="7"/>
  <c r="E24" i="7"/>
  <c r="E25" i="7"/>
  <c r="E26" i="7"/>
  <c r="E27" i="7"/>
  <c r="E28" i="7"/>
  <c r="E30" i="7"/>
  <c r="E31" i="7"/>
  <c r="E32" i="7"/>
  <c r="E33" i="7"/>
  <c r="E34" i="7"/>
  <c r="E35" i="7"/>
  <c r="E36" i="7"/>
  <c r="H45" i="7"/>
  <c r="C52" i="7"/>
  <c r="G45" i="7"/>
  <c r="C51" i="7"/>
  <c r="C49" i="7"/>
  <c r="C13" i="7"/>
  <c r="C12" i="7"/>
  <c r="C11" i="7"/>
  <c r="E56" i="7"/>
  <c r="E57" i="7"/>
  <c r="E58" i="7"/>
  <c r="E59" i="7"/>
  <c r="E60" i="7"/>
  <c r="E61" i="7"/>
  <c r="F28" i="7"/>
  <c r="F36" i="7"/>
  <c r="C50" i="7"/>
  <c r="E19" i="6"/>
  <c r="G19" i="6"/>
  <c r="C20" i="6"/>
  <c r="E20" i="6"/>
  <c r="G20" i="6"/>
  <c r="C21" i="6"/>
  <c r="E21" i="6"/>
  <c r="G21" i="6"/>
  <c r="C22" i="6"/>
  <c r="E22" i="6"/>
  <c r="G22" i="6"/>
  <c r="C24" i="6"/>
  <c r="E24" i="6"/>
  <c r="G24" i="6"/>
  <c r="C14" i="6"/>
  <c r="E14" i="6"/>
  <c r="C25" i="6"/>
  <c r="E25" i="6"/>
  <c r="G25" i="6"/>
  <c r="C26" i="6"/>
  <c r="E26" i="6"/>
  <c r="G26" i="6"/>
  <c r="C27" i="6"/>
  <c r="E27" i="6"/>
  <c r="G27" i="6"/>
  <c r="C28" i="6"/>
  <c r="E28" i="6"/>
  <c r="G28" i="6"/>
  <c r="C29" i="6"/>
  <c r="E29" i="6"/>
  <c r="G29" i="6"/>
  <c r="G30" i="6"/>
  <c r="C75" i="6"/>
  <c r="B101" i="6"/>
  <c r="C40" i="6"/>
  <c r="D40" i="6"/>
  <c r="E40" i="6"/>
  <c r="G40" i="6"/>
  <c r="C41" i="6"/>
  <c r="E41" i="6"/>
  <c r="G41" i="6"/>
  <c r="C42" i="6"/>
  <c r="E42" i="6"/>
  <c r="G42" i="6"/>
  <c r="C43" i="6"/>
  <c r="E43" i="6"/>
  <c r="G43" i="6"/>
  <c r="C44" i="6"/>
  <c r="E44" i="6"/>
  <c r="G44" i="6"/>
  <c r="C52" i="6"/>
  <c r="E52" i="6"/>
  <c r="G52" i="6"/>
  <c r="C53" i="6"/>
  <c r="E53" i="6"/>
  <c r="G53" i="6"/>
  <c r="C54" i="6"/>
  <c r="E54" i="6"/>
  <c r="G54" i="6"/>
  <c r="C55" i="6"/>
  <c r="E55" i="6"/>
  <c r="G55" i="6"/>
  <c r="E56" i="6"/>
  <c r="G56" i="6"/>
  <c r="G57" i="6"/>
  <c r="C76" i="6"/>
  <c r="C101" i="6"/>
  <c r="E70" i="6"/>
  <c r="G70" i="6"/>
  <c r="G71" i="6"/>
  <c r="C78" i="6"/>
  <c r="E101" i="6"/>
  <c r="F101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H101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B100" i="6"/>
  <c r="C100" i="6"/>
  <c r="E100" i="6"/>
  <c r="F100" i="6"/>
  <c r="H100" i="6"/>
  <c r="B99" i="6"/>
  <c r="C99" i="6"/>
  <c r="E99" i="6"/>
  <c r="F99" i="6"/>
  <c r="H99" i="6"/>
  <c r="B98" i="6"/>
  <c r="C98" i="6"/>
  <c r="E98" i="6"/>
  <c r="F98" i="6"/>
  <c r="H98" i="6"/>
  <c r="B97" i="6"/>
  <c r="C97" i="6"/>
  <c r="E97" i="6"/>
  <c r="F97" i="6"/>
  <c r="H97" i="6"/>
  <c r="B96" i="6"/>
  <c r="C96" i="6"/>
  <c r="E96" i="6"/>
  <c r="F96" i="6"/>
  <c r="H96" i="6"/>
  <c r="B95" i="6"/>
  <c r="C95" i="6"/>
  <c r="E95" i="6"/>
  <c r="F95" i="6"/>
  <c r="H95" i="6"/>
  <c r="B94" i="6"/>
  <c r="C94" i="6"/>
  <c r="E94" i="6"/>
  <c r="F94" i="6"/>
  <c r="H94" i="6"/>
  <c r="B93" i="6"/>
  <c r="C93" i="6"/>
  <c r="E93" i="6"/>
  <c r="F93" i="6"/>
  <c r="H93" i="6"/>
  <c r="B92" i="6"/>
  <c r="C92" i="6"/>
  <c r="E92" i="6"/>
  <c r="F92" i="6"/>
  <c r="H92" i="6"/>
  <c r="B91" i="6"/>
  <c r="C91" i="6"/>
  <c r="E91" i="6"/>
  <c r="F91" i="6"/>
  <c r="H91" i="6"/>
  <c r="B90" i="6"/>
  <c r="C90" i="6"/>
  <c r="E69" i="6"/>
  <c r="F69" i="6"/>
  <c r="E90" i="6"/>
  <c r="F90" i="6"/>
  <c r="H90" i="6"/>
  <c r="B89" i="6"/>
  <c r="C89" i="6"/>
  <c r="E89" i="6"/>
  <c r="F89" i="6"/>
  <c r="H89" i="6"/>
  <c r="B88" i="6"/>
  <c r="C88" i="6"/>
  <c r="E68" i="6"/>
  <c r="F68" i="6"/>
  <c r="E88" i="6"/>
  <c r="F88" i="6"/>
  <c r="H88" i="6"/>
  <c r="B87" i="6"/>
  <c r="C87" i="6"/>
  <c r="E59" i="6"/>
  <c r="F59" i="6"/>
  <c r="E60" i="6"/>
  <c r="F60" i="6"/>
  <c r="E61" i="6"/>
  <c r="F61" i="6"/>
  <c r="E62" i="6"/>
  <c r="F62" i="6"/>
  <c r="E63" i="6"/>
  <c r="F63" i="6"/>
  <c r="C64" i="6"/>
  <c r="E64" i="6"/>
  <c r="F64" i="6"/>
  <c r="F65" i="6"/>
  <c r="B77" i="6"/>
  <c r="D87" i="6"/>
  <c r="E87" i="6"/>
  <c r="F87" i="6"/>
  <c r="H87" i="6"/>
  <c r="F14" i="6"/>
  <c r="C17" i="6"/>
  <c r="E17" i="6"/>
  <c r="F17" i="6"/>
  <c r="F30" i="6"/>
  <c r="B75" i="6"/>
  <c r="B86" i="6"/>
  <c r="E33" i="6"/>
  <c r="F33" i="6"/>
  <c r="E34" i="6"/>
  <c r="F34" i="6"/>
  <c r="E35" i="6"/>
  <c r="F35" i="6"/>
  <c r="E36" i="6"/>
  <c r="F36" i="6"/>
  <c r="E37" i="6"/>
  <c r="F37" i="6"/>
  <c r="F57" i="6"/>
  <c r="B76" i="6"/>
  <c r="C86" i="6"/>
  <c r="D86" i="6"/>
  <c r="E67" i="6"/>
  <c r="F67" i="6"/>
  <c r="E86" i="6"/>
  <c r="F86" i="6"/>
  <c r="H86" i="6"/>
  <c r="H84" i="6"/>
  <c r="D75" i="6"/>
  <c r="E75" i="6"/>
  <c r="F75" i="6"/>
  <c r="D76" i="6"/>
  <c r="E76" i="6"/>
  <c r="F76" i="6"/>
  <c r="C77" i="6"/>
  <c r="D77" i="6"/>
  <c r="E77" i="6"/>
  <c r="F77" i="6"/>
  <c r="F71" i="6"/>
  <c r="B78" i="6"/>
  <c r="D78" i="6"/>
  <c r="E78" i="6"/>
  <c r="F78" i="6"/>
  <c r="F79" i="6"/>
  <c r="E79" i="6"/>
  <c r="D79" i="6"/>
  <c r="C79" i="6"/>
  <c r="B79" i="6"/>
  <c r="E71" i="6"/>
  <c r="E65" i="6"/>
  <c r="E57" i="6"/>
  <c r="C56" i="6"/>
  <c r="C46" i="6"/>
  <c r="D46" i="6"/>
  <c r="E46" i="6"/>
  <c r="C47" i="6"/>
  <c r="E47" i="6"/>
  <c r="C48" i="6"/>
  <c r="E48" i="6"/>
  <c r="C49" i="6"/>
  <c r="E49" i="6"/>
  <c r="C50" i="6"/>
  <c r="E50" i="6"/>
  <c r="G50" i="6"/>
  <c r="G49" i="6"/>
  <c r="G48" i="6"/>
  <c r="G47" i="6"/>
  <c r="G46" i="6"/>
  <c r="E30" i="6"/>
  <c r="G34" i="11"/>
  <c r="C34" i="11"/>
  <c r="H34" i="11"/>
  <c r="E18" i="11"/>
  <c r="E19" i="11"/>
  <c r="E20" i="11"/>
  <c r="E21" i="11"/>
  <c r="E22" i="11"/>
  <c r="E24" i="11"/>
  <c r="E25" i="11"/>
  <c r="E26" i="11"/>
  <c r="D8" i="11"/>
  <c r="D10" i="11"/>
  <c r="C6" i="11"/>
  <c r="C41" i="11"/>
  <c r="C40" i="11"/>
  <c r="C38" i="11"/>
  <c r="C22" i="2"/>
  <c r="E22" i="2"/>
  <c r="G22" i="2"/>
  <c r="C23" i="2"/>
  <c r="E23" i="2"/>
  <c r="G23" i="2"/>
  <c r="C24" i="2"/>
  <c r="E24" i="2"/>
  <c r="G24" i="2"/>
  <c r="C25" i="2"/>
  <c r="E25" i="2"/>
  <c r="G25" i="2"/>
  <c r="C27" i="2"/>
  <c r="E27" i="2"/>
  <c r="G27" i="2"/>
  <c r="E28" i="2"/>
  <c r="G28" i="2"/>
  <c r="C29" i="2"/>
  <c r="E29" i="2"/>
  <c r="G29" i="2"/>
  <c r="E30" i="2"/>
  <c r="C31" i="2"/>
  <c r="E31" i="2"/>
  <c r="G31" i="2"/>
  <c r="C32" i="2"/>
  <c r="E32" i="2"/>
  <c r="G32" i="2"/>
  <c r="G33" i="2"/>
  <c r="C78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C43" i="2"/>
  <c r="E43" i="2"/>
  <c r="G43" i="2"/>
  <c r="C44" i="2"/>
  <c r="E44" i="2"/>
  <c r="G44" i="2"/>
  <c r="C45" i="2"/>
  <c r="E45" i="2"/>
  <c r="G45" i="2"/>
  <c r="C46" i="2"/>
  <c r="E46" i="2"/>
  <c r="G46" i="2"/>
  <c r="C47" i="2"/>
  <c r="E47" i="2"/>
  <c r="G47" i="2"/>
  <c r="C49" i="2"/>
  <c r="D49" i="2"/>
  <c r="E49" i="2"/>
  <c r="G49" i="2"/>
  <c r="C50" i="2"/>
  <c r="E50" i="2"/>
  <c r="G50" i="2"/>
  <c r="C51" i="2"/>
  <c r="E51" i="2"/>
  <c r="G51" i="2"/>
  <c r="C52" i="2"/>
  <c r="E52" i="2"/>
  <c r="G52" i="2"/>
  <c r="C53" i="2"/>
  <c r="E53" i="2"/>
  <c r="G53" i="2"/>
  <c r="C55" i="2"/>
  <c r="E55" i="2"/>
  <c r="G55" i="2"/>
  <c r="C56" i="2"/>
  <c r="E56" i="2"/>
  <c r="G56" i="2"/>
  <c r="C57" i="2"/>
  <c r="E57" i="2"/>
  <c r="G57" i="2"/>
  <c r="C58" i="2"/>
  <c r="E58" i="2"/>
  <c r="G58" i="2"/>
  <c r="E59" i="2"/>
  <c r="G59" i="2"/>
  <c r="G60" i="2"/>
  <c r="C7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E73" i="2"/>
  <c r="G73" i="2"/>
  <c r="G74" i="2"/>
  <c r="C81" i="2"/>
  <c r="E104" i="2"/>
  <c r="F104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H104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E103" i="2"/>
  <c r="F103" i="2"/>
  <c r="H103" i="2"/>
  <c r="E102" i="2"/>
  <c r="F102" i="2"/>
  <c r="H102" i="2"/>
  <c r="E101" i="2"/>
  <c r="F101" i="2"/>
  <c r="H101" i="2"/>
  <c r="E100" i="2"/>
  <c r="F100" i="2"/>
  <c r="H100" i="2"/>
  <c r="E99" i="2"/>
  <c r="F99" i="2"/>
  <c r="H99" i="2"/>
  <c r="E98" i="2"/>
  <c r="F98" i="2"/>
  <c r="H98" i="2"/>
  <c r="E97" i="2"/>
  <c r="F97" i="2"/>
  <c r="H97" i="2"/>
  <c r="E96" i="2"/>
  <c r="F96" i="2"/>
  <c r="H96" i="2"/>
  <c r="E95" i="2"/>
  <c r="F95" i="2"/>
  <c r="H95" i="2"/>
  <c r="E94" i="2"/>
  <c r="F94" i="2"/>
  <c r="H94" i="2"/>
  <c r="E93" i="2"/>
  <c r="F93" i="2"/>
  <c r="H93" i="2"/>
  <c r="E92" i="2"/>
  <c r="F92" i="2"/>
  <c r="H92" i="2"/>
  <c r="E91" i="2"/>
  <c r="F91" i="2"/>
  <c r="H91" i="2"/>
  <c r="E62" i="2"/>
  <c r="F62" i="2"/>
  <c r="E63" i="2"/>
  <c r="F63" i="2"/>
  <c r="E64" i="2"/>
  <c r="F64" i="2"/>
  <c r="E65" i="2"/>
  <c r="F65" i="2"/>
  <c r="E66" i="2"/>
  <c r="F66" i="2"/>
  <c r="C67" i="2"/>
  <c r="E67" i="2"/>
  <c r="F67" i="2"/>
  <c r="F68" i="2"/>
  <c r="B80" i="2"/>
  <c r="D89" i="2"/>
  <c r="D90" i="2"/>
  <c r="E90" i="2"/>
  <c r="F90" i="2"/>
  <c r="H90" i="2"/>
  <c r="C14" i="2"/>
  <c r="E14" i="2"/>
  <c r="F14" i="2"/>
  <c r="E15" i="2"/>
  <c r="F15" i="2"/>
  <c r="E16" i="2"/>
  <c r="F16" i="2"/>
  <c r="C17" i="2"/>
  <c r="E17" i="2"/>
  <c r="F17" i="2"/>
  <c r="C18" i="2"/>
  <c r="E18" i="2"/>
  <c r="F18" i="2"/>
  <c r="C19" i="2"/>
  <c r="E19" i="2"/>
  <c r="F19" i="2"/>
  <c r="F33" i="2"/>
  <c r="B78" i="2"/>
  <c r="B89" i="2"/>
  <c r="E36" i="2"/>
  <c r="F36" i="2"/>
  <c r="E37" i="2"/>
  <c r="F37" i="2"/>
  <c r="E38" i="2"/>
  <c r="F38" i="2"/>
  <c r="E39" i="2"/>
  <c r="F39" i="2"/>
  <c r="F40" i="2"/>
  <c r="F60" i="2"/>
  <c r="B79" i="2"/>
  <c r="C89" i="2"/>
  <c r="E70" i="2"/>
  <c r="E89" i="2"/>
  <c r="F89" i="2"/>
  <c r="H89" i="2"/>
  <c r="H87" i="2"/>
  <c r="D78" i="2"/>
  <c r="E78" i="2"/>
  <c r="F78" i="2"/>
  <c r="D79" i="2"/>
  <c r="E79" i="2"/>
  <c r="F79" i="2"/>
  <c r="D80" i="2"/>
  <c r="E80" i="2"/>
  <c r="F80" i="2"/>
  <c r="F70" i="2"/>
  <c r="E71" i="2"/>
  <c r="F71" i="2"/>
  <c r="E72" i="2"/>
  <c r="F72" i="2"/>
  <c r="F74" i="2"/>
  <c r="B81" i="2"/>
  <c r="D81" i="2"/>
  <c r="E81" i="2"/>
  <c r="F81" i="2"/>
  <c r="F82" i="2"/>
  <c r="E82" i="2"/>
  <c r="D82" i="2"/>
  <c r="C82" i="2"/>
  <c r="B82" i="2"/>
  <c r="E74" i="2"/>
  <c r="E68" i="2"/>
  <c r="E60" i="2"/>
  <c r="C59" i="2"/>
  <c r="E33" i="2"/>
  <c r="E43" i="3"/>
  <c r="E42" i="3"/>
  <c r="E41" i="3"/>
  <c r="E40" i="3"/>
  <c r="C44" i="3"/>
  <c r="C46" i="3"/>
  <c r="C19" i="3"/>
  <c r="E19" i="3"/>
  <c r="G19" i="3"/>
  <c r="C20" i="3"/>
  <c r="E20" i="3"/>
  <c r="G20" i="3"/>
  <c r="C21" i="3"/>
  <c r="E21" i="3"/>
  <c r="G21" i="3"/>
  <c r="C22" i="3"/>
  <c r="E22" i="3"/>
  <c r="G22" i="3"/>
  <c r="C24" i="3"/>
  <c r="E24" i="3"/>
  <c r="G24" i="3"/>
  <c r="E14" i="3"/>
  <c r="C25" i="3"/>
  <c r="E25" i="3"/>
  <c r="G25" i="3"/>
  <c r="C26" i="3"/>
  <c r="E26" i="3"/>
  <c r="G26" i="3"/>
  <c r="C27" i="3"/>
  <c r="E27" i="3"/>
  <c r="G27" i="3"/>
  <c r="C28" i="3"/>
  <c r="E28" i="3"/>
  <c r="G28" i="3"/>
  <c r="C29" i="3"/>
  <c r="E29" i="3"/>
  <c r="G29" i="3"/>
  <c r="G30" i="3"/>
  <c r="C75" i="3"/>
  <c r="B101" i="3"/>
  <c r="G40" i="3"/>
  <c r="G41" i="3"/>
  <c r="G42" i="3"/>
  <c r="G43" i="3"/>
  <c r="E44" i="3"/>
  <c r="G44" i="3"/>
  <c r="D46" i="3"/>
  <c r="E46" i="3"/>
  <c r="G46" i="3"/>
  <c r="C47" i="3"/>
  <c r="E47" i="3"/>
  <c r="G47" i="3"/>
  <c r="C48" i="3"/>
  <c r="E48" i="3"/>
  <c r="G48" i="3"/>
  <c r="C49" i="3"/>
  <c r="E49" i="3"/>
  <c r="G49" i="3"/>
  <c r="C50" i="3"/>
  <c r="E50" i="3"/>
  <c r="G50" i="3"/>
  <c r="C52" i="3"/>
  <c r="E52" i="3"/>
  <c r="G52" i="3"/>
  <c r="C53" i="3"/>
  <c r="E53" i="3"/>
  <c r="G53" i="3"/>
  <c r="C54" i="3"/>
  <c r="E54" i="3"/>
  <c r="G54" i="3"/>
  <c r="C55" i="3"/>
  <c r="E55" i="3"/>
  <c r="G55" i="3"/>
  <c r="C56" i="3"/>
  <c r="E56" i="3"/>
  <c r="G56" i="3"/>
  <c r="G57" i="3"/>
  <c r="C76" i="3"/>
  <c r="C101" i="3"/>
  <c r="E70" i="3"/>
  <c r="G70" i="3"/>
  <c r="G71" i="3"/>
  <c r="C78" i="3"/>
  <c r="E101" i="3"/>
  <c r="F101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H101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B100" i="3"/>
  <c r="C100" i="3"/>
  <c r="E100" i="3"/>
  <c r="F100" i="3"/>
  <c r="H100" i="3"/>
  <c r="B99" i="3"/>
  <c r="C99" i="3"/>
  <c r="E99" i="3"/>
  <c r="F99" i="3"/>
  <c r="H99" i="3"/>
  <c r="B98" i="3"/>
  <c r="C98" i="3"/>
  <c r="E98" i="3"/>
  <c r="F98" i="3"/>
  <c r="H98" i="3"/>
  <c r="B97" i="3"/>
  <c r="C97" i="3"/>
  <c r="E97" i="3"/>
  <c r="F97" i="3"/>
  <c r="H97" i="3"/>
  <c r="B96" i="3"/>
  <c r="C96" i="3"/>
  <c r="E96" i="3"/>
  <c r="F96" i="3"/>
  <c r="H96" i="3"/>
  <c r="B95" i="3"/>
  <c r="C95" i="3"/>
  <c r="E95" i="3"/>
  <c r="F95" i="3"/>
  <c r="H95" i="3"/>
  <c r="B94" i="3"/>
  <c r="C94" i="3"/>
  <c r="E94" i="3"/>
  <c r="F94" i="3"/>
  <c r="H94" i="3"/>
  <c r="B93" i="3"/>
  <c r="C93" i="3"/>
  <c r="E93" i="3"/>
  <c r="F93" i="3"/>
  <c r="H93" i="3"/>
  <c r="B92" i="3"/>
  <c r="C92" i="3"/>
  <c r="E92" i="3"/>
  <c r="F92" i="3"/>
  <c r="H92" i="3"/>
  <c r="B91" i="3"/>
  <c r="C91" i="3"/>
  <c r="E91" i="3"/>
  <c r="F91" i="3"/>
  <c r="H91" i="3"/>
  <c r="B90" i="3"/>
  <c r="C90" i="3"/>
  <c r="E69" i="3"/>
  <c r="F69" i="3"/>
  <c r="E90" i="3"/>
  <c r="F90" i="3"/>
  <c r="H90" i="3"/>
  <c r="B89" i="3"/>
  <c r="C89" i="3"/>
  <c r="E89" i="3"/>
  <c r="F89" i="3"/>
  <c r="H89" i="3"/>
  <c r="B88" i="3"/>
  <c r="C88" i="3"/>
  <c r="E68" i="3"/>
  <c r="F68" i="3"/>
  <c r="E88" i="3"/>
  <c r="F88" i="3"/>
  <c r="H88" i="3"/>
  <c r="B87" i="3"/>
  <c r="C87" i="3"/>
  <c r="E59" i="3"/>
  <c r="F59" i="3"/>
  <c r="E60" i="3"/>
  <c r="F60" i="3"/>
  <c r="E61" i="3"/>
  <c r="F61" i="3"/>
  <c r="E62" i="3"/>
  <c r="F62" i="3"/>
  <c r="E63" i="3"/>
  <c r="F63" i="3"/>
  <c r="C64" i="3"/>
  <c r="E64" i="3"/>
  <c r="F64" i="3"/>
  <c r="F65" i="3"/>
  <c r="B77" i="3"/>
  <c r="D87" i="3"/>
  <c r="E87" i="3"/>
  <c r="F87" i="3"/>
  <c r="H87" i="3"/>
  <c r="F14" i="3"/>
  <c r="E15" i="3"/>
  <c r="F15" i="3"/>
  <c r="E16" i="3"/>
  <c r="F16" i="3"/>
  <c r="E17" i="3"/>
  <c r="F17" i="3"/>
  <c r="F30" i="3"/>
  <c r="B75" i="3"/>
  <c r="B86" i="3"/>
  <c r="E33" i="3"/>
  <c r="F33" i="3"/>
  <c r="E34" i="3"/>
  <c r="F34" i="3"/>
  <c r="E35" i="3"/>
  <c r="F35" i="3"/>
  <c r="E36" i="3"/>
  <c r="F36" i="3"/>
  <c r="E37" i="3"/>
  <c r="F37" i="3"/>
  <c r="F57" i="3"/>
  <c r="B76" i="3"/>
  <c r="C86" i="3"/>
  <c r="D86" i="3"/>
  <c r="E67" i="3"/>
  <c r="F67" i="3"/>
  <c r="E86" i="3"/>
  <c r="F86" i="3"/>
  <c r="H86" i="3"/>
  <c r="H84" i="3"/>
  <c r="D75" i="3"/>
  <c r="E75" i="3"/>
  <c r="F75" i="3"/>
  <c r="D76" i="3"/>
  <c r="E76" i="3"/>
  <c r="F76" i="3"/>
  <c r="G65" i="3"/>
  <c r="C77" i="3"/>
  <c r="D77" i="3"/>
  <c r="E77" i="3"/>
  <c r="F77" i="3"/>
  <c r="F71" i="3"/>
  <c r="B78" i="3"/>
  <c r="D78" i="3"/>
  <c r="E78" i="3"/>
  <c r="F78" i="3"/>
  <c r="F79" i="3"/>
  <c r="E79" i="3"/>
  <c r="D79" i="3"/>
  <c r="C79" i="3"/>
  <c r="B79" i="3"/>
  <c r="E71" i="3"/>
  <c r="E65" i="3"/>
  <c r="E57" i="3"/>
  <c r="E30" i="3"/>
  <c r="C14" i="4"/>
  <c r="E14" i="4"/>
  <c r="F14" i="4"/>
  <c r="C17" i="4"/>
  <c r="E17" i="4"/>
  <c r="F17" i="4"/>
  <c r="C19" i="4"/>
  <c r="E19" i="4"/>
  <c r="G19" i="4"/>
  <c r="C20" i="4"/>
  <c r="E20" i="4"/>
  <c r="G20" i="4"/>
  <c r="C21" i="4"/>
  <c r="E21" i="4"/>
  <c r="G21" i="4"/>
  <c r="C22" i="4"/>
  <c r="E22" i="4"/>
  <c r="G22" i="4"/>
  <c r="C24" i="4"/>
  <c r="E24" i="4"/>
  <c r="G24" i="4"/>
  <c r="C25" i="4"/>
  <c r="E25" i="4"/>
  <c r="G25" i="4"/>
  <c r="C26" i="4"/>
  <c r="E26" i="4"/>
  <c r="G26" i="4"/>
  <c r="C27" i="4"/>
  <c r="E27" i="4"/>
  <c r="G27" i="4"/>
  <c r="C28" i="4"/>
  <c r="E28" i="4"/>
  <c r="G28" i="4"/>
  <c r="C29" i="4"/>
  <c r="E29" i="4"/>
  <c r="G29" i="4"/>
  <c r="E30" i="4"/>
  <c r="F30" i="4"/>
  <c r="G30" i="4"/>
  <c r="E33" i="4"/>
  <c r="F33" i="4"/>
  <c r="E34" i="4"/>
  <c r="F34" i="4"/>
  <c r="E35" i="4"/>
  <c r="F35" i="4"/>
  <c r="E36" i="4"/>
  <c r="F36" i="4"/>
  <c r="E37" i="4"/>
  <c r="F37" i="4"/>
  <c r="C40" i="4"/>
  <c r="D40" i="4"/>
  <c r="E40" i="4"/>
  <c r="G40" i="4"/>
  <c r="C41" i="4"/>
  <c r="E41" i="4"/>
  <c r="G41" i="4"/>
  <c r="C42" i="4"/>
  <c r="E42" i="4"/>
  <c r="G42" i="4"/>
  <c r="C43" i="4"/>
  <c r="E43" i="4"/>
  <c r="G43" i="4"/>
  <c r="C44" i="4"/>
  <c r="E44" i="4"/>
  <c r="G44" i="4"/>
  <c r="C46" i="4"/>
  <c r="D46" i="4"/>
  <c r="E46" i="4"/>
  <c r="G46" i="4"/>
  <c r="C47" i="4"/>
  <c r="E47" i="4"/>
  <c r="G47" i="4"/>
  <c r="C48" i="4"/>
  <c r="E48" i="4"/>
  <c r="G48" i="4"/>
  <c r="C49" i="4"/>
  <c r="E49" i="4"/>
  <c r="G49" i="4"/>
  <c r="C50" i="4"/>
  <c r="E50" i="4"/>
  <c r="G50" i="4"/>
  <c r="C52" i="4"/>
  <c r="E52" i="4"/>
  <c r="G52" i="4"/>
  <c r="C53" i="4"/>
  <c r="E53" i="4"/>
  <c r="G53" i="4"/>
  <c r="C54" i="4"/>
  <c r="E54" i="4"/>
  <c r="G54" i="4"/>
  <c r="C55" i="4"/>
  <c r="E55" i="4"/>
  <c r="G55" i="4"/>
  <c r="C56" i="4"/>
  <c r="E56" i="4"/>
  <c r="G56" i="4"/>
  <c r="E57" i="4"/>
  <c r="F57" i="4"/>
  <c r="G57" i="4"/>
  <c r="E59" i="4"/>
  <c r="F59" i="4"/>
  <c r="E60" i="4"/>
  <c r="F60" i="4"/>
  <c r="E61" i="4"/>
  <c r="F61" i="4"/>
  <c r="E62" i="4"/>
  <c r="F62" i="4"/>
  <c r="E63" i="4"/>
  <c r="F63" i="4"/>
  <c r="C64" i="4"/>
  <c r="E64" i="4"/>
  <c r="F64" i="4"/>
  <c r="E65" i="4"/>
  <c r="F65" i="4"/>
  <c r="G65" i="4"/>
  <c r="E67" i="4"/>
  <c r="F67" i="4"/>
  <c r="E68" i="4"/>
  <c r="F68" i="4"/>
  <c r="E69" i="4"/>
  <c r="F69" i="4"/>
  <c r="E70" i="4"/>
  <c r="G70" i="4"/>
  <c r="E71" i="4"/>
  <c r="F71" i="4"/>
  <c r="G71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6" i="4"/>
  <c r="C86" i="4"/>
  <c r="D86" i="4"/>
  <c r="E86" i="4"/>
  <c r="F86" i="4"/>
  <c r="H86" i="4"/>
  <c r="B87" i="4"/>
  <c r="C87" i="4"/>
  <c r="D87" i="4"/>
  <c r="E87" i="4"/>
  <c r="F87" i="4"/>
  <c r="G87" i="4"/>
  <c r="H87" i="4"/>
  <c r="B88" i="4"/>
  <c r="C88" i="4"/>
  <c r="E88" i="4"/>
  <c r="F88" i="4"/>
  <c r="G88" i="4"/>
  <c r="H88" i="4"/>
  <c r="B89" i="4"/>
  <c r="C89" i="4"/>
  <c r="E89" i="4"/>
  <c r="F89" i="4"/>
  <c r="G89" i="4"/>
  <c r="H89" i="4"/>
  <c r="B90" i="4"/>
  <c r="C90" i="4"/>
  <c r="E90" i="4"/>
  <c r="F90" i="4"/>
  <c r="G90" i="4"/>
  <c r="H90" i="4"/>
  <c r="B91" i="4"/>
  <c r="C91" i="4"/>
  <c r="E91" i="4"/>
  <c r="F91" i="4"/>
  <c r="G91" i="4"/>
  <c r="H91" i="4"/>
  <c r="B92" i="4"/>
  <c r="C92" i="4"/>
  <c r="E92" i="4"/>
  <c r="F92" i="4"/>
  <c r="G92" i="4"/>
  <c r="H92" i="4"/>
  <c r="B93" i="4"/>
  <c r="C93" i="4"/>
  <c r="E93" i="4"/>
  <c r="F93" i="4"/>
  <c r="G93" i="4"/>
  <c r="H93" i="4"/>
  <c r="B94" i="4"/>
  <c r="C94" i="4"/>
  <c r="E94" i="4"/>
  <c r="F94" i="4"/>
  <c r="G94" i="4"/>
  <c r="H94" i="4"/>
  <c r="B95" i="4"/>
  <c r="C95" i="4"/>
  <c r="E95" i="4"/>
  <c r="F95" i="4"/>
  <c r="G95" i="4"/>
  <c r="H95" i="4"/>
  <c r="B96" i="4"/>
  <c r="C96" i="4"/>
  <c r="E96" i="4"/>
  <c r="F96" i="4"/>
  <c r="G96" i="4"/>
  <c r="H96" i="4"/>
  <c r="B97" i="4"/>
  <c r="C97" i="4"/>
  <c r="E97" i="4"/>
  <c r="F97" i="4"/>
  <c r="G97" i="4"/>
  <c r="H97" i="4"/>
  <c r="B98" i="4"/>
  <c r="C98" i="4"/>
  <c r="E98" i="4"/>
  <c r="F98" i="4"/>
  <c r="G98" i="4"/>
  <c r="H98" i="4"/>
  <c r="B99" i="4"/>
  <c r="C99" i="4"/>
  <c r="E99" i="4"/>
  <c r="F99" i="4"/>
  <c r="G99" i="4"/>
  <c r="H99" i="4"/>
  <c r="B100" i="4"/>
  <c r="C100" i="4"/>
  <c r="E100" i="4"/>
  <c r="F100" i="4"/>
  <c r="G100" i="4"/>
  <c r="H100" i="4"/>
  <c r="B101" i="4"/>
  <c r="C101" i="4"/>
  <c r="E101" i="4"/>
  <c r="F101" i="4"/>
  <c r="G101" i="4"/>
  <c r="H101" i="4"/>
  <c r="H84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H39" i="13"/>
  <c r="E18" i="13"/>
  <c r="E19" i="13"/>
  <c r="E20" i="13"/>
  <c r="E21" i="13"/>
  <c r="E22" i="13"/>
  <c r="E23" i="13"/>
  <c r="E25" i="13"/>
  <c r="E26" i="13"/>
  <c r="E27" i="13"/>
  <c r="E28" i="13"/>
  <c r="E29" i="13"/>
  <c r="E30" i="13"/>
  <c r="E31" i="13"/>
  <c r="C46" i="13"/>
  <c r="C45" i="13"/>
  <c r="D8" i="13"/>
  <c r="D10" i="13"/>
  <c r="C43" i="13"/>
  <c r="C6" i="13"/>
  <c r="C7" i="12"/>
  <c r="G39" i="12"/>
  <c r="E51" i="12"/>
  <c r="E53" i="12"/>
  <c r="C39" i="12"/>
  <c r="H39" i="12"/>
  <c r="D8" i="12"/>
  <c r="E18" i="12"/>
  <c r="E19" i="12"/>
  <c r="E20" i="12"/>
  <c r="E21" i="12"/>
  <c r="E22" i="12"/>
  <c r="E23" i="12"/>
  <c r="E25" i="12"/>
  <c r="E26" i="12"/>
  <c r="E27" i="12"/>
  <c r="E28" i="12"/>
  <c r="E29" i="12"/>
  <c r="E30" i="12"/>
  <c r="E31" i="12"/>
  <c r="D10" i="12"/>
  <c r="C46" i="12"/>
  <c r="C45" i="12"/>
  <c r="C43" i="12"/>
</calcChain>
</file>

<file path=xl/sharedStrings.xml><?xml version="1.0" encoding="utf-8"?>
<sst xmlns="http://schemas.openxmlformats.org/spreadsheetml/2006/main" count="1236" uniqueCount="326">
  <si>
    <t>fraction of costs above (12.5%, excluding taxes)</t>
    <phoneticPr fontId="5" type="noConversion"/>
  </si>
  <si>
    <t>Initial Inspector Training*</t>
  </si>
  <si>
    <t>Lab analysis</t>
  </si>
  <si>
    <t>Inpector days to conduct market sweeps (1 market/day)</t>
    <phoneticPr fontId="5" type="noConversion"/>
  </si>
  <si>
    <t>Tests</t>
    <phoneticPr fontId="5" type="noConversion"/>
  </si>
  <si>
    <t>Fraction of samples (5%)</t>
    <phoneticPr fontId="5" type="noConversion"/>
  </si>
  <si>
    <t>Fraction of other market monitoring costs (10%)</t>
    <phoneticPr fontId="5" type="noConversion"/>
  </si>
  <si>
    <t>NPV Calculation</t>
    <phoneticPr fontId="5" type="noConversion"/>
  </si>
  <si>
    <t>Total annual production (MT)</t>
  </si>
  <si>
    <t>Units (Assumptions)</t>
    <phoneticPr fontId="5" type="noConversion"/>
  </si>
  <si>
    <t>Plant Reconfiguration</t>
    <phoneticPr fontId="5" type="noConversion"/>
  </si>
  <si>
    <t>Domestic Storage &amp; Distribution to Mills</t>
  </si>
  <si>
    <t xml:space="preserve">Maintenance (new feeders &amp; spare parts) </t>
  </si>
  <si>
    <t>feeder value (5%)</t>
    <phoneticPr fontId="5" type="noConversion"/>
  </si>
  <si>
    <t>Quality Assurance:
Spot Tests Reagents &amp; labor</t>
    <phoneticPr fontId="5" type="noConversion"/>
  </si>
  <si>
    <t>fraction of other mill process costs (3%)</t>
    <phoneticPr fontId="5" type="noConversion"/>
  </si>
  <si>
    <t>Initial Inspector Training*</t>
    <phoneticPr fontId="5" type="noConversion"/>
  </si>
  <si>
    <t>Days for inspections (1/2 day per mill)</t>
    <phoneticPr fontId="5" type="noConversion"/>
  </si>
  <si>
    <t>Tests (4 per mill inspection)</t>
    <phoneticPr fontId="5" type="noConversion"/>
  </si>
  <si>
    <t>Samples Sent for Quant Tests (4 per mill inspection)</t>
    <phoneticPr fontId="5" type="noConversion"/>
  </si>
  <si>
    <t>Fraction of other mill inspection costs (10%)</t>
    <phoneticPr fontId="5" type="noConversion"/>
  </si>
  <si>
    <t>~25/iron, 30/Vit A</t>
    <phoneticPr fontId="5" type="noConversion"/>
  </si>
  <si>
    <t>Total annual production (MT; from FAO food balance 2007)</t>
    <phoneticPr fontId="5" type="noConversion"/>
  </si>
  <si>
    <t>Total annual imports (MT; from MRA records 2009-2010)</t>
    <phoneticPr fontId="5" type="noConversion"/>
  </si>
  <si>
    <t>Approximate # of imports (MRA data 2009-2010)</t>
    <phoneticPr fontId="5" type="noConversion"/>
  </si>
  <si>
    <t>Premix addition rate (g/MT; based on ECSA level of 45g, formulator min of 1kg/MT)</t>
    <phoneticPr fontId="5" type="noConversion"/>
  </si>
  <si>
    <t>20 kg bags</t>
    <phoneticPr fontId="5" type="noConversion"/>
  </si>
  <si>
    <t>Import Monitoring</t>
    <phoneticPr fontId="5" type="noConversion"/>
  </si>
  <si>
    <t>Days for inspections (1/2 day per import)</t>
    <phoneticPr fontId="5" type="noConversion"/>
  </si>
  <si>
    <t>Mileage reimbursement (50km avg)</t>
    <phoneticPr fontId="5" type="noConversion"/>
  </si>
  <si>
    <t>Tests (10 per shipment inspection)</t>
    <phoneticPr fontId="5" type="noConversion"/>
  </si>
  <si>
    <t>Lab analysis</t>
    <phoneticPr fontId="5" type="noConversion"/>
  </si>
  <si>
    <t>Samples Sent for Quant Tests (3 per inspection)</t>
    <phoneticPr fontId="5" type="noConversion"/>
  </si>
  <si>
    <t>Fraction of other import inspection costs (10%)</t>
    <phoneticPr fontId="5" type="noConversion"/>
  </si>
  <si>
    <t>Monitoring in Market</t>
  </si>
  <si>
    <t>Inpector days to conduct market sweeps (1 market/day)</t>
  </si>
  <si>
    <t>Tests</t>
  </si>
  <si>
    <t>Fraction of samples (5%)</t>
  </si>
  <si>
    <t>Fraction of other market monitoring costs (10%)</t>
  </si>
  <si>
    <t>Social Marketing (Over 2 Years)</t>
  </si>
  <si>
    <t xml:space="preserve">Development Creative &amp; Pretest </t>
  </si>
  <si>
    <t>Lump Sum</t>
  </si>
  <si>
    <t>*Social marketing to apply to all food vehicles</t>
    <phoneticPr fontId="5" type="noConversion"/>
  </si>
  <si>
    <t>Broadcast Production</t>
  </si>
  <si>
    <t>Broadcast Airtime</t>
  </si>
  <si>
    <t>Events &amp; Workshops</t>
  </si>
  <si>
    <t>Print, POP and Outdoor Materials</t>
  </si>
  <si>
    <t>Brochures, posters, etc.</t>
    <phoneticPr fontId="5" type="noConversion"/>
  </si>
  <si>
    <t>Fraction of other social marketing costs (10%)</t>
    <phoneticPr fontId="5" type="noConversion"/>
  </si>
  <si>
    <t>Monitoring &amp; Management</t>
  </si>
  <si>
    <t>Baseline Survey</t>
  </si>
  <si>
    <t>Lump Sum (year 0)</t>
    <phoneticPr fontId="5" type="noConversion"/>
  </si>
  <si>
    <t>*Already completed (2009 MN Deficiency Study)</t>
    <phoneticPr fontId="5" type="noConversion"/>
  </si>
  <si>
    <t>First Follow-Up</t>
  </si>
  <si>
    <t>Lump Sum (year 2)</t>
    <phoneticPr fontId="5" type="noConversion"/>
  </si>
  <si>
    <t>Second Follow-up</t>
  </si>
  <si>
    <t>Lump Sum (year 4)</t>
    <phoneticPr fontId="5" type="noConversion"/>
  </si>
  <si>
    <t>Oversight (NFA)</t>
    <phoneticPr fontId="5" type="noConversion"/>
  </si>
  <si>
    <t>Annual costs (4 meetings @ $5,000/meeting)</t>
    <phoneticPr fontId="5" type="noConversion"/>
  </si>
  <si>
    <t>Summary 10 Year</t>
  </si>
  <si>
    <t>Start-up</t>
  </si>
  <si>
    <t>Amortized Annual</t>
  </si>
  <si>
    <t>Cost/MT</t>
  </si>
  <si>
    <t>Refinery Fortification Cost</t>
  </si>
  <si>
    <t>USD</t>
  </si>
  <si>
    <t>Summary 15 Year</t>
    <phoneticPr fontId="5" type="noConversion"/>
  </si>
  <si>
    <t>TOTAL NPV</t>
    <phoneticPr fontId="5" type="noConversion"/>
  </si>
  <si>
    <t>Factor</t>
  </si>
  <si>
    <t>NPV</t>
  </si>
  <si>
    <t>Number of refineries</t>
    <phoneticPr fontId="5" type="noConversion"/>
  </si>
  <si>
    <t>Total annual production (MT)</t>
    <phoneticPr fontId="5" type="noConversion"/>
  </si>
  <si>
    <t>Premix addition rate (g/MT; based on ECSA levels)</t>
    <phoneticPr fontId="5" type="noConversion"/>
  </si>
  <si>
    <t>Refinery Fortification Cost</t>
    <phoneticPr fontId="5" type="noConversion"/>
  </si>
  <si>
    <t># of refineries / production lines</t>
    <phoneticPr fontId="5" type="noConversion"/>
  </si>
  <si>
    <t xml:space="preserve">Blending systems for oil fortification </t>
  </si>
  <si>
    <t>*Avg. cost/kg from Formulator</t>
    <phoneticPr fontId="5" type="noConversion"/>
  </si>
  <si>
    <t>Refinery Process</t>
  </si>
  <si>
    <t>dosing system value (10% )</t>
    <phoneticPr fontId="5" type="noConversion"/>
  </si>
  <si>
    <t>value per operating day
($5 per mill, 250 days operation per yr)</t>
    <phoneticPr fontId="5" type="noConversion"/>
  </si>
  <si>
    <t>labels bottles (avg bottle holds = 1 kg)</t>
    <phoneticPr fontId="5" type="noConversion"/>
  </si>
  <si>
    <t>fraction of other refinery process costs (3%)</t>
    <phoneticPr fontId="5" type="noConversion"/>
  </si>
  <si>
    <t>Start-Up</t>
  </si>
  <si>
    <t>Recurring</t>
  </si>
  <si>
    <t>Mill Fortification Cost</t>
  </si>
  <si>
    <t>Dosifiers</t>
    <phoneticPr fontId="5" type="noConversion"/>
  </si>
  <si>
    <t># Private Mills/Production Lines</t>
  </si>
  <si>
    <t>Mixing conveyer</t>
    <phoneticPr fontId="5" type="noConversion"/>
  </si>
  <si>
    <t>Weigh bridge</t>
    <phoneticPr fontId="5" type="noConversion"/>
  </si>
  <si>
    <t>Mixers</t>
    <phoneticPr fontId="5" type="noConversion"/>
  </si>
  <si>
    <t>Plant reconfiguration</t>
    <phoneticPr fontId="5" type="noConversion"/>
  </si>
  <si>
    <t>Installation and Training</t>
  </si>
  <si>
    <t>Laboratory equipment (for vitamin A testing only; other lab equip in place)</t>
    <phoneticPr fontId="5" type="noConversion"/>
  </si>
  <si>
    <t>Premix Procurement</t>
  </si>
  <si>
    <t>Premix Cost to Major Distribution Point</t>
  </si>
  <si>
    <t>kg premix</t>
    <phoneticPr fontId="5" type="noConversion"/>
  </si>
  <si>
    <t>*Fortificant cost from formulator generated in NFA final report</t>
    <phoneticPr fontId="5" type="noConversion"/>
  </si>
  <si>
    <t>Domestic Storage &amp; Distribution to Refineries</t>
  </si>
  <si>
    <t>MT x km (average 50 km transport)</t>
    <phoneticPr fontId="5" type="noConversion"/>
  </si>
  <si>
    <t xml:space="preserve">Taxes &amp; Duties </t>
  </si>
  <si>
    <t>% Value</t>
  </si>
  <si>
    <t>Processing &amp; Certification Costs</t>
  </si>
  <si>
    <t xml:space="preserve">Mill Process </t>
  </si>
  <si>
    <t>Process Labor</t>
  </si>
  <si>
    <t>Employee time (2/mill @ 10% time, $5,000 / yr salary)</t>
    <phoneticPr fontId="5" type="noConversion"/>
  </si>
  <si>
    <t xml:space="preserve">Maintenance (new dose pumps &amp; spare parts) </t>
  </si>
  <si>
    <t>5% of total start-up costs</t>
    <phoneticPr fontId="5" type="noConversion"/>
  </si>
  <si>
    <t>Quality Assurance: Spot Tests Reagents &amp; labor</t>
  </si>
  <si>
    <t>value per operating day
($5 per mill, 250 days operation per yr)</t>
  </si>
  <si>
    <t>Incremental Packaging Cost</t>
  </si>
  <si>
    <t>50 kg bags</t>
  </si>
  <si>
    <t xml:space="preserve">Management, Overhead, Administration </t>
  </si>
  <si>
    <t>fraction of other mill process costs (3%)</t>
  </si>
  <si>
    <t>Miller's Margin</t>
  </si>
  <si>
    <t>fraction of costs above (12.5%, excluding taxes)</t>
  </si>
  <si>
    <t>Regulatory and Food Control</t>
  </si>
  <si>
    <t xml:space="preserve">Capacity Building and Training </t>
  </si>
  <si>
    <t>Establish Sampling, Testing and Enforcement Protocols</t>
  </si>
  <si>
    <t xml:space="preserve">Technical Consultations </t>
  </si>
  <si>
    <t>Inspector Training*</t>
  </si>
  <si>
    <t>Inspectors</t>
  </si>
  <si>
    <t>Initial Lab technician Training*</t>
  </si>
  <si>
    <t>Workshop</t>
  </si>
  <si>
    <t>Added Lab Equipment</t>
  </si>
  <si>
    <t>Specify if necessary</t>
  </si>
  <si>
    <t>Added Lab Rennovations</t>
  </si>
  <si>
    <t xml:space="preserve">* Ongoing Training Integrated into Routine </t>
  </si>
  <si>
    <t>Mill Inspection &amp; Sampling</t>
  </si>
  <si>
    <t xml:space="preserve">Inspector Salaries </t>
  </si>
  <si>
    <t>Days for inspections (1/2 day per mill)</t>
  </si>
  <si>
    <t>Sampling Visit Transport</t>
  </si>
  <si>
    <t>Mileage reimbursement (50km avg)</t>
  </si>
  <si>
    <t xml:space="preserve">Spot Test Materials </t>
  </si>
  <si>
    <t>Tests (4 per mill inspection)</t>
  </si>
  <si>
    <t>Shipping to Lab</t>
  </si>
  <si>
    <t>Samples Sent for Quant Tests (4 per mill inspection)</t>
  </si>
  <si>
    <t>Management</t>
  </si>
  <si>
    <t>Fraction of other mill inspection costs (10%)</t>
  </si>
  <si>
    <t>Total gov't cost:</t>
  </si>
  <si>
    <t xml:space="preserve">Premix cost* </t>
  </si>
  <si>
    <t>Wheat flour (Premier)</t>
  </si>
  <si>
    <t>Oil fortification at Port</t>
  </si>
  <si>
    <t>WHAT IS IT COSTING IMPORTERS</t>
  </si>
  <si>
    <t>*Estimated from Fortification Formulator</t>
  </si>
  <si>
    <t>1) Calculate approximate yearly spend and total project cost</t>
  </si>
  <si>
    <t xml:space="preserve">Budgetary Projections </t>
  </si>
  <si>
    <t>2) Calculate population reached</t>
  </si>
  <si>
    <t>ZAM population</t>
  </si>
  <si>
    <t>Food</t>
  </si>
  <si>
    <t>Coverage*</t>
  </si>
  <si>
    <t># of MNs</t>
  </si>
  <si>
    <t>Pop x MNs</t>
  </si>
  <si>
    <t>Cooking Oil</t>
  </si>
  <si>
    <t>Wheat Flour</t>
  </si>
  <si>
    <t>Salt</t>
  </si>
  <si>
    <t>Oil+ Maize Flour</t>
  </si>
  <si>
    <t>Sugar+Maize Flour</t>
  </si>
  <si>
    <t>Maize + Wheat Flour</t>
  </si>
  <si>
    <t>* Source: guestimate based on Malawi  situation</t>
  </si>
  <si>
    <t>**Currently, there is no data for combined consumption coverage.</t>
  </si>
  <si>
    <t>4) Calculate metrics</t>
  </si>
  <si>
    <t>Annual costs (amortized)**</t>
  </si>
  <si>
    <t xml:space="preserve"> Mill Fortification Cost*** </t>
  </si>
  <si>
    <t>**Estimated based on Tanazania and Malawi analysis</t>
  </si>
  <si>
    <t>*** Guestimate: Includes premix and annual recurring equipment needs for each industry</t>
  </si>
  <si>
    <t>PHC program:</t>
  </si>
  <si>
    <t>$ / person-MN</t>
  </si>
  <si>
    <t>PHC program (no salt):</t>
  </si>
  <si>
    <t>$ / person-MN-year</t>
  </si>
  <si>
    <t>Total program cost:</t>
  </si>
  <si>
    <t>Premix Costing</t>
  </si>
  <si>
    <t>Industry</t>
  </si>
  <si>
    <t>Annual rate (MT)</t>
  </si>
  <si>
    <t>Premix cost *</t>
  </si>
  <si>
    <t xml:space="preserve">Three sugar producers </t>
  </si>
  <si>
    <t>Maize flour</t>
  </si>
  <si>
    <t>Oil</t>
  </si>
  <si>
    <t>SL population</t>
  </si>
  <si>
    <t>Sugar+Wheat Flour</t>
  </si>
  <si>
    <t>* Source: guestimate based on Liberia situation</t>
  </si>
  <si>
    <t>*** Guestimate from Liberia: Includes premix and annual recurring equipment needs for each industry</t>
  </si>
  <si>
    <t>ZIM population</t>
  </si>
  <si>
    <t>Wheat + Maize Flour</t>
  </si>
  <si>
    <t>*Source: Guestimate based on Malawi situation</t>
  </si>
  <si>
    <t>***Guestimate; Includes premix and annual recurring equipment needs for each industry</t>
  </si>
  <si>
    <t>Total 5 oil producers</t>
  </si>
  <si>
    <t xml:space="preserve">The following budget is based on a scenario with: </t>
    <phoneticPr fontId="5" type="noConversion"/>
  </si>
  <si>
    <t>Number of mills</t>
    <phoneticPr fontId="5" type="noConversion"/>
  </si>
  <si>
    <t>Total annual production (MT; Kabuye estimate)</t>
    <phoneticPr fontId="5" type="noConversion"/>
  </si>
  <si>
    <t>Approximate # of imports</t>
    <phoneticPr fontId="5" type="noConversion"/>
  </si>
  <si>
    <t>Premix addition rate (g/MT)</t>
    <phoneticPr fontId="5" type="noConversion"/>
  </si>
  <si>
    <t>Inspections/mill/yr</t>
    <phoneticPr fontId="5" type="noConversion"/>
  </si>
  <si>
    <t>Markets visited</t>
    <phoneticPr fontId="5" type="noConversion"/>
  </si>
  <si>
    <t>Market samples</t>
    <phoneticPr fontId="5" type="noConversion"/>
  </si>
  <si>
    <t>Labor costs / day ($USD)</t>
    <phoneticPr fontId="5" type="noConversion"/>
  </si>
  <si>
    <t>Cost Categories</t>
    <phoneticPr fontId="5" type="noConversion"/>
  </si>
  <si>
    <t>Capital</t>
  </si>
  <si>
    <t>Annual</t>
  </si>
  <si>
    <t>Unit</t>
  </si>
  <si>
    <t>Number</t>
  </si>
  <si>
    <t>Cost/Unit</t>
  </si>
  <si>
    <t>PHC program (no salt):</t>
    <phoneticPr fontId="5" type="noConversion"/>
  </si>
  <si>
    <t>Total gov't cost:</t>
    <phoneticPr fontId="5" type="noConversion"/>
  </si>
  <si>
    <t>$ / person-MN-year</t>
    <phoneticPr fontId="5" type="noConversion"/>
  </si>
  <si>
    <t>Total program cost:</t>
    <phoneticPr fontId="5" type="noConversion"/>
  </si>
  <si>
    <t>Premix Costing</t>
    <phoneticPr fontId="5" type="noConversion"/>
  </si>
  <si>
    <t>Industry</t>
    <phoneticPr fontId="5" type="noConversion"/>
  </si>
  <si>
    <t>Annual rate (MT)</t>
    <phoneticPr fontId="5" type="noConversion"/>
  </si>
  <si>
    <t>Premix cost *</t>
    <phoneticPr fontId="5" type="noConversion"/>
  </si>
  <si>
    <t>Total</t>
    <phoneticPr fontId="5" type="noConversion"/>
  </si>
  <si>
    <t>Sosuma (sugar)</t>
  </si>
  <si>
    <t>Savonor (oil)</t>
  </si>
  <si>
    <t>Minotairie (maize)</t>
  </si>
  <si>
    <t>Musalac (maize)</t>
  </si>
  <si>
    <t>Pembe (maize and wheat)</t>
  </si>
  <si>
    <t>Farisina (maize and wheat)</t>
  </si>
  <si>
    <t>MINOLAC (wheat)</t>
  </si>
  <si>
    <t>Bakhressa (wheat)</t>
  </si>
  <si>
    <t>*Premix cost obtained from Formulator Report</t>
    <phoneticPr fontId="5" type="noConversion"/>
  </si>
  <si>
    <t>Malawi</t>
    <phoneticPr fontId="5" type="noConversion"/>
  </si>
  <si>
    <t>MAL population:</t>
    <phoneticPr fontId="5" type="noConversion"/>
  </si>
  <si>
    <t>Sugar</t>
    <phoneticPr fontId="5" type="noConversion"/>
  </si>
  <si>
    <t>Wheat Flour</t>
    <phoneticPr fontId="5" type="noConversion"/>
  </si>
  <si>
    <t>Maize Flour</t>
    <phoneticPr fontId="5" type="noConversion"/>
  </si>
  <si>
    <t>Oil+Sugar</t>
    <phoneticPr fontId="5" type="noConversion"/>
  </si>
  <si>
    <t>All three**</t>
    <phoneticPr fontId="5" type="noConversion"/>
  </si>
  <si>
    <t>ADJUSTED TOTAL</t>
    <phoneticPr fontId="5" type="noConversion"/>
  </si>
  <si>
    <t>*One member of HH reported consumption prior day except salt (HH with salt present). Source: 2009 National Micronutrient Survey.</t>
    <phoneticPr fontId="5" type="noConversion"/>
  </si>
  <si>
    <t>**Note that I'm not bothering to adjust for the slight double-counting of maize flour vitamin A because the coverage is so low</t>
    <phoneticPr fontId="5" type="noConversion"/>
  </si>
  <si>
    <t>3) Calculate metrics</t>
    <phoneticPr fontId="5" type="noConversion"/>
  </si>
  <si>
    <t>Total Program Costs</t>
  </si>
  <si>
    <t>10 Year</t>
  </si>
  <si>
    <t>**Estimated as part of MAL cost/benefit analysis</t>
    <phoneticPr fontId="5" type="noConversion"/>
  </si>
  <si>
    <t xml:space="preserve">What changed in 2013: social marketing and management and monitoring were underestimated </t>
  </si>
  <si>
    <t>Rab Processors (maize)</t>
  </si>
  <si>
    <t>Unilever (oil)</t>
  </si>
  <si>
    <t>CORI (oil)</t>
  </si>
  <si>
    <t>Oil and Protein</t>
  </si>
  <si>
    <t>Capital Foods (wheat)</t>
  </si>
  <si>
    <t>Mulawe (oil)</t>
  </si>
  <si>
    <t xml:space="preserve">Mapange Oil </t>
  </si>
  <si>
    <t>Illovo</t>
  </si>
  <si>
    <t>RWA population</t>
    <phoneticPr fontId="5" type="noConversion"/>
  </si>
  <si>
    <t>No salt</t>
  </si>
  <si>
    <t>Wheat+maize**</t>
  </si>
  <si>
    <t>Oil+wheat</t>
  </si>
  <si>
    <t>Sugar+wheat</t>
  </si>
  <si>
    <t>Oil+sugar**</t>
  </si>
  <si>
    <t>*Source: FRAT 2008; NFA 2010</t>
    <phoneticPr fontId="5" type="noConversion"/>
  </si>
  <si>
    <t xml:space="preserve">**No combined coverage data available. These are all guestimates. </t>
  </si>
  <si>
    <t>*** Includes premix and annual recurring equipment needs for each industry amortized</t>
  </si>
  <si>
    <t>Palmalac (oil)</t>
    <phoneticPr fontId="5" type="noConversion"/>
  </si>
  <si>
    <t>Kabuye (sugar)</t>
    <phoneticPr fontId="5" type="noConversion"/>
  </si>
  <si>
    <t>Bakhressa (wheat)</t>
    <phoneticPr fontId="5" type="noConversion"/>
  </si>
  <si>
    <t>MINIMEX (maize)</t>
    <phoneticPr fontId="5" type="noConversion"/>
  </si>
  <si>
    <t>Pembe (wheat)</t>
    <phoneticPr fontId="5" type="noConversion"/>
  </si>
  <si>
    <t>LIB population</t>
    <phoneticPr fontId="5" type="noConversion"/>
  </si>
  <si>
    <t>Flour/bread</t>
  </si>
  <si>
    <t>Oil+Bread</t>
  </si>
  <si>
    <t>Sugar+Bread</t>
  </si>
  <si>
    <t xml:space="preserve">*No coverage data available. These are all guestimates. </t>
  </si>
  <si>
    <t>Burundi</t>
  </si>
  <si>
    <t>PHC Budgetary Projections</t>
  </si>
  <si>
    <t>Year</t>
  </si>
  <si>
    <t>Proj. Engagement</t>
  </si>
  <si>
    <t>Cost</t>
  </si>
  <si>
    <t>TOTAL</t>
  </si>
  <si>
    <t>Fortification Coverage Estimates</t>
  </si>
  <si>
    <t>(ADJUSTED) TOTAL</t>
  </si>
  <si>
    <t>Total PHC Spend Related to Country</t>
  </si>
  <si>
    <t>=</t>
  </si>
  <si>
    <r>
      <t>Σ</t>
    </r>
    <r>
      <rPr>
        <vertAlign val="subscript"/>
        <sz val="12"/>
        <rFont val="Arial"/>
      </rPr>
      <t>fortified foods</t>
    </r>
    <r>
      <rPr>
        <sz val="12"/>
        <rFont val="Arial"/>
      </rPr>
      <t>(Population Reached x MNs Delivered)</t>
    </r>
  </si>
  <si>
    <t>Amortized Annual Costs from Commodity Specific Budgeting Tabs</t>
  </si>
  <si>
    <t>Mill fortification cost</t>
  </si>
  <si>
    <t>Legal, Regulatory &amp; Food Control Costs</t>
  </si>
  <si>
    <t>Social Marketing</t>
  </si>
  <si>
    <t>Management &amp; Monitoring</t>
  </si>
  <si>
    <t>ALL</t>
  </si>
  <si>
    <t>Annual Cost of Program</t>
  </si>
  <si>
    <t>Malawi</t>
  </si>
  <si>
    <t>ADJUSTED TOTAL</t>
  </si>
  <si>
    <t>Rwanda</t>
    <phoneticPr fontId="5" type="noConversion"/>
  </si>
  <si>
    <t>Proj. Engagement (vs. 2011)</t>
  </si>
  <si>
    <t>Liberia</t>
    <phoneticPr fontId="5" type="noConversion"/>
  </si>
  <si>
    <t>Zimbabwe</t>
  </si>
  <si>
    <t xml:space="preserve">Proj. Engagement </t>
  </si>
  <si>
    <t>Zambia</t>
  </si>
  <si>
    <t>1) Calculate approximate yearly spend and total project cost</t>
    <phoneticPr fontId="5" type="noConversion"/>
  </si>
  <si>
    <t xml:space="preserve">Budgetary Projections </t>
    <phoneticPr fontId="5" type="noConversion"/>
  </si>
  <si>
    <t>Year</t>
    <phoneticPr fontId="5" type="noConversion"/>
  </si>
  <si>
    <t>Proj. Engagement (vs. 2011)</t>
    <phoneticPr fontId="5" type="noConversion"/>
  </si>
  <si>
    <t>Cost</t>
    <phoneticPr fontId="5" type="noConversion"/>
  </si>
  <si>
    <t>Actual</t>
  </si>
  <si>
    <t>Total</t>
  </si>
  <si>
    <t>2) Calculate population reached</t>
    <phoneticPr fontId="5" type="noConversion"/>
  </si>
  <si>
    <t>BUR population</t>
  </si>
  <si>
    <t>Food</t>
    <phoneticPr fontId="5" type="noConversion"/>
  </si>
  <si>
    <t>Coverage*</t>
    <phoneticPr fontId="5" type="noConversion"/>
  </si>
  <si>
    <t># of MNs</t>
    <phoneticPr fontId="5" type="noConversion"/>
  </si>
  <si>
    <t>Pop x MNs</t>
    <phoneticPr fontId="5" type="noConversion"/>
  </si>
  <si>
    <t>Cooking Oil</t>
    <phoneticPr fontId="5" type="noConversion"/>
  </si>
  <si>
    <t>Maize Flour</t>
  </si>
  <si>
    <t>Wheat flour</t>
  </si>
  <si>
    <t>Sugar</t>
  </si>
  <si>
    <t>Salt</t>
    <phoneticPr fontId="5" type="noConversion"/>
  </si>
  <si>
    <t>TOTAL</t>
    <phoneticPr fontId="5" type="noConversion"/>
  </si>
  <si>
    <t>Oil+Sugar**</t>
  </si>
  <si>
    <t>Oil+Wheat Flour</t>
    <phoneticPr fontId="5" type="noConversion"/>
  </si>
  <si>
    <t>Sugar+Wheat Flour</t>
    <phoneticPr fontId="5" type="noConversion"/>
  </si>
  <si>
    <t>All three</t>
  </si>
  <si>
    <t>Wheat+maize</t>
  </si>
  <si>
    <t>ADJUSTED TOTAL***</t>
  </si>
  <si>
    <t>*Source: CFSNS 2008, sugar was not assessed therefore coverage rates are unknown at this point. This # is estimated as is the wheat flour coverage #.</t>
  </si>
  <si>
    <t>**Currently, there is no data for combined consumption coverage. These are all guestimates.</t>
  </si>
  <si>
    <t>4) Calculate metrics</t>
    <phoneticPr fontId="5" type="noConversion"/>
  </si>
  <si>
    <t>Annual costs (amortized)**</t>
    <phoneticPr fontId="5" type="noConversion"/>
  </si>
  <si>
    <t>Mill Fortification Cost***</t>
  </si>
  <si>
    <t xml:space="preserve">Social Marketing </t>
  </si>
  <si>
    <t>Total Gov't Costs*</t>
  </si>
  <si>
    <t>Total Program Cost</t>
  </si>
  <si>
    <t>10 Year</t>
    <phoneticPr fontId="5" type="noConversion"/>
  </si>
  <si>
    <t>**Estimated based on Tanazania and Malawi analysis</t>
    <phoneticPr fontId="5" type="noConversion"/>
  </si>
  <si>
    <t>*Excludes mill fortification costs</t>
  </si>
  <si>
    <t>*** Includes premix and annual recurring equipment needs for each industry</t>
  </si>
  <si>
    <t>PHC program:</t>
    <phoneticPr fontId="5" type="noConversion"/>
  </si>
  <si>
    <t>$ / person-MN</t>
    <phoneticPr fontId="5" type="noConversion"/>
  </si>
  <si>
    <t>Sierra 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</si>
</sst>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&quot;$&quot;#,##0"/>
    <numFmt numFmtId="168" formatCode="0.0"/>
    <numFmt numFmtId="169" formatCode="0.0%"/>
    <numFmt numFmtId="170" formatCode="&quot;$&quot;#,##0.00"/>
    <numFmt numFmtId="171" formatCode="_(* #,##0.000_);_(* \(#,##0.000\);_(* &quot;-&quot;??_);_(@_)"/>
    <numFmt numFmtId="172" formatCode="_(* #,##0_);_(* \(#,##0\);_(* &quot;-&quot;????_);_(@_)"/>
    <numFmt numFmtId="173" formatCode="_(* #,##0.0000_);_(* \(#,##0.0000\);_(* &quot;-&quot;??_);_(@_)"/>
    <numFmt numFmtId="174" formatCode="0.000"/>
    <numFmt numFmtId="175" formatCode="#,##0.0000_);\(#,##0.0000\)"/>
  </numFmts>
  <fonts count="19" x14ac:knownFonts="1">
    <font>
      <sz val="12"/>
      <name val="Arial"/>
    </font>
    <font>
      <b/>
      <sz val="12"/>
      <name val="Arial"/>
    </font>
    <font>
      <i/>
      <sz val="12"/>
      <name val="Arial"/>
    </font>
    <font>
      <sz val="12"/>
      <name val="Arial"/>
    </font>
    <font>
      <sz val="12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0"/>
      <color indexed="9"/>
      <name val="Arial"/>
    </font>
    <font>
      <u/>
      <sz val="12"/>
      <name val="Arial"/>
    </font>
    <font>
      <vertAlign val="subscript"/>
      <sz val="12"/>
      <name val="Arial"/>
    </font>
    <font>
      <sz val="11"/>
      <name val="Arial"/>
    </font>
    <font>
      <b/>
      <sz val="16"/>
      <name val="Arial"/>
    </font>
    <font>
      <u/>
      <sz val="12"/>
      <color indexed="12"/>
      <name val="Arial"/>
    </font>
    <font>
      <u/>
      <sz val="12"/>
      <color indexed="20"/>
      <name val="Arial"/>
    </font>
    <font>
      <b/>
      <u/>
      <sz val="12"/>
      <name val="Arial"/>
    </font>
    <font>
      <sz val="8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D11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0">
    <xf numFmtId="0" fontId="0" fillId="0" borderId="0" xfId="0"/>
    <xf numFmtId="41" fontId="0" fillId="0" borderId="0" xfId="0" applyNumberFormat="1" applyAlignment="1">
      <alignment wrapText="1"/>
    </xf>
    <xf numFmtId="41" fontId="0" fillId="0" borderId="0" xfId="0" applyNumberFormat="1" applyBorder="1" applyAlignment="1">
      <alignment wrapText="1"/>
    </xf>
    <xf numFmtId="9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/>
    <xf numFmtId="165" fontId="0" fillId="0" borderId="0" xfId="1" applyNumberFormat="1" applyFont="1"/>
    <xf numFmtId="165" fontId="0" fillId="0" borderId="0" xfId="0" applyNumberFormat="1"/>
    <xf numFmtId="165" fontId="0" fillId="0" borderId="2" xfId="0" applyNumberFormat="1" applyBorder="1"/>
    <xf numFmtId="165" fontId="0" fillId="0" borderId="0" xfId="0" applyNumberFormat="1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2" borderId="0" xfId="0" applyFill="1" applyAlignment="1">
      <alignment horizontal="right"/>
    </xf>
    <xf numFmtId="165" fontId="0" fillId="2" borderId="0" xfId="0" applyNumberFormat="1" applyFill="1"/>
    <xf numFmtId="167" fontId="0" fillId="0" borderId="0" xfId="0" applyNumberFormat="1"/>
    <xf numFmtId="167" fontId="1" fillId="2" borderId="0" xfId="0" applyNumberFormat="1" applyFont="1" applyFill="1"/>
    <xf numFmtId="6" fontId="1" fillId="2" borderId="0" xfId="0" applyNumberFormat="1" applyFont="1" applyFill="1"/>
    <xf numFmtId="3" fontId="0" fillId="0" borderId="0" xfId="0" applyNumberFormat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164" fontId="7" fillId="0" borderId="0" xfId="2" applyNumberFormat="1" applyFont="1"/>
    <xf numFmtId="3" fontId="6" fillId="3" borderId="3" xfId="0" applyNumberFormat="1" applyFont="1" applyFill="1" applyBorder="1"/>
    <xf numFmtId="0" fontId="7" fillId="4" borderId="0" xfId="0" applyFont="1" applyFill="1"/>
    <xf numFmtId="165" fontId="7" fillId="0" borderId="0" xfId="1" applyNumberFormat="1" applyFont="1"/>
    <xf numFmtId="3" fontId="6" fillId="3" borderId="4" xfId="0" applyNumberFormat="1" applyFont="1" applyFill="1" applyBorder="1"/>
    <xf numFmtId="164" fontId="6" fillId="5" borderId="0" xfId="2" applyNumberFormat="1" applyFont="1" applyFill="1" applyBorder="1"/>
    <xf numFmtId="0" fontId="6" fillId="5" borderId="0" xfId="0" applyFont="1" applyFill="1" applyBorder="1"/>
    <xf numFmtId="0" fontId="6" fillId="6" borderId="0" xfId="0" applyFont="1" applyFill="1" applyAlignment="1">
      <alignment wrapText="1"/>
    </xf>
    <xf numFmtId="0" fontId="7" fillId="6" borderId="0" xfId="0" applyFont="1" applyFill="1"/>
    <xf numFmtId="164" fontId="6" fillId="6" borderId="0" xfId="2" applyNumberFormat="1" applyFont="1" applyFill="1"/>
    <xf numFmtId="164" fontId="6" fillId="6" borderId="0" xfId="0" applyNumberFormat="1" applyFont="1" applyFill="1"/>
    <xf numFmtId="0" fontId="6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left" wrapText="1" indent="1"/>
    </xf>
    <xf numFmtId="3" fontId="7" fillId="0" borderId="0" xfId="0" applyNumberFormat="1" applyFont="1"/>
    <xf numFmtId="6" fontId="7" fillId="0" borderId="0" xfId="0" applyNumberFormat="1" applyFont="1"/>
    <xf numFmtId="164" fontId="7" fillId="0" borderId="0" xfId="0" applyNumberFormat="1" applyFont="1"/>
    <xf numFmtId="0" fontId="6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8" fontId="7" fillId="0" borderId="0" xfId="0" applyNumberFormat="1" applyFont="1"/>
    <xf numFmtId="42" fontId="7" fillId="0" borderId="0" xfId="2" applyNumberFormat="1" applyFont="1"/>
    <xf numFmtId="9" fontId="7" fillId="0" borderId="0" xfId="0" applyNumberFormat="1" applyFont="1"/>
    <xf numFmtId="10" fontId="7" fillId="0" borderId="0" xfId="3" applyNumberFormat="1" applyFont="1"/>
    <xf numFmtId="9" fontId="7" fillId="0" borderId="0" xfId="0" applyNumberFormat="1" applyFont="1" applyAlignment="1">
      <alignment wrapText="1"/>
    </xf>
    <xf numFmtId="168" fontId="7" fillId="0" borderId="0" xfId="0" applyNumberFormat="1" applyFont="1"/>
    <xf numFmtId="7" fontId="7" fillId="0" borderId="0" xfId="2" applyNumberFormat="1" applyFont="1"/>
    <xf numFmtId="0" fontId="7" fillId="4" borderId="0" xfId="0" applyNumberFormat="1" applyFont="1" applyFill="1" applyBorder="1" applyAlignment="1">
      <alignment horizontal="left" wrapText="1" indent="1"/>
    </xf>
    <xf numFmtId="9" fontId="7" fillId="4" borderId="0" xfId="0" applyNumberFormat="1" applyFont="1" applyFill="1"/>
    <xf numFmtId="169" fontId="7" fillId="0" borderId="0" xfId="3" applyNumberFormat="1" applyFont="1"/>
    <xf numFmtId="0" fontId="7" fillId="0" borderId="0" xfId="0" applyNumberFormat="1" applyFont="1" applyFill="1" applyBorder="1" applyAlignment="1">
      <alignment horizontal="right" wrapText="1"/>
    </xf>
    <xf numFmtId="164" fontId="6" fillId="0" borderId="2" xfId="2" applyNumberFormat="1" applyFont="1" applyBorder="1"/>
    <xf numFmtId="43" fontId="7" fillId="0" borderId="0" xfId="0" applyNumberFormat="1" applyFont="1"/>
    <xf numFmtId="164" fontId="6" fillId="0" borderId="0" xfId="0" applyNumberFormat="1" applyFont="1"/>
    <xf numFmtId="0" fontId="6" fillId="6" borderId="0" xfId="0" applyNumberFormat="1" applyFont="1" applyFill="1" applyBorder="1" applyAlignment="1">
      <alignment wrapText="1"/>
    </xf>
    <xf numFmtId="9" fontId="7" fillId="6" borderId="0" xfId="3" applyFont="1" applyFill="1"/>
    <xf numFmtId="0" fontId="6" fillId="0" borderId="0" xfId="0" applyFont="1" applyAlignment="1">
      <alignment horizontal="left" wrapText="1"/>
    </xf>
    <xf numFmtId="167" fontId="7" fillId="0" borderId="0" xfId="0" applyNumberFormat="1" applyFont="1"/>
    <xf numFmtId="164" fontId="6" fillId="0" borderId="0" xfId="2" applyNumberFormat="1" applyFont="1"/>
    <xf numFmtId="170" fontId="7" fillId="0" borderId="0" xfId="2" applyNumberFormat="1" applyFont="1"/>
    <xf numFmtId="164" fontId="7" fillId="0" borderId="0" xfId="2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70" fontId="7" fillId="0" borderId="0" xfId="2" applyNumberFormat="1" applyFont="1" applyAlignment="1">
      <alignment wrapText="1"/>
    </xf>
    <xf numFmtId="8" fontId="7" fillId="0" borderId="0" xfId="0" applyNumberFormat="1" applyFont="1" applyAlignment="1">
      <alignment wrapText="1"/>
    </xf>
    <xf numFmtId="3" fontId="7" fillId="0" borderId="0" xfId="2" applyNumberFormat="1" applyFont="1" applyAlignment="1">
      <alignment wrapText="1"/>
    </xf>
    <xf numFmtId="6" fontId="7" fillId="0" borderId="0" xfId="0" applyNumberFormat="1" applyFont="1" applyAlignment="1">
      <alignment wrapText="1"/>
    </xf>
    <xf numFmtId="6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wrapText="1"/>
    </xf>
    <xf numFmtId="0" fontId="6" fillId="6" borderId="0" xfId="0" applyFont="1" applyFill="1" applyAlignment="1">
      <alignment horizontal="left" wrapText="1"/>
    </xf>
    <xf numFmtId="0" fontId="7" fillId="0" borderId="0" xfId="4" applyFont="1" applyFill="1" applyBorder="1" applyAlignment="1">
      <alignment horizontal="left" vertical="center" wrapText="1" indent="1"/>
    </xf>
    <xf numFmtId="164" fontId="7" fillId="0" borderId="0" xfId="0" applyNumberFormat="1" applyFont="1" applyAlignment="1"/>
    <xf numFmtId="165" fontId="7" fillId="0" borderId="0" xfId="1" applyNumberFormat="1" applyFont="1" applyAlignment="1">
      <alignment wrapText="1"/>
    </xf>
    <xf numFmtId="0" fontId="7" fillId="0" borderId="0" xfId="4" applyFont="1" applyFill="1" applyBorder="1" applyAlignment="1">
      <alignment horizontal="right" vertical="center" wrapText="1"/>
    </xf>
    <xf numFmtId="164" fontId="6" fillId="0" borderId="2" xfId="2" applyNumberFormat="1" applyFont="1" applyBorder="1" applyAlignment="1">
      <alignment wrapText="1"/>
    </xf>
    <xf numFmtId="164" fontId="7" fillId="0" borderId="2" xfId="0" applyNumberFormat="1" applyFont="1" applyBorder="1" applyAlignment="1">
      <alignment wrapText="1"/>
    </xf>
    <xf numFmtId="0" fontId="6" fillId="6" borderId="0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164" fontId="8" fillId="0" borderId="5" xfId="2" applyNumberFormat="1" applyFont="1" applyFill="1" applyBorder="1" applyAlignment="1">
      <alignment horizontal="center"/>
    </xf>
    <xf numFmtId="0" fontId="7" fillId="0" borderId="6" xfId="4" applyFont="1" applyFill="1" applyBorder="1" applyAlignment="1">
      <alignment vertical="center" wrapText="1"/>
    </xf>
    <xf numFmtId="164" fontId="7" fillId="0" borderId="6" xfId="0" applyNumberFormat="1" applyFont="1" applyFill="1" applyBorder="1" applyAlignment="1"/>
    <xf numFmtId="164" fontId="7" fillId="0" borderId="6" xfId="2" applyNumberFormat="1" applyFont="1" applyFill="1" applyBorder="1" applyAlignment="1"/>
    <xf numFmtId="43" fontId="7" fillId="0" borderId="6" xfId="0" applyNumberFormat="1" applyFont="1" applyFill="1" applyBorder="1" applyAlignment="1"/>
    <xf numFmtId="0" fontId="7" fillId="0" borderId="6" xfId="0" applyFont="1" applyFill="1" applyBorder="1" applyAlignment="1"/>
    <xf numFmtId="0" fontId="9" fillId="0" borderId="5" xfId="0" applyFont="1" applyFill="1" applyBorder="1" applyAlignment="1">
      <alignment horizontal="left"/>
    </xf>
    <xf numFmtId="164" fontId="7" fillId="0" borderId="5" xfId="0" applyNumberFormat="1" applyFont="1" applyFill="1" applyBorder="1" applyAlignment="1"/>
    <xf numFmtId="164" fontId="7" fillId="0" borderId="5" xfId="2" applyNumberFormat="1" applyFont="1" applyFill="1" applyBorder="1" applyAlignment="1"/>
    <xf numFmtId="43" fontId="7" fillId="0" borderId="5" xfId="0" applyNumberFormat="1" applyFont="1" applyFill="1" applyBorder="1" applyAlignment="1"/>
    <xf numFmtId="171" fontId="7" fillId="0" borderId="0" xfId="1" applyNumberFormat="1" applyFont="1" applyFill="1" applyBorder="1" applyAlignment="1"/>
    <xf numFmtId="172" fontId="7" fillId="4" borderId="0" xfId="0" applyNumberFormat="1" applyFont="1" applyFill="1"/>
    <xf numFmtId="0" fontId="7" fillId="0" borderId="0" xfId="0" applyFont="1" applyAlignment="1">
      <alignment horizontal="right"/>
    </xf>
    <xf numFmtId="173" fontId="7" fillId="0" borderId="0" xfId="1" applyNumberFormat="1" applyFont="1"/>
    <xf numFmtId="172" fontId="7" fillId="0" borderId="0" xfId="0" applyNumberFormat="1" applyFont="1"/>
    <xf numFmtId="164" fontId="6" fillId="5" borderId="0" xfId="2" applyNumberFormat="1" applyFont="1" applyFill="1"/>
    <xf numFmtId="0" fontId="6" fillId="5" borderId="0" xfId="0" applyFont="1" applyFill="1"/>
    <xf numFmtId="0" fontId="7" fillId="0" borderId="0" xfId="0" applyFont="1" applyAlignment="1">
      <alignment horizontal="left" indent="1"/>
    </xf>
    <xf numFmtId="44" fontId="7" fillId="0" borderId="0" xfId="2" applyNumberFormat="1" applyFont="1"/>
    <xf numFmtId="9" fontId="7" fillId="4" borderId="0" xfId="0" applyNumberFormat="1" applyFont="1" applyFill="1" applyAlignment="1">
      <alignment wrapText="1"/>
    </xf>
    <xf numFmtId="164" fontId="7" fillId="0" borderId="0" xfId="2" applyNumberFormat="1" applyFont="1" applyFill="1"/>
    <xf numFmtId="6" fontId="7" fillId="0" borderId="0" xfId="0" applyNumberFormat="1" applyFont="1" applyAlignment="1">
      <alignment horizontal="right" wrapText="1"/>
    </xf>
    <xf numFmtId="6" fontId="7" fillId="0" borderId="0" xfId="0" applyNumberFormat="1" applyFont="1" applyFill="1" applyAlignment="1">
      <alignment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wrapText="1"/>
    </xf>
    <xf numFmtId="164" fontId="8" fillId="0" borderId="5" xfId="2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wrapText="1"/>
    </xf>
    <xf numFmtId="164" fontId="7" fillId="0" borderId="6" xfId="2" applyNumberFormat="1" applyFont="1" applyFill="1" applyBorder="1" applyAlignment="1">
      <alignment wrapText="1"/>
    </xf>
    <xf numFmtId="43" fontId="7" fillId="0" borderId="6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164" fontId="7" fillId="0" borderId="5" xfId="0" applyNumberFormat="1" applyFont="1" applyFill="1" applyBorder="1" applyAlignment="1">
      <alignment wrapText="1"/>
    </xf>
    <xf numFmtId="164" fontId="7" fillId="0" borderId="5" xfId="2" applyNumberFormat="1" applyFont="1" applyFill="1" applyBorder="1" applyAlignment="1">
      <alignment wrapText="1"/>
    </xf>
    <xf numFmtId="43" fontId="7" fillId="0" borderId="5" xfId="0" applyNumberFormat="1" applyFont="1" applyFill="1" applyBorder="1" applyAlignment="1">
      <alignment wrapText="1"/>
    </xf>
    <xf numFmtId="171" fontId="7" fillId="0" borderId="0" xfId="1" applyNumberFormat="1" applyFont="1" applyFill="1" applyBorder="1" applyAlignment="1">
      <alignment wrapText="1"/>
    </xf>
    <xf numFmtId="165" fontId="7" fillId="0" borderId="0" xfId="1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2" applyNumberFormat="1" applyFont="1" applyAlignment="1">
      <alignment wrapText="1"/>
    </xf>
    <xf numFmtId="167" fontId="7" fillId="0" borderId="0" xfId="0" applyNumberFormat="1" applyFont="1" applyAlignment="1">
      <alignment wrapText="1"/>
    </xf>
    <xf numFmtId="169" fontId="7" fillId="0" borderId="0" xfId="3" applyNumberFormat="1" applyFont="1" applyAlignment="1">
      <alignment wrapText="1"/>
    </xf>
    <xf numFmtId="164" fontId="7" fillId="0" borderId="0" xfId="2" applyNumberFormat="1" applyFont="1" applyFill="1" applyAlignment="1">
      <alignment wrapText="1"/>
    </xf>
    <xf numFmtId="7" fontId="7" fillId="0" borderId="0" xfId="2" applyNumberFormat="1" applyFont="1" applyAlignment="1">
      <alignment wrapText="1"/>
    </xf>
    <xf numFmtId="168" fontId="7" fillId="0" borderId="0" xfId="0" applyNumberFormat="1" applyFont="1" applyAlignment="1">
      <alignment wrapText="1"/>
    </xf>
    <xf numFmtId="10" fontId="7" fillId="0" borderId="0" xfId="3" applyNumberFormat="1" applyFont="1" applyAlignment="1">
      <alignment wrapText="1"/>
    </xf>
    <xf numFmtId="44" fontId="7" fillId="0" borderId="0" xfId="2" applyNumberFormat="1" applyFont="1" applyAlignment="1">
      <alignment wrapText="1"/>
    </xf>
    <xf numFmtId="0" fontId="6" fillId="5" borderId="0" xfId="0" applyNumberFormat="1" applyFont="1" applyFill="1" applyBorder="1" applyAlignment="1">
      <alignment wrapText="1"/>
    </xf>
    <xf numFmtId="0" fontId="10" fillId="5" borderId="0" xfId="0" applyNumberFormat="1" applyFont="1" applyFill="1" applyBorder="1" applyAlignment="1">
      <alignment wrapText="1"/>
    </xf>
    <xf numFmtId="9" fontId="7" fillId="0" borderId="0" xfId="0" applyNumberFormat="1" applyFont="1" applyFill="1" applyAlignment="1">
      <alignment wrapText="1"/>
    </xf>
    <xf numFmtId="164" fontId="6" fillId="0" borderId="2" xfId="0" applyNumberFormat="1" applyFont="1" applyBorder="1" applyAlignment="1">
      <alignment wrapText="1"/>
    </xf>
    <xf numFmtId="6" fontId="7" fillId="4" borderId="0" xfId="0" applyNumberFormat="1" applyFont="1" applyFill="1" applyAlignment="1">
      <alignment wrapText="1"/>
    </xf>
    <xf numFmtId="8" fontId="0" fillId="0" borderId="0" xfId="0" applyNumberFormat="1"/>
    <xf numFmtId="0" fontId="3" fillId="0" borderId="0" xfId="0" applyFont="1"/>
    <xf numFmtId="0" fontId="0" fillId="2" borderId="0" xfId="0" applyFill="1"/>
    <xf numFmtId="6" fontId="3" fillId="0" borderId="0" xfId="0" applyNumberFormat="1" applyFont="1"/>
    <xf numFmtId="0" fontId="0" fillId="0" borderId="0" xfId="0" applyAlignment="1"/>
    <xf numFmtId="0" fontId="1" fillId="2" borderId="0" xfId="0" applyFont="1" applyFill="1"/>
    <xf numFmtId="166" fontId="1" fillId="2" borderId="0" xfId="0" applyNumberFormat="1" applyFont="1" applyFill="1"/>
    <xf numFmtId="0" fontId="2" fillId="0" borderId="1" xfId="0" applyFont="1" applyBorder="1"/>
    <xf numFmtId="0" fontId="2" fillId="0" borderId="1" xfId="0" applyFont="1" applyBorder="1" applyAlignment="1">
      <alignment wrapText="1"/>
    </xf>
    <xf numFmtId="6" fontId="0" fillId="0" borderId="0" xfId="0" applyNumberFormat="1"/>
    <xf numFmtId="6" fontId="1" fillId="0" borderId="0" xfId="0" applyNumberFormat="1" applyFont="1"/>
    <xf numFmtId="0" fontId="0" fillId="0" borderId="2" xfId="0" applyBorder="1" applyAlignment="1">
      <alignment horizontal="left"/>
    </xf>
    <xf numFmtId="9" fontId="0" fillId="0" borderId="2" xfId="0" applyNumberFormat="1" applyBorder="1"/>
    <xf numFmtId="0" fontId="0" fillId="0" borderId="9" xfId="0" applyBorder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6" fontId="0" fillId="0" borderId="2" xfId="0" applyNumberFormat="1" applyBorder="1"/>
    <xf numFmtId="6" fontId="1" fillId="0" borderId="2" xfId="0" applyNumberFormat="1" applyFont="1" applyBorder="1"/>
    <xf numFmtId="0" fontId="13" fillId="0" borderId="0" xfId="0" applyFont="1"/>
    <xf numFmtId="0" fontId="14" fillId="0" borderId="0" xfId="0" applyFont="1"/>
    <xf numFmtId="0" fontId="0" fillId="0" borderId="0" xfId="0" applyBorder="1"/>
    <xf numFmtId="0" fontId="0" fillId="0" borderId="12" xfId="0" applyBorder="1"/>
    <xf numFmtId="6" fontId="1" fillId="0" borderId="0" xfId="0" applyNumberFormat="1" applyFont="1" applyFill="1"/>
    <xf numFmtId="165" fontId="1" fillId="0" borderId="2" xfId="0" applyNumberFormat="1" applyFont="1" applyBorder="1"/>
    <xf numFmtId="174" fontId="1" fillId="0" borderId="11" xfId="0" applyNumberFormat="1" applyFont="1" applyBorder="1"/>
    <xf numFmtId="175" fontId="1" fillId="2" borderId="0" xfId="0" applyNumberFormat="1" applyFont="1" applyFill="1"/>
    <xf numFmtId="6" fontId="1" fillId="2" borderId="0" xfId="0" applyNumberFormat="1" applyFont="1" applyFill="1" applyAlignment="1">
      <alignment horizontal="right"/>
    </xf>
    <xf numFmtId="41" fontId="0" fillId="0" borderId="0" xfId="0" applyNumberFormat="1"/>
    <xf numFmtId="3" fontId="0" fillId="0" borderId="2" xfId="0" applyNumberFormat="1" applyBorder="1"/>
    <xf numFmtId="3" fontId="0" fillId="0" borderId="0" xfId="0" applyNumberFormat="1" applyBorder="1"/>
    <xf numFmtId="0" fontId="0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3" fontId="0" fillId="0" borderId="0" xfId="0" applyNumberFormat="1" applyFont="1"/>
    <xf numFmtId="0" fontId="0" fillId="0" borderId="0" xfId="0" applyNumberFormat="1"/>
    <xf numFmtId="3" fontId="0" fillId="0" borderId="1" xfId="0" applyNumberFormat="1" applyFont="1" applyBorder="1"/>
    <xf numFmtId="4" fontId="0" fillId="0" borderId="0" xfId="0" applyNumberFormat="1"/>
    <xf numFmtId="3" fontId="0" fillId="0" borderId="1" xfId="0" applyNumberFormat="1" applyBorder="1"/>
    <xf numFmtId="0" fontId="0" fillId="0" borderId="0" xfId="0" applyNumberFormat="1" applyFont="1"/>
    <xf numFmtId="0" fontId="17" fillId="0" borderId="0" xfId="0" applyFont="1"/>
    <xf numFmtId="6" fontId="1" fillId="7" borderId="0" xfId="0" applyNumberFormat="1" applyFont="1" applyFill="1" applyAlignment="1">
      <alignment horizontal="right"/>
    </xf>
    <xf numFmtId="0" fontId="0" fillId="7" borderId="0" xfId="0" applyFill="1" applyAlignment="1">
      <alignment horizontal="right"/>
    </xf>
    <xf numFmtId="165" fontId="0" fillId="7" borderId="0" xfId="0" applyNumberFormat="1" applyFill="1"/>
    <xf numFmtId="0" fontId="1" fillId="7" borderId="0" xfId="0" applyFont="1" applyFill="1"/>
    <xf numFmtId="166" fontId="1" fillId="7" borderId="0" xfId="0" applyNumberFormat="1" applyFont="1" applyFill="1"/>
    <xf numFmtId="165" fontId="0" fillId="0" borderId="0" xfId="0" applyNumberFormat="1" applyAlignment="1">
      <alignment horizontal="right"/>
    </xf>
    <xf numFmtId="0" fontId="0" fillId="8" borderId="0" xfId="0" applyFill="1"/>
    <xf numFmtId="0" fontId="1" fillId="9" borderId="0" xfId="0" applyFont="1" applyFill="1"/>
    <xf numFmtId="0" fontId="1" fillId="0" borderId="0" xfId="0" applyFont="1"/>
    <xf numFmtId="0" fontId="11" fillId="0" borderId="10" xfId="0" applyFont="1" applyBorder="1" applyAlignment="1"/>
    <xf numFmtId="0" fontId="11" fillId="0" borderId="2" xfId="0" applyFont="1" applyBorder="1" applyAlignment="1"/>
    <xf numFmtId="0" fontId="0" fillId="0" borderId="8" xfId="0" applyBorder="1" applyAlignment="1"/>
    <xf numFmtId="0" fontId="0" fillId="0" borderId="1" xfId="0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/>
    </xf>
    <xf numFmtId="0" fontId="6" fillId="5" borderId="7" xfId="0" applyNumberFormat="1" applyFont="1" applyFill="1" applyBorder="1" applyAlignment="1">
      <alignment horizontal="left" vertical="center" wrapText="1"/>
    </xf>
    <xf numFmtId="0" fontId="6" fillId="5" borderId="0" xfId="0" applyNumberFormat="1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center"/>
    </xf>
  </cellXfs>
  <cellStyles count="7">
    <cellStyle name="Comma" xfId="1" builtinId="3"/>
    <cellStyle name="Currency" xfId="2" builtinId="4"/>
    <cellStyle name="Followed Hyperlink" xfId="6" builtinId="9" hidden="1"/>
    <cellStyle name="Hyperlink" xfId="5" builtinId="8" hidden="1"/>
    <cellStyle name="Normal" xfId="0" builtinId="0"/>
    <cellStyle name="Normal_Ap4-Detailed cost-Jan10" xfId="4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rowe/Desktop/PHC%20info/Board%20Meetings/February%202011/Costing%20Board%20Book/RWA_FortCostBenefit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ensitivity Analysis"/>
      <sheetName val="Labor Force data"/>
      <sheetName val="Cost to Consumer"/>
      <sheetName val="Workforce"/>
      <sheetName val="Population"/>
      <sheetName val="Anemia Perinatal"/>
      <sheetName val="Anemia Children"/>
      <sheetName val="Anemia Adults"/>
      <sheetName val="NTD"/>
      <sheetName val="CHD"/>
      <sheetName val="VAD"/>
      <sheetName val="IDD"/>
      <sheetName val="Sugar Budget"/>
      <sheetName val="Vegetable Oil Budget"/>
      <sheetName val="Wheat Flour Budget"/>
      <sheetName val="Maize Flour Budget"/>
      <sheetName val="Salt Budget"/>
      <sheetName val="Sheet9 (2)"/>
    </sheetNames>
    <sheetDataSet>
      <sheetData sheetId="0"/>
      <sheetData sheetId="1">
        <row r="2">
          <cell r="F2">
            <v>0.05</v>
          </cell>
        </row>
        <row r="3">
          <cell r="F3">
            <v>429000</v>
          </cell>
        </row>
        <row r="4">
          <cell r="F4">
            <v>1698473</v>
          </cell>
        </row>
        <row r="5">
          <cell r="F5">
            <v>3645720</v>
          </cell>
        </row>
        <row r="6">
          <cell r="F6">
            <v>3779100</v>
          </cell>
        </row>
        <row r="7">
          <cell r="F7">
            <v>4446000</v>
          </cell>
        </row>
        <row r="8">
          <cell r="F8">
            <v>15</v>
          </cell>
        </row>
        <row r="9">
          <cell r="F9">
            <v>50</v>
          </cell>
        </row>
        <row r="10">
          <cell r="F10">
            <v>35</v>
          </cell>
        </row>
        <row r="11">
          <cell r="F11" t="e">
            <v>#VALUE!</v>
          </cell>
        </row>
        <row r="12">
          <cell r="F12" t="e">
            <v>#VALUE!</v>
          </cell>
        </row>
        <row r="13">
          <cell r="F13" t="e">
            <v>#VALUE!</v>
          </cell>
        </row>
        <row r="14">
          <cell r="F14">
            <v>371.65</v>
          </cell>
        </row>
        <row r="15">
          <cell r="F15" t="e">
            <v>#VALUE!</v>
          </cell>
        </row>
        <row r="16">
          <cell r="F16">
            <v>0</v>
          </cell>
        </row>
        <row r="17">
          <cell r="F17">
            <v>0.81399999999999995</v>
          </cell>
        </row>
        <row r="18">
          <cell r="F18">
            <v>0.80100000000000005</v>
          </cell>
        </row>
        <row r="19">
          <cell r="F19">
            <v>62</v>
          </cell>
        </row>
        <row r="20">
          <cell r="F20">
            <v>103</v>
          </cell>
        </row>
        <row r="21">
          <cell r="F21">
            <v>27</v>
          </cell>
        </row>
        <row r="22">
          <cell r="F22">
            <v>750</v>
          </cell>
        </row>
        <row r="23">
          <cell r="F23">
            <v>3.5000000000000003E-2</v>
          </cell>
        </row>
        <row r="24">
          <cell r="F24">
            <v>5700000000</v>
          </cell>
        </row>
        <row r="25">
          <cell r="F25">
            <v>588</v>
          </cell>
        </row>
      </sheetData>
      <sheetData sheetId="2"/>
      <sheetData sheetId="3"/>
      <sheetData sheetId="4">
        <row r="3">
          <cell r="C3">
            <v>210</v>
          </cell>
        </row>
        <row r="4">
          <cell r="C4">
            <v>328</v>
          </cell>
        </row>
        <row r="5">
          <cell r="B5" t="str">
            <v>Wheat Flour</v>
          </cell>
        </row>
        <row r="6">
          <cell r="B6" t="str">
            <v>Maize Flour</v>
          </cell>
        </row>
        <row r="7">
          <cell r="B7" t="str">
            <v>Salt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7"/>
  <sheetViews>
    <sheetView tabSelected="1" workbookViewId="0"/>
  </sheetViews>
  <sheetFormatPr defaultColWidth="11.5546875" defaultRowHeight="15" x14ac:dyDescent="0.2"/>
  <cols>
    <col min="1" max="1" width="4.6640625" customWidth="1"/>
    <col min="3" max="3" width="23.109375" customWidth="1"/>
    <col min="4" max="4" width="20.33203125" customWidth="1"/>
    <col min="5" max="5" width="12.6640625" customWidth="1"/>
    <col min="6" max="6" width="14.88671875" customWidth="1"/>
  </cols>
  <sheetData>
    <row r="2" spans="2:9" ht="20.25" x14ac:dyDescent="0.3">
      <c r="B2" s="149" t="s">
        <v>260</v>
      </c>
      <c r="C2" s="148"/>
    </row>
    <row r="3" spans="2:9" ht="15.75" x14ac:dyDescent="0.25">
      <c r="B3" s="183" t="s">
        <v>261</v>
      </c>
      <c r="C3" s="183"/>
    </row>
    <row r="4" spans="2:9" x14ac:dyDescent="0.2">
      <c r="B4" s="137" t="s">
        <v>262</v>
      </c>
      <c r="C4" s="138" t="s">
        <v>263</v>
      </c>
      <c r="D4" s="137" t="s">
        <v>264</v>
      </c>
    </row>
    <row r="5" spans="2:9" ht="15.75" x14ac:dyDescent="0.25">
      <c r="B5" t="s">
        <v>265</v>
      </c>
      <c r="D5" s="140">
        <f>Burundi!D12</f>
        <v>291873.25</v>
      </c>
      <c r="E5" s="140"/>
      <c r="F5" s="140"/>
    </row>
    <row r="6" spans="2:9" ht="15.75" x14ac:dyDescent="0.25">
      <c r="D6" s="139"/>
      <c r="E6" s="140"/>
      <c r="F6" s="140"/>
    </row>
    <row r="7" spans="2:9" ht="15.75" x14ac:dyDescent="0.25">
      <c r="D7" s="139"/>
      <c r="E7" s="140"/>
      <c r="F7" s="140"/>
    </row>
    <row r="8" spans="2:9" ht="15.75" x14ac:dyDescent="0.25">
      <c r="B8" s="184" t="s">
        <v>266</v>
      </c>
      <c r="C8" s="184"/>
    </row>
    <row r="9" spans="2:9" ht="15.75" x14ac:dyDescent="0.25">
      <c r="B9" s="141" t="s">
        <v>267</v>
      </c>
      <c r="C9" s="142"/>
      <c r="D9" s="5"/>
      <c r="E9" s="153">
        <f>Burundi!E33</f>
        <v>68569397.204999983</v>
      </c>
    </row>
    <row r="11" spans="2:9" ht="15.75" x14ac:dyDescent="0.25">
      <c r="F11" s="169">
        <v>2012</v>
      </c>
      <c r="G11" s="169">
        <v>2013</v>
      </c>
      <c r="H11" s="169">
        <v>2014</v>
      </c>
      <c r="I11" s="169">
        <v>2015</v>
      </c>
    </row>
    <row r="12" spans="2:9" ht="15.75" x14ac:dyDescent="0.25">
      <c r="B12" s="179" t="s">
        <v>268</v>
      </c>
      <c r="C12" s="180"/>
      <c r="D12" s="5" t="s">
        <v>269</v>
      </c>
      <c r="E12" s="154">
        <f>D5/E9</f>
        <v>4.2566109940764801E-3</v>
      </c>
      <c r="F12" s="160">
        <v>5.0000000000000001E-3</v>
      </c>
      <c r="G12" s="160">
        <v>6.0000000000000001E-3</v>
      </c>
      <c r="H12">
        <v>6.0000000000000001E-3</v>
      </c>
      <c r="I12">
        <v>4.3E-3</v>
      </c>
    </row>
    <row r="13" spans="2:9" ht="19.5" x14ac:dyDescent="0.35">
      <c r="B13" s="181" t="s">
        <v>270</v>
      </c>
      <c r="C13" s="182"/>
      <c r="D13" s="182"/>
      <c r="E13" s="143"/>
    </row>
    <row r="16" spans="2:9" ht="15.75" x14ac:dyDescent="0.25">
      <c r="B16" s="183" t="s">
        <v>271</v>
      </c>
      <c r="C16" s="183"/>
      <c r="D16" s="183"/>
      <c r="E16" s="183"/>
    </row>
    <row r="17" spans="1:9" ht="30" x14ac:dyDescent="0.2">
      <c r="C17" s="144" t="s">
        <v>272</v>
      </c>
      <c r="D17" s="145" t="s">
        <v>273</v>
      </c>
      <c r="E17" s="145" t="s">
        <v>274</v>
      </c>
      <c r="F17" s="145" t="s">
        <v>275</v>
      </c>
      <c r="G17" s="145" t="s">
        <v>276</v>
      </c>
    </row>
    <row r="18" spans="1:9" ht="15.75" x14ac:dyDescent="0.25">
      <c r="B18" s="5" t="s">
        <v>265</v>
      </c>
      <c r="C18" s="146">
        <f>Burundi!C41</f>
        <v>1844820.8</v>
      </c>
      <c r="D18" s="146">
        <f>Burundi!D41</f>
        <v>126206</v>
      </c>
      <c r="E18" s="146">
        <f>Burundi!E41</f>
        <v>37400</v>
      </c>
      <c r="F18" s="146">
        <f>Burundi!F41</f>
        <v>50000</v>
      </c>
      <c r="G18" s="147">
        <f>C18+D18+E18+F18</f>
        <v>2058426.8</v>
      </c>
    </row>
    <row r="20" spans="1:9" ht="15.75" x14ac:dyDescent="0.25">
      <c r="B20" s="179" t="s">
        <v>277</v>
      </c>
      <c r="C20" s="180"/>
      <c r="D20" s="5" t="s">
        <v>269</v>
      </c>
      <c r="E20" s="154">
        <f>G18/E9</f>
        <v>3.0019613470510464E-2</v>
      </c>
      <c r="F20" s="169">
        <v>2012</v>
      </c>
      <c r="G20" s="169">
        <v>2013</v>
      </c>
      <c r="H20" s="169">
        <v>2014</v>
      </c>
      <c r="I20" s="169">
        <v>2015</v>
      </c>
    </row>
    <row r="21" spans="1:9" ht="19.5" x14ac:dyDescent="0.35">
      <c r="B21" s="181" t="s">
        <v>270</v>
      </c>
      <c r="C21" s="182"/>
      <c r="D21" s="182"/>
      <c r="E21" s="143"/>
      <c r="F21">
        <v>1.7000000000000001E-2</v>
      </c>
      <c r="G21">
        <v>1.7000000000000001E-2</v>
      </c>
      <c r="H21">
        <v>1.4999999999999999E-2</v>
      </c>
      <c r="I21">
        <v>0.03</v>
      </c>
    </row>
    <row r="22" spans="1:9" x14ac:dyDescent="0.2">
      <c r="B22" s="150"/>
      <c r="C22" s="150"/>
      <c r="D22" s="150"/>
      <c r="E22" s="150"/>
    </row>
    <row r="23" spans="1:9" x14ac:dyDescent="0.2">
      <c r="B23" s="150"/>
      <c r="C23" s="150"/>
      <c r="D23" s="150"/>
      <c r="E23" s="150"/>
    </row>
    <row r="24" spans="1:9" x14ac:dyDescent="0.2">
      <c r="B24" s="150"/>
      <c r="C24" s="150"/>
      <c r="D24" s="150"/>
      <c r="E24" s="150"/>
    </row>
    <row r="25" spans="1:9" x14ac:dyDescent="0.2">
      <c r="B25" s="150"/>
      <c r="C25" s="150"/>
      <c r="D25" s="150"/>
      <c r="E25" s="150"/>
    </row>
    <row r="26" spans="1:9" x14ac:dyDescent="0.2">
      <c r="B26" s="150"/>
      <c r="C26" s="150"/>
      <c r="D26" s="150"/>
      <c r="E26" s="150"/>
    </row>
    <row r="28" spans="1:9" ht="15.75" thickBot="1" x14ac:dyDescent="0.25">
      <c r="A28" s="151"/>
      <c r="B28" s="151"/>
      <c r="C28" s="151"/>
      <c r="D28" s="151"/>
      <c r="E28" s="151"/>
      <c r="F28" s="151"/>
      <c r="G28" s="151"/>
    </row>
    <row r="29" spans="1:9" ht="20.25" x14ac:dyDescent="0.3">
      <c r="B29" s="149" t="s">
        <v>278</v>
      </c>
      <c r="C29" s="148"/>
    </row>
    <row r="30" spans="1:9" ht="15.75" x14ac:dyDescent="0.25">
      <c r="B30" s="183" t="s">
        <v>261</v>
      </c>
      <c r="C30" s="183"/>
    </row>
    <row r="31" spans="1:9" x14ac:dyDescent="0.2">
      <c r="B31" s="137" t="s">
        <v>262</v>
      </c>
      <c r="C31" s="138" t="s">
        <v>263</v>
      </c>
      <c r="D31" s="137" t="s">
        <v>264</v>
      </c>
    </row>
    <row r="32" spans="1:9" ht="15.75" x14ac:dyDescent="0.25">
      <c r="B32" t="s">
        <v>265</v>
      </c>
      <c r="D32" s="140">
        <f>Malawi!D12</f>
        <v>345357</v>
      </c>
      <c r="E32" s="140"/>
      <c r="F32" s="140"/>
    </row>
    <row r="33" spans="2:10" ht="15.75" x14ac:dyDescent="0.25">
      <c r="D33" s="139"/>
      <c r="E33" s="140"/>
      <c r="F33" s="140"/>
    </row>
    <row r="34" spans="2:10" ht="15.75" x14ac:dyDescent="0.25">
      <c r="D34" s="139"/>
      <c r="E34" s="140"/>
      <c r="F34" s="140"/>
    </row>
    <row r="35" spans="2:10" ht="15.75" x14ac:dyDescent="0.25">
      <c r="B35" s="184" t="s">
        <v>266</v>
      </c>
      <c r="C35" s="184"/>
    </row>
    <row r="36" spans="2:10" ht="15.75" x14ac:dyDescent="0.25">
      <c r="B36" s="141" t="s">
        <v>279</v>
      </c>
      <c r="C36" s="142"/>
      <c r="D36" s="5"/>
      <c r="E36" s="153">
        <f>Malawi!E33</f>
        <v>53213123.439999998</v>
      </c>
    </row>
    <row r="38" spans="2:10" ht="15.75" x14ac:dyDescent="0.25">
      <c r="F38" s="169">
        <v>2011</v>
      </c>
      <c r="G38" s="169">
        <v>2012</v>
      </c>
      <c r="H38" s="169">
        <v>2013</v>
      </c>
      <c r="I38" s="169">
        <v>2014</v>
      </c>
      <c r="J38" s="169">
        <v>2015</v>
      </c>
    </row>
    <row r="39" spans="2:10" ht="15.75" x14ac:dyDescent="0.25">
      <c r="B39" s="179" t="s">
        <v>268</v>
      </c>
      <c r="C39" s="180"/>
      <c r="D39" s="5" t="s">
        <v>269</v>
      </c>
      <c r="E39" s="154">
        <f>D32/E36</f>
        <v>6.4900719535737148E-3</v>
      </c>
      <c r="F39" s="168">
        <v>5.0000000000000001E-3</v>
      </c>
      <c r="G39" s="160">
        <v>6.0000000000000001E-3</v>
      </c>
      <c r="H39">
        <v>6.0000000000000001E-3</v>
      </c>
      <c r="I39">
        <v>6.0000000000000001E-3</v>
      </c>
      <c r="J39">
        <v>6.4999999999999997E-3</v>
      </c>
    </row>
    <row r="40" spans="2:10" ht="19.5" x14ac:dyDescent="0.35">
      <c r="B40" s="181" t="s">
        <v>270</v>
      </c>
      <c r="C40" s="182"/>
      <c r="D40" s="182"/>
      <c r="E40" s="143"/>
    </row>
    <row r="43" spans="2:10" ht="15.75" x14ac:dyDescent="0.25">
      <c r="B43" s="183" t="s">
        <v>271</v>
      </c>
      <c r="C43" s="183"/>
      <c r="D43" s="183"/>
      <c r="E43" s="183"/>
    </row>
    <row r="44" spans="2:10" ht="30" x14ac:dyDescent="0.2">
      <c r="C44" s="144" t="s">
        <v>272</v>
      </c>
      <c r="D44" s="145" t="s">
        <v>273</v>
      </c>
      <c r="E44" s="145" t="s">
        <v>274</v>
      </c>
      <c r="F44" s="145" t="s">
        <v>275</v>
      </c>
      <c r="G44" s="145" t="s">
        <v>276</v>
      </c>
    </row>
    <row r="45" spans="2:10" ht="15.75" x14ac:dyDescent="0.25">
      <c r="B45" s="5" t="s">
        <v>265</v>
      </c>
      <c r="C45" s="146">
        <f>Malawi!C43</f>
        <v>5560900</v>
      </c>
      <c r="D45" s="146">
        <f>Malawi!D43</f>
        <v>126206</v>
      </c>
      <c r="E45" s="146">
        <f>Malawi!E43</f>
        <v>37400</v>
      </c>
      <c r="F45" s="146">
        <f>Malawi!F43</f>
        <v>50000</v>
      </c>
      <c r="G45" s="147">
        <f>C45+D45+E45+F45</f>
        <v>5774506</v>
      </c>
      <c r="I45" s="139"/>
    </row>
    <row r="47" spans="2:10" ht="15.75" x14ac:dyDescent="0.25">
      <c r="F47" s="169">
        <v>2011</v>
      </c>
      <c r="G47" s="169">
        <v>2012</v>
      </c>
      <c r="H47" s="169">
        <v>2013</v>
      </c>
      <c r="I47" s="169">
        <v>2014</v>
      </c>
      <c r="J47" s="169">
        <v>2015</v>
      </c>
    </row>
    <row r="48" spans="2:10" ht="15.75" x14ac:dyDescent="0.25">
      <c r="B48" s="179" t="s">
        <v>277</v>
      </c>
      <c r="C48" s="180"/>
      <c r="D48" s="5" t="s">
        <v>269</v>
      </c>
      <c r="E48" s="154">
        <f>G45/E36</f>
        <v>0.10851657686493436</v>
      </c>
      <c r="F48" s="160">
        <v>5.8000000000000003E-2</v>
      </c>
      <c r="G48" s="160">
        <v>9.6000000000000002E-2</v>
      </c>
      <c r="H48">
        <v>0.108</v>
      </c>
      <c r="I48">
        <v>0.108</v>
      </c>
      <c r="J48">
        <v>0.109</v>
      </c>
    </row>
    <row r="49" spans="1:7" ht="19.5" x14ac:dyDescent="0.35">
      <c r="B49" s="181" t="s">
        <v>270</v>
      </c>
      <c r="C49" s="182"/>
      <c r="D49" s="182"/>
      <c r="E49" s="143"/>
    </row>
    <row r="50" spans="1:7" x14ac:dyDescent="0.2">
      <c r="B50" s="150"/>
      <c r="C50" s="150"/>
      <c r="D50" s="150"/>
      <c r="E50" s="150"/>
    </row>
    <row r="51" spans="1:7" x14ac:dyDescent="0.2">
      <c r="B51" s="150"/>
      <c r="C51" s="150"/>
      <c r="D51" s="150"/>
      <c r="E51" s="150"/>
    </row>
    <row r="52" spans="1:7" x14ac:dyDescent="0.2">
      <c r="B52" s="150"/>
      <c r="C52" s="150"/>
      <c r="D52" s="150"/>
      <c r="E52" s="150"/>
    </row>
    <row r="53" spans="1:7" x14ac:dyDescent="0.2">
      <c r="B53" s="150"/>
      <c r="C53" s="150"/>
      <c r="D53" s="150"/>
      <c r="E53" s="150"/>
    </row>
    <row r="54" spans="1:7" x14ac:dyDescent="0.2">
      <c r="B54" s="150"/>
      <c r="C54" s="150"/>
      <c r="D54" s="150"/>
      <c r="E54" s="150"/>
    </row>
    <row r="56" spans="1:7" ht="15.75" thickBot="1" x14ac:dyDescent="0.25">
      <c r="A56" s="151"/>
      <c r="B56" s="151"/>
      <c r="C56" s="151"/>
      <c r="D56" s="151"/>
      <c r="E56" s="151"/>
      <c r="F56" s="151"/>
      <c r="G56" s="151"/>
    </row>
    <row r="57" spans="1:7" ht="20.25" x14ac:dyDescent="0.3">
      <c r="B57" s="149" t="s">
        <v>280</v>
      </c>
      <c r="C57" s="148"/>
    </row>
    <row r="58" spans="1:7" ht="15.75" x14ac:dyDescent="0.25">
      <c r="B58" s="183" t="s">
        <v>261</v>
      </c>
      <c r="C58" s="183"/>
    </row>
    <row r="59" spans="1:7" ht="30" x14ac:dyDescent="0.2">
      <c r="B59" s="137" t="s">
        <v>262</v>
      </c>
      <c r="C59" s="138" t="s">
        <v>281</v>
      </c>
      <c r="D59" s="137" t="s">
        <v>264</v>
      </c>
    </row>
    <row r="60" spans="1:7" ht="15.75" x14ac:dyDescent="0.25">
      <c r="B60" t="s">
        <v>265</v>
      </c>
      <c r="D60" s="152">
        <f>Rwanda!D15</f>
        <v>707664</v>
      </c>
      <c r="E60" s="140"/>
      <c r="F60" s="140"/>
    </row>
    <row r="61" spans="1:7" ht="15.75" x14ac:dyDescent="0.25">
      <c r="D61" s="139"/>
      <c r="E61" s="140"/>
      <c r="F61" s="140"/>
    </row>
    <row r="62" spans="1:7" ht="15.75" x14ac:dyDescent="0.25">
      <c r="D62" s="139"/>
      <c r="E62" s="140"/>
      <c r="F62" s="140"/>
    </row>
    <row r="63" spans="1:7" ht="15.75" x14ac:dyDescent="0.25">
      <c r="B63" s="184" t="s">
        <v>266</v>
      </c>
      <c r="C63" s="184"/>
    </row>
    <row r="64" spans="1:7" ht="15.75" x14ac:dyDescent="0.25">
      <c r="B64" s="141" t="s">
        <v>279</v>
      </c>
      <c r="C64" s="142"/>
      <c r="D64" s="5"/>
      <c r="E64" s="153">
        <f>Rwanda!E36</f>
        <v>69206242.839999989</v>
      </c>
    </row>
    <row r="66" spans="2:10" ht="15.75" x14ac:dyDescent="0.25">
      <c r="F66" s="169">
        <v>2011</v>
      </c>
      <c r="G66" s="169">
        <v>2012</v>
      </c>
      <c r="H66" s="169">
        <v>2013</v>
      </c>
      <c r="I66" s="169">
        <v>2014</v>
      </c>
      <c r="J66" s="169">
        <v>2015</v>
      </c>
    </row>
    <row r="67" spans="2:10" ht="15.75" x14ac:dyDescent="0.25">
      <c r="B67" s="179" t="s">
        <v>268</v>
      </c>
      <c r="C67" s="180"/>
      <c r="D67" s="5" t="s">
        <v>269</v>
      </c>
      <c r="E67" s="154">
        <f>D60/E64</f>
        <v>1.022543589941835E-2</v>
      </c>
      <c r="F67" s="160">
        <v>8.9999999999999993E-3</v>
      </c>
      <c r="G67" s="160">
        <v>8.9999999999999993E-3</v>
      </c>
      <c r="H67">
        <v>8.0000000000000002E-3</v>
      </c>
      <c r="I67">
        <v>1.2E-2</v>
      </c>
      <c r="J67">
        <v>1.0200000000000001E-2</v>
      </c>
    </row>
    <row r="68" spans="2:10" ht="19.5" x14ac:dyDescent="0.35">
      <c r="B68" s="181" t="s">
        <v>270</v>
      </c>
      <c r="C68" s="182"/>
      <c r="D68" s="182"/>
      <c r="E68" s="143"/>
    </row>
    <row r="71" spans="2:10" ht="15.75" x14ac:dyDescent="0.25">
      <c r="B71" s="183" t="s">
        <v>271</v>
      </c>
      <c r="C71" s="183"/>
      <c r="D71" s="183"/>
      <c r="E71" s="183"/>
    </row>
    <row r="72" spans="2:10" ht="30" x14ac:dyDescent="0.2">
      <c r="C72" s="144" t="s">
        <v>272</v>
      </c>
      <c r="D72" s="145" t="s">
        <v>273</v>
      </c>
      <c r="E72" s="145" t="s">
        <v>274</v>
      </c>
      <c r="F72" s="145" t="s">
        <v>275</v>
      </c>
      <c r="G72" s="145" t="s">
        <v>276</v>
      </c>
    </row>
    <row r="73" spans="2:10" ht="15.75" x14ac:dyDescent="0.25">
      <c r="B73" s="5" t="s">
        <v>265</v>
      </c>
      <c r="C73" s="146">
        <f>Rwanda!C45</f>
        <v>1027715</v>
      </c>
      <c r="D73" s="146">
        <f>Rwanda!D45</f>
        <v>126000</v>
      </c>
      <c r="E73" s="146">
        <f>Rwanda!E45</f>
        <v>37400</v>
      </c>
      <c r="F73" s="146">
        <f>Rwanda!F45</f>
        <v>50000</v>
      </c>
      <c r="G73" s="147">
        <f>SUM(C73:F73)</f>
        <v>1241115</v>
      </c>
    </row>
    <row r="75" spans="2:10" ht="15.75" x14ac:dyDescent="0.25">
      <c r="F75" s="169">
        <v>2011</v>
      </c>
      <c r="G75" s="169">
        <v>2012</v>
      </c>
      <c r="H75" s="169">
        <v>2013</v>
      </c>
      <c r="I75" s="169">
        <v>2014</v>
      </c>
      <c r="J75" s="169">
        <v>2015</v>
      </c>
    </row>
    <row r="76" spans="2:10" ht="15.75" x14ac:dyDescent="0.25">
      <c r="B76" s="179" t="s">
        <v>277</v>
      </c>
      <c r="C76" s="180"/>
      <c r="D76" s="5" t="s">
        <v>269</v>
      </c>
      <c r="E76" s="154">
        <f>G73/E64</f>
        <v>1.7933569994102574E-2</v>
      </c>
      <c r="F76">
        <v>1.0999999999999999E-2</v>
      </c>
      <c r="G76">
        <v>1.0999999999999999E-2</v>
      </c>
      <c r="H76">
        <v>1.0999999999999999E-2</v>
      </c>
      <c r="I76">
        <v>1.4999999999999999E-2</v>
      </c>
      <c r="J76">
        <v>1.7899999999999999E-2</v>
      </c>
    </row>
    <row r="77" spans="2:10" ht="19.5" x14ac:dyDescent="0.35">
      <c r="B77" s="181" t="s">
        <v>270</v>
      </c>
      <c r="C77" s="182"/>
      <c r="D77" s="182"/>
      <c r="E77" s="143"/>
    </row>
    <row r="78" spans="2:10" x14ac:dyDescent="0.2">
      <c r="B78" s="150"/>
      <c r="C78" s="150"/>
      <c r="D78" s="150"/>
      <c r="E78" s="150"/>
    </row>
    <row r="79" spans="2:10" x14ac:dyDescent="0.2">
      <c r="B79" s="150"/>
      <c r="C79" s="150"/>
      <c r="D79" s="150"/>
      <c r="E79" s="150"/>
    </row>
    <row r="80" spans="2:10" x14ac:dyDescent="0.2">
      <c r="B80" s="150"/>
      <c r="C80" s="150"/>
      <c r="D80" s="150"/>
      <c r="E80" s="150"/>
    </row>
    <row r="81" spans="1:10" x14ac:dyDescent="0.2">
      <c r="B81" s="150"/>
      <c r="C81" s="150"/>
      <c r="D81" s="150"/>
      <c r="E81" s="150"/>
    </row>
    <row r="82" spans="1:10" x14ac:dyDescent="0.2">
      <c r="B82" s="150"/>
      <c r="C82" s="150"/>
      <c r="D82" s="150"/>
      <c r="E82" s="150"/>
    </row>
    <row r="83" spans="1:10" x14ac:dyDescent="0.2">
      <c r="B83" s="150"/>
      <c r="C83" s="150"/>
      <c r="D83" s="150"/>
      <c r="E83" s="150"/>
    </row>
    <row r="84" spans="1:10" ht="15.75" thickBot="1" x14ac:dyDescent="0.25">
      <c r="A84" s="151"/>
      <c r="B84" s="151"/>
      <c r="C84" s="151"/>
      <c r="D84" s="151"/>
      <c r="E84" s="151"/>
      <c r="F84" s="151"/>
      <c r="G84" s="151"/>
    </row>
    <row r="85" spans="1:10" ht="20.25" x14ac:dyDescent="0.3">
      <c r="B85" s="149" t="s">
        <v>282</v>
      </c>
      <c r="C85" s="148"/>
    </row>
    <row r="86" spans="1:10" ht="15.75" x14ac:dyDescent="0.25">
      <c r="B86" s="183" t="s">
        <v>261</v>
      </c>
      <c r="C86" s="183"/>
    </row>
    <row r="87" spans="1:10" x14ac:dyDescent="0.2">
      <c r="B87" s="137" t="s">
        <v>262</v>
      </c>
      <c r="C87" s="138" t="s">
        <v>263</v>
      </c>
      <c r="D87" s="137" t="s">
        <v>264</v>
      </c>
    </row>
    <row r="88" spans="1:10" ht="15.75" x14ac:dyDescent="0.25">
      <c r="B88" t="s">
        <v>265</v>
      </c>
      <c r="D88" s="152">
        <f>Liberia!D14</f>
        <v>447429</v>
      </c>
      <c r="E88" s="140"/>
      <c r="F88" s="140"/>
    </row>
    <row r="89" spans="1:10" ht="15.75" x14ac:dyDescent="0.25">
      <c r="D89" s="139"/>
      <c r="E89" s="140"/>
      <c r="F89" s="140"/>
    </row>
    <row r="90" spans="1:10" ht="15.75" x14ac:dyDescent="0.25">
      <c r="D90" s="139"/>
      <c r="E90" s="140"/>
      <c r="F90" s="140"/>
    </row>
    <row r="91" spans="1:10" ht="15.75" x14ac:dyDescent="0.25">
      <c r="B91" s="184" t="s">
        <v>266</v>
      </c>
      <c r="C91" s="184"/>
    </row>
    <row r="92" spans="1:10" ht="15.75" x14ac:dyDescent="0.25">
      <c r="B92" s="141" t="s">
        <v>279</v>
      </c>
      <c r="C92" s="142"/>
      <c r="D92" s="5"/>
      <c r="E92" s="153">
        <f>Liberia!E33</f>
        <v>22680470</v>
      </c>
    </row>
    <row r="94" spans="1:10" ht="15.75" x14ac:dyDescent="0.25">
      <c r="F94" s="169">
        <v>2011</v>
      </c>
      <c r="G94" s="169">
        <v>2012</v>
      </c>
      <c r="H94" s="169">
        <v>2013</v>
      </c>
      <c r="I94" s="169">
        <v>2014</v>
      </c>
      <c r="J94" s="169">
        <v>2015</v>
      </c>
    </row>
    <row r="95" spans="1:10" ht="15.75" x14ac:dyDescent="0.25">
      <c r="B95" s="179" t="s">
        <v>268</v>
      </c>
      <c r="C95" s="180"/>
      <c r="D95" s="5" t="s">
        <v>269</v>
      </c>
      <c r="E95" s="154">
        <f>D88/E92</f>
        <v>1.9727501237849127E-2</v>
      </c>
      <c r="F95" s="160">
        <v>3.6999999999999998E-2</v>
      </c>
      <c r="G95" s="160">
        <v>1.6E-2</v>
      </c>
      <c r="H95">
        <v>1.4999999999999999E-2</v>
      </c>
      <c r="I95">
        <v>2.9000000000000001E-2</v>
      </c>
      <c r="J95">
        <v>0.02</v>
      </c>
    </row>
    <row r="96" spans="1:10" ht="19.5" x14ac:dyDescent="0.35">
      <c r="B96" s="181" t="s">
        <v>270</v>
      </c>
      <c r="C96" s="182"/>
      <c r="D96" s="182"/>
      <c r="E96" s="143"/>
    </row>
    <row r="99" spans="1:10" ht="15.75" x14ac:dyDescent="0.25">
      <c r="B99" s="183" t="s">
        <v>271</v>
      </c>
      <c r="C99" s="183"/>
      <c r="D99" s="183"/>
      <c r="E99" s="183"/>
    </row>
    <row r="100" spans="1:10" ht="30" x14ac:dyDescent="0.2">
      <c r="C100" s="144" t="s">
        <v>272</v>
      </c>
      <c r="D100" s="145" t="s">
        <v>273</v>
      </c>
      <c r="E100" s="145" t="s">
        <v>274</v>
      </c>
      <c r="F100" s="145" t="s">
        <v>275</v>
      </c>
      <c r="G100" s="145" t="s">
        <v>276</v>
      </c>
    </row>
    <row r="101" spans="1:10" ht="15.75" x14ac:dyDescent="0.25">
      <c r="B101" s="5" t="s">
        <v>265</v>
      </c>
      <c r="C101" s="146">
        <f>Liberia!C39</f>
        <v>369610</v>
      </c>
      <c r="D101" s="146">
        <f>Liberia!D39</f>
        <v>126000</v>
      </c>
      <c r="E101" s="146">
        <f>Liberia!E39</f>
        <v>37400</v>
      </c>
      <c r="F101" s="146">
        <f>Liberia!F39</f>
        <v>50000</v>
      </c>
      <c r="G101" s="147">
        <f>SUM(C101:F101)</f>
        <v>583010</v>
      </c>
    </row>
    <row r="103" spans="1:10" ht="15.75" x14ac:dyDescent="0.25">
      <c r="F103" s="169">
        <v>2011</v>
      </c>
      <c r="G103" s="169">
        <v>2012</v>
      </c>
      <c r="H103" s="169">
        <v>2013</v>
      </c>
      <c r="I103" s="169">
        <v>2014</v>
      </c>
      <c r="J103" s="169">
        <v>2015</v>
      </c>
    </row>
    <row r="104" spans="1:10" ht="15.75" x14ac:dyDescent="0.25">
      <c r="B104" s="179" t="s">
        <v>277</v>
      </c>
      <c r="C104" s="180"/>
      <c r="D104" s="5" t="s">
        <v>269</v>
      </c>
      <c r="E104" s="154">
        <f>G101/E92</f>
        <v>2.5705375594068377E-2</v>
      </c>
      <c r="F104">
        <v>9.9000000000000005E-2</v>
      </c>
      <c r="G104">
        <v>1.4E-2</v>
      </c>
      <c r="H104">
        <v>1.4E-2</v>
      </c>
      <c r="I104">
        <v>0.02</v>
      </c>
      <c r="J104">
        <v>2.5999999999999999E-2</v>
      </c>
    </row>
    <row r="105" spans="1:10" ht="19.5" x14ac:dyDescent="0.35">
      <c r="B105" s="181" t="s">
        <v>270</v>
      </c>
      <c r="C105" s="182"/>
      <c r="D105" s="182"/>
      <c r="E105" s="143"/>
    </row>
    <row r="112" spans="1:10" ht="15.75" thickBot="1" x14ac:dyDescent="0.25">
      <c r="A112" s="151"/>
      <c r="B112" s="151"/>
      <c r="C112" s="151"/>
      <c r="D112" s="151"/>
      <c r="E112" s="151"/>
      <c r="F112" s="151"/>
      <c r="G112" s="151"/>
    </row>
    <row r="113" spans="2:9" ht="20.25" x14ac:dyDescent="0.3">
      <c r="B113" s="149" t="s">
        <v>283</v>
      </c>
      <c r="C113" s="148"/>
    </row>
    <row r="114" spans="2:9" ht="15.75" x14ac:dyDescent="0.25">
      <c r="B114" s="183" t="s">
        <v>261</v>
      </c>
      <c r="C114" s="183"/>
    </row>
    <row r="115" spans="2:9" x14ac:dyDescent="0.2">
      <c r="B115" s="137" t="s">
        <v>262</v>
      </c>
      <c r="C115" s="138" t="s">
        <v>284</v>
      </c>
      <c r="D115" s="137" t="s">
        <v>264</v>
      </c>
    </row>
    <row r="116" spans="2:9" ht="15.75" x14ac:dyDescent="0.25">
      <c r="B116" t="s">
        <v>265</v>
      </c>
      <c r="D116" s="152">
        <f>Zimbabwe!D10</f>
        <v>236607</v>
      </c>
      <c r="E116" s="140"/>
      <c r="F116" s="140"/>
    </row>
    <row r="117" spans="2:9" ht="15.75" x14ac:dyDescent="0.25">
      <c r="D117" s="139"/>
      <c r="E117" s="140"/>
      <c r="F117" s="140"/>
    </row>
    <row r="118" spans="2:9" ht="15.75" x14ac:dyDescent="0.25">
      <c r="D118" s="139"/>
      <c r="E118" s="140"/>
      <c r="F118" s="140"/>
    </row>
    <row r="119" spans="2:9" ht="15.75" x14ac:dyDescent="0.25">
      <c r="B119" s="184" t="s">
        <v>266</v>
      </c>
      <c r="C119" s="184"/>
    </row>
    <row r="120" spans="2:9" ht="15.75" x14ac:dyDescent="0.25">
      <c r="B120" s="141" t="s">
        <v>279</v>
      </c>
      <c r="C120" s="142"/>
      <c r="D120" s="5"/>
      <c r="E120" s="153">
        <f>Zimbabwe!E31</f>
        <v>72800000</v>
      </c>
    </row>
    <row r="122" spans="2:9" ht="15.75" x14ac:dyDescent="0.25">
      <c r="F122" s="169">
        <v>2014</v>
      </c>
      <c r="G122" s="169">
        <v>2015</v>
      </c>
      <c r="H122" s="169"/>
      <c r="I122" s="169"/>
    </row>
    <row r="123" spans="2:9" ht="15.75" x14ac:dyDescent="0.25">
      <c r="B123" s="179" t="s">
        <v>268</v>
      </c>
      <c r="C123" s="180"/>
      <c r="D123" s="5" t="s">
        <v>269</v>
      </c>
      <c r="E123" s="154">
        <f>D116/E120</f>
        <v>3.2500961538461538E-3</v>
      </c>
      <c r="F123" s="160">
        <v>4.0000000000000001E-3</v>
      </c>
      <c r="G123" s="160">
        <v>3.3E-3</v>
      </c>
    </row>
    <row r="124" spans="2:9" ht="19.5" x14ac:dyDescent="0.35">
      <c r="B124" s="181" t="s">
        <v>270</v>
      </c>
      <c r="C124" s="182"/>
      <c r="D124" s="182"/>
      <c r="E124" s="143"/>
    </row>
    <row r="127" spans="2:9" ht="15.75" x14ac:dyDescent="0.25">
      <c r="B127" s="183" t="s">
        <v>271</v>
      </c>
      <c r="C127" s="183"/>
      <c r="D127" s="183"/>
      <c r="E127" s="183"/>
    </row>
    <row r="128" spans="2:9" ht="30" x14ac:dyDescent="0.2">
      <c r="C128" s="144" t="s">
        <v>272</v>
      </c>
      <c r="D128" s="145" t="s">
        <v>273</v>
      </c>
      <c r="E128" s="145" t="s">
        <v>274</v>
      </c>
      <c r="F128" s="145" t="s">
        <v>275</v>
      </c>
      <c r="G128" s="145" t="s">
        <v>276</v>
      </c>
    </row>
    <row r="129" spans="1:9" ht="15.75" x14ac:dyDescent="0.25">
      <c r="B129" s="5" t="s">
        <v>265</v>
      </c>
      <c r="C129" s="146">
        <f>Zimbabwe!C39</f>
        <v>5339295</v>
      </c>
      <c r="D129" s="146">
        <f>Zimbabwe!D39</f>
        <v>126206</v>
      </c>
      <c r="E129" s="146">
        <f>Zimbabwe!E39</f>
        <v>37400</v>
      </c>
      <c r="F129" s="146">
        <f>Zimbabwe!F39</f>
        <v>50000</v>
      </c>
      <c r="G129" s="147">
        <f>SUM(C129:F129)</f>
        <v>5552901</v>
      </c>
    </row>
    <row r="131" spans="1:9" ht="15.75" x14ac:dyDescent="0.25">
      <c r="F131" s="169">
        <v>2014</v>
      </c>
      <c r="G131" s="169">
        <v>2015</v>
      </c>
      <c r="H131" s="169"/>
      <c r="I131" s="169"/>
    </row>
    <row r="132" spans="1:9" ht="15.75" x14ac:dyDescent="0.25">
      <c r="B132" s="179" t="s">
        <v>277</v>
      </c>
      <c r="C132" s="180"/>
      <c r="D132" s="5" t="s">
        <v>269</v>
      </c>
      <c r="E132" s="154">
        <f>G129/E120</f>
        <v>7.6276112637362642E-2</v>
      </c>
      <c r="F132">
        <v>1.4999999999999999E-2</v>
      </c>
    </row>
    <row r="133" spans="1:9" ht="19.5" x14ac:dyDescent="0.35">
      <c r="B133" s="181" t="s">
        <v>270</v>
      </c>
      <c r="C133" s="182"/>
      <c r="D133" s="182"/>
      <c r="E133" s="143"/>
    </row>
    <row r="136" spans="1:9" ht="15.75" thickBot="1" x14ac:dyDescent="0.25">
      <c r="A136" s="151"/>
      <c r="B136" s="151"/>
      <c r="C136" s="151"/>
      <c r="D136" s="151"/>
      <c r="E136" s="151"/>
      <c r="F136" s="151"/>
      <c r="G136" s="151"/>
    </row>
    <row r="137" spans="1:9" ht="20.25" x14ac:dyDescent="0.3">
      <c r="B137" s="149" t="s">
        <v>325</v>
      </c>
      <c r="C137" s="148"/>
    </row>
    <row r="138" spans="1:9" ht="15.75" x14ac:dyDescent="0.25">
      <c r="B138" s="183" t="s">
        <v>261</v>
      </c>
      <c r="C138" s="183"/>
    </row>
    <row r="139" spans="1:9" x14ac:dyDescent="0.2">
      <c r="B139" s="137" t="s">
        <v>262</v>
      </c>
      <c r="C139" s="138" t="s">
        <v>263</v>
      </c>
      <c r="D139" s="137" t="s">
        <v>264</v>
      </c>
    </row>
    <row r="140" spans="1:9" ht="15.75" x14ac:dyDescent="0.25">
      <c r="B140" t="s">
        <v>265</v>
      </c>
      <c r="D140" s="152">
        <f>'Sierra Leone'!D10</f>
        <v>205700</v>
      </c>
      <c r="E140" s="140"/>
      <c r="F140" s="140"/>
    </row>
    <row r="141" spans="1:9" ht="15.75" x14ac:dyDescent="0.25">
      <c r="D141" s="139"/>
      <c r="E141" s="140"/>
      <c r="F141" s="140"/>
    </row>
    <row r="142" spans="1:9" ht="15.75" x14ac:dyDescent="0.25">
      <c r="D142" s="139"/>
      <c r="E142" s="140"/>
      <c r="F142" s="140"/>
    </row>
    <row r="143" spans="1:9" ht="15.75" x14ac:dyDescent="0.25">
      <c r="B143" s="184" t="s">
        <v>266</v>
      </c>
      <c r="C143" s="184"/>
    </row>
    <row r="144" spans="1:9" ht="15.75" x14ac:dyDescent="0.25">
      <c r="B144" s="141" t="s">
        <v>279</v>
      </c>
      <c r="C144" s="142"/>
      <c r="D144" s="5"/>
      <c r="E144" s="153">
        <f>'Sierra Leone'!E26</f>
        <v>35160000</v>
      </c>
    </row>
    <row r="146" spans="2:9" ht="15.75" x14ac:dyDescent="0.25">
      <c r="F146" s="169">
        <v>2014</v>
      </c>
      <c r="G146" s="169"/>
      <c r="H146" s="169"/>
      <c r="I146" s="169"/>
    </row>
    <row r="147" spans="2:9" ht="15.75" x14ac:dyDescent="0.25">
      <c r="B147" s="179" t="s">
        <v>268</v>
      </c>
      <c r="C147" s="180"/>
      <c r="D147" s="5" t="s">
        <v>269</v>
      </c>
      <c r="E147" s="154">
        <f>D140/E144</f>
        <v>5.8503981797497157E-3</v>
      </c>
      <c r="F147" s="160">
        <v>3.0000000000000001E-3</v>
      </c>
      <c r="G147" s="160"/>
    </row>
    <row r="148" spans="2:9" ht="19.5" x14ac:dyDescent="0.35">
      <c r="B148" s="181" t="s">
        <v>270</v>
      </c>
      <c r="C148" s="182"/>
      <c r="D148" s="182"/>
      <c r="E148" s="143"/>
    </row>
    <row r="151" spans="2:9" ht="15.75" x14ac:dyDescent="0.25">
      <c r="B151" s="183" t="s">
        <v>271</v>
      </c>
      <c r="C151" s="183"/>
      <c r="D151" s="183"/>
      <c r="E151" s="183"/>
    </row>
    <row r="152" spans="2:9" ht="30" x14ac:dyDescent="0.2">
      <c r="C152" s="144" t="s">
        <v>272</v>
      </c>
      <c r="D152" s="145" t="s">
        <v>273</v>
      </c>
      <c r="E152" s="145" t="s">
        <v>274</v>
      </c>
      <c r="F152" s="145" t="s">
        <v>275</v>
      </c>
      <c r="G152" s="145" t="s">
        <v>276</v>
      </c>
    </row>
    <row r="153" spans="2:9" ht="15.75" x14ac:dyDescent="0.25">
      <c r="B153" s="5" t="s">
        <v>265</v>
      </c>
      <c r="C153" s="146">
        <f>'Sierra Leone'!C34</f>
        <v>100000</v>
      </c>
      <c r="D153" s="146">
        <f>'Sierra Leone'!D34</f>
        <v>126206</v>
      </c>
      <c r="E153" s="146">
        <f>'Sierra Leone'!E34</f>
        <v>37400</v>
      </c>
      <c r="F153" s="146">
        <f>'Sierra Leone'!F34</f>
        <v>50000</v>
      </c>
      <c r="G153" s="147">
        <f>SUM(C153:F153)</f>
        <v>313606</v>
      </c>
    </row>
    <row r="155" spans="2:9" ht="15.75" x14ac:dyDescent="0.25">
      <c r="F155" s="169">
        <v>2014</v>
      </c>
      <c r="G155" s="169"/>
      <c r="H155" s="169"/>
      <c r="I155" s="169"/>
    </row>
    <row r="156" spans="2:9" ht="15.75" x14ac:dyDescent="0.25">
      <c r="B156" s="179" t="s">
        <v>277</v>
      </c>
      <c r="C156" s="180"/>
      <c r="D156" s="5" t="s">
        <v>269</v>
      </c>
      <c r="E156" s="154">
        <f>G153/E144</f>
        <v>8.919397042093288E-3</v>
      </c>
      <c r="F156">
        <v>1.4999999999999999E-2</v>
      </c>
    </row>
    <row r="157" spans="2:9" ht="19.5" x14ac:dyDescent="0.35">
      <c r="B157" s="181" t="s">
        <v>270</v>
      </c>
      <c r="C157" s="182"/>
      <c r="D157" s="182"/>
      <c r="E157" s="143"/>
    </row>
  </sheetData>
  <mergeCells count="42">
    <mergeCell ref="B48:C48"/>
    <mergeCell ref="B30:C30"/>
    <mergeCell ref="B35:C35"/>
    <mergeCell ref="B39:C39"/>
    <mergeCell ref="B40:D40"/>
    <mergeCell ref="B43:E43"/>
    <mergeCell ref="B76:C76"/>
    <mergeCell ref="B77:D77"/>
    <mergeCell ref="B86:C86"/>
    <mergeCell ref="B91:C91"/>
    <mergeCell ref="B49:D49"/>
    <mergeCell ref="B58:C58"/>
    <mergeCell ref="B63:C63"/>
    <mergeCell ref="B67:C67"/>
    <mergeCell ref="B68:D68"/>
    <mergeCell ref="B71:E71"/>
    <mergeCell ref="B95:C95"/>
    <mergeCell ref="B96:D96"/>
    <mergeCell ref="B99:E99"/>
    <mergeCell ref="B104:C104"/>
    <mergeCell ref="B105:D105"/>
    <mergeCell ref="B20:C20"/>
    <mergeCell ref="B21:D21"/>
    <mergeCell ref="B3:C3"/>
    <mergeCell ref="B8:C8"/>
    <mergeCell ref="B12:C12"/>
    <mergeCell ref="B13:D13"/>
    <mergeCell ref="B16:E16"/>
    <mergeCell ref="B132:C132"/>
    <mergeCell ref="B133:D133"/>
    <mergeCell ref="B156:C156"/>
    <mergeCell ref="B157:D157"/>
    <mergeCell ref="B114:C114"/>
    <mergeCell ref="B119:C119"/>
    <mergeCell ref="B123:C123"/>
    <mergeCell ref="B124:D124"/>
    <mergeCell ref="B127:E127"/>
    <mergeCell ref="B138:C138"/>
    <mergeCell ref="B143:C143"/>
    <mergeCell ref="B147:C147"/>
    <mergeCell ref="B148:D148"/>
    <mergeCell ref="B151:E151"/>
  </mergeCells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workbookViewId="0"/>
  </sheetViews>
  <sheetFormatPr defaultColWidth="7.5546875" defaultRowHeight="12.75" x14ac:dyDescent="0.2"/>
  <cols>
    <col min="1" max="1" width="38.6640625" style="19" customWidth="1"/>
    <col min="2" max="2" width="29.109375" style="19" customWidth="1"/>
    <col min="3" max="3" width="9.6640625" style="19" customWidth="1"/>
    <col min="4" max="4" width="10.5546875" style="19" customWidth="1"/>
    <col min="5" max="5" width="16" style="21" customWidth="1"/>
    <col min="6" max="6" width="8.33203125" style="19" customWidth="1"/>
    <col min="7" max="7" width="11.5546875" style="19" customWidth="1"/>
    <col min="8" max="8" width="8.33203125" style="19" customWidth="1"/>
    <col min="9" max="10" width="7.5546875" style="19"/>
    <col min="11" max="11" width="8.88671875" style="19" customWidth="1"/>
    <col min="12" max="12" width="8.33203125" style="19" customWidth="1"/>
    <col min="13" max="13" width="8.88671875" style="19" customWidth="1"/>
    <col min="14" max="14" width="8" style="19" customWidth="1"/>
    <col min="15" max="15" width="7.5546875" style="19"/>
    <col min="16" max="16" width="8.33203125" style="19" customWidth="1"/>
    <col min="17" max="17" width="14.33203125" style="19" customWidth="1"/>
    <col min="18" max="18" width="7.5546875" style="19"/>
    <col min="19" max="19" width="8" style="19" customWidth="1"/>
    <col min="20" max="20" width="11" style="19" customWidth="1"/>
    <col min="21" max="21" width="14.33203125" style="19" customWidth="1"/>
    <col min="22" max="22" width="11" style="19" customWidth="1"/>
    <col min="23" max="23" width="9.6640625" style="19" customWidth="1"/>
    <col min="24" max="24" width="11" style="19" customWidth="1"/>
    <col min="25" max="25" width="12" style="19" customWidth="1"/>
    <col min="26" max="16384" width="7.5546875" style="19"/>
  </cols>
  <sheetData>
    <row r="1" spans="1:25" x14ac:dyDescent="0.2">
      <c r="A1" s="18" t="s">
        <v>185</v>
      </c>
      <c r="D1" s="20"/>
    </row>
    <row r="2" spans="1:25" x14ac:dyDescent="0.2">
      <c r="A2" s="22">
        <v>2</v>
      </c>
      <c r="B2" s="19" t="s">
        <v>69</v>
      </c>
      <c r="D2" s="24"/>
    </row>
    <row r="3" spans="1:25" x14ac:dyDescent="0.2">
      <c r="A3" s="22">
        <v>5214</v>
      </c>
      <c r="B3" s="23" t="s">
        <v>70</v>
      </c>
    </row>
    <row r="4" spans="1:25" x14ac:dyDescent="0.2">
      <c r="A4" s="22">
        <v>5</v>
      </c>
      <c r="B4" s="23" t="s">
        <v>188</v>
      </c>
    </row>
    <row r="5" spans="1:25" x14ac:dyDescent="0.2">
      <c r="A5" s="22">
        <v>80</v>
      </c>
      <c r="B5" s="19" t="s">
        <v>71</v>
      </c>
    </row>
    <row r="6" spans="1:25" x14ac:dyDescent="0.2">
      <c r="A6" s="22">
        <v>2</v>
      </c>
      <c r="B6" s="19" t="s">
        <v>190</v>
      </c>
    </row>
    <row r="7" spans="1:25" x14ac:dyDescent="0.2">
      <c r="A7" s="22">
        <v>50</v>
      </c>
      <c r="B7" s="19" t="s">
        <v>191</v>
      </c>
    </row>
    <row r="8" spans="1:25" x14ac:dyDescent="0.2">
      <c r="A8" s="22">
        <v>2000</v>
      </c>
      <c r="B8" s="19" t="s">
        <v>192</v>
      </c>
    </row>
    <row r="9" spans="1:25" x14ac:dyDescent="0.2">
      <c r="A9" s="22">
        <v>5</v>
      </c>
      <c r="B9" s="19" t="s">
        <v>193</v>
      </c>
    </row>
    <row r="10" spans="1:25" ht="12.75" customHeight="1" x14ac:dyDescent="0.2">
      <c r="A10" s="187" t="s">
        <v>194</v>
      </c>
      <c r="B10" s="189"/>
      <c r="C10" s="189"/>
      <c r="D10" s="189"/>
      <c r="E10" s="94"/>
      <c r="F10" s="95" t="s">
        <v>195</v>
      </c>
      <c r="G10" s="95" t="s">
        <v>196</v>
      </c>
    </row>
    <row r="11" spans="1:25" ht="15" customHeight="1" x14ac:dyDescent="0.2">
      <c r="A11" s="188"/>
      <c r="B11" s="95" t="s">
        <v>197</v>
      </c>
      <c r="C11" s="95" t="s">
        <v>198</v>
      </c>
      <c r="D11" s="95" t="s">
        <v>199</v>
      </c>
      <c r="E11" s="94" t="s">
        <v>292</v>
      </c>
      <c r="F11" s="95" t="s">
        <v>81</v>
      </c>
      <c r="G11" s="95" t="s">
        <v>82</v>
      </c>
    </row>
    <row r="12" spans="1:25" x14ac:dyDescent="0.2">
      <c r="A12" s="28" t="s">
        <v>72</v>
      </c>
      <c r="B12" s="29"/>
      <c r="C12" s="29"/>
      <c r="D12" s="29"/>
      <c r="E12" s="30"/>
      <c r="F12" s="31"/>
      <c r="G12" s="29"/>
    </row>
    <row r="13" spans="1:25" x14ac:dyDescent="0.2">
      <c r="A13" s="32" t="s">
        <v>81</v>
      </c>
    </row>
    <row r="14" spans="1:25" ht="12" customHeight="1" x14ac:dyDescent="0.2">
      <c r="A14" s="96" t="s">
        <v>84</v>
      </c>
      <c r="B14" s="19" t="s">
        <v>73</v>
      </c>
      <c r="C14" s="34">
        <v>6</v>
      </c>
      <c r="D14" s="35">
        <v>10000</v>
      </c>
      <c r="E14" s="21">
        <f>C14*D14</f>
        <v>60000</v>
      </c>
      <c r="F14" s="36">
        <f>E14</f>
        <v>60000</v>
      </c>
      <c r="L14" s="36"/>
      <c r="S14" s="24"/>
      <c r="T14" s="24"/>
      <c r="U14" s="24"/>
      <c r="V14" s="24"/>
      <c r="W14" s="24"/>
      <c r="X14" s="24"/>
      <c r="Y14" s="24"/>
    </row>
    <row r="15" spans="1:25" ht="12" customHeight="1" x14ac:dyDescent="0.2">
      <c r="A15" s="33" t="s">
        <v>74</v>
      </c>
      <c r="B15" s="19" t="s">
        <v>73</v>
      </c>
      <c r="C15" s="34">
        <v>6</v>
      </c>
      <c r="D15" s="35">
        <v>50000</v>
      </c>
      <c r="E15" s="21">
        <f>C15*D15</f>
        <v>300000</v>
      </c>
      <c r="F15" s="36">
        <f>E15</f>
        <v>300000</v>
      </c>
      <c r="L15" s="36"/>
      <c r="S15" s="24"/>
      <c r="T15" s="24"/>
      <c r="U15" s="24"/>
      <c r="V15" s="24"/>
      <c r="W15" s="24"/>
      <c r="X15" s="24"/>
      <c r="Y15" s="24"/>
    </row>
    <row r="16" spans="1:25" ht="12" customHeight="1" x14ac:dyDescent="0.2">
      <c r="A16" s="33" t="s">
        <v>89</v>
      </c>
      <c r="B16" s="19" t="s">
        <v>73</v>
      </c>
      <c r="C16" s="34">
        <v>6</v>
      </c>
      <c r="D16" s="35">
        <v>20000</v>
      </c>
      <c r="E16" s="21">
        <f>C16*D16</f>
        <v>120000</v>
      </c>
      <c r="F16" s="36">
        <f>E16</f>
        <v>120000</v>
      </c>
      <c r="L16" s="36"/>
      <c r="S16" s="24"/>
      <c r="T16" s="24"/>
      <c r="U16" s="24"/>
      <c r="V16" s="24"/>
      <c r="W16" s="24"/>
      <c r="X16" s="24"/>
      <c r="Y16" s="24"/>
    </row>
    <row r="17" spans="1:25" x14ac:dyDescent="0.2">
      <c r="A17" s="33" t="s">
        <v>90</v>
      </c>
      <c r="B17" s="19" t="s">
        <v>73</v>
      </c>
      <c r="C17" s="34">
        <v>6</v>
      </c>
      <c r="D17" s="35">
        <v>5000</v>
      </c>
      <c r="E17" s="21">
        <f>C17*D17</f>
        <v>30000</v>
      </c>
      <c r="F17" s="36">
        <f>E17</f>
        <v>30000</v>
      </c>
      <c r="L17" s="36"/>
      <c r="S17" s="24"/>
      <c r="T17" s="24"/>
      <c r="U17" s="24"/>
      <c r="V17" s="24"/>
      <c r="W17" s="24"/>
      <c r="X17" s="24"/>
      <c r="Y17" s="24"/>
    </row>
    <row r="18" spans="1:25" x14ac:dyDescent="0.2">
      <c r="A18" s="37" t="s">
        <v>92</v>
      </c>
      <c r="D18" s="35"/>
      <c r="S18" s="24"/>
      <c r="T18" s="24"/>
      <c r="U18" s="24"/>
      <c r="V18" s="24"/>
      <c r="W18" s="24"/>
      <c r="X18" s="24"/>
      <c r="Y18" s="24"/>
    </row>
    <row r="19" spans="1:25" x14ac:dyDescent="0.2">
      <c r="A19" s="33" t="s">
        <v>93</v>
      </c>
      <c r="B19" s="38" t="s">
        <v>94</v>
      </c>
      <c r="C19" s="61">
        <f>A3*A5/1000</f>
        <v>417.12</v>
      </c>
      <c r="D19" s="39">
        <v>6</v>
      </c>
      <c r="E19" s="21">
        <f>C19*D19</f>
        <v>2502.7200000000003</v>
      </c>
      <c r="F19" s="97"/>
      <c r="G19" s="36">
        <f>E19</f>
        <v>2502.7200000000003</v>
      </c>
      <c r="H19" s="19" t="s">
        <v>75</v>
      </c>
      <c r="Q19" s="36"/>
      <c r="S19" s="24"/>
      <c r="T19" s="24"/>
      <c r="U19" s="24"/>
      <c r="V19" s="24"/>
      <c r="W19" s="24"/>
      <c r="X19" s="24"/>
      <c r="Y19" s="24"/>
    </row>
    <row r="20" spans="1:25" ht="14.25" customHeight="1" x14ac:dyDescent="0.2">
      <c r="A20" s="33" t="s">
        <v>96</v>
      </c>
      <c r="B20" s="38" t="s">
        <v>97</v>
      </c>
      <c r="C20" s="61">
        <f>(C19/1000)*50</f>
        <v>20.855999999999998</v>
      </c>
      <c r="D20" s="39">
        <v>0</v>
      </c>
      <c r="E20" s="21">
        <f>C20*D20</f>
        <v>0</v>
      </c>
      <c r="G20" s="36">
        <f>E20</f>
        <v>0</v>
      </c>
      <c r="Q20" s="36"/>
      <c r="S20" s="24"/>
      <c r="T20" s="24"/>
      <c r="U20" s="24"/>
      <c r="V20" s="24"/>
      <c r="W20" s="24"/>
      <c r="X20" s="24"/>
      <c r="Y20" s="24"/>
    </row>
    <row r="21" spans="1:25" x14ac:dyDescent="0.2">
      <c r="A21" s="33" t="s">
        <v>98</v>
      </c>
      <c r="B21" s="38" t="s">
        <v>99</v>
      </c>
      <c r="C21" s="61">
        <f>E19</f>
        <v>2502.7200000000003</v>
      </c>
      <c r="D21" s="41">
        <v>0</v>
      </c>
      <c r="E21" s="21">
        <f>C21*D21</f>
        <v>0</v>
      </c>
      <c r="G21" s="36">
        <f>E21</f>
        <v>0</v>
      </c>
      <c r="P21" s="36"/>
      <c r="Q21" s="36"/>
      <c r="S21" s="24"/>
      <c r="T21" s="24"/>
      <c r="U21" s="24"/>
      <c r="V21" s="24"/>
      <c r="W21" s="24"/>
      <c r="X21" s="24"/>
      <c r="Y21" s="24"/>
    </row>
    <row r="22" spans="1:25" x14ac:dyDescent="0.2">
      <c r="A22" s="33" t="s">
        <v>100</v>
      </c>
      <c r="B22" s="38" t="s">
        <v>99</v>
      </c>
      <c r="C22" s="61">
        <f>C21</f>
        <v>2502.7200000000003</v>
      </c>
      <c r="D22" s="42">
        <v>0.01</v>
      </c>
      <c r="E22" s="21">
        <f>C22*D22</f>
        <v>25.027200000000004</v>
      </c>
      <c r="G22" s="36">
        <f>E22</f>
        <v>25.027200000000004</v>
      </c>
      <c r="Q22" s="36"/>
      <c r="S22" s="24"/>
      <c r="T22" s="24"/>
      <c r="U22" s="24"/>
      <c r="V22" s="24"/>
      <c r="W22" s="24"/>
      <c r="X22" s="24"/>
      <c r="Y22" s="24"/>
    </row>
    <row r="23" spans="1:25" x14ac:dyDescent="0.2">
      <c r="A23" s="37" t="s">
        <v>76</v>
      </c>
      <c r="C23" s="34"/>
      <c r="D23" s="41"/>
      <c r="G23" s="34"/>
      <c r="Q23" s="36"/>
      <c r="S23" s="24"/>
      <c r="T23" s="24"/>
      <c r="U23" s="24"/>
      <c r="V23" s="24"/>
      <c r="W23" s="24"/>
      <c r="X23" s="24"/>
      <c r="Y23" s="24"/>
    </row>
    <row r="24" spans="1:25" ht="14.1" customHeight="1" x14ac:dyDescent="0.2">
      <c r="A24" s="33" t="s">
        <v>102</v>
      </c>
      <c r="B24" s="43" t="s">
        <v>103</v>
      </c>
      <c r="C24" s="44">
        <f>2*A2*0.1</f>
        <v>0.4</v>
      </c>
      <c r="D24" s="35">
        <v>5000</v>
      </c>
      <c r="E24" s="21">
        <f t="shared" ref="E24:E29" si="0">C24*D24</f>
        <v>2000</v>
      </c>
      <c r="G24" s="36">
        <f t="shared" ref="G24:G29" si="1">E24</f>
        <v>2000</v>
      </c>
      <c r="Q24" s="36"/>
      <c r="S24" s="24"/>
      <c r="T24" s="24"/>
      <c r="U24" s="24"/>
      <c r="V24" s="24"/>
      <c r="W24" s="24"/>
      <c r="X24" s="24"/>
      <c r="Y24" s="24"/>
    </row>
    <row r="25" spans="1:25" ht="15" customHeight="1" x14ac:dyDescent="0.2">
      <c r="A25" s="33" t="s">
        <v>104</v>
      </c>
      <c r="B25" s="19" t="s">
        <v>77</v>
      </c>
      <c r="C25" s="34">
        <f>E14</f>
        <v>60000</v>
      </c>
      <c r="D25" s="41">
        <v>0.1</v>
      </c>
      <c r="E25" s="21">
        <f t="shared" si="0"/>
        <v>6000</v>
      </c>
      <c r="G25" s="36">
        <f t="shared" si="1"/>
        <v>6000</v>
      </c>
      <c r="Q25" s="36"/>
      <c r="S25" s="24"/>
      <c r="T25" s="24"/>
      <c r="U25" s="24"/>
      <c r="V25" s="24"/>
      <c r="W25" s="24"/>
      <c r="X25" s="24"/>
      <c r="Y25" s="24"/>
    </row>
    <row r="26" spans="1:25" ht="14.1" customHeight="1" x14ac:dyDescent="0.2">
      <c r="A26" s="33" t="s">
        <v>106</v>
      </c>
      <c r="B26" s="38" t="s">
        <v>78</v>
      </c>
      <c r="C26" s="24">
        <f>5*250*A2</f>
        <v>2500</v>
      </c>
      <c r="D26" s="45">
        <v>5</v>
      </c>
      <c r="E26" s="21">
        <f t="shared" si="0"/>
        <v>12500</v>
      </c>
      <c r="G26" s="36">
        <f t="shared" si="1"/>
        <v>12500</v>
      </c>
      <c r="Q26" s="36"/>
    </row>
    <row r="27" spans="1:25" x14ac:dyDescent="0.2">
      <c r="A27" s="33" t="s">
        <v>108</v>
      </c>
      <c r="B27" s="19" t="s">
        <v>79</v>
      </c>
      <c r="C27" s="24">
        <f>A3*1000</f>
        <v>5214000</v>
      </c>
      <c r="D27" s="19">
        <v>0.01</v>
      </c>
      <c r="E27" s="21">
        <f t="shared" si="0"/>
        <v>52140</v>
      </c>
      <c r="G27" s="36">
        <f t="shared" si="1"/>
        <v>52140</v>
      </c>
      <c r="Q27" s="36"/>
      <c r="S27" s="24"/>
      <c r="T27" s="24"/>
      <c r="U27" s="24"/>
      <c r="V27" s="24"/>
      <c r="W27" s="24"/>
      <c r="X27" s="24"/>
      <c r="Y27" s="24"/>
    </row>
    <row r="28" spans="1:25" ht="25.5" x14ac:dyDescent="0.2">
      <c r="A28" s="33" t="s">
        <v>110</v>
      </c>
      <c r="B28" s="43" t="s">
        <v>80</v>
      </c>
      <c r="C28" s="21">
        <f>SUM(E24:E27)</f>
        <v>72640</v>
      </c>
      <c r="D28" s="41">
        <v>0.03</v>
      </c>
      <c r="E28" s="21">
        <f t="shared" si="0"/>
        <v>2179.1999999999998</v>
      </c>
      <c r="G28" s="36">
        <f t="shared" si="1"/>
        <v>2179.1999999999998</v>
      </c>
      <c r="Q28" s="36"/>
      <c r="S28" s="24"/>
      <c r="T28" s="24"/>
      <c r="U28" s="24"/>
      <c r="V28" s="24"/>
      <c r="W28" s="24"/>
      <c r="X28" s="24"/>
      <c r="Y28" s="24"/>
    </row>
    <row r="29" spans="1:25" ht="25.5" hidden="1" x14ac:dyDescent="0.2">
      <c r="A29" s="46" t="s">
        <v>112</v>
      </c>
      <c r="B29" s="98" t="s">
        <v>0</v>
      </c>
      <c r="C29" s="99">
        <f>SUM(E19:E28)-E22-E21</f>
        <v>77321.919999999998</v>
      </c>
      <c r="D29" s="48">
        <v>0</v>
      </c>
      <c r="E29" s="21">
        <f t="shared" si="0"/>
        <v>0</v>
      </c>
      <c r="G29" s="36">
        <f t="shared" si="1"/>
        <v>0</v>
      </c>
      <c r="Q29" s="36"/>
    </row>
    <row r="30" spans="1:25" x14ac:dyDescent="0.2">
      <c r="A30" s="49"/>
      <c r="E30" s="50">
        <f>SUM(E13:E29)</f>
        <v>587346.94719999994</v>
      </c>
      <c r="F30" s="50">
        <f>SUM(F13:F29)</f>
        <v>510000</v>
      </c>
      <c r="G30" s="50">
        <f>SUM(G13:G29)</f>
        <v>77346.947199999995</v>
      </c>
      <c r="H30" s="36"/>
      <c r="I30" s="51"/>
      <c r="J30" s="51"/>
      <c r="K30" s="51"/>
      <c r="P30" s="52"/>
      <c r="Q30" s="52"/>
      <c r="R30" s="36"/>
      <c r="S30" s="24"/>
      <c r="T30" s="24"/>
      <c r="U30" s="24"/>
      <c r="V30" s="24"/>
      <c r="W30" s="24"/>
      <c r="X30" s="24"/>
      <c r="Y30" s="24"/>
    </row>
    <row r="31" spans="1:25" x14ac:dyDescent="0.2">
      <c r="A31" s="28" t="s">
        <v>114</v>
      </c>
      <c r="B31" s="29"/>
      <c r="C31" s="29"/>
      <c r="D31" s="29"/>
      <c r="E31" s="30"/>
      <c r="F31" s="31"/>
      <c r="G31" s="29"/>
      <c r="Q31" s="36"/>
      <c r="S31" s="24"/>
      <c r="T31" s="24"/>
      <c r="U31" s="24"/>
      <c r="V31" s="24"/>
      <c r="W31" s="24"/>
      <c r="X31" s="24"/>
      <c r="Y31" s="24"/>
    </row>
    <row r="32" spans="1:25" x14ac:dyDescent="0.2">
      <c r="A32" s="55" t="s">
        <v>115</v>
      </c>
      <c r="K32" s="48"/>
      <c r="Q32" s="36"/>
      <c r="S32" s="24"/>
      <c r="T32" s="24"/>
      <c r="U32" s="24"/>
      <c r="V32" s="24"/>
      <c r="W32" s="24"/>
      <c r="X32" s="24"/>
      <c r="Y32" s="24"/>
    </row>
    <row r="33" spans="1:25" x14ac:dyDescent="0.2">
      <c r="A33" s="33" t="s">
        <v>116</v>
      </c>
      <c r="B33" s="19" t="s">
        <v>117</v>
      </c>
      <c r="C33" s="19">
        <v>2</v>
      </c>
      <c r="D33" s="56">
        <v>3000</v>
      </c>
      <c r="E33" s="21">
        <f>C33*D33</f>
        <v>6000</v>
      </c>
      <c r="F33" s="36">
        <f>E33</f>
        <v>6000</v>
      </c>
      <c r="L33" s="36"/>
      <c r="Q33" s="36"/>
      <c r="S33" s="24"/>
      <c r="T33" s="24"/>
      <c r="U33" s="24"/>
      <c r="V33" s="24"/>
      <c r="W33" s="24"/>
      <c r="X33" s="24"/>
      <c r="Y33" s="24"/>
    </row>
    <row r="34" spans="1:25" x14ac:dyDescent="0.2">
      <c r="A34" s="33" t="s">
        <v>1</v>
      </c>
      <c r="B34" s="19" t="s">
        <v>119</v>
      </c>
      <c r="C34" s="19">
        <v>30</v>
      </c>
      <c r="D34" s="35">
        <v>500</v>
      </c>
      <c r="E34" s="21">
        <f>C34*D34</f>
        <v>15000</v>
      </c>
      <c r="F34" s="36">
        <f>E34</f>
        <v>15000</v>
      </c>
      <c r="L34" s="36"/>
      <c r="Q34" s="36"/>
      <c r="S34" s="24"/>
      <c r="T34" s="24"/>
      <c r="U34" s="24"/>
      <c r="V34" s="24"/>
      <c r="W34" s="24"/>
      <c r="X34" s="24"/>
      <c r="Y34" s="24"/>
    </row>
    <row r="35" spans="1:25" x14ac:dyDescent="0.2">
      <c r="A35" s="33" t="s">
        <v>120</v>
      </c>
      <c r="B35" s="19" t="s">
        <v>121</v>
      </c>
      <c r="C35" s="19">
        <v>2</v>
      </c>
      <c r="D35" s="56">
        <v>2000</v>
      </c>
      <c r="E35" s="21">
        <f>C35*D35</f>
        <v>4000</v>
      </c>
      <c r="F35" s="36">
        <f>E35</f>
        <v>4000</v>
      </c>
      <c r="L35" s="36"/>
      <c r="Q35" s="36"/>
      <c r="S35" s="24"/>
      <c r="T35" s="24"/>
      <c r="U35" s="24"/>
      <c r="V35" s="24"/>
      <c r="W35" s="24"/>
      <c r="X35" s="24"/>
      <c r="Y35" s="24"/>
    </row>
    <row r="36" spans="1:25" x14ac:dyDescent="0.2">
      <c r="A36" s="33" t="s">
        <v>122</v>
      </c>
      <c r="B36" s="19" t="s">
        <v>123</v>
      </c>
      <c r="C36" s="19">
        <v>1</v>
      </c>
      <c r="D36" s="35">
        <v>50000</v>
      </c>
      <c r="E36" s="21">
        <f>C36*D36</f>
        <v>50000</v>
      </c>
      <c r="F36" s="36">
        <f>E36</f>
        <v>50000</v>
      </c>
      <c r="L36" s="36"/>
      <c r="Q36" s="36"/>
      <c r="S36" s="24"/>
      <c r="T36" s="24"/>
      <c r="U36" s="24"/>
      <c r="V36" s="24"/>
      <c r="W36" s="24"/>
      <c r="X36" s="24"/>
      <c r="Y36" s="24"/>
    </row>
    <row r="37" spans="1:25" x14ac:dyDescent="0.2">
      <c r="A37" s="33" t="s">
        <v>124</v>
      </c>
      <c r="B37" s="19" t="s">
        <v>123</v>
      </c>
      <c r="C37" s="19">
        <v>1</v>
      </c>
      <c r="D37" s="35">
        <v>10000</v>
      </c>
      <c r="E37" s="21">
        <f>C37*D37</f>
        <v>10000</v>
      </c>
      <c r="F37" s="36">
        <f>E37</f>
        <v>10000</v>
      </c>
      <c r="L37" s="36"/>
      <c r="Q37" s="36"/>
      <c r="S37" s="24"/>
      <c r="T37" s="24"/>
      <c r="U37" s="24"/>
      <c r="V37" s="24"/>
      <c r="W37" s="24"/>
      <c r="X37" s="24"/>
      <c r="Y37" s="24"/>
    </row>
    <row r="38" spans="1:25" x14ac:dyDescent="0.2">
      <c r="A38" s="33" t="s">
        <v>125</v>
      </c>
      <c r="E38" s="57"/>
      <c r="F38" s="52"/>
      <c r="Q38" s="36"/>
      <c r="S38" s="24"/>
      <c r="T38" s="24"/>
      <c r="U38" s="24"/>
      <c r="V38" s="24"/>
      <c r="W38" s="24"/>
      <c r="X38" s="24"/>
      <c r="Y38" s="24"/>
    </row>
    <row r="39" spans="1:25" x14ac:dyDescent="0.2">
      <c r="A39" s="37" t="s">
        <v>126</v>
      </c>
      <c r="Q39" s="36"/>
      <c r="S39" s="24"/>
      <c r="T39" s="24"/>
      <c r="U39" s="24"/>
      <c r="V39" s="24"/>
      <c r="W39" s="24"/>
      <c r="X39" s="24"/>
      <c r="Y39" s="24"/>
    </row>
    <row r="40" spans="1:25" x14ac:dyDescent="0.2">
      <c r="A40" s="33" t="s">
        <v>127</v>
      </c>
      <c r="B40" s="19" t="s">
        <v>128</v>
      </c>
      <c r="C40" s="19">
        <v>2</v>
      </c>
      <c r="D40" s="58">
        <v>5</v>
      </c>
      <c r="E40" s="21">
        <f>C40*D40</f>
        <v>10</v>
      </c>
      <c r="G40" s="36">
        <f>E40</f>
        <v>10</v>
      </c>
      <c r="O40" s="36"/>
      <c r="Q40" s="36"/>
      <c r="S40" s="24"/>
      <c r="T40" s="24"/>
      <c r="U40" s="24"/>
      <c r="V40" s="24"/>
      <c r="W40" s="24"/>
      <c r="X40" s="24"/>
      <c r="Y40" s="24"/>
    </row>
    <row r="41" spans="1:25" x14ac:dyDescent="0.2">
      <c r="A41" s="33" t="s">
        <v>129</v>
      </c>
      <c r="B41" s="19" t="s">
        <v>130</v>
      </c>
      <c r="C41" s="19">
        <v>200</v>
      </c>
      <c r="D41" s="58">
        <v>0.5</v>
      </c>
      <c r="E41" s="21">
        <f>C41*D41</f>
        <v>100</v>
      </c>
      <c r="G41" s="36">
        <f>E41</f>
        <v>100</v>
      </c>
      <c r="O41" s="36"/>
      <c r="Q41" s="36"/>
      <c r="S41" s="24"/>
      <c r="T41" s="24"/>
      <c r="U41" s="24"/>
      <c r="V41" s="24"/>
      <c r="W41" s="24"/>
      <c r="X41" s="24"/>
      <c r="Y41" s="24"/>
    </row>
    <row r="42" spans="1:25" x14ac:dyDescent="0.2">
      <c r="A42" s="33" t="s">
        <v>131</v>
      </c>
      <c r="B42" s="19" t="s">
        <v>132</v>
      </c>
      <c r="C42" s="19">
        <v>16</v>
      </c>
      <c r="D42" s="39">
        <v>0.25</v>
      </c>
      <c r="E42" s="21">
        <f>C42*D42</f>
        <v>4</v>
      </c>
      <c r="G42" s="36">
        <f>E42</f>
        <v>4</v>
      </c>
      <c r="O42" s="36"/>
      <c r="Q42" s="36"/>
      <c r="S42" s="24"/>
      <c r="T42" s="24"/>
      <c r="U42" s="24"/>
      <c r="V42" s="24"/>
      <c r="W42" s="24"/>
      <c r="X42" s="24"/>
      <c r="Y42" s="24"/>
    </row>
    <row r="43" spans="1:25" x14ac:dyDescent="0.2">
      <c r="A43" s="33" t="s">
        <v>2</v>
      </c>
      <c r="B43" s="19" t="s">
        <v>134</v>
      </c>
      <c r="C43" s="19">
        <v>16</v>
      </c>
      <c r="D43" s="35">
        <v>30</v>
      </c>
      <c r="E43" s="21">
        <f>C43*D43</f>
        <v>480</v>
      </c>
      <c r="G43" s="36">
        <f>E43</f>
        <v>480</v>
      </c>
      <c r="O43" s="36"/>
      <c r="Q43" s="36"/>
      <c r="S43" s="24"/>
      <c r="T43" s="24"/>
      <c r="U43" s="24"/>
      <c r="V43" s="24"/>
      <c r="W43" s="24"/>
      <c r="X43" s="24"/>
      <c r="Y43" s="24"/>
    </row>
    <row r="44" spans="1:25" x14ac:dyDescent="0.2">
      <c r="A44" s="33" t="s">
        <v>135</v>
      </c>
      <c r="B44" s="19" t="s">
        <v>136</v>
      </c>
      <c r="C44" s="59">
        <f>SUM(E40:E43)</f>
        <v>594</v>
      </c>
      <c r="D44" s="41">
        <v>0.1</v>
      </c>
      <c r="E44" s="21">
        <f>C44*D44</f>
        <v>59.400000000000006</v>
      </c>
      <c r="G44" s="36">
        <f>E44</f>
        <v>59.400000000000006</v>
      </c>
      <c r="O44" s="36"/>
      <c r="Q44" s="36"/>
      <c r="S44" s="24"/>
      <c r="T44" s="24"/>
      <c r="U44" s="24"/>
      <c r="V44" s="24"/>
      <c r="W44" s="24"/>
      <c r="X44" s="24"/>
      <c r="Y44" s="24"/>
    </row>
    <row r="45" spans="1:25" x14ac:dyDescent="0.2">
      <c r="A45" s="37" t="s">
        <v>27</v>
      </c>
      <c r="B45" s="38"/>
      <c r="C45" s="59"/>
      <c r="D45" s="43"/>
      <c r="E45" s="59"/>
      <c r="F45" s="38"/>
      <c r="G45" s="60"/>
      <c r="O45" s="36"/>
      <c r="Q45" s="36"/>
      <c r="S45" s="24"/>
      <c r="T45" s="24"/>
      <c r="U45" s="24"/>
      <c r="V45" s="24"/>
      <c r="W45" s="24"/>
      <c r="X45" s="24"/>
      <c r="Y45" s="24"/>
    </row>
    <row r="46" spans="1:25" x14ac:dyDescent="0.2">
      <c r="A46" s="33" t="s">
        <v>127</v>
      </c>
      <c r="B46" s="38" t="s">
        <v>28</v>
      </c>
      <c r="C46" s="61">
        <f>0.5*A4</f>
        <v>2.5</v>
      </c>
      <c r="D46" s="62">
        <f>A9</f>
        <v>5</v>
      </c>
      <c r="E46" s="59">
        <f>C46*D46</f>
        <v>12.5</v>
      </c>
      <c r="F46" s="38"/>
      <c r="G46" s="60">
        <f>E46</f>
        <v>12.5</v>
      </c>
      <c r="O46" s="36"/>
      <c r="Q46" s="36"/>
      <c r="S46" s="24"/>
      <c r="T46" s="24"/>
      <c r="U46" s="24"/>
      <c r="V46" s="24"/>
      <c r="W46" s="24"/>
      <c r="X46" s="24"/>
      <c r="Y46" s="24"/>
    </row>
    <row r="47" spans="1:25" x14ac:dyDescent="0.2">
      <c r="A47" s="33" t="s">
        <v>129</v>
      </c>
      <c r="B47" s="38" t="s">
        <v>29</v>
      </c>
      <c r="C47" s="61">
        <f>50*A4</f>
        <v>250</v>
      </c>
      <c r="D47" s="62">
        <v>0.5</v>
      </c>
      <c r="E47" s="59">
        <f>C47*D47</f>
        <v>125</v>
      </c>
      <c r="F47" s="38"/>
      <c r="G47" s="60">
        <f>E47</f>
        <v>125</v>
      </c>
      <c r="O47" s="36"/>
      <c r="Q47" s="36"/>
      <c r="S47" s="24"/>
      <c r="T47" s="24"/>
      <c r="U47" s="24"/>
      <c r="V47" s="24"/>
      <c r="W47" s="24"/>
      <c r="X47" s="24"/>
      <c r="Y47" s="24"/>
    </row>
    <row r="48" spans="1:25" x14ac:dyDescent="0.2">
      <c r="A48" s="33" t="s">
        <v>131</v>
      </c>
      <c r="B48" s="38" t="s">
        <v>30</v>
      </c>
      <c r="C48" s="61">
        <f>A4*10</f>
        <v>50</v>
      </c>
      <c r="D48" s="63">
        <v>0.25</v>
      </c>
      <c r="E48" s="59">
        <f>C48*D48</f>
        <v>12.5</v>
      </c>
      <c r="F48" s="38"/>
      <c r="G48" s="60">
        <f>E48</f>
        <v>12.5</v>
      </c>
      <c r="O48" s="36"/>
      <c r="Q48" s="36"/>
      <c r="S48" s="24"/>
      <c r="T48" s="24"/>
      <c r="U48" s="24"/>
      <c r="V48" s="24"/>
      <c r="W48" s="24"/>
      <c r="X48" s="24"/>
      <c r="Y48" s="24"/>
    </row>
    <row r="49" spans="1:25" ht="25.5" x14ac:dyDescent="0.2">
      <c r="A49" s="33" t="s">
        <v>31</v>
      </c>
      <c r="B49" s="38" t="s">
        <v>32</v>
      </c>
      <c r="C49" s="64">
        <f>3*A4</f>
        <v>15</v>
      </c>
      <c r="D49" s="65">
        <v>55</v>
      </c>
      <c r="E49" s="59">
        <f>C49*D49</f>
        <v>825</v>
      </c>
      <c r="F49" s="38"/>
      <c r="G49" s="60">
        <f>E49</f>
        <v>825</v>
      </c>
      <c r="O49" s="36"/>
      <c r="Q49" s="36"/>
      <c r="S49" s="24"/>
      <c r="T49" s="24"/>
      <c r="U49" s="24"/>
      <c r="V49" s="24"/>
      <c r="W49" s="24"/>
      <c r="X49" s="24"/>
      <c r="Y49" s="24"/>
    </row>
    <row r="50" spans="1:25" ht="25.5" x14ac:dyDescent="0.2">
      <c r="A50" s="33" t="s">
        <v>135</v>
      </c>
      <c r="B50" s="38" t="s">
        <v>33</v>
      </c>
      <c r="C50" s="59">
        <f>SUM(E46:E49)</f>
        <v>975</v>
      </c>
      <c r="D50" s="43">
        <v>0.1</v>
      </c>
      <c r="E50" s="59">
        <f>C50*D50</f>
        <v>97.5</v>
      </c>
      <c r="F50" s="38"/>
      <c r="G50" s="60">
        <f>E50</f>
        <v>97.5</v>
      </c>
      <c r="O50" s="36"/>
      <c r="Q50" s="36"/>
      <c r="S50" s="24"/>
      <c r="T50" s="24"/>
      <c r="U50" s="24"/>
      <c r="V50" s="24"/>
      <c r="W50" s="24"/>
      <c r="X50" s="24"/>
      <c r="Y50" s="24"/>
    </row>
    <row r="51" spans="1:25" x14ac:dyDescent="0.2">
      <c r="A51" s="37" t="s">
        <v>34</v>
      </c>
      <c r="E51" s="57"/>
      <c r="F51" s="18"/>
      <c r="G51" s="52"/>
      <c r="O51" s="36"/>
      <c r="Q51" s="36"/>
      <c r="S51" s="24"/>
      <c r="T51" s="24"/>
      <c r="U51" s="24"/>
      <c r="V51" s="24"/>
      <c r="W51" s="24"/>
      <c r="X51" s="24"/>
      <c r="Y51" s="24"/>
    </row>
    <row r="52" spans="1:25" ht="25.5" x14ac:dyDescent="0.2">
      <c r="A52" s="33" t="s">
        <v>127</v>
      </c>
      <c r="B52" s="38" t="s">
        <v>3</v>
      </c>
      <c r="C52" s="61">
        <f>A7</f>
        <v>50</v>
      </c>
      <c r="D52" s="100">
        <v>5</v>
      </c>
      <c r="E52" s="21">
        <f>C52*D52</f>
        <v>250</v>
      </c>
      <c r="G52" s="36">
        <f>E52</f>
        <v>250</v>
      </c>
      <c r="O52" s="36"/>
      <c r="Q52" s="36"/>
      <c r="S52" s="24"/>
      <c r="T52" s="24"/>
      <c r="U52" s="24"/>
      <c r="V52" s="24"/>
      <c r="W52" s="24"/>
      <c r="X52" s="24"/>
      <c r="Y52" s="24"/>
    </row>
    <row r="53" spans="1:25" x14ac:dyDescent="0.2">
      <c r="A53" s="33" t="s">
        <v>129</v>
      </c>
      <c r="B53" s="38" t="s">
        <v>29</v>
      </c>
      <c r="C53" s="38">
        <f>A7*50</f>
        <v>2500</v>
      </c>
      <c r="D53" s="62">
        <v>0.5</v>
      </c>
      <c r="E53" s="21">
        <f>C53*D53</f>
        <v>1250</v>
      </c>
      <c r="G53" s="36">
        <f>E53</f>
        <v>1250</v>
      </c>
      <c r="O53" s="36"/>
      <c r="Q53" s="36"/>
      <c r="S53" s="24"/>
      <c r="T53" s="24"/>
      <c r="U53" s="24"/>
      <c r="V53" s="24"/>
      <c r="W53" s="24"/>
      <c r="X53" s="24"/>
      <c r="Y53" s="24"/>
    </row>
    <row r="54" spans="1:25" x14ac:dyDescent="0.2">
      <c r="A54" s="33" t="s">
        <v>131</v>
      </c>
      <c r="B54" s="38" t="s">
        <v>4</v>
      </c>
      <c r="C54" s="61">
        <f>A8</f>
        <v>2000</v>
      </c>
      <c r="D54" s="63">
        <v>0.25</v>
      </c>
      <c r="E54" s="21">
        <f>C54*D54</f>
        <v>500</v>
      </c>
      <c r="G54" s="36">
        <f>E54</f>
        <v>500</v>
      </c>
      <c r="O54" s="36"/>
      <c r="Q54" s="36"/>
      <c r="S54" s="24"/>
      <c r="T54" s="24"/>
      <c r="U54" s="24"/>
      <c r="V54" s="24"/>
      <c r="W54" s="24"/>
      <c r="X54" s="24"/>
      <c r="Y54" s="24"/>
    </row>
    <row r="55" spans="1:25" x14ac:dyDescent="0.2">
      <c r="A55" s="33" t="s">
        <v>31</v>
      </c>
      <c r="B55" s="38" t="s">
        <v>5</v>
      </c>
      <c r="C55" s="67">
        <f>0.05*C54</f>
        <v>100</v>
      </c>
      <c r="D55" s="101">
        <v>55</v>
      </c>
      <c r="E55" s="21">
        <f>C55*D55</f>
        <v>5500</v>
      </c>
      <c r="G55" s="36">
        <f>E55</f>
        <v>5500</v>
      </c>
      <c r="O55" s="36"/>
      <c r="Q55" s="36"/>
      <c r="S55" s="24"/>
      <c r="T55" s="24"/>
      <c r="U55" s="24"/>
      <c r="V55" s="24"/>
      <c r="W55" s="24"/>
      <c r="X55" s="24"/>
      <c r="Y55" s="24"/>
    </row>
    <row r="56" spans="1:25" ht="25.5" x14ac:dyDescent="0.2">
      <c r="A56" s="33" t="s">
        <v>135</v>
      </c>
      <c r="B56" s="38" t="s">
        <v>6</v>
      </c>
      <c r="C56" s="59">
        <f>SUM(E52:E55)</f>
        <v>7500</v>
      </c>
      <c r="D56" s="43">
        <v>0.1</v>
      </c>
      <c r="E56" s="21">
        <f>C56*D56</f>
        <v>750</v>
      </c>
      <c r="G56" s="36">
        <f>E56</f>
        <v>750</v>
      </c>
      <c r="O56" s="36"/>
      <c r="Q56" s="36"/>
      <c r="S56" s="24"/>
      <c r="T56" s="24"/>
      <c r="U56" s="24"/>
      <c r="V56" s="24"/>
      <c r="W56" s="24"/>
      <c r="X56" s="24"/>
      <c r="Y56" s="24"/>
    </row>
    <row r="57" spans="1:25" x14ac:dyDescent="0.2">
      <c r="A57" s="49"/>
      <c r="C57" s="21"/>
      <c r="D57" s="41"/>
      <c r="E57" s="50">
        <f>SUM(E32:E56)</f>
        <v>94975.9</v>
      </c>
      <c r="F57" s="50">
        <f>SUM(F32:F56)</f>
        <v>85000</v>
      </c>
      <c r="G57" s="50">
        <f>SUM(G32:G56)</f>
        <v>9975.9</v>
      </c>
      <c r="H57" s="36"/>
      <c r="O57" s="36"/>
      <c r="Q57" s="36"/>
      <c r="S57" s="24"/>
      <c r="T57" s="24"/>
      <c r="U57" s="24"/>
      <c r="V57" s="24"/>
      <c r="W57" s="24"/>
      <c r="X57" s="24"/>
      <c r="Y57" s="24"/>
    </row>
    <row r="58" spans="1:25" x14ac:dyDescent="0.2">
      <c r="A58" s="68" t="s">
        <v>39</v>
      </c>
      <c r="B58" s="68"/>
      <c r="C58" s="68"/>
      <c r="D58" s="68"/>
      <c r="E58" s="68"/>
      <c r="F58" s="68"/>
      <c r="G58" s="68"/>
      <c r="H58" s="38"/>
      <c r="Q58" s="36"/>
      <c r="S58" s="24"/>
      <c r="T58" s="24"/>
      <c r="U58" s="24"/>
      <c r="V58" s="24"/>
      <c r="W58" s="24"/>
      <c r="X58" s="24"/>
      <c r="Y58" s="24"/>
    </row>
    <row r="59" spans="1:25" x14ac:dyDescent="0.2">
      <c r="A59" s="69" t="s">
        <v>40</v>
      </c>
      <c r="B59" s="38" t="s">
        <v>41</v>
      </c>
      <c r="C59" s="38">
        <v>0</v>
      </c>
      <c r="D59" s="65">
        <v>20000</v>
      </c>
      <c r="E59" s="59">
        <f t="shared" ref="E59:E64" si="2">C59*D59</f>
        <v>0</v>
      </c>
      <c r="F59" s="60">
        <f t="shared" ref="F59:F64" si="3">E59</f>
        <v>0</v>
      </c>
      <c r="H59" s="70" t="s">
        <v>42</v>
      </c>
      <c r="L59" s="36"/>
      <c r="Q59" s="36"/>
      <c r="S59" s="24"/>
      <c r="T59" s="24"/>
      <c r="U59" s="24"/>
      <c r="V59" s="24"/>
      <c r="W59" s="24"/>
      <c r="X59" s="24"/>
      <c r="Y59" s="24"/>
    </row>
    <row r="60" spans="1:25" x14ac:dyDescent="0.2">
      <c r="A60" s="69" t="s">
        <v>43</v>
      </c>
      <c r="B60" s="38" t="s">
        <v>41</v>
      </c>
      <c r="C60" s="38">
        <v>0</v>
      </c>
      <c r="D60" s="65">
        <v>30000</v>
      </c>
      <c r="E60" s="59">
        <f t="shared" si="2"/>
        <v>0</v>
      </c>
      <c r="F60" s="60">
        <f t="shared" si="3"/>
        <v>0</v>
      </c>
      <c r="G60" s="60"/>
      <c r="H60" s="38"/>
      <c r="L60" s="36"/>
      <c r="Q60" s="36"/>
      <c r="S60" s="24"/>
      <c r="T60" s="24"/>
      <c r="U60" s="24"/>
      <c r="V60" s="24"/>
      <c r="W60" s="24"/>
      <c r="X60" s="24"/>
      <c r="Y60" s="24"/>
    </row>
    <row r="61" spans="1:25" x14ac:dyDescent="0.2">
      <c r="A61" s="69" t="s">
        <v>44</v>
      </c>
      <c r="B61" s="38" t="s">
        <v>41</v>
      </c>
      <c r="C61" s="38">
        <v>0</v>
      </c>
      <c r="D61" s="65">
        <v>150000</v>
      </c>
      <c r="E61" s="59">
        <f t="shared" si="2"/>
        <v>0</v>
      </c>
      <c r="F61" s="60">
        <f t="shared" si="3"/>
        <v>0</v>
      </c>
      <c r="G61" s="60"/>
      <c r="H61" s="38"/>
      <c r="L61" s="36"/>
      <c r="Q61" s="36"/>
      <c r="S61" s="24"/>
      <c r="T61" s="24"/>
      <c r="U61" s="24"/>
      <c r="V61" s="24"/>
      <c r="W61" s="24"/>
      <c r="X61" s="24"/>
      <c r="Y61" s="24"/>
    </row>
    <row r="62" spans="1:25" x14ac:dyDescent="0.2">
      <c r="A62" s="69" t="s">
        <v>45</v>
      </c>
      <c r="B62" s="38" t="s">
        <v>121</v>
      </c>
      <c r="C62" s="38">
        <v>0</v>
      </c>
      <c r="D62" s="65">
        <v>10000</v>
      </c>
      <c r="E62" s="59">
        <f t="shared" si="2"/>
        <v>0</v>
      </c>
      <c r="F62" s="60">
        <f t="shared" si="3"/>
        <v>0</v>
      </c>
      <c r="G62" s="60"/>
      <c r="H62" s="38"/>
      <c r="L62" s="36"/>
      <c r="Q62" s="36"/>
      <c r="S62" s="24"/>
      <c r="T62" s="24"/>
      <c r="U62" s="24"/>
      <c r="V62" s="24"/>
      <c r="W62" s="24"/>
      <c r="X62" s="24"/>
      <c r="Y62" s="24"/>
    </row>
    <row r="63" spans="1:25" x14ac:dyDescent="0.2">
      <c r="A63" s="69" t="s">
        <v>46</v>
      </c>
      <c r="B63" s="38" t="s">
        <v>47</v>
      </c>
      <c r="C63" s="71">
        <v>0</v>
      </c>
      <c r="D63" s="38">
        <v>0.2</v>
      </c>
      <c r="E63" s="59">
        <f t="shared" si="2"/>
        <v>0</v>
      </c>
      <c r="F63" s="60">
        <f t="shared" si="3"/>
        <v>0</v>
      </c>
      <c r="G63" s="60"/>
      <c r="H63" s="38"/>
      <c r="L63" s="36"/>
      <c r="Q63" s="36"/>
      <c r="S63" s="24"/>
      <c r="T63" s="24"/>
      <c r="U63" s="24"/>
      <c r="V63" s="24"/>
      <c r="W63" s="24"/>
      <c r="X63" s="24"/>
      <c r="Y63" s="24"/>
    </row>
    <row r="64" spans="1:25" ht="25.5" x14ac:dyDescent="0.2">
      <c r="A64" s="69" t="s">
        <v>135</v>
      </c>
      <c r="B64" s="38" t="s">
        <v>48</v>
      </c>
      <c r="C64" s="59">
        <f>SUM(E59:E63)</f>
        <v>0</v>
      </c>
      <c r="D64" s="43">
        <v>0.1</v>
      </c>
      <c r="E64" s="59">
        <f t="shared" si="2"/>
        <v>0</v>
      </c>
      <c r="F64" s="60">
        <f t="shared" si="3"/>
        <v>0</v>
      </c>
      <c r="G64" s="60"/>
      <c r="H64" s="38"/>
      <c r="L64" s="36"/>
      <c r="Q64" s="36"/>
      <c r="S64" s="24"/>
      <c r="T64" s="24"/>
      <c r="U64" s="24"/>
      <c r="V64" s="24"/>
      <c r="W64" s="24"/>
      <c r="X64" s="24"/>
      <c r="Y64" s="24"/>
    </row>
    <row r="65" spans="1:25" x14ac:dyDescent="0.2">
      <c r="A65" s="72"/>
      <c r="B65" s="38"/>
      <c r="C65" s="59"/>
      <c r="D65" s="43"/>
      <c r="E65" s="73">
        <f>SUM(E59:E64)</f>
        <v>0</v>
      </c>
      <c r="F65" s="73">
        <f>SUM(F59:F64)</f>
        <v>0</v>
      </c>
      <c r="G65" s="73">
        <f>SUM(G59:G64)</f>
        <v>0</v>
      </c>
      <c r="H65" s="38"/>
      <c r="Q65" s="36"/>
      <c r="S65" s="24"/>
      <c r="T65" s="24"/>
      <c r="U65" s="24"/>
      <c r="V65" s="24"/>
      <c r="W65" s="24"/>
      <c r="X65" s="24"/>
      <c r="Y65" s="24"/>
    </row>
    <row r="66" spans="1:25" x14ac:dyDescent="0.2">
      <c r="A66" s="75" t="s">
        <v>49</v>
      </c>
      <c r="B66" s="75"/>
      <c r="C66" s="75"/>
      <c r="D66" s="75"/>
      <c r="E66" s="75"/>
      <c r="F66" s="75"/>
      <c r="G66" s="75"/>
      <c r="H66" s="38"/>
      <c r="Q66" s="36"/>
      <c r="S66" s="24"/>
      <c r="T66" s="24"/>
      <c r="U66" s="24"/>
      <c r="V66" s="24"/>
      <c r="W66" s="24"/>
      <c r="X66" s="24"/>
      <c r="Y66" s="24"/>
    </row>
    <row r="67" spans="1:25" x14ac:dyDescent="0.2">
      <c r="A67" s="69" t="s">
        <v>50</v>
      </c>
      <c r="B67" s="38" t="s">
        <v>51</v>
      </c>
      <c r="C67" s="38">
        <v>0</v>
      </c>
      <c r="D67" s="65">
        <v>0</v>
      </c>
      <c r="E67" s="59">
        <f>C67*D67</f>
        <v>0</v>
      </c>
      <c r="F67" s="60">
        <f>E67</f>
        <v>0</v>
      </c>
      <c r="G67" s="60"/>
      <c r="H67" s="70" t="s">
        <v>52</v>
      </c>
      <c r="L67" s="36"/>
      <c r="Q67" s="36"/>
      <c r="S67" s="24"/>
      <c r="T67" s="24"/>
      <c r="U67" s="24"/>
      <c r="V67" s="24"/>
      <c r="W67" s="24"/>
      <c r="X67" s="24"/>
      <c r="Y67" s="24"/>
    </row>
    <row r="68" spans="1:25" x14ac:dyDescent="0.2">
      <c r="A68" s="69" t="s">
        <v>53</v>
      </c>
      <c r="B68" s="38" t="s">
        <v>54</v>
      </c>
      <c r="C68" s="38">
        <v>0</v>
      </c>
      <c r="D68" s="65">
        <v>80000</v>
      </c>
      <c r="E68" s="59">
        <f>C68*D68</f>
        <v>0</v>
      </c>
      <c r="F68" s="60">
        <f>E68</f>
        <v>0</v>
      </c>
      <c r="G68" s="60"/>
      <c r="H68" s="38"/>
      <c r="L68" s="36"/>
      <c r="Q68" s="36"/>
      <c r="S68" s="24"/>
      <c r="T68" s="24"/>
      <c r="U68" s="24"/>
      <c r="V68" s="24"/>
      <c r="W68" s="24"/>
      <c r="X68" s="24"/>
      <c r="Y68" s="24"/>
    </row>
    <row r="69" spans="1:25" x14ac:dyDescent="0.2">
      <c r="A69" s="69" t="s">
        <v>55</v>
      </c>
      <c r="B69" s="38" t="s">
        <v>56</v>
      </c>
      <c r="C69" s="38">
        <v>0</v>
      </c>
      <c r="D69" s="65">
        <v>80000</v>
      </c>
      <c r="E69" s="59">
        <f>C69*D69</f>
        <v>0</v>
      </c>
      <c r="F69" s="60">
        <f>E69</f>
        <v>0</v>
      </c>
      <c r="G69" s="60"/>
      <c r="H69" s="38"/>
      <c r="L69" s="36"/>
      <c r="Q69" s="36"/>
      <c r="S69" s="24"/>
      <c r="T69" s="24"/>
      <c r="U69" s="24"/>
      <c r="V69" s="24"/>
      <c r="W69" s="24"/>
      <c r="X69" s="24"/>
      <c r="Y69" s="24"/>
    </row>
    <row r="70" spans="1:25" ht="25.5" x14ac:dyDescent="0.2">
      <c r="A70" s="69" t="s">
        <v>57</v>
      </c>
      <c r="B70" s="38" t="s">
        <v>58</v>
      </c>
      <c r="C70" s="38">
        <v>0</v>
      </c>
      <c r="D70" s="65">
        <v>20000</v>
      </c>
      <c r="E70" s="59">
        <f>C70*D70</f>
        <v>0</v>
      </c>
      <c r="F70" s="38"/>
      <c r="G70" s="60">
        <f>E70</f>
        <v>0</v>
      </c>
      <c r="H70" s="38"/>
      <c r="K70" s="36"/>
      <c r="O70" s="36"/>
      <c r="Q70" s="36"/>
      <c r="S70" s="24"/>
      <c r="T70" s="24"/>
      <c r="U70" s="24"/>
      <c r="V70" s="24"/>
      <c r="W70" s="24"/>
      <c r="X70" s="24"/>
      <c r="Y70" s="24"/>
    </row>
    <row r="71" spans="1:25" x14ac:dyDescent="0.2">
      <c r="A71" s="76"/>
      <c r="B71" s="38"/>
      <c r="C71" s="38"/>
      <c r="D71" s="38"/>
      <c r="E71" s="73">
        <f>SUM(E67:E70)</f>
        <v>0</v>
      </c>
      <c r="F71" s="73">
        <f>SUM(F67:F70)</f>
        <v>0</v>
      </c>
      <c r="G71" s="73">
        <f>SUM(G67:G70)</f>
        <v>0</v>
      </c>
      <c r="H71" s="38"/>
      <c r="S71" s="24"/>
      <c r="T71" s="24"/>
      <c r="U71" s="24"/>
      <c r="V71" s="24"/>
      <c r="W71" s="24"/>
      <c r="X71" s="24"/>
      <c r="Y71" s="24"/>
    </row>
    <row r="72" spans="1:25" x14ac:dyDescent="0.2">
      <c r="A72" s="76"/>
      <c r="B72" s="38"/>
      <c r="C72" s="38"/>
      <c r="D72" s="38"/>
      <c r="E72" s="59"/>
      <c r="F72" s="38"/>
      <c r="G72" s="38"/>
      <c r="H72" s="38"/>
      <c r="K72" s="24"/>
      <c r="L72" s="24"/>
      <c r="M72" s="24"/>
      <c r="N72" s="20"/>
      <c r="O72" s="24"/>
      <c r="P72" s="24"/>
      <c r="Q72" s="24"/>
      <c r="R72" s="20"/>
      <c r="S72" s="24"/>
      <c r="T72" s="24"/>
      <c r="U72" s="24"/>
      <c r="V72" s="24"/>
      <c r="W72" s="24"/>
      <c r="X72" s="24"/>
      <c r="Y72" s="24"/>
    </row>
    <row r="73" spans="1:25" ht="13.5" thickBot="1" x14ac:dyDescent="0.25">
      <c r="A73" s="38"/>
      <c r="B73" s="38"/>
      <c r="C73" s="38"/>
      <c r="D73" s="38"/>
      <c r="E73" s="59"/>
      <c r="F73" s="38"/>
      <c r="G73" s="38"/>
      <c r="H73" s="38"/>
      <c r="U73" s="20"/>
      <c r="V73" s="20"/>
      <c r="Y73" s="20"/>
    </row>
    <row r="74" spans="1:25" ht="13.5" thickBot="1" x14ac:dyDescent="0.25">
      <c r="A74" s="102" t="s">
        <v>59</v>
      </c>
      <c r="B74" s="103" t="s">
        <v>60</v>
      </c>
      <c r="C74" s="103" t="s">
        <v>82</v>
      </c>
      <c r="D74" s="103" t="s">
        <v>230</v>
      </c>
      <c r="E74" s="104" t="s">
        <v>61</v>
      </c>
      <c r="F74" s="103" t="s">
        <v>62</v>
      </c>
      <c r="G74" s="38"/>
      <c r="H74" s="38"/>
      <c r="Y74" s="20"/>
    </row>
    <row r="75" spans="1:25" x14ac:dyDescent="0.2">
      <c r="A75" s="80" t="s">
        <v>72</v>
      </c>
      <c r="B75" s="105">
        <f>F30</f>
        <v>510000</v>
      </c>
      <c r="C75" s="105">
        <f>G30</f>
        <v>77346.947199999995</v>
      </c>
      <c r="D75" s="105">
        <f>B75+(C75*10)</f>
        <v>1283469.4720000001</v>
      </c>
      <c r="E75" s="106">
        <f>D75/10</f>
        <v>128346.94720000001</v>
      </c>
      <c r="F75" s="107">
        <f>E75/A3</f>
        <v>24.615831837360954</v>
      </c>
      <c r="G75" s="38"/>
      <c r="H75" s="38"/>
    </row>
    <row r="76" spans="1:25" x14ac:dyDescent="0.2">
      <c r="A76" s="80" t="s">
        <v>273</v>
      </c>
      <c r="B76" s="105">
        <f>F57</f>
        <v>85000</v>
      </c>
      <c r="C76" s="105">
        <f>G57</f>
        <v>9975.9</v>
      </c>
      <c r="D76" s="105">
        <f>B76+(C76*10)</f>
        <v>184759</v>
      </c>
      <c r="E76" s="106">
        <f>D76/10</f>
        <v>18475.900000000001</v>
      </c>
      <c r="F76" s="107">
        <f>E76/A3</f>
        <v>3.5435174530111242</v>
      </c>
      <c r="G76" s="38"/>
      <c r="H76" s="38"/>
    </row>
    <row r="77" spans="1:25" x14ac:dyDescent="0.2">
      <c r="A77" s="80" t="s">
        <v>316</v>
      </c>
      <c r="B77" s="105">
        <f>F65</f>
        <v>0</v>
      </c>
      <c r="C77" s="105">
        <f>G65</f>
        <v>0</v>
      </c>
      <c r="D77" s="105">
        <f>B77+(C77*10)</f>
        <v>0</v>
      </c>
      <c r="E77" s="106">
        <f>D77/10</f>
        <v>0</v>
      </c>
      <c r="F77" s="107">
        <f>E77/A3</f>
        <v>0</v>
      </c>
      <c r="G77" s="38"/>
      <c r="H77" s="38"/>
    </row>
    <row r="78" spans="1:25" ht="13.5" thickBot="1" x14ac:dyDescent="0.25">
      <c r="A78" s="80" t="s">
        <v>275</v>
      </c>
      <c r="B78" s="105">
        <f>F71</f>
        <v>0</v>
      </c>
      <c r="C78" s="105">
        <f>G71</f>
        <v>0</v>
      </c>
      <c r="D78" s="105">
        <f>B78+(C78*10)</f>
        <v>0</v>
      </c>
      <c r="E78" s="106">
        <f>D78/10</f>
        <v>0</v>
      </c>
      <c r="F78" s="107">
        <f>E78/A3</f>
        <v>0</v>
      </c>
      <c r="G78" s="38"/>
      <c r="H78" s="38"/>
    </row>
    <row r="79" spans="1:25" ht="13.5" thickBot="1" x14ac:dyDescent="0.25">
      <c r="A79" s="108"/>
      <c r="B79" s="109">
        <f>SUM(B75:B78)</f>
        <v>595000</v>
      </c>
      <c r="C79" s="109">
        <f>SUM(C75:C78)</f>
        <v>87322.847199999989</v>
      </c>
      <c r="D79" s="109">
        <f>SUM(D75:D78)</f>
        <v>1468228.4720000001</v>
      </c>
      <c r="E79" s="110">
        <f>SUM(E75:E78)</f>
        <v>146822.84720000002</v>
      </c>
      <c r="F79" s="111">
        <f>SUM(F75:F78)</f>
        <v>28.159349290372077</v>
      </c>
      <c r="G79" s="112"/>
      <c r="H79" s="113"/>
    </row>
    <row r="80" spans="1:25" x14ac:dyDescent="0.2">
      <c r="A80" s="38"/>
      <c r="B80" s="38"/>
      <c r="C80" s="38"/>
      <c r="D80" s="38"/>
      <c r="E80" s="38"/>
      <c r="F80" s="38"/>
      <c r="G80" s="38"/>
      <c r="H80" s="114"/>
    </row>
    <row r="81" spans="1:9" x14ac:dyDescent="0.2">
      <c r="A81" s="38"/>
      <c r="B81" s="38"/>
      <c r="C81" s="38"/>
      <c r="D81" s="38"/>
      <c r="E81" s="38"/>
      <c r="F81" s="38"/>
      <c r="G81" s="38"/>
      <c r="H81" s="38"/>
    </row>
    <row r="82" spans="1:9" x14ac:dyDescent="0.2">
      <c r="A82" s="38"/>
      <c r="B82" s="38"/>
      <c r="C82" s="38"/>
      <c r="D82" s="38"/>
      <c r="E82" s="59"/>
      <c r="F82" s="38"/>
      <c r="G82" s="38"/>
      <c r="H82" s="38"/>
    </row>
    <row r="83" spans="1:9" ht="13.5" thickBot="1" x14ac:dyDescent="0.25">
      <c r="A83" s="38"/>
      <c r="B83" s="38"/>
      <c r="C83" s="38"/>
      <c r="D83" s="38"/>
      <c r="E83" s="59"/>
      <c r="F83" s="38"/>
      <c r="G83" s="38"/>
      <c r="H83" s="38"/>
    </row>
    <row r="84" spans="1:9" ht="13.5" thickBot="1" x14ac:dyDescent="0.25">
      <c r="A84" s="102" t="s">
        <v>7</v>
      </c>
      <c r="B84" s="38"/>
      <c r="C84" s="38"/>
      <c r="D84" s="38"/>
      <c r="E84" s="59"/>
      <c r="F84" s="38"/>
      <c r="G84" s="38"/>
      <c r="H84" s="90">
        <f>SUM(H86:H101)</f>
        <v>1501381.2928562956</v>
      </c>
      <c r="I84" s="18" t="s">
        <v>66</v>
      </c>
    </row>
    <row r="85" spans="1:9" ht="51" x14ac:dyDescent="0.2">
      <c r="A85" s="91" t="s">
        <v>262</v>
      </c>
      <c r="B85" s="59" t="s">
        <v>83</v>
      </c>
      <c r="C85" s="38" t="s">
        <v>273</v>
      </c>
      <c r="D85" s="38" t="s">
        <v>316</v>
      </c>
      <c r="E85" s="38" t="s">
        <v>275</v>
      </c>
      <c r="F85" s="38" t="s">
        <v>292</v>
      </c>
      <c r="G85" s="38" t="s">
        <v>67</v>
      </c>
      <c r="H85" s="38" t="s">
        <v>68</v>
      </c>
    </row>
    <row r="86" spans="1:9" x14ac:dyDescent="0.2">
      <c r="A86" s="19">
        <v>0</v>
      </c>
      <c r="B86" s="24">
        <f>+B75</f>
        <v>510000</v>
      </c>
      <c r="C86" s="24">
        <f>B76</f>
        <v>85000</v>
      </c>
      <c r="D86" s="24">
        <f>$B$77/2</f>
        <v>0</v>
      </c>
      <c r="E86" s="24">
        <f>F67+$C$78</f>
        <v>0</v>
      </c>
      <c r="F86" s="24">
        <f t="shared" ref="F86:F101" si="4">SUM(B86:E86)</f>
        <v>595000</v>
      </c>
      <c r="G86" s="92">
        <v>1</v>
      </c>
      <c r="H86" s="93">
        <f>+F86*G86</f>
        <v>595000</v>
      </c>
    </row>
    <row r="87" spans="1:9" x14ac:dyDescent="0.2">
      <c r="A87" s="19">
        <f>+A86+1</f>
        <v>1</v>
      </c>
      <c r="B87" s="24">
        <f t="shared" ref="B87:B101" si="5">$C$75</f>
        <v>77346.947199999995</v>
      </c>
      <c r="C87" s="24">
        <f>$C$76</f>
        <v>9975.9</v>
      </c>
      <c r="D87" s="24">
        <f>$B$77/2</f>
        <v>0</v>
      </c>
      <c r="E87" s="24">
        <f>$C$78</f>
        <v>0</v>
      </c>
      <c r="F87" s="24">
        <f t="shared" si="4"/>
        <v>87322.847199999989</v>
      </c>
      <c r="G87" s="92">
        <f>+G86/(1+DiscountRate)</f>
        <v>0.95238095238095233</v>
      </c>
      <c r="H87" s="93">
        <f t="shared" ref="H87:H101" si="6">+F87*G87</f>
        <v>83164.616380952371</v>
      </c>
    </row>
    <row r="88" spans="1:9" x14ac:dyDescent="0.2">
      <c r="A88" s="19">
        <f t="shared" ref="A88:A101" si="7">+A87+1</f>
        <v>2</v>
      </c>
      <c r="B88" s="24">
        <f t="shared" si="5"/>
        <v>77346.947199999995</v>
      </c>
      <c r="C88" s="24">
        <f t="shared" ref="C88:C101" si="8">$C$76</f>
        <v>9975.9</v>
      </c>
      <c r="D88" s="24"/>
      <c r="E88" s="24">
        <f>F68+$C$78</f>
        <v>0</v>
      </c>
      <c r="F88" s="24">
        <f t="shared" si="4"/>
        <v>87322.847199999989</v>
      </c>
      <c r="G88" s="92">
        <f t="shared" ref="G88:G101" si="9">+G87/(1+DiscountRate)</f>
        <v>0.90702947845804982</v>
      </c>
      <c r="H88" s="93">
        <f t="shared" si="6"/>
        <v>79204.396553287967</v>
      </c>
    </row>
    <row r="89" spans="1:9" x14ac:dyDescent="0.2">
      <c r="A89" s="19">
        <f t="shared" si="7"/>
        <v>3</v>
      </c>
      <c r="B89" s="24">
        <f t="shared" si="5"/>
        <v>77346.947199999995</v>
      </c>
      <c r="C89" s="24">
        <f t="shared" si="8"/>
        <v>9975.9</v>
      </c>
      <c r="D89" s="24"/>
      <c r="E89" s="24">
        <f>$C$78</f>
        <v>0</v>
      </c>
      <c r="F89" s="24">
        <f t="shared" si="4"/>
        <v>87322.847199999989</v>
      </c>
      <c r="G89" s="92">
        <f t="shared" si="9"/>
        <v>0.86383759853147601</v>
      </c>
      <c r="H89" s="93">
        <f t="shared" si="6"/>
        <v>75432.758622179012</v>
      </c>
    </row>
    <row r="90" spans="1:9" x14ac:dyDescent="0.2">
      <c r="A90" s="19">
        <f t="shared" si="7"/>
        <v>4</v>
      </c>
      <c r="B90" s="24">
        <f t="shared" si="5"/>
        <v>77346.947199999995</v>
      </c>
      <c r="C90" s="24">
        <f t="shared" si="8"/>
        <v>9975.9</v>
      </c>
      <c r="D90" s="24"/>
      <c r="E90" s="24">
        <f>F69+$C$78</f>
        <v>0</v>
      </c>
      <c r="F90" s="24">
        <f t="shared" si="4"/>
        <v>87322.847199999989</v>
      </c>
      <c r="G90" s="92">
        <f t="shared" si="9"/>
        <v>0.82270247479188185</v>
      </c>
      <c r="H90" s="93">
        <f t="shared" si="6"/>
        <v>71840.722497313342</v>
      </c>
    </row>
    <row r="91" spans="1:9" x14ac:dyDescent="0.2">
      <c r="A91" s="19">
        <f t="shared" si="7"/>
        <v>5</v>
      </c>
      <c r="B91" s="24">
        <f t="shared" si="5"/>
        <v>77346.947199999995</v>
      </c>
      <c r="C91" s="24">
        <f t="shared" si="8"/>
        <v>9975.9</v>
      </c>
      <c r="D91" s="24"/>
      <c r="E91" s="24">
        <f t="shared" ref="E91:E101" si="10">$C$78</f>
        <v>0</v>
      </c>
      <c r="F91" s="24">
        <f t="shared" si="4"/>
        <v>87322.847199999989</v>
      </c>
      <c r="G91" s="92">
        <f t="shared" si="9"/>
        <v>0.78352616646845885</v>
      </c>
      <c r="H91" s="93">
        <f t="shared" si="6"/>
        <v>68419.735711726986</v>
      </c>
    </row>
    <row r="92" spans="1:9" x14ac:dyDescent="0.2">
      <c r="A92" s="19">
        <f t="shared" si="7"/>
        <v>6</v>
      </c>
      <c r="B92" s="24">
        <f t="shared" si="5"/>
        <v>77346.947199999995</v>
      </c>
      <c r="C92" s="24">
        <f t="shared" si="8"/>
        <v>9975.9</v>
      </c>
      <c r="D92" s="24"/>
      <c r="E92" s="24">
        <f t="shared" si="10"/>
        <v>0</v>
      </c>
      <c r="F92" s="24">
        <f t="shared" si="4"/>
        <v>87322.847199999989</v>
      </c>
      <c r="G92" s="92">
        <f t="shared" si="9"/>
        <v>0.74621539663662739</v>
      </c>
      <c r="H92" s="93">
        <f t="shared" si="6"/>
        <v>65161.653058787597</v>
      </c>
    </row>
    <row r="93" spans="1:9" x14ac:dyDescent="0.2">
      <c r="A93" s="19">
        <f t="shared" si="7"/>
        <v>7</v>
      </c>
      <c r="B93" s="24">
        <f t="shared" si="5"/>
        <v>77346.947199999995</v>
      </c>
      <c r="C93" s="24">
        <f t="shared" si="8"/>
        <v>9975.9</v>
      </c>
      <c r="D93" s="24"/>
      <c r="E93" s="24">
        <f t="shared" si="10"/>
        <v>0</v>
      </c>
      <c r="F93" s="24">
        <f t="shared" si="4"/>
        <v>87322.847199999989</v>
      </c>
      <c r="G93" s="92">
        <f t="shared" si="9"/>
        <v>0.71068133013012125</v>
      </c>
      <c r="H93" s="93">
        <f t="shared" si="6"/>
        <v>62058.717198845326</v>
      </c>
    </row>
    <row r="94" spans="1:9" x14ac:dyDescent="0.2">
      <c r="A94" s="19">
        <f t="shared" si="7"/>
        <v>8</v>
      </c>
      <c r="B94" s="24">
        <f t="shared" si="5"/>
        <v>77346.947199999995</v>
      </c>
      <c r="C94" s="24">
        <f t="shared" si="8"/>
        <v>9975.9</v>
      </c>
      <c r="D94" s="24"/>
      <c r="E94" s="24">
        <f t="shared" si="10"/>
        <v>0</v>
      </c>
      <c r="F94" s="24">
        <f t="shared" si="4"/>
        <v>87322.847199999989</v>
      </c>
      <c r="G94" s="92">
        <f t="shared" si="9"/>
        <v>0.67683936202868689</v>
      </c>
      <c r="H94" s="93">
        <f t="shared" si="6"/>
        <v>59103.540189376501</v>
      </c>
    </row>
    <row r="95" spans="1:9" x14ac:dyDescent="0.2">
      <c r="A95" s="19">
        <f t="shared" si="7"/>
        <v>9</v>
      </c>
      <c r="B95" s="24">
        <f t="shared" si="5"/>
        <v>77346.947199999995</v>
      </c>
      <c r="C95" s="24">
        <f t="shared" si="8"/>
        <v>9975.9</v>
      </c>
      <c r="D95" s="24"/>
      <c r="E95" s="24">
        <f t="shared" si="10"/>
        <v>0</v>
      </c>
      <c r="F95" s="24">
        <f t="shared" si="4"/>
        <v>87322.847199999989</v>
      </c>
      <c r="G95" s="92">
        <f t="shared" si="9"/>
        <v>0.64460891621779703</v>
      </c>
      <c r="H95" s="93">
        <f t="shared" si="6"/>
        <v>56289.085894644282</v>
      </c>
    </row>
    <row r="96" spans="1:9" x14ac:dyDescent="0.2">
      <c r="A96" s="19">
        <f t="shared" si="7"/>
        <v>10</v>
      </c>
      <c r="B96" s="24">
        <f t="shared" si="5"/>
        <v>77346.947199999995</v>
      </c>
      <c r="C96" s="24">
        <f t="shared" si="8"/>
        <v>9975.9</v>
      </c>
      <c r="D96" s="24"/>
      <c r="E96" s="24">
        <f t="shared" si="10"/>
        <v>0</v>
      </c>
      <c r="F96" s="24">
        <f t="shared" si="4"/>
        <v>87322.847199999989</v>
      </c>
      <c r="G96" s="92">
        <f t="shared" si="9"/>
        <v>0.6139132535407591</v>
      </c>
      <c r="H96" s="93">
        <f t="shared" si="6"/>
        <v>53608.653232994562</v>
      </c>
    </row>
    <row r="97" spans="1:8" x14ac:dyDescent="0.2">
      <c r="A97" s="19">
        <f t="shared" si="7"/>
        <v>11</v>
      </c>
      <c r="B97" s="24">
        <f t="shared" si="5"/>
        <v>77346.947199999995</v>
      </c>
      <c r="C97" s="24">
        <f t="shared" si="8"/>
        <v>9975.9</v>
      </c>
      <c r="D97" s="24"/>
      <c r="E97" s="24">
        <f t="shared" si="10"/>
        <v>0</v>
      </c>
      <c r="F97" s="24">
        <f t="shared" si="4"/>
        <v>87322.847199999989</v>
      </c>
      <c r="G97" s="92">
        <f t="shared" si="9"/>
        <v>0.58467928908643718</v>
      </c>
      <c r="H97" s="93">
        <f t="shared" si="6"/>
        <v>51055.860221899573</v>
      </c>
    </row>
    <row r="98" spans="1:8" x14ac:dyDescent="0.2">
      <c r="A98" s="19">
        <f t="shared" si="7"/>
        <v>12</v>
      </c>
      <c r="B98" s="24">
        <f t="shared" si="5"/>
        <v>77346.947199999995</v>
      </c>
      <c r="C98" s="24">
        <f t="shared" si="8"/>
        <v>9975.9</v>
      </c>
      <c r="D98" s="24"/>
      <c r="E98" s="24">
        <f t="shared" si="10"/>
        <v>0</v>
      </c>
      <c r="F98" s="24">
        <f t="shared" si="4"/>
        <v>87322.847199999989</v>
      </c>
      <c r="G98" s="92">
        <f t="shared" si="9"/>
        <v>0.55683741817755916</v>
      </c>
      <c r="H98" s="93">
        <f t="shared" si="6"/>
        <v>48624.628782761494</v>
      </c>
    </row>
    <row r="99" spans="1:8" x14ac:dyDescent="0.2">
      <c r="A99" s="19">
        <f t="shared" si="7"/>
        <v>13</v>
      </c>
      <c r="B99" s="24">
        <f t="shared" si="5"/>
        <v>77346.947199999995</v>
      </c>
      <c r="C99" s="24">
        <f t="shared" si="8"/>
        <v>9975.9</v>
      </c>
      <c r="D99" s="24"/>
      <c r="E99" s="24">
        <f t="shared" si="10"/>
        <v>0</v>
      </c>
      <c r="F99" s="24">
        <f t="shared" si="4"/>
        <v>87322.847199999989</v>
      </c>
      <c r="G99" s="92">
        <f t="shared" si="9"/>
        <v>0.5303213506452944</v>
      </c>
      <c r="H99" s="93">
        <f t="shared" si="6"/>
        <v>46309.170269296657</v>
      </c>
    </row>
    <row r="100" spans="1:8" x14ac:dyDescent="0.2">
      <c r="A100" s="19">
        <f t="shared" si="7"/>
        <v>14</v>
      </c>
      <c r="B100" s="24">
        <f t="shared" si="5"/>
        <v>77346.947199999995</v>
      </c>
      <c r="C100" s="24">
        <f t="shared" si="8"/>
        <v>9975.9</v>
      </c>
      <c r="D100" s="24"/>
      <c r="E100" s="24">
        <f t="shared" si="10"/>
        <v>0</v>
      </c>
      <c r="F100" s="24">
        <f t="shared" si="4"/>
        <v>87322.847199999989</v>
      </c>
      <c r="G100" s="92">
        <f t="shared" si="9"/>
        <v>0.50506795299551843</v>
      </c>
      <c r="H100" s="93">
        <f t="shared" si="6"/>
        <v>44103.971685044431</v>
      </c>
    </row>
    <row r="101" spans="1:8" x14ac:dyDescent="0.2">
      <c r="A101" s="19">
        <f t="shared" si="7"/>
        <v>15</v>
      </c>
      <c r="B101" s="24">
        <f t="shared" si="5"/>
        <v>77346.947199999995</v>
      </c>
      <c r="C101" s="24">
        <f t="shared" si="8"/>
        <v>9975.9</v>
      </c>
      <c r="D101" s="24"/>
      <c r="E101" s="24">
        <f t="shared" si="10"/>
        <v>0</v>
      </c>
      <c r="F101" s="24">
        <f t="shared" si="4"/>
        <v>87322.847199999989</v>
      </c>
      <c r="G101" s="92">
        <f t="shared" si="9"/>
        <v>0.48101709809096993</v>
      </c>
      <c r="H101" s="93">
        <f t="shared" si="6"/>
        <v>42003.782557185172</v>
      </c>
    </row>
    <row r="102" spans="1:8" x14ac:dyDescent="0.2">
      <c r="B102" s="21"/>
      <c r="E102" s="19"/>
    </row>
  </sheetData>
  <mergeCells count="2">
    <mergeCell ref="A10:A11"/>
    <mergeCell ref="B10:D10"/>
  </mergeCells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pane ySplit="11" topLeftCell="A12" activePane="bottomLeft" state="frozen"/>
      <selection pane="bottomLeft"/>
    </sheetView>
  </sheetViews>
  <sheetFormatPr defaultColWidth="7.5546875" defaultRowHeight="12.75" x14ac:dyDescent="0.2"/>
  <cols>
    <col min="1" max="1" width="29.6640625" style="19" customWidth="1"/>
    <col min="2" max="2" width="26.6640625" style="19" customWidth="1"/>
    <col min="3" max="3" width="9.6640625" style="19" customWidth="1"/>
    <col min="4" max="4" width="10.5546875" style="19" customWidth="1"/>
    <col min="5" max="5" width="16.109375" style="21" customWidth="1"/>
    <col min="6" max="6" width="8.88671875" style="19" customWidth="1"/>
    <col min="7" max="7" width="11.5546875" style="19" customWidth="1"/>
    <col min="8" max="8" width="13.6640625" style="19" customWidth="1"/>
    <col min="9" max="9" width="11" style="19" customWidth="1"/>
    <col min="10" max="10" width="7.5546875" style="19"/>
    <col min="11" max="11" width="11.5546875" style="19" customWidth="1"/>
    <col min="12" max="12" width="8.33203125" style="19" customWidth="1"/>
    <col min="13" max="14" width="7.5546875" style="19"/>
    <col min="15" max="16" width="8.88671875" style="19" customWidth="1"/>
    <col min="17" max="18" width="9.6640625" style="19" customWidth="1"/>
    <col min="19" max="16384" width="7.5546875" style="19"/>
  </cols>
  <sheetData>
    <row r="1" spans="1:12" x14ac:dyDescent="0.2">
      <c r="A1" s="18" t="s">
        <v>185</v>
      </c>
      <c r="D1" s="20"/>
    </row>
    <row r="2" spans="1:12" x14ac:dyDescent="0.2">
      <c r="A2" s="22">
        <v>2</v>
      </c>
      <c r="B2" s="19" t="s">
        <v>186</v>
      </c>
      <c r="F2" s="24"/>
      <c r="G2" s="21"/>
    </row>
    <row r="3" spans="1:12" x14ac:dyDescent="0.2">
      <c r="A3" s="22">
        <v>28080</v>
      </c>
      <c r="B3" s="23" t="s">
        <v>8</v>
      </c>
      <c r="G3" s="21"/>
    </row>
    <row r="4" spans="1:12" x14ac:dyDescent="0.2">
      <c r="A4" s="22">
        <v>5</v>
      </c>
      <c r="B4" s="23" t="s">
        <v>188</v>
      </c>
      <c r="G4" s="21"/>
    </row>
    <row r="5" spans="1:12" x14ac:dyDescent="0.2">
      <c r="A5" s="22">
        <v>570</v>
      </c>
      <c r="B5" s="19" t="s">
        <v>71</v>
      </c>
      <c r="E5" s="19"/>
      <c r="G5" s="21"/>
    </row>
    <row r="6" spans="1:12" x14ac:dyDescent="0.2">
      <c r="A6" s="22">
        <v>2</v>
      </c>
      <c r="B6" s="19" t="s">
        <v>190</v>
      </c>
      <c r="C6" s="18"/>
    </row>
    <row r="7" spans="1:12" x14ac:dyDescent="0.2">
      <c r="A7" s="22">
        <v>50</v>
      </c>
      <c r="B7" s="19" t="s">
        <v>191</v>
      </c>
      <c r="C7" s="18"/>
    </row>
    <row r="8" spans="1:12" x14ac:dyDescent="0.2">
      <c r="A8" s="22">
        <v>2000</v>
      </c>
      <c r="B8" s="19" t="s">
        <v>192</v>
      </c>
      <c r="C8" s="18"/>
    </row>
    <row r="9" spans="1:12" x14ac:dyDescent="0.2">
      <c r="A9" s="22">
        <v>5</v>
      </c>
      <c r="B9" s="19" t="s">
        <v>193</v>
      </c>
      <c r="C9" s="18"/>
    </row>
    <row r="10" spans="1:12" ht="12.75" customHeight="1" x14ac:dyDescent="0.2">
      <c r="A10" s="126"/>
      <c r="B10" s="189"/>
      <c r="C10" s="189"/>
      <c r="D10" s="189"/>
      <c r="E10" s="94"/>
      <c r="F10" s="95" t="s">
        <v>195</v>
      </c>
      <c r="G10" s="95" t="s">
        <v>196</v>
      </c>
    </row>
    <row r="11" spans="1:12" x14ac:dyDescent="0.2">
      <c r="A11" s="125"/>
      <c r="B11" s="95" t="s">
        <v>9</v>
      </c>
      <c r="C11" s="95" t="s">
        <v>198</v>
      </c>
      <c r="D11" s="95" t="s">
        <v>199</v>
      </c>
      <c r="E11" s="94" t="s">
        <v>292</v>
      </c>
      <c r="F11" s="95" t="s">
        <v>81</v>
      </c>
      <c r="G11" s="95" t="s">
        <v>82</v>
      </c>
    </row>
    <row r="12" spans="1:12" x14ac:dyDescent="0.2">
      <c r="A12" s="28" t="s">
        <v>83</v>
      </c>
      <c r="B12" s="29"/>
      <c r="C12" s="29"/>
      <c r="D12" s="29"/>
      <c r="E12" s="30"/>
      <c r="F12" s="31"/>
      <c r="G12" s="29"/>
    </row>
    <row r="13" spans="1:12" x14ac:dyDescent="0.2">
      <c r="A13" s="32" t="s">
        <v>81</v>
      </c>
      <c r="B13" s="38"/>
      <c r="C13" s="38"/>
      <c r="D13" s="38"/>
      <c r="E13" s="59"/>
      <c r="F13" s="38"/>
      <c r="G13" s="38"/>
      <c r="H13" s="38"/>
    </row>
    <row r="14" spans="1:12" ht="12" customHeight="1" x14ac:dyDescent="0.2">
      <c r="A14" s="33" t="s">
        <v>84</v>
      </c>
      <c r="B14" s="38" t="s">
        <v>85</v>
      </c>
      <c r="C14" s="61">
        <f>A2</f>
        <v>2</v>
      </c>
      <c r="D14" s="65">
        <v>10000</v>
      </c>
      <c r="E14" s="59">
        <f>C14*D14</f>
        <v>20000</v>
      </c>
      <c r="F14" s="60">
        <f>E14</f>
        <v>20000</v>
      </c>
      <c r="G14" s="38"/>
      <c r="H14" s="38"/>
      <c r="L14" s="36"/>
    </row>
    <row r="15" spans="1:12" ht="12" customHeight="1" x14ac:dyDescent="0.2">
      <c r="A15" s="33" t="s">
        <v>88</v>
      </c>
      <c r="B15" s="38"/>
      <c r="C15" s="61"/>
      <c r="D15" s="65"/>
      <c r="E15" s="59"/>
      <c r="F15" s="60"/>
      <c r="G15" s="38"/>
      <c r="H15" s="38"/>
      <c r="L15" s="36"/>
    </row>
    <row r="16" spans="1:12" ht="12" customHeight="1" x14ac:dyDescent="0.2">
      <c r="A16" s="33" t="s">
        <v>10</v>
      </c>
      <c r="B16" s="38"/>
      <c r="C16" s="61"/>
      <c r="D16" s="65"/>
      <c r="E16" s="59"/>
      <c r="F16" s="60"/>
      <c r="G16" s="38"/>
      <c r="H16" s="38"/>
      <c r="L16" s="36"/>
    </row>
    <row r="17" spans="1:18" x14ac:dyDescent="0.2">
      <c r="A17" s="33" t="s">
        <v>90</v>
      </c>
      <c r="B17" s="38" t="s">
        <v>85</v>
      </c>
      <c r="C17" s="61">
        <f>A2</f>
        <v>2</v>
      </c>
      <c r="D17" s="65">
        <v>2000</v>
      </c>
      <c r="E17" s="59">
        <f>C17*D17</f>
        <v>4000</v>
      </c>
      <c r="F17" s="60">
        <f>E17</f>
        <v>4000</v>
      </c>
      <c r="G17" s="38"/>
      <c r="H17" s="38"/>
      <c r="L17" s="36"/>
    </row>
    <row r="18" spans="1:18" x14ac:dyDescent="0.2">
      <c r="A18" s="37" t="s">
        <v>92</v>
      </c>
      <c r="B18" s="38"/>
      <c r="C18" s="38"/>
      <c r="D18" s="65"/>
      <c r="E18" s="59"/>
      <c r="F18" s="38"/>
      <c r="G18" s="38"/>
      <c r="H18" s="38"/>
    </row>
    <row r="19" spans="1:18" x14ac:dyDescent="0.2">
      <c r="A19" s="33" t="s">
        <v>93</v>
      </c>
      <c r="B19" s="38" t="s">
        <v>94</v>
      </c>
      <c r="C19" s="61">
        <f>A3*A5/1000</f>
        <v>16005.6</v>
      </c>
      <c r="D19" s="63">
        <v>11.7</v>
      </c>
      <c r="E19" s="59">
        <f>C19*D19</f>
        <v>187265.52</v>
      </c>
      <c r="F19" s="124"/>
      <c r="G19" s="60">
        <f>E19</f>
        <v>187265.52</v>
      </c>
      <c r="H19" s="19" t="s">
        <v>75</v>
      </c>
      <c r="Q19" s="36"/>
    </row>
    <row r="20" spans="1:18" ht="14.25" customHeight="1" x14ac:dyDescent="0.2">
      <c r="A20" s="33" t="s">
        <v>11</v>
      </c>
      <c r="B20" s="38" t="s">
        <v>97</v>
      </c>
      <c r="C20" s="61">
        <f>(C19/1000)*50</f>
        <v>800.28000000000009</v>
      </c>
      <c r="D20" s="63">
        <v>0</v>
      </c>
      <c r="E20" s="59">
        <f>C20*D20</f>
        <v>0</v>
      </c>
      <c r="F20" s="38"/>
      <c r="G20" s="60">
        <f>E20</f>
        <v>0</v>
      </c>
      <c r="H20" s="38"/>
      <c r="Q20" s="36"/>
    </row>
    <row r="21" spans="1:18" x14ac:dyDescent="0.2">
      <c r="A21" s="33" t="s">
        <v>98</v>
      </c>
      <c r="B21" s="38" t="s">
        <v>99</v>
      </c>
      <c r="C21" s="61">
        <f>E19</f>
        <v>187265.52</v>
      </c>
      <c r="D21" s="43">
        <v>0</v>
      </c>
      <c r="E21" s="59">
        <f>C21*D21</f>
        <v>0</v>
      </c>
      <c r="F21" s="38"/>
      <c r="G21" s="60">
        <f>E21</f>
        <v>0</v>
      </c>
      <c r="H21" s="38"/>
      <c r="P21" s="36"/>
      <c r="Q21" s="36"/>
    </row>
    <row r="22" spans="1:18" x14ac:dyDescent="0.2">
      <c r="A22" s="33" t="s">
        <v>100</v>
      </c>
      <c r="B22" s="38" t="s">
        <v>99</v>
      </c>
      <c r="C22" s="61">
        <f>C21</f>
        <v>187265.52</v>
      </c>
      <c r="D22" s="123">
        <v>0.01</v>
      </c>
      <c r="E22" s="59">
        <f>C22*D22</f>
        <v>1872.6551999999999</v>
      </c>
      <c r="F22" s="38"/>
      <c r="G22" s="60">
        <f>E22</f>
        <v>1872.6551999999999</v>
      </c>
      <c r="H22" s="38"/>
      <c r="Q22" s="36"/>
    </row>
    <row r="23" spans="1:18" x14ac:dyDescent="0.2">
      <c r="A23" s="37" t="s">
        <v>101</v>
      </c>
      <c r="B23" s="38"/>
      <c r="C23" s="61"/>
      <c r="D23" s="43"/>
      <c r="E23" s="59"/>
      <c r="F23" s="38"/>
      <c r="G23" s="61"/>
      <c r="H23" s="38"/>
      <c r="Q23" s="36"/>
    </row>
    <row r="24" spans="1:18" ht="25.5" x14ac:dyDescent="0.2">
      <c r="A24" s="33" t="s">
        <v>102</v>
      </c>
      <c r="B24" s="43" t="s">
        <v>103</v>
      </c>
      <c r="C24" s="122">
        <f>2*A2*0.1</f>
        <v>0.4</v>
      </c>
      <c r="D24" s="65">
        <v>5000</v>
      </c>
      <c r="E24" s="59">
        <f>C24*D24</f>
        <v>2000</v>
      </c>
      <c r="F24" s="38"/>
      <c r="G24" s="60">
        <f t="shared" ref="G24:G29" si="0">E24</f>
        <v>2000</v>
      </c>
      <c r="H24" s="38"/>
      <c r="Q24" s="36"/>
    </row>
    <row r="25" spans="1:18" ht="15" customHeight="1" x14ac:dyDescent="0.2">
      <c r="A25" s="33" t="s">
        <v>12</v>
      </c>
      <c r="B25" s="38" t="s">
        <v>13</v>
      </c>
      <c r="C25" s="71">
        <f>E14</f>
        <v>20000</v>
      </c>
      <c r="D25" s="43">
        <v>0.05</v>
      </c>
      <c r="E25" s="59">
        <f>C25*D25</f>
        <v>1000</v>
      </c>
      <c r="F25" s="38"/>
      <c r="G25" s="60">
        <f t="shared" si="0"/>
        <v>1000</v>
      </c>
      <c r="H25" s="38"/>
      <c r="Q25" s="36"/>
    </row>
    <row r="26" spans="1:18" ht="26.1" customHeight="1" x14ac:dyDescent="0.2">
      <c r="A26" s="33" t="s">
        <v>14</v>
      </c>
      <c r="B26" s="38" t="s">
        <v>78</v>
      </c>
      <c r="C26" s="71">
        <f>5*A2*250</f>
        <v>2500</v>
      </c>
      <c r="D26" s="121">
        <v>5</v>
      </c>
      <c r="E26" s="59">
        <f>C26*D26</f>
        <v>12500</v>
      </c>
      <c r="F26" s="38"/>
      <c r="G26" s="60">
        <f t="shared" si="0"/>
        <v>12500</v>
      </c>
      <c r="H26" s="38"/>
      <c r="Q26" s="36"/>
    </row>
    <row r="27" spans="1:18" x14ac:dyDescent="0.2">
      <c r="A27" s="33" t="s">
        <v>108</v>
      </c>
      <c r="B27" s="38" t="s">
        <v>109</v>
      </c>
      <c r="C27" s="71">
        <f>A3*1000/50</f>
        <v>561600</v>
      </c>
      <c r="D27" s="121">
        <v>0.01</v>
      </c>
      <c r="E27" s="59">
        <f>C27*D27</f>
        <v>5616</v>
      </c>
      <c r="F27" s="38"/>
      <c r="G27" s="60">
        <f t="shared" si="0"/>
        <v>5616</v>
      </c>
      <c r="H27" s="38"/>
      <c r="Q27" s="36"/>
    </row>
    <row r="28" spans="1:18" ht="25.5" x14ac:dyDescent="0.2">
      <c r="A28" s="33" t="s">
        <v>110</v>
      </c>
      <c r="B28" s="43" t="s">
        <v>15</v>
      </c>
      <c r="C28" s="59">
        <f>SUM(E24:E27)</f>
        <v>21116</v>
      </c>
      <c r="D28" s="119">
        <v>0.03</v>
      </c>
      <c r="E28" s="59">
        <f>C28*D28</f>
        <v>633.48</v>
      </c>
      <c r="F28" s="38"/>
      <c r="G28" s="60">
        <f t="shared" si="0"/>
        <v>633.48</v>
      </c>
      <c r="H28" s="38"/>
      <c r="Q28" s="36"/>
    </row>
    <row r="29" spans="1:18" ht="25.5" x14ac:dyDescent="0.2">
      <c r="A29" s="46" t="s">
        <v>112</v>
      </c>
      <c r="B29" s="98" t="s">
        <v>0</v>
      </c>
      <c r="C29" s="120">
        <f>SUM(E19:E28)-E21-E22</f>
        <v>209015</v>
      </c>
      <c r="D29" s="119">
        <v>0</v>
      </c>
      <c r="E29" s="59">
        <f>+D29*C29</f>
        <v>0</v>
      </c>
      <c r="F29" s="38"/>
      <c r="G29" s="60">
        <f t="shared" si="0"/>
        <v>0</v>
      </c>
      <c r="H29" s="38"/>
      <c r="Q29" s="36"/>
    </row>
    <row r="30" spans="1:18" x14ac:dyDescent="0.2">
      <c r="A30" s="49"/>
      <c r="B30" s="38"/>
      <c r="C30" s="38"/>
      <c r="D30" s="38"/>
      <c r="E30" s="73">
        <f>SUM(E13:E29)</f>
        <v>234887.65520000001</v>
      </c>
      <c r="F30" s="73">
        <f>SUM(F13:F29)</f>
        <v>24000</v>
      </c>
      <c r="G30" s="73">
        <f>SUM(G13:G29)</f>
        <v>210887.65520000001</v>
      </c>
      <c r="H30" s="36"/>
      <c r="I30" s="51"/>
      <c r="J30" s="51"/>
      <c r="K30" s="51"/>
      <c r="P30" s="52"/>
      <c r="Q30" s="52"/>
      <c r="R30" s="36"/>
    </row>
    <row r="31" spans="1:18" x14ac:dyDescent="0.2">
      <c r="A31" s="53" t="s">
        <v>114</v>
      </c>
      <c r="B31" s="53"/>
      <c r="C31" s="53"/>
      <c r="D31" s="53"/>
      <c r="E31" s="53"/>
      <c r="F31" s="53"/>
      <c r="G31" s="53"/>
      <c r="Q31" s="36"/>
    </row>
    <row r="32" spans="1:18" x14ac:dyDescent="0.2">
      <c r="A32" s="55" t="s">
        <v>115</v>
      </c>
      <c r="B32" s="38"/>
      <c r="C32" s="38"/>
      <c r="D32" s="38"/>
      <c r="E32" s="59"/>
      <c r="F32" s="38"/>
      <c r="G32" s="38"/>
      <c r="K32" s="48"/>
      <c r="Q32" s="36"/>
    </row>
    <row r="33" spans="1:17" ht="25.5" x14ac:dyDescent="0.2">
      <c r="A33" s="33" t="s">
        <v>116</v>
      </c>
      <c r="B33" s="38" t="s">
        <v>117</v>
      </c>
      <c r="C33" s="38">
        <v>2</v>
      </c>
      <c r="D33" s="118">
        <v>3000</v>
      </c>
      <c r="E33" s="59">
        <f>C33*D33</f>
        <v>6000</v>
      </c>
      <c r="F33" s="60">
        <f>E33</f>
        <v>6000</v>
      </c>
      <c r="G33" s="38"/>
      <c r="H33" s="38"/>
      <c r="L33" s="36"/>
      <c r="Q33" s="36"/>
    </row>
    <row r="34" spans="1:17" x14ac:dyDescent="0.2">
      <c r="A34" s="33" t="s">
        <v>16</v>
      </c>
      <c r="B34" s="38" t="s">
        <v>119</v>
      </c>
      <c r="C34" s="38">
        <v>30</v>
      </c>
      <c r="D34" s="65">
        <v>500</v>
      </c>
      <c r="E34" s="59">
        <f>C34*D34</f>
        <v>15000</v>
      </c>
      <c r="F34" s="60">
        <f>E34</f>
        <v>15000</v>
      </c>
      <c r="G34" s="38"/>
      <c r="H34" s="38"/>
      <c r="L34" s="36"/>
      <c r="Q34" s="36"/>
    </row>
    <row r="35" spans="1:17" x14ac:dyDescent="0.2">
      <c r="A35" s="33" t="s">
        <v>120</v>
      </c>
      <c r="B35" s="38" t="s">
        <v>121</v>
      </c>
      <c r="C35" s="38">
        <v>2</v>
      </c>
      <c r="D35" s="118">
        <v>2000</v>
      </c>
      <c r="E35" s="59">
        <f>C35*D35</f>
        <v>4000</v>
      </c>
      <c r="F35" s="60">
        <f>E35</f>
        <v>4000</v>
      </c>
      <c r="G35" s="38"/>
      <c r="H35" s="38"/>
      <c r="L35" s="36"/>
      <c r="Q35" s="36"/>
    </row>
    <row r="36" spans="1:17" x14ac:dyDescent="0.2">
      <c r="A36" s="33" t="s">
        <v>122</v>
      </c>
      <c r="B36" s="38" t="s">
        <v>123</v>
      </c>
      <c r="C36" s="38">
        <v>1</v>
      </c>
      <c r="D36" s="65">
        <v>50000</v>
      </c>
      <c r="E36" s="59">
        <f>C36*D36</f>
        <v>50000</v>
      </c>
      <c r="F36" s="60">
        <f>E36</f>
        <v>50000</v>
      </c>
      <c r="G36" s="38"/>
      <c r="H36" s="38"/>
      <c r="L36" s="36"/>
      <c r="Q36" s="36"/>
    </row>
    <row r="37" spans="1:17" x14ac:dyDescent="0.2">
      <c r="A37" s="33" t="s">
        <v>124</v>
      </c>
      <c r="B37" s="38" t="s">
        <v>123</v>
      </c>
      <c r="C37" s="38">
        <v>1</v>
      </c>
      <c r="D37" s="59">
        <v>10000</v>
      </c>
      <c r="E37" s="59">
        <f>C37*D37</f>
        <v>10000</v>
      </c>
      <c r="F37" s="60">
        <f>E37</f>
        <v>10000</v>
      </c>
      <c r="G37" s="38"/>
      <c r="H37" s="38"/>
      <c r="L37" s="36"/>
      <c r="Q37" s="36"/>
    </row>
    <row r="38" spans="1:17" x14ac:dyDescent="0.2">
      <c r="A38" s="33" t="s">
        <v>125</v>
      </c>
      <c r="B38" s="38"/>
      <c r="C38" s="38"/>
      <c r="D38" s="38"/>
      <c r="E38" s="117"/>
      <c r="F38" s="115"/>
      <c r="G38" s="38"/>
      <c r="H38" s="38"/>
      <c r="Q38" s="36"/>
    </row>
    <row r="39" spans="1:17" x14ac:dyDescent="0.2">
      <c r="A39" s="37" t="s">
        <v>126</v>
      </c>
      <c r="B39" s="38"/>
      <c r="C39" s="38"/>
      <c r="D39" s="38"/>
      <c r="E39" s="59"/>
      <c r="F39" s="38"/>
      <c r="G39" s="38"/>
      <c r="H39" s="38"/>
      <c r="Q39" s="36"/>
    </row>
    <row r="40" spans="1:17" x14ac:dyDescent="0.2">
      <c r="A40" s="33" t="s">
        <v>127</v>
      </c>
      <c r="B40" s="38" t="s">
        <v>17</v>
      </c>
      <c r="C40" s="38">
        <f>A2*A6*0.5</f>
        <v>2</v>
      </c>
      <c r="D40" s="62">
        <f>A9</f>
        <v>5</v>
      </c>
      <c r="E40" s="59">
        <f>C40*D40</f>
        <v>10</v>
      </c>
      <c r="F40" s="38"/>
      <c r="G40" s="60">
        <f>E40</f>
        <v>10</v>
      </c>
      <c r="H40" s="38"/>
      <c r="O40" s="36"/>
      <c r="Q40" s="36"/>
    </row>
    <row r="41" spans="1:17" x14ac:dyDescent="0.2">
      <c r="A41" s="33" t="s">
        <v>129</v>
      </c>
      <c r="B41" s="38" t="s">
        <v>29</v>
      </c>
      <c r="C41" s="38">
        <f>50*A2*A6</f>
        <v>200</v>
      </c>
      <c r="D41" s="62">
        <v>0.5</v>
      </c>
      <c r="E41" s="59">
        <f>C41*D41</f>
        <v>100</v>
      </c>
      <c r="F41" s="38"/>
      <c r="G41" s="60">
        <f>E41</f>
        <v>100</v>
      </c>
      <c r="H41" s="38"/>
      <c r="O41" s="36"/>
      <c r="Q41" s="36"/>
    </row>
    <row r="42" spans="1:17" x14ac:dyDescent="0.2">
      <c r="A42" s="33" t="s">
        <v>131</v>
      </c>
      <c r="B42" s="38" t="s">
        <v>18</v>
      </c>
      <c r="C42" s="38">
        <f>A2*A6*4</f>
        <v>16</v>
      </c>
      <c r="D42" s="63">
        <v>0.25</v>
      </c>
      <c r="E42" s="59">
        <f>C42*D42</f>
        <v>4</v>
      </c>
      <c r="F42" s="38"/>
      <c r="G42" s="60">
        <f>E42</f>
        <v>4</v>
      </c>
      <c r="H42" s="38"/>
      <c r="O42" s="36"/>
      <c r="Q42" s="36"/>
    </row>
    <row r="43" spans="1:17" ht="25.5" x14ac:dyDescent="0.2">
      <c r="A43" s="33" t="s">
        <v>31</v>
      </c>
      <c r="B43" s="38" t="s">
        <v>19</v>
      </c>
      <c r="C43" s="38">
        <f>A2*A6*4</f>
        <v>16</v>
      </c>
      <c r="D43" s="65">
        <v>55</v>
      </c>
      <c r="E43" s="59">
        <f>C43*D43</f>
        <v>880</v>
      </c>
      <c r="F43" s="38"/>
      <c r="G43" s="60">
        <f>E43</f>
        <v>880</v>
      </c>
      <c r="H43" s="38"/>
      <c r="O43" s="36"/>
      <c r="Q43" s="36"/>
    </row>
    <row r="44" spans="1:17" ht="25.5" x14ac:dyDescent="0.2">
      <c r="A44" s="33" t="s">
        <v>135</v>
      </c>
      <c r="B44" s="38" t="s">
        <v>20</v>
      </c>
      <c r="C44" s="59">
        <f>SUM(E40:E43)</f>
        <v>994</v>
      </c>
      <c r="D44" s="43">
        <v>0.1</v>
      </c>
      <c r="E44" s="59">
        <f>C44*D44</f>
        <v>99.4</v>
      </c>
      <c r="F44" s="38"/>
      <c r="G44" s="60">
        <f>E44</f>
        <v>99.4</v>
      </c>
      <c r="H44" s="38"/>
      <c r="O44" s="36"/>
      <c r="Q44" s="36"/>
    </row>
    <row r="45" spans="1:17" x14ac:dyDescent="0.2">
      <c r="A45" s="37" t="s">
        <v>27</v>
      </c>
      <c r="B45" s="38"/>
      <c r="C45" s="59"/>
      <c r="D45" s="43"/>
      <c r="E45" s="59"/>
      <c r="F45" s="38"/>
      <c r="G45" s="60"/>
      <c r="H45" s="38"/>
      <c r="O45" s="36"/>
      <c r="Q45" s="36"/>
    </row>
    <row r="46" spans="1:17" ht="25.5" x14ac:dyDescent="0.2">
      <c r="A46" s="33" t="s">
        <v>127</v>
      </c>
      <c r="B46" s="38" t="s">
        <v>28</v>
      </c>
      <c r="C46" s="61">
        <f>0.5*A4</f>
        <v>2.5</v>
      </c>
      <c r="D46" s="62">
        <f>A9</f>
        <v>5</v>
      </c>
      <c r="E46" s="59">
        <f>C46*D46</f>
        <v>12.5</v>
      </c>
      <c r="F46" s="38"/>
      <c r="G46" s="60">
        <f>E46</f>
        <v>12.5</v>
      </c>
      <c r="H46" s="38"/>
      <c r="O46" s="36"/>
      <c r="Q46" s="36"/>
    </row>
    <row r="47" spans="1:17" x14ac:dyDescent="0.2">
      <c r="A47" s="33" t="s">
        <v>129</v>
      </c>
      <c r="B47" s="38" t="s">
        <v>29</v>
      </c>
      <c r="C47" s="61">
        <f>50*A4</f>
        <v>250</v>
      </c>
      <c r="D47" s="62">
        <v>0.5</v>
      </c>
      <c r="E47" s="59">
        <f>C47*D47</f>
        <v>125</v>
      </c>
      <c r="F47" s="38"/>
      <c r="G47" s="60">
        <f>E47</f>
        <v>125</v>
      </c>
      <c r="H47" s="38"/>
      <c r="O47" s="36"/>
      <c r="Q47" s="36"/>
    </row>
    <row r="48" spans="1:17" x14ac:dyDescent="0.2">
      <c r="A48" s="33" t="s">
        <v>131</v>
      </c>
      <c r="B48" s="38" t="s">
        <v>30</v>
      </c>
      <c r="C48" s="61">
        <f>A4*10</f>
        <v>50</v>
      </c>
      <c r="D48" s="63">
        <v>0.25</v>
      </c>
      <c r="E48" s="59">
        <f>C48*D48</f>
        <v>12.5</v>
      </c>
      <c r="F48" s="38"/>
      <c r="G48" s="60">
        <f>E48</f>
        <v>12.5</v>
      </c>
      <c r="H48" s="38"/>
      <c r="O48" s="36"/>
      <c r="Q48" s="36"/>
    </row>
    <row r="49" spans="1:17" ht="25.5" x14ac:dyDescent="0.2">
      <c r="A49" s="33" t="s">
        <v>31</v>
      </c>
      <c r="B49" s="38" t="s">
        <v>32</v>
      </c>
      <c r="C49" s="64">
        <f>3*A4</f>
        <v>15</v>
      </c>
      <c r="D49" s="65">
        <v>55</v>
      </c>
      <c r="E49" s="59">
        <f>C49*D49</f>
        <v>825</v>
      </c>
      <c r="F49" s="38"/>
      <c r="G49" s="60">
        <f>E49</f>
        <v>825</v>
      </c>
      <c r="H49" s="38"/>
      <c r="O49" s="36"/>
      <c r="Q49" s="36"/>
    </row>
    <row r="50" spans="1:17" ht="25.5" x14ac:dyDescent="0.2">
      <c r="A50" s="33" t="s">
        <v>135</v>
      </c>
      <c r="B50" s="38" t="s">
        <v>33</v>
      </c>
      <c r="C50" s="59">
        <f>SUM(E46:E49)</f>
        <v>975</v>
      </c>
      <c r="D50" s="43">
        <v>0.1</v>
      </c>
      <c r="E50" s="59">
        <f>C50*D50</f>
        <v>97.5</v>
      </c>
      <c r="F50" s="38"/>
      <c r="G50" s="60">
        <f>E50</f>
        <v>97.5</v>
      </c>
      <c r="H50" s="38"/>
      <c r="O50" s="36"/>
      <c r="Q50" s="36"/>
    </row>
    <row r="51" spans="1:17" x14ac:dyDescent="0.2">
      <c r="A51" s="37" t="s">
        <v>34</v>
      </c>
      <c r="B51" s="38"/>
      <c r="C51" s="38"/>
      <c r="D51" s="38"/>
      <c r="E51" s="117"/>
      <c r="F51" s="116"/>
      <c r="G51" s="115"/>
      <c r="H51" s="38"/>
      <c r="O51" s="36"/>
      <c r="Q51" s="36"/>
    </row>
    <row r="52" spans="1:17" ht="25.5" x14ac:dyDescent="0.2">
      <c r="A52" s="33" t="s">
        <v>127</v>
      </c>
      <c r="B52" s="38" t="s">
        <v>3</v>
      </c>
      <c r="C52" s="61">
        <f>A7</f>
        <v>50</v>
      </c>
      <c r="D52" s="100">
        <v>5</v>
      </c>
      <c r="E52" s="59">
        <f>C52*D52</f>
        <v>250</v>
      </c>
      <c r="F52" s="38"/>
      <c r="G52" s="60">
        <f>E52</f>
        <v>250</v>
      </c>
      <c r="H52" s="38"/>
      <c r="O52" s="36"/>
      <c r="Q52" s="36"/>
    </row>
    <row r="53" spans="1:17" x14ac:dyDescent="0.2">
      <c r="A53" s="33" t="s">
        <v>129</v>
      </c>
      <c r="B53" s="38" t="s">
        <v>29</v>
      </c>
      <c r="C53" s="38">
        <f>A7*50</f>
        <v>2500</v>
      </c>
      <c r="D53" s="62">
        <v>0.5</v>
      </c>
      <c r="E53" s="59">
        <f>C53*D53</f>
        <v>1250</v>
      </c>
      <c r="F53" s="38"/>
      <c r="G53" s="60">
        <f>E53</f>
        <v>1250</v>
      </c>
      <c r="H53" s="38"/>
      <c r="O53" s="36"/>
      <c r="Q53" s="36"/>
    </row>
    <row r="54" spans="1:17" x14ac:dyDescent="0.2">
      <c r="A54" s="33" t="s">
        <v>131</v>
      </c>
      <c r="B54" s="38" t="s">
        <v>4</v>
      </c>
      <c r="C54" s="61">
        <f>A8</f>
        <v>2000</v>
      </c>
      <c r="D54" s="63">
        <v>0.25</v>
      </c>
      <c r="E54" s="59">
        <f>C54*D54</f>
        <v>500</v>
      </c>
      <c r="F54" s="38"/>
      <c r="G54" s="60">
        <f>E54</f>
        <v>500</v>
      </c>
      <c r="H54" s="38"/>
      <c r="O54" s="36"/>
      <c r="Q54" s="36"/>
    </row>
    <row r="55" spans="1:17" x14ac:dyDescent="0.2">
      <c r="A55" s="33" t="s">
        <v>31</v>
      </c>
      <c r="B55" s="38" t="s">
        <v>5</v>
      </c>
      <c r="C55" s="67">
        <f>0.05*C54</f>
        <v>100</v>
      </c>
      <c r="D55" s="101">
        <v>55</v>
      </c>
      <c r="E55" s="59">
        <f>C55*D55</f>
        <v>5500</v>
      </c>
      <c r="F55" s="38"/>
      <c r="G55" s="60">
        <f>E55</f>
        <v>5500</v>
      </c>
      <c r="H55" s="38" t="s">
        <v>21</v>
      </c>
      <c r="O55" s="36"/>
      <c r="Q55" s="36"/>
    </row>
    <row r="56" spans="1:17" ht="25.5" x14ac:dyDescent="0.2">
      <c r="A56" s="33" t="s">
        <v>135</v>
      </c>
      <c r="B56" s="38" t="s">
        <v>6</v>
      </c>
      <c r="C56" s="59">
        <f>SUM(E52:E55)</f>
        <v>7500</v>
      </c>
      <c r="D56" s="43">
        <v>0.1</v>
      </c>
      <c r="E56" s="59">
        <f>SUM(E52:E55)</f>
        <v>7500</v>
      </c>
      <c r="F56" s="38"/>
      <c r="G56" s="60">
        <f>E56</f>
        <v>7500</v>
      </c>
      <c r="H56" s="38"/>
      <c r="O56" s="36"/>
      <c r="Q56" s="36"/>
    </row>
    <row r="57" spans="1:17" x14ac:dyDescent="0.2">
      <c r="A57" s="49"/>
      <c r="B57" s="38"/>
      <c r="C57" s="59"/>
      <c r="D57" s="43"/>
      <c r="E57" s="73">
        <f>SUM(E32:E56)</f>
        <v>102165.9</v>
      </c>
      <c r="F57" s="73">
        <f>SUM(F32:F56)</f>
        <v>85000</v>
      </c>
      <c r="G57" s="73">
        <f>SUM(G32:G56)</f>
        <v>17165.900000000001</v>
      </c>
      <c r="H57" s="60"/>
      <c r="O57" s="36"/>
      <c r="Q57" s="36"/>
    </row>
    <row r="58" spans="1:17" x14ac:dyDescent="0.2">
      <c r="A58" s="68" t="s">
        <v>39</v>
      </c>
      <c r="B58" s="68"/>
      <c r="C58" s="68"/>
      <c r="D58" s="68"/>
      <c r="E58" s="68"/>
      <c r="F58" s="68"/>
      <c r="G58" s="68"/>
      <c r="H58" s="38"/>
      <c r="Q58" s="36"/>
    </row>
    <row r="59" spans="1:17" x14ac:dyDescent="0.2">
      <c r="A59" s="69" t="s">
        <v>40</v>
      </c>
      <c r="B59" s="38" t="s">
        <v>41</v>
      </c>
      <c r="C59" s="38">
        <v>0</v>
      </c>
      <c r="D59" s="65">
        <v>20000</v>
      </c>
      <c r="E59" s="59">
        <f t="shared" ref="E59:E64" si="1">C59*D59</f>
        <v>0</v>
      </c>
      <c r="F59" s="60">
        <f t="shared" ref="F59:F64" si="2">E59</f>
        <v>0</v>
      </c>
      <c r="H59" s="70" t="s">
        <v>42</v>
      </c>
      <c r="L59" s="36"/>
      <c r="Q59" s="36"/>
    </row>
    <row r="60" spans="1:17" x14ac:dyDescent="0.2">
      <c r="A60" s="69" t="s">
        <v>43</v>
      </c>
      <c r="B60" s="38" t="s">
        <v>41</v>
      </c>
      <c r="C60" s="38">
        <v>0</v>
      </c>
      <c r="D60" s="65">
        <v>30000</v>
      </c>
      <c r="E60" s="59">
        <f t="shared" si="1"/>
        <v>0</v>
      </c>
      <c r="F60" s="60">
        <f t="shared" si="2"/>
        <v>0</v>
      </c>
      <c r="G60" s="60"/>
      <c r="H60" s="38"/>
      <c r="L60" s="36"/>
      <c r="Q60" s="36"/>
    </row>
    <row r="61" spans="1:17" x14ac:dyDescent="0.2">
      <c r="A61" s="69" t="s">
        <v>44</v>
      </c>
      <c r="B61" s="38" t="s">
        <v>41</v>
      </c>
      <c r="C61" s="38">
        <v>0</v>
      </c>
      <c r="D61" s="65">
        <v>150000</v>
      </c>
      <c r="E61" s="59">
        <f t="shared" si="1"/>
        <v>0</v>
      </c>
      <c r="F61" s="60">
        <f t="shared" si="2"/>
        <v>0</v>
      </c>
      <c r="G61" s="60"/>
      <c r="H61" s="38"/>
      <c r="L61" s="36"/>
      <c r="Q61" s="36"/>
    </row>
    <row r="62" spans="1:17" x14ac:dyDescent="0.2">
      <c r="A62" s="69" t="s">
        <v>45</v>
      </c>
      <c r="B62" s="38" t="s">
        <v>121</v>
      </c>
      <c r="C62" s="38">
        <v>0</v>
      </c>
      <c r="D62" s="65">
        <v>10000</v>
      </c>
      <c r="E62" s="59">
        <f t="shared" si="1"/>
        <v>0</v>
      </c>
      <c r="F62" s="60">
        <f t="shared" si="2"/>
        <v>0</v>
      </c>
      <c r="G62" s="60"/>
      <c r="H62" s="38"/>
      <c r="L62" s="36"/>
      <c r="Q62" s="36"/>
    </row>
    <row r="63" spans="1:17" x14ac:dyDescent="0.2">
      <c r="A63" s="69" t="s">
        <v>46</v>
      </c>
      <c r="B63" s="38" t="s">
        <v>47</v>
      </c>
      <c r="C63" s="71">
        <v>0</v>
      </c>
      <c r="D63" s="38">
        <v>0.2</v>
      </c>
      <c r="E63" s="59">
        <f t="shared" si="1"/>
        <v>0</v>
      </c>
      <c r="F63" s="60">
        <f t="shared" si="2"/>
        <v>0</v>
      </c>
      <c r="G63" s="60"/>
      <c r="H63" s="38"/>
      <c r="L63" s="36"/>
      <c r="Q63" s="36"/>
    </row>
    <row r="64" spans="1:17" ht="25.5" x14ac:dyDescent="0.2">
      <c r="A64" s="69" t="s">
        <v>135</v>
      </c>
      <c r="B64" s="38" t="s">
        <v>48</v>
      </c>
      <c r="C64" s="59">
        <f>SUM(E59:E63)</f>
        <v>0</v>
      </c>
      <c r="D64" s="43">
        <v>0.1</v>
      </c>
      <c r="E64" s="59">
        <f t="shared" si="1"/>
        <v>0</v>
      </c>
      <c r="F64" s="60">
        <f t="shared" si="2"/>
        <v>0</v>
      </c>
      <c r="G64" s="60"/>
      <c r="H64" s="38"/>
      <c r="L64" s="36"/>
      <c r="Q64" s="36"/>
    </row>
    <row r="65" spans="1:18" x14ac:dyDescent="0.2">
      <c r="A65" s="72"/>
      <c r="B65" s="38"/>
      <c r="C65" s="59"/>
      <c r="D65" s="43"/>
      <c r="E65" s="73">
        <f>SUM(E59:E64)</f>
        <v>0</v>
      </c>
      <c r="F65" s="73">
        <f>SUM(F59:F64)</f>
        <v>0</v>
      </c>
      <c r="G65" s="73">
        <f>SUM(G59:G64)</f>
        <v>0</v>
      </c>
      <c r="H65" s="38"/>
      <c r="Q65" s="36"/>
    </row>
    <row r="66" spans="1:18" x14ac:dyDescent="0.2">
      <c r="A66" s="75" t="s">
        <v>49</v>
      </c>
      <c r="B66" s="75"/>
      <c r="C66" s="75"/>
      <c r="D66" s="75"/>
      <c r="E66" s="75"/>
      <c r="F66" s="75"/>
      <c r="G66" s="75"/>
      <c r="H66" s="38"/>
      <c r="Q66" s="36"/>
    </row>
    <row r="67" spans="1:18" x14ac:dyDescent="0.2">
      <c r="A67" s="69" t="s">
        <v>50</v>
      </c>
      <c r="B67" s="38" t="s">
        <v>51</v>
      </c>
      <c r="C67" s="38">
        <v>0</v>
      </c>
      <c r="D67" s="65">
        <v>0</v>
      </c>
      <c r="E67" s="59">
        <f>C67*D67</f>
        <v>0</v>
      </c>
      <c r="F67" s="60">
        <f>E67</f>
        <v>0</v>
      </c>
      <c r="G67" s="60"/>
      <c r="H67" s="70" t="s">
        <v>52</v>
      </c>
      <c r="L67" s="36"/>
      <c r="Q67" s="36"/>
    </row>
    <row r="68" spans="1:18" x14ac:dyDescent="0.2">
      <c r="A68" s="69" t="s">
        <v>53</v>
      </c>
      <c r="B68" s="38" t="s">
        <v>54</v>
      </c>
      <c r="C68" s="38">
        <v>0</v>
      </c>
      <c r="D68" s="65">
        <v>80000</v>
      </c>
      <c r="E68" s="59">
        <f>C68*D68</f>
        <v>0</v>
      </c>
      <c r="F68" s="60">
        <f>E68</f>
        <v>0</v>
      </c>
      <c r="G68" s="60"/>
      <c r="H68" s="38"/>
      <c r="L68" s="36"/>
      <c r="Q68" s="36"/>
    </row>
    <row r="69" spans="1:18" x14ac:dyDescent="0.2">
      <c r="A69" s="69" t="s">
        <v>55</v>
      </c>
      <c r="B69" s="38" t="s">
        <v>56</v>
      </c>
      <c r="C69" s="38">
        <v>0</v>
      </c>
      <c r="D69" s="65">
        <v>80000</v>
      </c>
      <c r="E69" s="59">
        <f>C69*D69</f>
        <v>0</v>
      </c>
      <c r="F69" s="60">
        <f>E69</f>
        <v>0</v>
      </c>
      <c r="G69" s="60"/>
      <c r="H69" s="38"/>
      <c r="L69" s="36"/>
      <c r="Q69" s="36"/>
    </row>
    <row r="70" spans="1:18" ht="25.5" x14ac:dyDescent="0.2">
      <c r="A70" s="69" t="s">
        <v>57</v>
      </c>
      <c r="B70" s="38" t="s">
        <v>58</v>
      </c>
      <c r="C70" s="38">
        <v>0</v>
      </c>
      <c r="D70" s="65">
        <v>20000</v>
      </c>
      <c r="E70" s="59">
        <f>C70*D70</f>
        <v>0</v>
      </c>
      <c r="F70" s="38"/>
      <c r="G70" s="60">
        <f>E70</f>
        <v>0</v>
      </c>
      <c r="H70" s="38"/>
      <c r="K70" s="36"/>
      <c r="O70" s="36"/>
      <c r="Q70" s="36"/>
    </row>
    <row r="71" spans="1:18" x14ac:dyDescent="0.2">
      <c r="A71" s="76"/>
      <c r="B71" s="38"/>
      <c r="C71" s="38"/>
      <c r="D71" s="38"/>
      <c r="E71" s="73">
        <f>SUM(E67:E70)</f>
        <v>0</v>
      </c>
      <c r="F71" s="73">
        <f>SUM(F67:F70)</f>
        <v>0</v>
      </c>
      <c r="G71" s="73">
        <f>SUM(G67:G70)</f>
        <v>0</v>
      </c>
      <c r="H71" s="38"/>
    </row>
    <row r="72" spans="1:18" x14ac:dyDescent="0.2">
      <c r="A72" s="76"/>
      <c r="B72" s="38"/>
      <c r="C72" s="38"/>
      <c r="D72" s="38"/>
      <c r="E72" s="59"/>
      <c r="F72" s="38"/>
      <c r="G72" s="38"/>
      <c r="H72" s="38"/>
      <c r="K72" s="24"/>
      <c r="L72" s="24"/>
      <c r="M72" s="24"/>
      <c r="N72" s="20"/>
      <c r="O72" s="24"/>
      <c r="P72" s="24"/>
      <c r="Q72" s="24"/>
      <c r="R72" s="20"/>
    </row>
    <row r="73" spans="1:18" ht="13.5" thickBot="1" x14ac:dyDescent="0.25">
      <c r="A73" s="38"/>
      <c r="B73" s="38"/>
      <c r="C73" s="38"/>
      <c r="D73" s="38"/>
      <c r="E73" s="59"/>
      <c r="F73" s="38"/>
      <c r="G73" s="38"/>
      <c r="H73" s="38"/>
      <c r="R73" s="36"/>
    </row>
    <row r="74" spans="1:18" ht="13.5" thickBot="1" x14ac:dyDescent="0.25">
      <c r="A74" s="102" t="s">
        <v>59</v>
      </c>
      <c r="B74" s="103" t="s">
        <v>60</v>
      </c>
      <c r="C74" s="103" t="s">
        <v>82</v>
      </c>
      <c r="D74" s="103" t="s">
        <v>230</v>
      </c>
      <c r="E74" s="104" t="s">
        <v>61</v>
      </c>
      <c r="F74" s="103" t="s">
        <v>62</v>
      </c>
      <c r="G74" s="38"/>
      <c r="H74" s="38"/>
      <c r="R74" s="36"/>
    </row>
    <row r="75" spans="1:18" x14ac:dyDescent="0.2">
      <c r="A75" s="80" t="s">
        <v>83</v>
      </c>
      <c r="B75" s="105">
        <f>F30</f>
        <v>24000</v>
      </c>
      <c r="C75" s="105">
        <f>G30</f>
        <v>210887.65520000001</v>
      </c>
      <c r="D75" s="105">
        <f>B75+(C75*10)</f>
        <v>2132876.5520000001</v>
      </c>
      <c r="E75" s="106">
        <f>D75/10</f>
        <v>213287.65520000001</v>
      </c>
      <c r="F75" s="107">
        <f>E75/A3</f>
        <v>7.5957142165242164</v>
      </c>
      <c r="G75" s="38"/>
      <c r="H75" s="38"/>
    </row>
    <row r="76" spans="1:18" x14ac:dyDescent="0.2">
      <c r="A76" s="80" t="s">
        <v>273</v>
      </c>
      <c r="B76" s="105">
        <f>F57</f>
        <v>85000</v>
      </c>
      <c r="C76" s="105">
        <f>G57</f>
        <v>17165.900000000001</v>
      </c>
      <c r="D76" s="105">
        <f>B76+(C76*10)</f>
        <v>256659</v>
      </c>
      <c r="E76" s="106">
        <f>D76/10</f>
        <v>25665.9</v>
      </c>
      <c r="F76" s="107">
        <f>E76/A3</f>
        <v>0.91402777777777788</v>
      </c>
      <c r="G76" s="38"/>
      <c r="H76" s="38"/>
    </row>
    <row r="77" spans="1:18" x14ac:dyDescent="0.2">
      <c r="A77" s="80" t="s">
        <v>316</v>
      </c>
      <c r="B77" s="105">
        <f>F65</f>
        <v>0</v>
      </c>
      <c r="C77" s="105">
        <f>G65</f>
        <v>0</v>
      </c>
      <c r="D77" s="105">
        <f>B77+(C77*10)</f>
        <v>0</v>
      </c>
      <c r="E77" s="106">
        <f>D77/10</f>
        <v>0</v>
      </c>
      <c r="F77" s="107">
        <f>E77/A3</f>
        <v>0</v>
      </c>
      <c r="G77" s="38"/>
      <c r="H77" s="38"/>
    </row>
    <row r="78" spans="1:18" ht="13.5" thickBot="1" x14ac:dyDescent="0.25">
      <c r="A78" s="80" t="s">
        <v>275</v>
      </c>
      <c r="B78" s="105">
        <f>F71</f>
        <v>0</v>
      </c>
      <c r="C78" s="105">
        <f>G71</f>
        <v>0</v>
      </c>
      <c r="D78" s="105">
        <f>B78+(C78*10)</f>
        <v>0</v>
      </c>
      <c r="E78" s="106">
        <f>D78/10</f>
        <v>0</v>
      </c>
      <c r="F78" s="107">
        <f>E78/A3</f>
        <v>0</v>
      </c>
      <c r="G78" s="38"/>
      <c r="H78" s="38"/>
    </row>
    <row r="79" spans="1:18" ht="13.5" thickBot="1" x14ac:dyDescent="0.25">
      <c r="A79" s="108"/>
      <c r="B79" s="109">
        <f>SUM(B75:B78)</f>
        <v>109000</v>
      </c>
      <c r="C79" s="109">
        <f>SUM(C75:C78)</f>
        <v>228053.5552</v>
      </c>
      <c r="D79" s="109">
        <f>SUM(D75:D78)</f>
        <v>2389535.5520000001</v>
      </c>
      <c r="E79" s="110">
        <f>SUM(E75:E78)</f>
        <v>238953.5552</v>
      </c>
      <c r="F79" s="111">
        <f>SUM(F75:F78)</f>
        <v>8.5097419943019936</v>
      </c>
      <c r="G79" s="112"/>
      <c r="H79" s="113"/>
    </row>
    <row r="80" spans="1:18" x14ac:dyDescent="0.2">
      <c r="A80" s="38"/>
      <c r="B80" s="38"/>
      <c r="C80" s="38"/>
      <c r="D80" s="38"/>
      <c r="E80" s="38"/>
      <c r="F80" s="38"/>
      <c r="G80" s="38"/>
      <c r="H80" s="114"/>
    </row>
    <row r="81" spans="1:9" x14ac:dyDescent="0.2">
      <c r="A81" s="38"/>
      <c r="B81" s="38"/>
      <c r="C81" s="38"/>
      <c r="D81" s="38"/>
      <c r="E81" s="38"/>
      <c r="F81" s="38"/>
      <c r="G81" s="38"/>
      <c r="H81" s="38"/>
    </row>
    <row r="82" spans="1:9" x14ac:dyDescent="0.2">
      <c r="A82" s="38"/>
      <c r="B82" s="38"/>
      <c r="C82" s="38"/>
      <c r="D82" s="38"/>
      <c r="E82" s="59"/>
      <c r="F82" s="38"/>
      <c r="G82" s="38"/>
      <c r="H82" s="38"/>
    </row>
    <row r="83" spans="1:9" ht="13.5" thickBot="1" x14ac:dyDescent="0.25">
      <c r="A83" s="38"/>
      <c r="B83" s="38"/>
      <c r="C83" s="38"/>
      <c r="D83" s="38"/>
      <c r="E83" s="59"/>
      <c r="F83" s="38"/>
      <c r="G83" s="38"/>
      <c r="H83" s="38"/>
    </row>
    <row r="84" spans="1:9" ht="13.5" thickBot="1" x14ac:dyDescent="0.25">
      <c r="A84" s="102" t="s">
        <v>7</v>
      </c>
      <c r="B84" s="38"/>
      <c r="C84" s="38"/>
      <c r="D84" s="38"/>
      <c r="E84" s="59"/>
      <c r="F84" s="38"/>
      <c r="G84" s="38"/>
      <c r="H84" s="90">
        <f>SUM(H86:H101)</f>
        <v>2476117.917367341</v>
      </c>
      <c r="I84" s="18" t="s">
        <v>66</v>
      </c>
    </row>
    <row r="85" spans="1:9" ht="51" x14ac:dyDescent="0.2">
      <c r="A85" s="91" t="s">
        <v>262</v>
      </c>
      <c r="B85" s="59" t="s">
        <v>83</v>
      </c>
      <c r="C85" s="38" t="s">
        <v>273</v>
      </c>
      <c r="D85" s="38" t="s">
        <v>316</v>
      </c>
      <c r="E85" s="38" t="s">
        <v>275</v>
      </c>
      <c r="F85" s="38" t="s">
        <v>292</v>
      </c>
      <c r="G85" s="38" t="s">
        <v>67</v>
      </c>
      <c r="H85" s="38" t="s">
        <v>68</v>
      </c>
    </row>
    <row r="86" spans="1:9" x14ac:dyDescent="0.2">
      <c r="A86" s="19">
        <v>0</v>
      </c>
      <c r="B86" s="24">
        <f>+B75</f>
        <v>24000</v>
      </c>
      <c r="C86" s="24">
        <f>B76</f>
        <v>85000</v>
      </c>
      <c r="D86" s="24">
        <f>$B$77/2</f>
        <v>0</v>
      </c>
      <c r="E86" s="24">
        <f>F67+$C$78</f>
        <v>0</v>
      </c>
      <c r="F86" s="24">
        <f t="shared" ref="F86:F101" si="3">SUM(B86:E86)</f>
        <v>109000</v>
      </c>
      <c r="G86" s="92">
        <v>1</v>
      </c>
      <c r="H86" s="93">
        <f t="shared" ref="H86:H101" si="4">+F86*G86</f>
        <v>109000</v>
      </c>
    </row>
    <row r="87" spans="1:9" x14ac:dyDescent="0.2">
      <c r="A87" s="19">
        <f t="shared" ref="A87:A101" si="5">+A86+1</f>
        <v>1</v>
      </c>
      <c r="B87" s="24">
        <f t="shared" ref="B87:B101" si="6">$C$75</f>
        <v>210887.65520000001</v>
      </c>
      <c r="C87" s="24">
        <f t="shared" ref="C87:C101" si="7">$C$76</f>
        <v>17165.900000000001</v>
      </c>
      <c r="D87" s="24">
        <f>$B$77/2</f>
        <v>0</v>
      </c>
      <c r="E87" s="24">
        <f>$C$78</f>
        <v>0</v>
      </c>
      <c r="F87" s="24">
        <f t="shared" si="3"/>
        <v>228053.5552</v>
      </c>
      <c r="G87" s="92">
        <f t="shared" ref="G87:G101" si="8">+G86/(1+DiscountRate)</f>
        <v>0.95238095238095233</v>
      </c>
      <c r="H87" s="93">
        <f t="shared" si="4"/>
        <v>217193.86209523809</v>
      </c>
    </row>
    <row r="88" spans="1:9" x14ac:dyDescent="0.2">
      <c r="A88" s="19">
        <f t="shared" si="5"/>
        <v>2</v>
      </c>
      <c r="B88" s="24">
        <f t="shared" si="6"/>
        <v>210887.65520000001</v>
      </c>
      <c r="C88" s="24">
        <f t="shared" si="7"/>
        <v>17165.900000000001</v>
      </c>
      <c r="D88" s="24"/>
      <c r="E88" s="24">
        <f>F68+$C$78</f>
        <v>0</v>
      </c>
      <c r="F88" s="24">
        <f t="shared" si="3"/>
        <v>228053.5552</v>
      </c>
      <c r="G88" s="92">
        <f t="shared" si="8"/>
        <v>0.90702947845804982</v>
      </c>
      <c r="H88" s="93">
        <f t="shared" si="4"/>
        <v>206851.29723356006</v>
      </c>
    </row>
    <row r="89" spans="1:9" x14ac:dyDescent="0.2">
      <c r="A89" s="19">
        <f t="shared" si="5"/>
        <v>3</v>
      </c>
      <c r="B89" s="24">
        <f t="shared" si="6"/>
        <v>210887.65520000001</v>
      </c>
      <c r="C89" s="24">
        <f t="shared" si="7"/>
        <v>17165.900000000001</v>
      </c>
      <c r="D89" s="24"/>
      <c r="E89" s="24">
        <f>$C$78</f>
        <v>0</v>
      </c>
      <c r="F89" s="24">
        <f t="shared" si="3"/>
        <v>228053.5552</v>
      </c>
      <c r="G89" s="92">
        <f t="shared" si="8"/>
        <v>0.86383759853147601</v>
      </c>
      <c r="H89" s="93">
        <f t="shared" si="4"/>
        <v>197001.23546053341</v>
      </c>
    </row>
    <row r="90" spans="1:9" x14ac:dyDescent="0.2">
      <c r="A90" s="19">
        <f t="shared" si="5"/>
        <v>4</v>
      </c>
      <c r="B90" s="24">
        <f t="shared" si="6"/>
        <v>210887.65520000001</v>
      </c>
      <c r="C90" s="24">
        <f t="shared" si="7"/>
        <v>17165.900000000001</v>
      </c>
      <c r="D90" s="24"/>
      <c r="E90" s="24">
        <f>F69+$C$78</f>
        <v>0</v>
      </c>
      <c r="F90" s="24">
        <f t="shared" si="3"/>
        <v>228053.5552</v>
      </c>
      <c r="G90" s="92">
        <f t="shared" si="8"/>
        <v>0.82270247479188185</v>
      </c>
      <c r="H90" s="93">
        <f t="shared" si="4"/>
        <v>187620.22424812705</v>
      </c>
    </row>
    <row r="91" spans="1:9" x14ac:dyDescent="0.2">
      <c r="A91" s="19">
        <f t="shared" si="5"/>
        <v>5</v>
      </c>
      <c r="B91" s="24">
        <f t="shared" si="6"/>
        <v>210887.65520000001</v>
      </c>
      <c r="C91" s="24">
        <f t="shared" si="7"/>
        <v>17165.900000000001</v>
      </c>
      <c r="D91" s="24"/>
      <c r="E91" s="24">
        <f t="shared" ref="E91:E101" si="9">$C$78</f>
        <v>0</v>
      </c>
      <c r="F91" s="24">
        <f t="shared" si="3"/>
        <v>228053.5552</v>
      </c>
      <c r="G91" s="92">
        <f t="shared" si="8"/>
        <v>0.78352616646845885</v>
      </c>
      <c r="H91" s="93">
        <f t="shared" si="4"/>
        <v>178685.92785535907</v>
      </c>
    </row>
    <row r="92" spans="1:9" x14ac:dyDescent="0.2">
      <c r="A92" s="19">
        <f t="shared" si="5"/>
        <v>6</v>
      </c>
      <c r="B92" s="24">
        <f t="shared" si="6"/>
        <v>210887.65520000001</v>
      </c>
      <c r="C92" s="24">
        <f t="shared" si="7"/>
        <v>17165.900000000001</v>
      </c>
      <c r="D92" s="24"/>
      <c r="E92" s="24">
        <f t="shared" si="9"/>
        <v>0</v>
      </c>
      <c r="F92" s="24">
        <f t="shared" si="3"/>
        <v>228053.5552</v>
      </c>
      <c r="G92" s="92">
        <f t="shared" si="8"/>
        <v>0.74621539663662739</v>
      </c>
      <c r="H92" s="93">
        <f t="shared" si="4"/>
        <v>170177.07414796102</v>
      </c>
    </row>
    <row r="93" spans="1:9" x14ac:dyDescent="0.2">
      <c r="A93" s="19">
        <f t="shared" si="5"/>
        <v>7</v>
      </c>
      <c r="B93" s="24">
        <f t="shared" si="6"/>
        <v>210887.65520000001</v>
      </c>
      <c r="C93" s="24">
        <f t="shared" si="7"/>
        <v>17165.900000000001</v>
      </c>
      <c r="D93" s="24"/>
      <c r="E93" s="24">
        <f t="shared" si="9"/>
        <v>0</v>
      </c>
      <c r="F93" s="24">
        <f t="shared" si="3"/>
        <v>228053.5552</v>
      </c>
      <c r="G93" s="92">
        <f t="shared" si="8"/>
        <v>0.71068133013012125</v>
      </c>
      <c r="H93" s="93">
        <f t="shared" si="4"/>
        <v>162073.40395043904</v>
      </c>
    </row>
    <row r="94" spans="1:9" x14ac:dyDescent="0.2">
      <c r="A94" s="19">
        <f t="shared" si="5"/>
        <v>8</v>
      </c>
      <c r="B94" s="24">
        <f t="shared" si="6"/>
        <v>210887.65520000001</v>
      </c>
      <c r="C94" s="24">
        <f t="shared" si="7"/>
        <v>17165.900000000001</v>
      </c>
      <c r="D94" s="24"/>
      <c r="E94" s="24">
        <f t="shared" si="9"/>
        <v>0</v>
      </c>
      <c r="F94" s="24">
        <f t="shared" si="3"/>
        <v>228053.5552</v>
      </c>
      <c r="G94" s="92">
        <f t="shared" si="8"/>
        <v>0.67683936202868689</v>
      </c>
      <c r="H94" s="93">
        <f t="shared" si="4"/>
        <v>154355.62280994194</v>
      </c>
    </row>
    <row r="95" spans="1:9" x14ac:dyDescent="0.2">
      <c r="A95" s="19">
        <f t="shared" si="5"/>
        <v>9</v>
      </c>
      <c r="B95" s="24">
        <f t="shared" si="6"/>
        <v>210887.65520000001</v>
      </c>
      <c r="C95" s="24">
        <f t="shared" si="7"/>
        <v>17165.900000000001</v>
      </c>
      <c r="D95" s="24"/>
      <c r="E95" s="24">
        <f t="shared" si="9"/>
        <v>0</v>
      </c>
      <c r="F95" s="24">
        <f t="shared" si="3"/>
        <v>228053.5552</v>
      </c>
      <c r="G95" s="92">
        <f t="shared" si="8"/>
        <v>0.64460891621779703</v>
      </c>
      <c r="H95" s="93">
        <f t="shared" si="4"/>
        <v>147005.35505708755</v>
      </c>
    </row>
    <row r="96" spans="1:9" x14ac:dyDescent="0.2">
      <c r="A96" s="19">
        <f t="shared" si="5"/>
        <v>10</v>
      </c>
      <c r="B96" s="24">
        <f t="shared" si="6"/>
        <v>210887.65520000001</v>
      </c>
      <c r="C96" s="24">
        <f t="shared" si="7"/>
        <v>17165.900000000001</v>
      </c>
      <c r="D96" s="24"/>
      <c r="E96" s="24">
        <f t="shared" si="9"/>
        <v>0</v>
      </c>
      <c r="F96" s="24">
        <f t="shared" si="3"/>
        <v>228053.5552</v>
      </c>
      <c r="G96" s="92">
        <f t="shared" si="8"/>
        <v>0.6139132535407591</v>
      </c>
      <c r="H96" s="93">
        <f t="shared" si="4"/>
        <v>140005.1000543691</v>
      </c>
    </row>
    <row r="97" spans="1:8" x14ac:dyDescent="0.2">
      <c r="A97" s="19">
        <f t="shared" si="5"/>
        <v>11</v>
      </c>
      <c r="B97" s="24">
        <f t="shared" si="6"/>
        <v>210887.65520000001</v>
      </c>
      <c r="C97" s="24">
        <f t="shared" si="7"/>
        <v>17165.900000000001</v>
      </c>
      <c r="D97" s="24"/>
      <c r="E97" s="24">
        <f t="shared" si="9"/>
        <v>0</v>
      </c>
      <c r="F97" s="24">
        <f t="shared" si="3"/>
        <v>228053.5552</v>
      </c>
      <c r="G97" s="92">
        <f t="shared" si="8"/>
        <v>0.58467928908643718</v>
      </c>
      <c r="H97" s="93">
        <f t="shared" si="4"/>
        <v>133338.19052797055</v>
      </c>
    </row>
    <row r="98" spans="1:8" x14ac:dyDescent="0.2">
      <c r="A98" s="19">
        <f t="shared" si="5"/>
        <v>12</v>
      </c>
      <c r="B98" s="24">
        <f t="shared" si="6"/>
        <v>210887.65520000001</v>
      </c>
      <c r="C98" s="24">
        <f t="shared" si="7"/>
        <v>17165.900000000001</v>
      </c>
      <c r="D98" s="24"/>
      <c r="E98" s="24">
        <f t="shared" si="9"/>
        <v>0</v>
      </c>
      <c r="F98" s="24">
        <f t="shared" si="3"/>
        <v>228053.5552</v>
      </c>
      <c r="G98" s="92">
        <f t="shared" si="8"/>
        <v>0.55683741817755916</v>
      </c>
      <c r="H98" s="93">
        <f t="shared" si="4"/>
        <v>126988.75288378148</v>
      </c>
    </row>
    <row r="99" spans="1:8" x14ac:dyDescent="0.2">
      <c r="A99" s="19">
        <f t="shared" si="5"/>
        <v>13</v>
      </c>
      <c r="B99" s="24">
        <f t="shared" si="6"/>
        <v>210887.65520000001</v>
      </c>
      <c r="C99" s="24">
        <f t="shared" si="7"/>
        <v>17165.900000000001</v>
      </c>
      <c r="D99" s="24"/>
      <c r="E99" s="24">
        <f t="shared" si="9"/>
        <v>0</v>
      </c>
      <c r="F99" s="24">
        <f t="shared" si="3"/>
        <v>228053.5552</v>
      </c>
      <c r="G99" s="92">
        <f t="shared" si="8"/>
        <v>0.5303213506452944</v>
      </c>
      <c r="H99" s="93">
        <f t="shared" si="4"/>
        <v>120941.6694131252</v>
      </c>
    </row>
    <row r="100" spans="1:8" x14ac:dyDescent="0.2">
      <c r="A100" s="19">
        <f t="shared" si="5"/>
        <v>14</v>
      </c>
      <c r="B100" s="24">
        <f t="shared" si="6"/>
        <v>210887.65520000001</v>
      </c>
      <c r="C100" s="24">
        <f t="shared" si="7"/>
        <v>17165.900000000001</v>
      </c>
      <c r="D100" s="24"/>
      <c r="E100" s="24">
        <f t="shared" si="9"/>
        <v>0</v>
      </c>
      <c r="F100" s="24">
        <f t="shared" si="3"/>
        <v>228053.5552</v>
      </c>
      <c r="G100" s="92">
        <f t="shared" si="8"/>
        <v>0.50506795299551843</v>
      </c>
      <c r="H100" s="93">
        <f t="shared" si="4"/>
        <v>115182.54229821447</v>
      </c>
    </row>
    <row r="101" spans="1:8" x14ac:dyDescent="0.2">
      <c r="A101" s="19">
        <f t="shared" si="5"/>
        <v>15</v>
      </c>
      <c r="B101" s="24">
        <f t="shared" si="6"/>
        <v>210887.65520000001</v>
      </c>
      <c r="C101" s="24">
        <f t="shared" si="7"/>
        <v>17165.900000000001</v>
      </c>
      <c r="D101" s="24"/>
      <c r="E101" s="24">
        <f t="shared" si="9"/>
        <v>0</v>
      </c>
      <c r="F101" s="24">
        <f t="shared" si="3"/>
        <v>228053.5552</v>
      </c>
      <c r="G101" s="92">
        <f t="shared" si="8"/>
        <v>0.48101709809096993</v>
      </c>
      <c r="H101" s="93">
        <f t="shared" si="4"/>
        <v>109697.65933163282</v>
      </c>
    </row>
    <row r="102" spans="1:8" x14ac:dyDescent="0.2">
      <c r="B102" s="21"/>
      <c r="E102" s="19"/>
    </row>
  </sheetData>
  <mergeCells count="1">
    <mergeCell ref="B10:D10"/>
  </mergeCells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pane ySplit="11" topLeftCell="A12" activePane="bottomLeft" state="frozen"/>
      <selection pane="bottomLeft"/>
    </sheetView>
  </sheetViews>
  <sheetFormatPr defaultColWidth="7.5546875" defaultRowHeight="12.75" x14ac:dyDescent="0.2"/>
  <cols>
    <col min="1" max="1" width="29.6640625" style="19" customWidth="1"/>
    <col min="2" max="2" width="26.6640625" style="19" customWidth="1"/>
    <col min="3" max="3" width="9.6640625" style="19" customWidth="1"/>
    <col min="4" max="4" width="10.5546875" style="19" customWidth="1"/>
    <col min="5" max="5" width="16.109375" style="21" customWidth="1"/>
    <col min="6" max="6" width="8.88671875" style="19" customWidth="1"/>
    <col min="7" max="7" width="11.5546875" style="19" customWidth="1"/>
    <col min="8" max="8" width="13.6640625" style="19" customWidth="1"/>
    <col min="9" max="9" width="11" style="19" customWidth="1"/>
    <col min="10" max="10" width="7.5546875" style="19"/>
    <col min="11" max="11" width="11.5546875" style="19" customWidth="1"/>
    <col min="12" max="12" width="8.33203125" style="19" customWidth="1"/>
    <col min="13" max="14" width="7.5546875" style="19"/>
    <col min="15" max="16" width="8.88671875" style="19" customWidth="1"/>
    <col min="17" max="18" width="9.6640625" style="19" customWidth="1"/>
    <col min="19" max="16384" width="7.5546875" style="19"/>
  </cols>
  <sheetData>
    <row r="1" spans="1:12" x14ac:dyDescent="0.2">
      <c r="A1" s="18" t="s">
        <v>185</v>
      </c>
      <c r="D1" s="20"/>
    </row>
    <row r="2" spans="1:12" x14ac:dyDescent="0.2">
      <c r="A2" s="22">
        <v>2</v>
      </c>
      <c r="B2" s="19" t="s">
        <v>186</v>
      </c>
      <c r="F2" s="24"/>
      <c r="G2" s="21"/>
    </row>
    <row r="3" spans="1:12" x14ac:dyDescent="0.2">
      <c r="A3" s="22">
        <v>28080</v>
      </c>
      <c r="B3" s="23" t="s">
        <v>22</v>
      </c>
      <c r="G3" s="21"/>
    </row>
    <row r="4" spans="1:12" x14ac:dyDescent="0.2">
      <c r="A4" s="22">
        <v>5</v>
      </c>
      <c r="B4" s="23" t="s">
        <v>188</v>
      </c>
      <c r="G4" s="21"/>
    </row>
    <row r="5" spans="1:12" x14ac:dyDescent="0.2">
      <c r="A5" s="22">
        <v>210</v>
      </c>
      <c r="B5" s="19" t="s">
        <v>71</v>
      </c>
      <c r="E5" s="19"/>
      <c r="G5" s="21"/>
    </row>
    <row r="6" spans="1:12" x14ac:dyDescent="0.2">
      <c r="A6" s="22">
        <v>2</v>
      </c>
      <c r="B6" s="19" t="s">
        <v>190</v>
      </c>
      <c r="C6" s="18"/>
    </row>
    <row r="7" spans="1:12" x14ac:dyDescent="0.2">
      <c r="A7" s="22">
        <v>50</v>
      </c>
      <c r="B7" s="19" t="s">
        <v>191</v>
      </c>
      <c r="C7" s="18"/>
    </row>
    <row r="8" spans="1:12" x14ac:dyDescent="0.2">
      <c r="A8" s="22">
        <v>2000</v>
      </c>
      <c r="B8" s="19" t="s">
        <v>192</v>
      </c>
      <c r="C8" s="18"/>
    </row>
    <row r="9" spans="1:12" x14ac:dyDescent="0.2">
      <c r="A9" s="22">
        <v>5</v>
      </c>
      <c r="B9" s="19" t="s">
        <v>193</v>
      </c>
      <c r="C9" s="18"/>
    </row>
    <row r="10" spans="1:12" ht="12.75" customHeight="1" x14ac:dyDescent="0.2">
      <c r="A10" s="126"/>
      <c r="B10" s="189"/>
      <c r="C10" s="189"/>
      <c r="D10" s="189"/>
      <c r="E10" s="94"/>
      <c r="F10" s="95" t="s">
        <v>195</v>
      </c>
      <c r="G10" s="95" t="s">
        <v>196</v>
      </c>
    </row>
    <row r="11" spans="1:12" x14ac:dyDescent="0.2">
      <c r="A11" s="125"/>
      <c r="B11" s="95" t="s">
        <v>9</v>
      </c>
      <c r="C11" s="95" t="s">
        <v>198</v>
      </c>
      <c r="D11" s="95" t="s">
        <v>199</v>
      </c>
      <c r="E11" s="94" t="s">
        <v>292</v>
      </c>
      <c r="F11" s="95" t="s">
        <v>81</v>
      </c>
      <c r="G11" s="95" t="s">
        <v>82</v>
      </c>
    </row>
    <row r="12" spans="1:12" x14ac:dyDescent="0.2">
      <c r="A12" s="28" t="s">
        <v>83</v>
      </c>
      <c r="B12" s="29"/>
      <c r="C12" s="29"/>
      <c r="D12" s="29"/>
      <c r="E12" s="30"/>
      <c r="F12" s="31"/>
      <c r="G12" s="29"/>
    </row>
    <row r="13" spans="1:12" x14ac:dyDescent="0.2">
      <c r="A13" s="32" t="s">
        <v>81</v>
      </c>
      <c r="B13" s="38"/>
      <c r="C13" s="38"/>
      <c r="D13" s="38"/>
      <c r="E13" s="59"/>
      <c r="F13" s="38"/>
      <c r="G13" s="38"/>
      <c r="H13" s="38"/>
    </row>
    <row r="14" spans="1:12" ht="12" customHeight="1" x14ac:dyDescent="0.2">
      <c r="A14" s="33" t="s">
        <v>84</v>
      </c>
      <c r="B14" s="38" t="s">
        <v>85</v>
      </c>
      <c r="C14" s="61">
        <f>A2</f>
        <v>2</v>
      </c>
      <c r="D14" s="65">
        <v>10000</v>
      </c>
      <c r="E14" s="59">
        <f>C14*D14</f>
        <v>20000</v>
      </c>
      <c r="F14" s="60">
        <f>E14</f>
        <v>20000</v>
      </c>
      <c r="G14" s="38"/>
      <c r="H14" s="38"/>
      <c r="L14" s="36"/>
    </row>
    <row r="15" spans="1:12" ht="12" customHeight="1" x14ac:dyDescent="0.2">
      <c r="A15" s="33" t="s">
        <v>88</v>
      </c>
      <c r="B15" s="38"/>
      <c r="C15" s="61"/>
      <c r="D15" s="65"/>
      <c r="E15" s="59"/>
      <c r="F15" s="60"/>
      <c r="G15" s="38"/>
      <c r="H15" s="38"/>
      <c r="L15" s="36"/>
    </row>
    <row r="16" spans="1:12" ht="12" customHeight="1" x14ac:dyDescent="0.2">
      <c r="A16" s="33" t="s">
        <v>10</v>
      </c>
      <c r="B16" s="38"/>
      <c r="C16" s="61"/>
      <c r="D16" s="65"/>
      <c r="E16" s="59"/>
      <c r="F16" s="60"/>
      <c r="G16" s="38"/>
      <c r="H16" s="38"/>
      <c r="L16" s="36"/>
    </row>
    <row r="17" spans="1:18" x14ac:dyDescent="0.2">
      <c r="A17" s="33" t="s">
        <v>90</v>
      </c>
      <c r="B17" s="38" t="s">
        <v>85</v>
      </c>
      <c r="C17" s="61">
        <f>A2</f>
        <v>2</v>
      </c>
      <c r="D17" s="65">
        <v>2000</v>
      </c>
      <c r="E17" s="59">
        <f>C17*D17</f>
        <v>4000</v>
      </c>
      <c r="F17" s="60">
        <f>E17</f>
        <v>4000</v>
      </c>
      <c r="G17" s="38"/>
      <c r="H17" s="38"/>
      <c r="L17" s="36"/>
    </row>
    <row r="18" spans="1:18" x14ac:dyDescent="0.2">
      <c r="A18" s="37" t="s">
        <v>92</v>
      </c>
      <c r="B18" s="38"/>
      <c r="C18" s="38"/>
      <c r="D18" s="65"/>
      <c r="E18" s="59"/>
      <c r="F18" s="38"/>
      <c r="G18" s="38"/>
      <c r="H18" s="38"/>
    </row>
    <row r="19" spans="1:18" x14ac:dyDescent="0.2">
      <c r="A19" s="33" t="s">
        <v>93</v>
      </c>
      <c r="B19" s="38" t="s">
        <v>94</v>
      </c>
      <c r="C19" s="61">
        <f>A3*A5/1000</f>
        <v>5896.8</v>
      </c>
      <c r="D19" s="63">
        <v>14.03</v>
      </c>
      <c r="E19" s="59">
        <f>C19*D19</f>
        <v>82732.103999999992</v>
      </c>
      <c r="F19" s="124"/>
      <c r="G19" s="60">
        <f>E19</f>
        <v>82732.103999999992</v>
      </c>
      <c r="H19" s="19" t="s">
        <v>75</v>
      </c>
      <c r="Q19" s="36"/>
    </row>
    <row r="20" spans="1:18" ht="14.25" customHeight="1" x14ac:dyDescent="0.2">
      <c r="A20" s="33" t="s">
        <v>11</v>
      </c>
      <c r="B20" s="38" t="s">
        <v>97</v>
      </c>
      <c r="C20" s="61">
        <f>(C19/1000)*50</f>
        <v>294.83999999999997</v>
      </c>
      <c r="D20" s="63">
        <v>0</v>
      </c>
      <c r="E20" s="59">
        <f>C20*D20</f>
        <v>0</v>
      </c>
      <c r="F20" s="38"/>
      <c r="G20" s="60">
        <f>E20</f>
        <v>0</v>
      </c>
      <c r="H20" s="38"/>
      <c r="Q20" s="36"/>
    </row>
    <row r="21" spans="1:18" x14ac:dyDescent="0.2">
      <c r="A21" s="33" t="s">
        <v>98</v>
      </c>
      <c r="B21" s="38" t="s">
        <v>99</v>
      </c>
      <c r="C21" s="61">
        <f>E19</f>
        <v>82732.103999999992</v>
      </c>
      <c r="D21" s="43">
        <v>0</v>
      </c>
      <c r="E21" s="59">
        <f>C21*D21</f>
        <v>0</v>
      </c>
      <c r="F21" s="38"/>
      <c r="G21" s="60">
        <f>E21</f>
        <v>0</v>
      </c>
      <c r="H21" s="38"/>
      <c r="P21" s="36"/>
      <c r="Q21" s="36"/>
    </row>
    <row r="22" spans="1:18" x14ac:dyDescent="0.2">
      <c r="A22" s="33" t="s">
        <v>100</v>
      </c>
      <c r="B22" s="38" t="s">
        <v>99</v>
      </c>
      <c r="C22" s="61">
        <f>C21</f>
        <v>82732.103999999992</v>
      </c>
      <c r="D22" s="123">
        <v>0.01</v>
      </c>
      <c r="E22" s="59">
        <f>C22*D22</f>
        <v>827.32103999999993</v>
      </c>
      <c r="F22" s="38"/>
      <c r="G22" s="60">
        <f>E22</f>
        <v>827.32103999999993</v>
      </c>
      <c r="H22" s="38"/>
      <c r="Q22" s="36"/>
    </row>
    <row r="23" spans="1:18" x14ac:dyDescent="0.2">
      <c r="A23" s="37" t="s">
        <v>101</v>
      </c>
      <c r="B23" s="38"/>
      <c r="C23" s="61"/>
      <c r="D23" s="43"/>
      <c r="E23" s="59"/>
      <c r="F23" s="38"/>
      <c r="G23" s="61"/>
      <c r="H23" s="38"/>
      <c r="Q23" s="36"/>
    </row>
    <row r="24" spans="1:18" ht="25.5" x14ac:dyDescent="0.2">
      <c r="A24" s="33" t="s">
        <v>102</v>
      </c>
      <c r="B24" s="43" t="s">
        <v>103</v>
      </c>
      <c r="C24" s="122">
        <f>2*A2*0.1</f>
        <v>0.4</v>
      </c>
      <c r="D24" s="65">
        <v>5000</v>
      </c>
      <c r="E24" s="59">
        <f>C24*D24</f>
        <v>2000</v>
      </c>
      <c r="F24" s="38"/>
      <c r="G24" s="60">
        <f t="shared" ref="G24:G29" si="0">E24</f>
        <v>2000</v>
      </c>
      <c r="H24" s="38"/>
      <c r="Q24" s="36"/>
    </row>
    <row r="25" spans="1:18" ht="15" customHeight="1" x14ac:dyDescent="0.2">
      <c r="A25" s="33" t="s">
        <v>12</v>
      </c>
      <c r="B25" s="38" t="s">
        <v>13</v>
      </c>
      <c r="C25" s="71">
        <f>E14</f>
        <v>20000</v>
      </c>
      <c r="D25" s="43">
        <v>0.05</v>
      </c>
      <c r="E25" s="59">
        <f>C25*D25</f>
        <v>1000</v>
      </c>
      <c r="F25" s="38"/>
      <c r="G25" s="60">
        <f t="shared" si="0"/>
        <v>1000</v>
      </c>
      <c r="H25" s="38"/>
      <c r="Q25" s="36"/>
    </row>
    <row r="26" spans="1:18" ht="26.1" customHeight="1" x14ac:dyDescent="0.2">
      <c r="A26" s="33" t="s">
        <v>14</v>
      </c>
      <c r="B26" s="38" t="s">
        <v>78</v>
      </c>
      <c r="C26" s="71">
        <f>5*A2*250</f>
        <v>2500</v>
      </c>
      <c r="D26" s="121">
        <v>5</v>
      </c>
      <c r="E26" s="59">
        <f>C26*D26</f>
        <v>12500</v>
      </c>
      <c r="F26" s="38"/>
      <c r="G26" s="60">
        <f t="shared" si="0"/>
        <v>12500</v>
      </c>
      <c r="H26" s="38"/>
      <c r="Q26" s="36"/>
    </row>
    <row r="27" spans="1:18" x14ac:dyDescent="0.2">
      <c r="A27" s="33" t="s">
        <v>108</v>
      </c>
      <c r="B27" s="38" t="s">
        <v>109</v>
      </c>
      <c r="C27" s="71">
        <f>A3*1000/50</f>
        <v>561600</v>
      </c>
      <c r="D27" s="121">
        <v>0.01</v>
      </c>
      <c r="E27" s="59">
        <f>C27*D27</f>
        <v>5616</v>
      </c>
      <c r="F27" s="38"/>
      <c r="G27" s="60">
        <f t="shared" si="0"/>
        <v>5616</v>
      </c>
      <c r="H27" s="38"/>
      <c r="Q27" s="36"/>
    </row>
    <row r="28" spans="1:18" ht="25.5" x14ac:dyDescent="0.2">
      <c r="A28" s="33" t="s">
        <v>110</v>
      </c>
      <c r="B28" s="43" t="s">
        <v>15</v>
      </c>
      <c r="C28" s="59">
        <f>SUM(E24:E27)</f>
        <v>21116</v>
      </c>
      <c r="D28" s="119">
        <v>0.03</v>
      </c>
      <c r="E28" s="59">
        <f>C28*D28</f>
        <v>633.48</v>
      </c>
      <c r="F28" s="38"/>
      <c r="G28" s="60">
        <f t="shared" si="0"/>
        <v>633.48</v>
      </c>
      <c r="H28" s="38"/>
      <c r="Q28" s="36"/>
    </row>
    <row r="29" spans="1:18" ht="25.5" x14ac:dyDescent="0.2">
      <c r="A29" s="46" t="s">
        <v>112</v>
      </c>
      <c r="B29" s="98" t="s">
        <v>0</v>
      </c>
      <c r="C29" s="120">
        <f>SUM(E19:E28)-E21-E22</f>
        <v>104481.58399999999</v>
      </c>
      <c r="D29" s="119">
        <v>0</v>
      </c>
      <c r="E29" s="59">
        <f>+D29*C29</f>
        <v>0</v>
      </c>
      <c r="F29" s="38"/>
      <c r="G29" s="60">
        <f t="shared" si="0"/>
        <v>0</v>
      </c>
      <c r="H29" s="38"/>
      <c r="Q29" s="36"/>
    </row>
    <row r="30" spans="1:18" x14ac:dyDescent="0.2">
      <c r="A30" s="49"/>
      <c r="B30" s="38"/>
      <c r="C30" s="38"/>
      <c r="D30" s="38"/>
      <c r="E30" s="73">
        <f>SUM(E13:E29)</f>
        <v>129308.90503999998</v>
      </c>
      <c r="F30" s="73">
        <f>SUM(F13:F29)</f>
        <v>24000</v>
      </c>
      <c r="G30" s="73">
        <f>SUM(G13:G29)</f>
        <v>105308.90503999998</v>
      </c>
      <c r="H30" s="36"/>
      <c r="I30" s="51"/>
      <c r="J30" s="51"/>
      <c r="K30" s="51"/>
      <c r="P30" s="52"/>
      <c r="Q30" s="52"/>
      <c r="R30" s="36"/>
    </row>
    <row r="31" spans="1:18" x14ac:dyDescent="0.2">
      <c r="A31" s="53" t="s">
        <v>114</v>
      </c>
      <c r="B31" s="53"/>
      <c r="C31" s="53"/>
      <c r="D31" s="53"/>
      <c r="E31" s="53"/>
      <c r="F31" s="53"/>
      <c r="G31" s="53"/>
      <c r="Q31" s="36"/>
    </row>
    <row r="32" spans="1:18" x14ac:dyDescent="0.2">
      <c r="A32" s="55" t="s">
        <v>115</v>
      </c>
      <c r="B32" s="38"/>
      <c r="C32" s="38"/>
      <c r="D32" s="38"/>
      <c r="E32" s="59"/>
      <c r="F32" s="38"/>
      <c r="G32" s="38"/>
      <c r="K32" s="48"/>
      <c r="Q32" s="36"/>
    </row>
    <row r="33" spans="1:17" ht="25.5" x14ac:dyDescent="0.2">
      <c r="A33" s="33" t="s">
        <v>116</v>
      </c>
      <c r="B33" s="38" t="s">
        <v>117</v>
      </c>
      <c r="C33" s="38">
        <v>2</v>
      </c>
      <c r="D33" s="118">
        <v>3000</v>
      </c>
      <c r="E33" s="59">
        <f>C33*D33</f>
        <v>6000</v>
      </c>
      <c r="F33" s="60">
        <f>E33</f>
        <v>6000</v>
      </c>
      <c r="G33" s="38"/>
      <c r="H33" s="38"/>
      <c r="L33" s="36"/>
      <c r="Q33" s="36"/>
    </row>
    <row r="34" spans="1:17" x14ac:dyDescent="0.2">
      <c r="A34" s="33" t="s">
        <v>16</v>
      </c>
      <c r="B34" s="38" t="s">
        <v>119</v>
      </c>
      <c r="C34" s="38">
        <v>30</v>
      </c>
      <c r="D34" s="65">
        <v>500</v>
      </c>
      <c r="E34" s="59">
        <f>C34*D34</f>
        <v>15000</v>
      </c>
      <c r="F34" s="60">
        <f>E34</f>
        <v>15000</v>
      </c>
      <c r="G34" s="38"/>
      <c r="H34" s="38"/>
      <c r="L34" s="36"/>
      <c r="Q34" s="36"/>
    </row>
    <row r="35" spans="1:17" x14ac:dyDescent="0.2">
      <c r="A35" s="33" t="s">
        <v>120</v>
      </c>
      <c r="B35" s="38" t="s">
        <v>121</v>
      </c>
      <c r="C35" s="38">
        <v>2</v>
      </c>
      <c r="D35" s="118">
        <v>2000</v>
      </c>
      <c r="E35" s="59">
        <f>C35*D35</f>
        <v>4000</v>
      </c>
      <c r="F35" s="60">
        <f>E35</f>
        <v>4000</v>
      </c>
      <c r="G35" s="38"/>
      <c r="H35" s="38"/>
      <c r="L35" s="36"/>
      <c r="Q35" s="36"/>
    </row>
    <row r="36" spans="1:17" x14ac:dyDescent="0.2">
      <c r="A36" s="33" t="s">
        <v>122</v>
      </c>
      <c r="B36" s="38" t="s">
        <v>123</v>
      </c>
      <c r="C36" s="38">
        <v>1</v>
      </c>
      <c r="D36" s="65">
        <v>50000</v>
      </c>
      <c r="E36" s="59">
        <f>C36*D36</f>
        <v>50000</v>
      </c>
      <c r="F36" s="60">
        <f>E36</f>
        <v>50000</v>
      </c>
      <c r="G36" s="38"/>
      <c r="H36" s="38"/>
      <c r="L36" s="36"/>
      <c r="Q36" s="36"/>
    </row>
    <row r="37" spans="1:17" x14ac:dyDescent="0.2">
      <c r="A37" s="33" t="s">
        <v>124</v>
      </c>
      <c r="B37" s="38" t="s">
        <v>123</v>
      </c>
      <c r="C37" s="38">
        <v>1</v>
      </c>
      <c r="D37" s="59">
        <v>10000</v>
      </c>
      <c r="E37" s="59">
        <f>C37*D37</f>
        <v>10000</v>
      </c>
      <c r="F37" s="60">
        <f>E37</f>
        <v>10000</v>
      </c>
      <c r="G37" s="38"/>
      <c r="H37" s="38"/>
      <c r="L37" s="36"/>
      <c r="Q37" s="36"/>
    </row>
    <row r="38" spans="1:17" x14ac:dyDescent="0.2">
      <c r="A38" s="33" t="s">
        <v>125</v>
      </c>
      <c r="B38" s="38"/>
      <c r="C38" s="38"/>
      <c r="D38" s="38"/>
      <c r="E38" s="117"/>
      <c r="F38" s="115"/>
      <c r="G38" s="38"/>
      <c r="H38" s="38"/>
      <c r="Q38" s="36"/>
    </row>
    <row r="39" spans="1:17" x14ac:dyDescent="0.2">
      <c r="A39" s="37" t="s">
        <v>126</v>
      </c>
      <c r="B39" s="38"/>
      <c r="C39" s="38"/>
      <c r="D39" s="38"/>
      <c r="E39" s="59"/>
      <c r="F39" s="38"/>
      <c r="G39" s="38"/>
      <c r="H39" s="38"/>
      <c r="Q39" s="36"/>
    </row>
    <row r="40" spans="1:17" x14ac:dyDescent="0.2">
      <c r="A40" s="33" t="s">
        <v>127</v>
      </c>
      <c r="B40" s="38" t="s">
        <v>17</v>
      </c>
      <c r="C40" s="38">
        <f>A2*A6*0.5</f>
        <v>2</v>
      </c>
      <c r="D40" s="62">
        <f>A9</f>
        <v>5</v>
      </c>
      <c r="E40" s="59">
        <f>C40*D40</f>
        <v>10</v>
      </c>
      <c r="F40" s="38"/>
      <c r="G40" s="60">
        <f>E40</f>
        <v>10</v>
      </c>
      <c r="H40" s="38"/>
      <c r="O40" s="36"/>
      <c r="Q40" s="36"/>
    </row>
    <row r="41" spans="1:17" x14ac:dyDescent="0.2">
      <c r="A41" s="33" t="s">
        <v>129</v>
      </c>
      <c r="B41" s="38" t="s">
        <v>29</v>
      </c>
      <c r="C41" s="38">
        <f>50*A2*A6</f>
        <v>200</v>
      </c>
      <c r="D41" s="62">
        <v>0.5</v>
      </c>
      <c r="E41" s="59">
        <f>C41*D41</f>
        <v>100</v>
      </c>
      <c r="F41" s="38"/>
      <c r="G41" s="60">
        <f>E41</f>
        <v>100</v>
      </c>
      <c r="H41" s="38"/>
      <c r="O41" s="36"/>
      <c r="Q41" s="36"/>
    </row>
    <row r="42" spans="1:17" x14ac:dyDescent="0.2">
      <c r="A42" s="33" t="s">
        <v>131</v>
      </c>
      <c r="B42" s="38" t="s">
        <v>18</v>
      </c>
      <c r="C42" s="38">
        <f>A2*A6*4</f>
        <v>16</v>
      </c>
      <c r="D42" s="63">
        <v>0.25</v>
      </c>
      <c r="E42" s="59">
        <f>C42*D42</f>
        <v>4</v>
      </c>
      <c r="F42" s="38"/>
      <c r="G42" s="60">
        <f>E42</f>
        <v>4</v>
      </c>
      <c r="H42" s="38"/>
      <c r="O42" s="36"/>
      <c r="Q42" s="36"/>
    </row>
    <row r="43" spans="1:17" ht="25.5" x14ac:dyDescent="0.2">
      <c r="A43" s="33" t="s">
        <v>31</v>
      </c>
      <c r="B43" s="38" t="s">
        <v>19</v>
      </c>
      <c r="C43" s="38">
        <f>A2*A6*4</f>
        <v>16</v>
      </c>
      <c r="D43" s="65">
        <v>55</v>
      </c>
      <c r="E43" s="59">
        <f>C43*D43</f>
        <v>880</v>
      </c>
      <c r="F43" s="38"/>
      <c r="G43" s="60">
        <f>E43</f>
        <v>880</v>
      </c>
      <c r="H43" s="38"/>
      <c r="O43" s="36"/>
      <c r="Q43" s="36"/>
    </row>
    <row r="44" spans="1:17" ht="25.5" x14ac:dyDescent="0.2">
      <c r="A44" s="33" t="s">
        <v>135</v>
      </c>
      <c r="B44" s="38" t="s">
        <v>20</v>
      </c>
      <c r="C44" s="59">
        <f>SUM(E40:E43)</f>
        <v>994</v>
      </c>
      <c r="D44" s="43">
        <v>0.1</v>
      </c>
      <c r="E44" s="59">
        <f>C44*D44</f>
        <v>99.4</v>
      </c>
      <c r="F44" s="38"/>
      <c r="G44" s="60">
        <f>E44</f>
        <v>99.4</v>
      </c>
      <c r="H44" s="38"/>
      <c r="O44" s="36"/>
      <c r="Q44" s="36"/>
    </row>
    <row r="45" spans="1:17" x14ac:dyDescent="0.2">
      <c r="A45" s="37" t="s">
        <v>27</v>
      </c>
      <c r="B45" s="38"/>
      <c r="C45" s="59"/>
      <c r="D45" s="43"/>
      <c r="E45" s="59"/>
      <c r="F45" s="38"/>
      <c r="G45" s="60"/>
      <c r="H45" s="38"/>
      <c r="O45" s="36"/>
      <c r="Q45" s="36"/>
    </row>
    <row r="46" spans="1:17" ht="25.5" x14ac:dyDescent="0.2">
      <c r="A46" s="33" t="s">
        <v>127</v>
      </c>
      <c r="B46" s="38" t="s">
        <v>28</v>
      </c>
      <c r="C46" s="61">
        <f>0.5*A4</f>
        <v>2.5</v>
      </c>
      <c r="D46" s="62">
        <f>A9</f>
        <v>5</v>
      </c>
      <c r="E46" s="59">
        <f>C46*D46</f>
        <v>12.5</v>
      </c>
      <c r="F46" s="38"/>
      <c r="G46" s="60">
        <f>E46</f>
        <v>12.5</v>
      </c>
      <c r="H46" s="38"/>
      <c r="O46" s="36"/>
      <c r="Q46" s="36"/>
    </row>
    <row r="47" spans="1:17" x14ac:dyDescent="0.2">
      <c r="A47" s="33" t="s">
        <v>129</v>
      </c>
      <c r="B47" s="38" t="s">
        <v>29</v>
      </c>
      <c r="C47" s="61">
        <f>50*A4</f>
        <v>250</v>
      </c>
      <c r="D47" s="62">
        <v>0.5</v>
      </c>
      <c r="E47" s="59">
        <f>C47*D47</f>
        <v>125</v>
      </c>
      <c r="F47" s="38"/>
      <c r="G47" s="60">
        <f>E47</f>
        <v>125</v>
      </c>
      <c r="H47" s="38"/>
      <c r="O47" s="36"/>
      <c r="Q47" s="36"/>
    </row>
    <row r="48" spans="1:17" x14ac:dyDescent="0.2">
      <c r="A48" s="33" t="s">
        <v>131</v>
      </c>
      <c r="B48" s="38" t="s">
        <v>30</v>
      </c>
      <c r="C48" s="61">
        <f>A4*10</f>
        <v>50</v>
      </c>
      <c r="D48" s="63">
        <v>0.25</v>
      </c>
      <c r="E48" s="59">
        <f>C48*D48</f>
        <v>12.5</v>
      </c>
      <c r="F48" s="38"/>
      <c r="G48" s="60">
        <f>E48</f>
        <v>12.5</v>
      </c>
      <c r="H48" s="38"/>
      <c r="O48" s="36"/>
      <c r="Q48" s="36"/>
    </row>
    <row r="49" spans="1:17" ht="25.5" x14ac:dyDescent="0.2">
      <c r="A49" s="33" t="s">
        <v>31</v>
      </c>
      <c r="B49" s="38" t="s">
        <v>32</v>
      </c>
      <c r="C49" s="64">
        <f>3*A4</f>
        <v>15</v>
      </c>
      <c r="D49" s="65">
        <v>55</v>
      </c>
      <c r="E49" s="59">
        <f>C49*D49</f>
        <v>825</v>
      </c>
      <c r="F49" s="38"/>
      <c r="G49" s="60">
        <f>E49</f>
        <v>825</v>
      </c>
      <c r="H49" s="38"/>
      <c r="O49" s="36"/>
      <c r="Q49" s="36"/>
    </row>
    <row r="50" spans="1:17" ht="25.5" x14ac:dyDescent="0.2">
      <c r="A50" s="33" t="s">
        <v>135</v>
      </c>
      <c r="B50" s="38" t="s">
        <v>33</v>
      </c>
      <c r="C50" s="59">
        <f>SUM(E46:E49)</f>
        <v>975</v>
      </c>
      <c r="D50" s="43">
        <v>0.1</v>
      </c>
      <c r="E50" s="59">
        <f>C50*D50</f>
        <v>97.5</v>
      </c>
      <c r="F50" s="38"/>
      <c r="G50" s="60">
        <f>E50</f>
        <v>97.5</v>
      </c>
      <c r="H50" s="38"/>
      <c r="O50" s="36"/>
      <c r="Q50" s="36"/>
    </row>
    <row r="51" spans="1:17" x14ac:dyDescent="0.2">
      <c r="A51" s="37" t="s">
        <v>34</v>
      </c>
      <c r="B51" s="38"/>
      <c r="C51" s="38"/>
      <c r="D51" s="38"/>
      <c r="E51" s="117"/>
      <c r="F51" s="116"/>
      <c r="G51" s="115"/>
      <c r="H51" s="38"/>
      <c r="O51" s="36"/>
      <c r="Q51" s="36"/>
    </row>
    <row r="52" spans="1:17" ht="25.5" x14ac:dyDescent="0.2">
      <c r="A52" s="33" t="s">
        <v>127</v>
      </c>
      <c r="B52" s="38" t="s">
        <v>3</v>
      </c>
      <c r="C52" s="61">
        <f>A7</f>
        <v>50</v>
      </c>
      <c r="D52" s="100">
        <v>5</v>
      </c>
      <c r="E52" s="59">
        <f>C52*D52</f>
        <v>250</v>
      </c>
      <c r="F52" s="38"/>
      <c r="G52" s="60">
        <f>E52</f>
        <v>250</v>
      </c>
      <c r="H52" s="38"/>
      <c r="O52" s="36"/>
      <c r="Q52" s="36"/>
    </row>
    <row r="53" spans="1:17" x14ac:dyDescent="0.2">
      <c r="A53" s="33" t="s">
        <v>129</v>
      </c>
      <c r="B53" s="38" t="s">
        <v>29</v>
      </c>
      <c r="C53" s="38">
        <f>A7*50</f>
        <v>2500</v>
      </c>
      <c r="D53" s="62">
        <v>0.5</v>
      </c>
      <c r="E53" s="59">
        <f>C53*D53</f>
        <v>1250</v>
      </c>
      <c r="F53" s="38"/>
      <c r="G53" s="60">
        <f>E53</f>
        <v>1250</v>
      </c>
      <c r="H53" s="38"/>
      <c r="O53" s="36"/>
      <c r="Q53" s="36"/>
    </row>
    <row r="54" spans="1:17" x14ac:dyDescent="0.2">
      <c r="A54" s="33" t="s">
        <v>131</v>
      </c>
      <c r="B54" s="38" t="s">
        <v>4</v>
      </c>
      <c r="C54" s="61">
        <f>A8</f>
        <v>2000</v>
      </c>
      <c r="D54" s="63">
        <v>0.25</v>
      </c>
      <c r="E54" s="59">
        <f>C54*D54</f>
        <v>500</v>
      </c>
      <c r="F54" s="38"/>
      <c r="G54" s="60">
        <f>E54</f>
        <v>500</v>
      </c>
      <c r="H54" s="38"/>
      <c r="O54" s="36"/>
      <c r="Q54" s="36"/>
    </row>
    <row r="55" spans="1:17" x14ac:dyDescent="0.2">
      <c r="A55" s="33" t="s">
        <v>31</v>
      </c>
      <c r="B55" s="38" t="s">
        <v>5</v>
      </c>
      <c r="C55" s="67">
        <f>0.05*C54</f>
        <v>100</v>
      </c>
      <c r="D55" s="101">
        <v>55</v>
      </c>
      <c r="E55" s="59">
        <f>C55*D55</f>
        <v>5500</v>
      </c>
      <c r="F55" s="38"/>
      <c r="G55" s="60">
        <f>E55</f>
        <v>5500</v>
      </c>
      <c r="H55" s="38" t="s">
        <v>21</v>
      </c>
      <c r="O55" s="36"/>
      <c r="Q55" s="36"/>
    </row>
    <row r="56" spans="1:17" ht="25.5" x14ac:dyDescent="0.2">
      <c r="A56" s="33" t="s">
        <v>135</v>
      </c>
      <c r="B56" s="38" t="s">
        <v>6</v>
      </c>
      <c r="C56" s="59">
        <f>SUM(E52:E55)</f>
        <v>7500</v>
      </c>
      <c r="D56" s="43">
        <v>0.1</v>
      </c>
      <c r="E56" s="59">
        <f>SUM(E52:E55)</f>
        <v>7500</v>
      </c>
      <c r="F56" s="38"/>
      <c r="G56" s="60">
        <f>E56</f>
        <v>7500</v>
      </c>
      <c r="H56" s="38"/>
      <c r="O56" s="36"/>
      <c r="Q56" s="36"/>
    </row>
    <row r="57" spans="1:17" x14ac:dyDescent="0.2">
      <c r="A57" s="49"/>
      <c r="B57" s="38"/>
      <c r="C57" s="59"/>
      <c r="D57" s="43"/>
      <c r="E57" s="73">
        <f>SUM(E32:E56)</f>
        <v>102165.9</v>
      </c>
      <c r="F57" s="73">
        <f>SUM(F32:F56)</f>
        <v>85000</v>
      </c>
      <c r="G57" s="73">
        <f>SUM(G32:G56)</f>
        <v>17165.900000000001</v>
      </c>
      <c r="H57" s="60"/>
      <c r="O57" s="36"/>
      <c r="Q57" s="36"/>
    </row>
    <row r="58" spans="1:17" x14ac:dyDescent="0.2">
      <c r="A58" s="68" t="s">
        <v>39</v>
      </c>
      <c r="B58" s="68"/>
      <c r="C58" s="68"/>
      <c r="D58" s="68"/>
      <c r="E58" s="68"/>
      <c r="F58" s="68"/>
      <c r="G58" s="68"/>
      <c r="H58" s="38"/>
      <c r="Q58" s="36"/>
    </row>
    <row r="59" spans="1:17" x14ac:dyDescent="0.2">
      <c r="A59" s="69" t="s">
        <v>40</v>
      </c>
      <c r="B59" s="38" t="s">
        <v>41</v>
      </c>
      <c r="C59" s="38">
        <v>0</v>
      </c>
      <c r="D59" s="65">
        <v>20000</v>
      </c>
      <c r="E59" s="59">
        <f t="shared" ref="E59:E64" si="1">C59*D59</f>
        <v>0</v>
      </c>
      <c r="F59" s="60">
        <f t="shared" ref="F59:F64" si="2">E59</f>
        <v>0</v>
      </c>
      <c r="H59" s="70" t="s">
        <v>42</v>
      </c>
      <c r="L59" s="36"/>
      <c r="Q59" s="36"/>
    </row>
    <row r="60" spans="1:17" x14ac:dyDescent="0.2">
      <c r="A60" s="69" t="s">
        <v>43</v>
      </c>
      <c r="B60" s="38" t="s">
        <v>41</v>
      </c>
      <c r="C60" s="38">
        <v>0</v>
      </c>
      <c r="D60" s="65">
        <v>30000</v>
      </c>
      <c r="E60" s="59">
        <f t="shared" si="1"/>
        <v>0</v>
      </c>
      <c r="F60" s="60">
        <f t="shared" si="2"/>
        <v>0</v>
      </c>
      <c r="G60" s="60"/>
      <c r="H60" s="38"/>
      <c r="L60" s="36"/>
      <c r="Q60" s="36"/>
    </row>
    <row r="61" spans="1:17" x14ac:dyDescent="0.2">
      <c r="A61" s="69" t="s">
        <v>44</v>
      </c>
      <c r="B61" s="38" t="s">
        <v>41</v>
      </c>
      <c r="C61" s="38">
        <v>0</v>
      </c>
      <c r="D61" s="65">
        <v>150000</v>
      </c>
      <c r="E61" s="59">
        <f t="shared" si="1"/>
        <v>0</v>
      </c>
      <c r="F61" s="60">
        <f t="shared" si="2"/>
        <v>0</v>
      </c>
      <c r="G61" s="60"/>
      <c r="H61" s="38"/>
      <c r="L61" s="36"/>
      <c r="Q61" s="36"/>
    </row>
    <row r="62" spans="1:17" x14ac:dyDescent="0.2">
      <c r="A62" s="69" t="s">
        <v>45</v>
      </c>
      <c r="B62" s="38" t="s">
        <v>121</v>
      </c>
      <c r="C62" s="38">
        <v>0</v>
      </c>
      <c r="D62" s="65">
        <v>10000</v>
      </c>
      <c r="E62" s="59">
        <f t="shared" si="1"/>
        <v>0</v>
      </c>
      <c r="F62" s="60">
        <f t="shared" si="2"/>
        <v>0</v>
      </c>
      <c r="G62" s="60"/>
      <c r="H62" s="38"/>
      <c r="L62" s="36"/>
      <c r="Q62" s="36"/>
    </row>
    <row r="63" spans="1:17" x14ac:dyDescent="0.2">
      <c r="A63" s="69" t="s">
        <v>46</v>
      </c>
      <c r="B63" s="38" t="s">
        <v>47</v>
      </c>
      <c r="C63" s="71">
        <v>0</v>
      </c>
      <c r="D63" s="38">
        <v>0.2</v>
      </c>
      <c r="E63" s="59">
        <f t="shared" si="1"/>
        <v>0</v>
      </c>
      <c r="F63" s="60">
        <f t="shared" si="2"/>
        <v>0</v>
      </c>
      <c r="G63" s="60"/>
      <c r="H63" s="38"/>
      <c r="L63" s="36"/>
      <c r="Q63" s="36"/>
    </row>
    <row r="64" spans="1:17" ht="25.5" x14ac:dyDescent="0.2">
      <c r="A64" s="69" t="s">
        <v>135</v>
      </c>
      <c r="B64" s="38" t="s">
        <v>48</v>
      </c>
      <c r="C64" s="59">
        <f>SUM(E59:E63)</f>
        <v>0</v>
      </c>
      <c r="D64" s="43">
        <v>0.1</v>
      </c>
      <c r="E64" s="59">
        <f t="shared" si="1"/>
        <v>0</v>
      </c>
      <c r="F64" s="60">
        <f t="shared" si="2"/>
        <v>0</v>
      </c>
      <c r="G64" s="60"/>
      <c r="H64" s="38"/>
      <c r="L64" s="36"/>
      <c r="Q64" s="36"/>
    </row>
    <row r="65" spans="1:18" x14ac:dyDescent="0.2">
      <c r="A65" s="72"/>
      <c r="B65" s="38"/>
      <c r="C65" s="59"/>
      <c r="D65" s="43"/>
      <c r="E65" s="73">
        <f>SUM(E59:E64)</f>
        <v>0</v>
      </c>
      <c r="F65" s="73">
        <f>SUM(F59:F64)</f>
        <v>0</v>
      </c>
      <c r="G65" s="73">
        <f>SUM(G59:G64)</f>
        <v>0</v>
      </c>
      <c r="H65" s="38"/>
      <c r="Q65" s="36"/>
    </row>
    <row r="66" spans="1:18" x14ac:dyDescent="0.2">
      <c r="A66" s="75" t="s">
        <v>49</v>
      </c>
      <c r="B66" s="75"/>
      <c r="C66" s="75"/>
      <c r="D66" s="75"/>
      <c r="E66" s="75"/>
      <c r="F66" s="75"/>
      <c r="G66" s="75"/>
      <c r="H66" s="38"/>
      <c r="Q66" s="36"/>
    </row>
    <row r="67" spans="1:18" x14ac:dyDescent="0.2">
      <c r="A67" s="69" t="s">
        <v>50</v>
      </c>
      <c r="B67" s="38" t="s">
        <v>51</v>
      </c>
      <c r="C67" s="38">
        <v>0</v>
      </c>
      <c r="D67" s="65">
        <v>0</v>
      </c>
      <c r="E67" s="59">
        <f>C67*D67</f>
        <v>0</v>
      </c>
      <c r="F67" s="60">
        <f>E67</f>
        <v>0</v>
      </c>
      <c r="G67" s="60"/>
      <c r="H67" s="70" t="s">
        <v>52</v>
      </c>
      <c r="L67" s="36"/>
      <c r="Q67" s="36"/>
    </row>
    <row r="68" spans="1:18" x14ac:dyDescent="0.2">
      <c r="A68" s="69" t="s">
        <v>53</v>
      </c>
      <c r="B68" s="38" t="s">
        <v>54</v>
      </c>
      <c r="C68" s="38">
        <v>0</v>
      </c>
      <c r="D68" s="65">
        <v>80000</v>
      </c>
      <c r="E68" s="59">
        <f>C68*D68</f>
        <v>0</v>
      </c>
      <c r="F68" s="60">
        <f>E68</f>
        <v>0</v>
      </c>
      <c r="G68" s="60"/>
      <c r="H68" s="38"/>
      <c r="L68" s="36"/>
      <c r="Q68" s="36"/>
    </row>
    <row r="69" spans="1:18" x14ac:dyDescent="0.2">
      <c r="A69" s="69" t="s">
        <v>55</v>
      </c>
      <c r="B69" s="38" t="s">
        <v>56</v>
      </c>
      <c r="C69" s="38">
        <v>0</v>
      </c>
      <c r="D69" s="65">
        <v>80000</v>
      </c>
      <c r="E69" s="59">
        <f>C69*D69</f>
        <v>0</v>
      </c>
      <c r="F69" s="60">
        <f>E69</f>
        <v>0</v>
      </c>
      <c r="G69" s="60"/>
      <c r="H69" s="38"/>
      <c r="L69" s="36"/>
      <c r="Q69" s="36"/>
    </row>
    <row r="70" spans="1:18" ht="25.5" x14ac:dyDescent="0.2">
      <c r="A70" s="69" t="s">
        <v>57</v>
      </c>
      <c r="B70" s="38" t="s">
        <v>58</v>
      </c>
      <c r="C70" s="38">
        <v>0</v>
      </c>
      <c r="D70" s="65">
        <v>20000</v>
      </c>
      <c r="E70" s="59">
        <f>C70*D70</f>
        <v>0</v>
      </c>
      <c r="F70" s="38"/>
      <c r="G70" s="60">
        <f>E70</f>
        <v>0</v>
      </c>
      <c r="H70" s="38"/>
      <c r="K70" s="36"/>
      <c r="O70" s="36"/>
      <c r="Q70" s="36"/>
    </row>
    <row r="71" spans="1:18" x14ac:dyDescent="0.2">
      <c r="A71" s="76"/>
      <c r="B71" s="38"/>
      <c r="C71" s="38"/>
      <c r="D71" s="38"/>
      <c r="E71" s="73">
        <f>SUM(E67:E70)</f>
        <v>0</v>
      </c>
      <c r="F71" s="73">
        <f>SUM(F67:F70)</f>
        <v>0</v>
      </c>
      <c r="G71" s="73">
        <f>SUM(G67:G70)</f>
        <v>0</v>
      </c>
      <c r="H71" s="38"/>
    </row>
    <row r="72" spans="1:18" x14ac:dyDescent="0.2">
      <c r="A72" s="76"/>
      <c r="B72" s="38"/>
      <c r="C72" s="38"/>
      <c r="D72" s="38"/>
      <c r="E72" s="59"/>
      <c r="F72" s="38"/>
      <c r="G72" s="38"/>
      <c r="H72" s="38"/>
      <c r="K72" s="24"/>
      <c r="L72" s="24"/>
      <c r="M72" s="24"/>
      <c r="N72" s="20"/>
      <c r="O72" s="24"/>
      <c r="P72" s="24"/>
      <c r="Q72" s="24"/>
      <c r="R72" s="20"/>
    </row>
    <row r="73" spans="1:18" ht="13.5" thickBot="1" x14ac:dyDescent="0.25">
      <c r="A73" s="38"/>
      <c r="B73" s="38"/>
      <c r="C73" s="38"/>
      <c r="D73" s="38"/>
      <c r="E73" s="59"/>
      <c r="F73" s="38"/>
      <c r="G73" s="38"/>
      <c r="H73" s="38"/>
      <c r="R73" s="36"/>
    </row>
    <row r="74" spans="1:18" ht="13.5" thickBot="1" x14ac:dyDescent="0.25">
      <c r="A74" s="102" t="s">
        <v>59</v>
      </c>
      <c r="B74" s="103" t="s">
        <v>60</v>
      </c>
      <c r="C74" s="103" t="s">
        <v>82</v>
      </c>
      <c r="D74" s="103" t="s">
        <v>230</v>
      </c>
      <c r="E74" s="104" t="s">
        <v>61</v>
      </c>
      <c r="F74" s="103" t="s">
        <v>62</v>
      </c>
      <c r="G74" s="38"/>
      <c r="H74" s="38"/>
      <c r="R74" s="36"/>
    </row>
    <row r="75" spans="1:18" x14ac:dyDescent="0.2">
      <c r="A75" s="80" t="s">
        <v>83</v>
      </c>
      <c r="B75" s="105">
        <f>F30</f>
        <v>24000</v>
      </c>
      <c r="C75" s="105">
        <f>G30</f>
        <v>105308.90503999998</v>
      </c>
      <c r="D75" s="105">
        <f>B75+(C75*10)</f>
        <v>1077089.0503999998</v>
      </c>
      <c r="E75" s="106">
        <f>D75/10</f>
        <v>107708.90503999998</v>
      </c>
      <c r="F75" s="107">
        <f>E75/A3</f>
        <v>3.8357872165242157</v>
      </c>
      <c r="G75" s="38"/>
      <c r="H75" s="38"/>
    </row>
    <row r="76" spans="1:18" x14ac:dyDescent="0.2">
      <c r="A76" s="80" t="s">
        <v>273</v>
      </c>
      <c r="B76" s="105">
        <f>F57</f>
        <v>85000</v>
      </c>
      <c r="C76" s="105">
        <f>G57</f>
        <v>17165.900000000001</v>
      </c>
      <c r="D76" s="105">
        <f>B76+(C76*10)</f>
        <v>256659</v>
      </c>
      <c r="E76" s="106">
        <f>D76/10</f>
        <v>25665.9</v>
      </c>
      <c r="F76" s="107">
        <f>E76/A3</f>
        <v>0.91402777777777788</v>
      </c>
      <c r="G76" s="38"/>
      <c r="H76" s="38"/>
    </row>
    <row r="77" spans="1:18" x14ac:dyDescent="0.2">
      <c r="A77" s="80" t="s">
        <v>316</v>
      </c>
      <c r="B77" s="105">
        <f>F65</f>
        <v>0</v>
      </c>
      <c r="C77" s="105">
        <f>G65</f>
        <v>0</v>
      </c>
      <c r="D77" s="105">
        <f>B77+(C77*10)</f>
        <v>0</v>
      </c>
      <c r="E77" s="106">
        <f>D77/10</f>
        <v>0</v>
      </c>
      <c r="F77" s="107">
        <f>E77/A3</f>
        <v>0</v>
      </c>
      <c r="G77" s="38"/>
      <c r="H77" s="38"/>
    </row>
    <row r="78" spans="1:18" ht="13.5" thickBot="1" x14ac:dyDescent="0.25">
      <c r="A78" s="80" t="s">
        <v>275</v>
      </c>
      <c r="B78" s="105">
        <f>F71</f>
        <v>0</v>
      </c>
      <c r="C78" s="105">
        <f>G71</f>
        <v>0</v>
      </c>
      <c r="D78" s="105">
        <f>B78+(C78*10)</f>
        <v>0</v>
      </c>
      <c r="E78" s="106">
        <f>D78/10</f>
        <v>0</v>
      </c>
      <c r="F78" s="107">
        <f>E78/A3</f>
        <v>0</v>
      </c>
      <c r="G78" s="38"/>
      <c r="H78" s="38"/>
    </row>
    <row r="79" spans="1:18" ht="13.5" thickBot="1" x14ac:dyDescent="0.25">
      <c r="A79" s="108"/>
      <c r="B79" s="109">
        <f>SUM(B75:B78)</f>
        <v>109000</v>
      </c>
      <c r="C79" s="109">
        <f>SUM(C75:C78)</f>
        <v>122474.80503999998</v>
      </c>
      <c r="D79" s="109">
        <f>SUM(D75:D78)</f>
        <v>1333748.0503999998</v>
      </c>
      <c r="E79" s="110">
        <f>SUM(E75:E78)</f>
        <v>133374.80503999998</v>
      </c>
      <c r="F79" s="111">
        <f>SUM(F75:F78)</f>
        <v>4.7498149943019934</v>
      </c>
      <c r="G79" s="112"/>
      <c r="H79" s="113"/>
    </row>
    <row r="80" spans="1:18" x14ac:dyDescent="0.2">
      <c r="A80" s="38"/>
      <c r="B80" s="38"/>
      <c r="C80" s="38"/>
      <c r="D80" s="38"/>
      <c r="E80" s="38"/>
      <c r="F80" s="38"/>
      <c r="G80" s="38"/>
      <c r="H80" s="114"/>
    </row>
    <row r="81" spans="1:9" x14ac:dyDescent="0.2">
      <c r="A81" s="38"/>
      <c r="B81" s="38"/>
      <c r="C81" s="38"/>
      <c r="D81" s="38"/>
      <c r="E81" s="38"/>
      <c r="F81" s="38"/>
      <c r="G81" s="38"/>
      <c r="H81" s="38"/>
    </row>
    <row r="82" spans="1:9" x14ac:dyDescent="0.2">
      <c r="A82" s="38"/>
      <c r="B82" s="38"/>
      <c r="C82" s="38"/>
      <c r="D82" s="38"/>
      <c r="E82" s="59"/>
      <c r="F82" s="38"/>
      <c r="G82" s="38"/>
      <c r="H82" s="38"/>
    </row>
    <row r="83" spans="1:9" ht="13.5" thickBot="1" x14ac:dyDescent="0.25">
      <c r="A83" s="38"/>
      <c r="B83" s="38"/>
      <c r="C83" s="38"/>
      <c r="D83" s="38"/>
      <c r="E83" s="59"/>
      <c r="F83" s="38"/>
      <c r="G83" s="38"/>
      <c r="H83" s="38"/>
    </row>
    <row r="84" spans="1:9" ht="13.5" thickBot="1" x14ac:dyDescent="0.25">
      <c r="A84" s="102" t="s">
        <v>7</v>
      </c>
      <c r="B84" s="38"/>
      <c r="C84" s="38"/>
      <c r="D84" s="38"/>
      <c r="E84" s="59"/>
      <c r="F84" s="38"/>
      <c r="G84" s="38"/>
      <c r="H84" s="90">
        <f>SUM(H86:H101)</f>
        <v>1380246.5946080366</v>
      </c>
      <c r="I84" s="18" t="s">
        <v>66</v>
      </c>
    </row>
    <row r="85" spans="1:9" ht="51" x14ac:dyDescent="0.2">
      <c r="A85" s="91" t="s">
        <v>262</v>
      </c>
      <c r="B85" s="59" t="s">
        <v>83</v>
      </c>
      <c r="C85" s="38" t="s">
        <v>273</v>
      </c>
      <c r="D85" s="38" t="s">
        <v>316</v>
      </c>
      <c r="E85" s="38" t="s">
        <v>275</v>
      </c>
      <c r="F85" s="38" t="s">
        <v>292</v>
      </c>
      <c r="G85" s="38" t="s">
        <v>67</v>
      </c>
      <c r="H85" s="38" t="s">
        <v>68</v>
      </c>
    </row>
    <row r="86" spans="1:9" x14ac:dyDescent="0.2">
      <c r="A86" s="19">
        <v>0</v>
      </c>
      <c r="B86" s="24">
        <f>+B75</f>
        <v>24000</v>
      </c>
      <c r="C86" s="24">
        <f>B76</f>
        <v>85000</v>
      </c>
      <c r="D86" s="24">
        <f>$B$77/2</f>
        <v>0</v>
      </c>
      <c r="E86" s="24">
        <f>F67+$C$78</f>
        <v>0</v>
      </c>
      <c r="F86" s="24">
        <f t="shared" ref="F86:F101" si="3">SUM(B86:E86)</f>
        <v>109000</v>
      </c>
      <c r="G86" s="92">
        <v>1</v>
      </c>
      <c r="H86" s="93">
        <f>+F86*G86</f>
        <v>109000</v>
      </c>
    </row>
    <row r="87" spans="1:9" x14ac:dyDescent="0.2">
      <c r="A87" s="19">
        <f>+A86+1</f>
        <v>1</v>
      </c>
      <c r="B87" s="24">
        <f t="shared" ref="B87:B101" si="4">$C$75</f>
        <v>105308.90503999998</v>
      </c>
      <c r="C87" s="24">
        <f>$C$76</f>
        <v>17165.900000000001</v>
      </c>
      <c r="D87" s="24">
        <f>$B$77/2</f>
        <v>0</v>
      </c>
      <c r="E87" s="24">
        <f>$C$78</f>
        <v>0</v>
      </c>
      <c r="F87" s="24">
        <f t="shared" si="3"/>
        <v>122474.80503999998</v>
      </c>
      <c r="G87" s="92">
        <f>+G86/(1+DiscountRate)</f>
        <v>0.95238095238095233</v>
      </c>
      <c r="H87" s="93">
        <f t="shared" ref="H87:H101" si="5">+F87*G87</f>
        <v>116642.67146666664</v>
      </c>
    </row>
    <row r="88" spans="1:9" x14ac:dyDescent="0.2">
      <c r="A88" s="19">
        <f t="shared" ref="A88:A101" si="6">+A87+1</f>
        <v>2</v>
      </c>
      <c r="B88" s="24">
        <f t="shared" si="4"/>
        <v>105308.90503999998</v>
      </c>
      <c r="C88" s="24">
        <f t="shared" ref="C88:C101" si="7">$C$76</f>
        <v>17165.900000000001</v>
      </c>
      <c r="D88" s="24"/>
      <c r="E88" s="24">
        <f>F68+$C$78</f>
        <v>0</v>
      </c>
      <c r="F88" s="24">
        <f t="shared" si="3"/>
        <v>122474.80503999998</v>
      </c>
      <c r="G88" s="92">
        <f t="shared" ref="G88:G101" si="8">+G87/(1+DiscountRate)</f>
        <v>0.90702947845804982</v>
      </c>
      <c r="H88" s="93">
        <f t="shared" si="5"/>
        <v>111088.25853968252</v>
      </c>
    </row>
    <row r="89" spans="1:9" x14ac:dyDescent="0.2">
      <c r="A89" s="19">
        <f t="shared" si="6"/>
        <v>3</v>
      </c>
      <c r="B89" s="24">
        <f t="shared" si="4"/>
        <v>105308.90503999998</v>
      </c>
      <c r="C89" s="24">
        <f t="shared" si="7"/>
        <v>17165.900000000001</v>
      </c>
      <c r="D89" s="24"/>
      <c r="E89" s="24">
        <f>$C$78</f>
        <v>0</v>
      </c>
      <c r="F89" s="24">
        <f t="shared" si="3"/>
        <v>122474.80503999998</v>
      </c>
      <c r="G89" s="92">
        <f t="shared" si="8"/>
        <v>0.86383759853147601</v>
      </c>
      <c r="H89" s="93">
        <f t="shared" si="5"/>
        <v>105798.34146636429</v>
      </c>
    </row>
    <row r="90" spans="1:9" x14ac:dyDescent="0.2">
      <c r="A90" s="19">
        <f t="shared" si="6"/>
        <v>4</v>
      </c>
      <c r="B90" s="24">
        <f t="shared" si="4"/>
        <v>105308.90503999998</v>
      </c>
      <c r="C90" s="24">
        <f t="shared" si="7"/>
        <v>17165.900000000001</v>
      </c>
      <c r="D90" s="24"/>
      <c r="E90" s="24">
        <f>F69+$C$78</f>
        <v>0</v>
      </c>
      <c r="F90" s="24">
        <f t="shared" si="3"/>
        <v>122474.80503999998</v>
      </c>
      <c r="G90" s="92">
        <f t="shared" si="8"/>
        <v>0.82270247479188185</v>
      </c>
      <c r="H90" s="93">
        <f t="shared" si="5"/>
        <v>100760.32520606123</v>
      </c>
    </row>
    <row r="91" spans="1:9" x14ac:dyDescent="0.2">
      <c r="A91" s="19">
        <f t="shared" si="6"/>
        <v>5</v>
      </c>
      <c r="B91" s="24">
        <f t="shared" si="4"/>
        <v>105308.90503999998</v>
      </c>
      <c r="C91" s="24">
        <f t="shared" si="7"/>
        <v>17165.900000000001</v>
      </c>
      <c r="D91" s="24"/>
      <c r="E91" s="24">
        <f t="shared" ref="E91:E101" si="9">$C$78</f>
        <v>0</v>
      </c>
      <c r="F91" s="24">
        <f t="shared" si="3"/>
        <v>122474.80503999998</v>
      </c>
      <c r="G91" s="92">
        <f t="shared" si="8"/>
        <v>0.78352616646845885</v>
      </c>
      <c r="H91" s="93">
        <f t="shared" si="5"/>
        <v>95962.214481963063</v>
      </c>
    </row>
    <row r="92" spans="1:9" x14ac:dyDescent="0.2">
      <c r="A92" s="19">
        <f t="shared" si="6"/>
        <v>6</v>
      </c>
      <c r="B92" s="24">
        <f t="shared" si="4"/>
        <v>105308.90503999998</v>
      </c>
      <c r="C92" s="24">
        <f t="shared" si="7"/>
        <v>17165.900000000001</v>
      </c>
      <c r="D92" s="24"/>
      <c r="E92" s="24">
        <f t="shared" si="9"/>
        <v>0</v>
      </c>
      <c r="F92" s="24">
        <f t="shared" si="3"/>
        <v>122474.80503999998</v>
      </c>
      <c r="G92" s="92">
        <f t="shared" si="8"/>
        <v>0.74621539663662739</v>
      </c>
      <c r="H92" s="93">
        <f t="shared" si="5"/>
        <v>91392.585220917201</v>
      </c>
    </row>
    <row r="93" spans="1:9" x14ac:dyDescent="0.2">
      <c r="A93" s="19">
        <f t="shared" si="6"/>
        <v>7</v>
      </c>
      <c r="B93" s="24">
        <f t="shared" si="4"/>
        <v>105308.90503999998</v>
      </c>
      <c r="C93" s="24">
        <f t="shared" si="7"/>
        <v>17165.900000000001</v>
      </c>
      <c r="D93" s="24"/>
      <c r="E93" s="24">
        <f t="shared" si="9"/>
        <v>0</v>
      </c>
      <c r="F93" s="24">
        <f t="shared" si="3"/>
        <v>122474.80503999998</v>
      </c>
      <c r="G93" s="92">
        <f t="shared" si="8"/>
        <v>0.71068133013012125</v>
      </c>
      <c r="H93" s="93">
        <f t="shared" si="5"/>
        <v>87040.557353254466</v>
      </c>
    </row>
    <row r="94" spans="1:9" x14ac:dyDescent="0.2">
      <c r="A94" s="19">
        <f t="shared" si="6"/>
        <v>8</v>
      </c>
      <c r="B94" s="24">
        <f t="shared" si="4"/>
        <v>105308.90503999998</v>
      </c>
      <c r="C94" s="24">
        <f t="shared" si="7"/>
        <v>17165.900000000001</v>
      </c>
      <c r="D94" s="24"/>
      <c r="E94" s="24">
        <f t="shared" si="9"/>
        <v>0</v>
      </c>
      <c r="F94" s="24">
        <f t="shared" si="3"/>
        <v>122474.80503999998</v>
      </c>
      <c r="G94" s="92">
        <f t="shared" si="8"/>
        <v>0.67683936202868689</v>
      </c>
      <c r="H94" s="93">
        <f t="shared" si="5"/>
        <v>82895.768907861391</v>
      </c>
    </row>
    <row r="95" spans="1:9" x14ac:dyDescent="0.2">
      <c r="A95" s="19">
        <f t="shared" si="6"/>
        <v>9</v>
      </c>
      <c r="B95" s="24">
        <f t="shared" si="4"/>
        <v>105308.90503999998</v>
      </c>
      <c r="C95" s="24">
        <f t="shared" si="7"/>
        <v>17165.900000000001</v>
      </c>
      <c r="D95" s="24"/>
      <c r="E95" s="24">
        <f t="shared" si="9"/>
        <v>0</v>
      </c>
      <c r="F95" s="24">
        <f t="shared" si="3"/>
        <v>122474.80503999998</v>
      </c>
      <c r="G95" s="92">
        <f t="shared" si="8"/>
        <v>0.64460891621779703</v>
      </c>
      <c r="H95" s="93">
        <f t="shared" si="5"/>
        <v>78948.351340820373</v>
      </c>
    </row>
    <row r="96" spans="1:9" x14ac:dyDescent="0.2">
      <c r="A96" s="19">
        <f t="shared" si="6"/>
        <v>10</v>
      </c>
      <c r="B96" s="24">
        <f t="shared" si="4"/>
        <v>105308.90503999998</v>
      </c>
      <c r="C96" s="24">
        <f t="shared" si="7"/>
        <v>17165.900000000001</v>
      </c>
      <c r="D96" s="24"/>
      <c r="E96" s="24">
        <f t="shared" si="9"/>
        <v>0</v>
      </c>
      <c r="F96" s="24">
        <f t="shared" si="3"/>
        <v>122474.80503999998</v>
      </c>
      <c r="G96" s="92">
        <f t="shared" si="8"/>
        <v>0.6139132535407591</v>
      </c>
      <c r="H96" s="93">
        <f t="shared" si="5"/>
        <v>75188.90603887655</v>
      </c>
    </row>
    <row r="97" spans="1:8" x14ac:dyDescent="0.2">
      <c r="A97" s="19">
        <f t="shared" si="6"/>
        <v>11</v>
      </c>
      <c r="B97" s="24">
        <f t="shared" si="4"/>
        <v>105308.90503999998</v>
      </c>
      <c r="C97" s="24">
        <f t="shared" si="7"/>
        <v>17165.900000000001</v>
      </c>
      <c r="D97" s="24"/>
      <c r="E97" s="24">
        <f t="shared" si="9"/>
        <v>0</v>
      </c>
      <c r="F97" s="24">
        <f t="shared" si="3"/>
        <v>122474.80503999998</v>
      </c>
      <c r="G97" s="92">
        <f t="shared" si="8"/>
        <v>0.58467928908643718</v>
      </c>
      <c r="H97" s="93">
        <f t="shared" si="5"/>
        <v>71608.481941787177</v>
      </c>
    </row>
    <row r="98" spans="1:8" x14ac:dyDescent="0.2">
      <c r="A98" s="19">
        <f t="shared" si="6"/>
        <v>12</v>
      </c>
      <c r="B98" s="24">
        <f t="shared" si="4"/>
        <v>105308.90503999998</v>
      </c>
      <c r="C98" s="24">
        <f t="shared" si="7"/>
        <v>17165.900000000001</v>
      </c>
      <c r="D98" s="24"/>
      <c r="E98" s="24">
        <f t="shared" si="9"/>
        <v>0</v>
      </c>
      <c r="F98" s="24">
        <f t="shared" si="3"/>
        <v>122474.80503999998</v>
      </c>
      <c r="G98" s="92">
        <f t="shared" si="8"/>
        <v>0.55683741817755916</v>
      </c>
      <c r="H98" s="93">
        <f t="shared" si="5"/>
        <v>68198.554230273498</v>
      </c>
    </row>
    <row r="99" spans="1:8" x14ac:dyDescent="0.2">
      <c r="A99" s="19">
        <f t="shared" si="6"/>
        <v>13</v>
      </c>
      <c r="B99" s="24">
        <f t="shared" si="4"/>
        <v>105308.90503999998</v>
      </c>
      <c r="C99" s="24">
        <f t="shared" si="7"/>
        <v>17165.900000000001</v>
      </c>
      <c r="D99" s="24"/>
      <c r="E99" s="24">
        <f t="shared" si="9"/>
        <v>0</v>
      </c>
      <c r="F99" s="24">
        <f t="shared" si="3"/>
        <v>122474.80503999998</v>
      </c>
      <c r="G99" s="92">
        <f t="shared" si="8"/>
        <v>0.5303213506452944</v>
      </c>
      <c r="H99" s="93">
        <f t="shared" si="5"/>
        <v>64951.0040288319</v>
      </c>
    </row>
    <row r="100" spans="1:8" x14ac:dyDescent="0.2">
      <c r="A100" s="19">
        <f t="shared" si="6"/>
        <v>14</v>
      </c>
      <c r="B100" s="24">
        <f t="shared" si="4"/>
        <v>105308.90503999998</v>
      </c>
      <c r="C100" s="24">
        <f t="shared" si="7"/>
        <v>17165.900000000001</v>
      </c>
      <c r="D100" s="24"/>
      <c r="E100" s="24">
        <f t="shared" si="9"/>
        <v>0</v>
      </c>
      <c r="F100" s="24">
        <f t="shared" si="3"/>
        <v>122474.80503999998</v>
      </c>
      <c r="G100" s="92">
        <f t="shared" si="8"/>
        <v>0.50506795299551843</v>
      </c>
      <c r="H100" s="93">
        <f t="shared" si="5"/>
        <v>61858.099075077989</v>
      </c>
    </row>
    <row r="101" spans="1:8" x14ac:dyDescent="0.2">
      <c r="A101" s="19">
        <f t="shared" si="6"/>
        <v>15</v>
      </c>
      <c r="B101" s="24">
        <f t="shared" si="4"/>
        <v>105308.90503999998</v>
      </c>
      <c r="C101" s="24">
        <f t="shared" si="7"/>
        <v>17165.900000000001</v>
      </c>
      <c r="D101" s="24"/>
      <c r="E101" s="24">
        <f t="shared" si="9"/>
        <v>0</v>
      </c>
      <c r="F101" s="24">
        <f t="shared" si="3"/>
        <v>122474.80503999998</v>
      </c>
      <c r="G101" s="92">
        <f t="shared" si="8"/>
        <v>0.48101709809096993</v>
      </c>
      <c r="H101" s="93">
        <f t="shared" si="5"/>
        <v>58912.475309598085</v>
      </c>
    </row>
    <row r="102" spans="1:8" x14ac:dyDescent="0.2">
      <c r="B102" s="21"/>
      <c r="E102" s="19"/>
    </row>
  </sheetData>
  <mergeCells count="1">
    <mergeCell ref="B10:D10"/>
  </mergeCells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pane ySplit="11" topLeftCell="A12" activePane="bottomLeft" state="frozen"/>
      <selection pane="bottomLeft"/>
    </sheetView>
  </sheetViews>
  <sheetFormatPr defaultColWidth="7.5546875" defaultRowHeight="12.75" x14ac:dyDescent="0.2"/>
  <cols>
    <col min="1" max="1" width="29.6640625" style="19" customWidth="1"/>
    <col min="2" max="2" width="26.6640625" style="19" customWidth="1"/>
    <col min="3" max="3" width="9.6640625" style="19" customWidth="1"/>
    <col min="4" max="4" width="10.5546875" style="19" customWidth="1"/>
    <col min="5" max="5" width="16.109375" style="21" customWidth="1"/>
    <col min="6" max="6" width="8.88671875" style="19" customWidth="1"/>
    <col min="7" max="7" width="11.5546875" style="19" customWidth="1"/>
    <col min="8" max="8" width="13.6640625" style="19" customWidth="1"/>
    <col min="9" max="9" width="11" style="19" customWidth="1"/>
    <col min="10" max="10" width="7.5546875" style="19"/>
    <col min="11" max="11" width="11.5546875" style="19" customWidth="1"/>
    <col min="12" max="12" width="8.33203125" style="19" customWidth="1"/>
    <col min="13" max="14" width="7.5546875" style="19"/>
    <col min="15" max="16" width="8.88671875" style="19" customWidth="1"/>
    <col min="17" max="18" width="9.6640625" style="19" customWidth="1"/>
    <col min="19" max="16384" width="7.5546875" style="19"/>
  </cols>
  <sheetData>
    <row r="1" spans="1:12" x14ac:dyDescent="0.2">
      <c r="A1" s="18" t="s">
        <v>185</v>
      </c>
      <c r="D1" s="20"/>
    </row>
    <row r="2" spans="1:12" x14ac:dyDescent="0.2">
      <c r="A2" s="22">
        <v>0</v>
      </c>
      <c r="B2" s="19" t="s">
        <v>186</v>
      </c>
      <c r="F2" s="24"/>
      <c r="G2" s="21"/>
    </row>
    <row r="3" spans="1:12" x14ac:dyDescent="0.2">
      <c r="A3" s="22">
        <v>29000</v>
      </c>
      <c r="B3" s="23" t="s">
        <v>23</v>
      </c>
      <c r="G3" s="21"/>
    </row>
    <row r="4" spans="1:12" x14ac:dyDescent="0.2">
      <c r="A4" s="22">
        <v>194</v>
      </c>
      <c r="B4" s="23" t="s">
        <v>24</v>
      </c>
      <c r="G4" s="21"/>
    </row>
    <row r="5" spans="1:12" x14ac:dyDescent="0.2">
      <c r="A5" s="22">
        <v>1000</v>
      </c>
      <c r="B5" s="19" t="s">
        <v>25</v>
      </c>
      <c r="E5" s="19"/>
      <c r="G5" s="21"/>
    </row>
    <row r="6" spans="1:12" x14ac:dyDescent="0.2">
      <c r="A6" s="22">
        <v>4</v>
      </c>
      <c r="B6" s="19" t="s">
        <v>190</v>
      </c>
      <c r="C6" s="18"/>
    </row>
    <row r="7" spans="1:12" x14ac:dyDescent="0.2">
      <c r="A7" s="22">
        <v>50</v>
      </c>
      <c r="B7" s="19" t="s">
        <v>191</v>
      </c>
      <c r="C7" s="18"/>
    </row>
    <row r="8" spans="1:12" x14ac:dyDescent="0.2">
      <c r="A8" s="22">
        <v>2000</v>
      </c>
      <c r="B8" s="19" t="s">
        <v>192</v>
      </c>
      <c r="C8" s="18"/>
    </row>
    <row r="9" spans="1:12" x14ac:dyDescent="0.2">
      <c r="A9" s="22">
        <v>5</v>
      </c>
      <c r="B9" s="19" t="s">
        <v>193</v>
      </c>
      <c r="C9" s="18"/>
    </row>
    <row r="10" spans="1:12" ht="12.75" customHeight="1" x14ac:dyDescent="0.2">
      <c r="A10" s="126"/>
      <c r="B10" s="189"/>
      <c r="C10" s="189"/>
      <c r="D10" s="189"/>
      <c r="E10" s="94"/>
      <c r="F10" s="95" t="s">
        <v>195</v>
      </c>
      <c r="G10" s="95" t="s">
        <v>196</v>
      </c>
    </row>
    <row r="11" spans="1:12" x14ac:dyDescent="0.2">
      <c r="A11" s="125"/>
      <c r="B11" s="95" t="s">
        <v>9</v>
      </c>
      <c r="C11" s="95" t="s">
        <v>198</v>
      </c>
      <c r="D11" s="95" t="s">
        <v>199</v>
      </c>
      <c r="E11" s="94" t="s">
        <v>292</v>
      </c>
      <c r="F11" s="95" t="s">
        <v>81</v>
      </c>
      <c r="G11" s="95" t="s">
        <v>82</v>
      </c>
    </row>
    <row r="12" spans="1:12" x14ac:dyDescent="0.2">
      <c r="A12" s="28" t="s">
        <v>83</v>
      </c>
      <c r="B12" s="29"/>
      <c r="C12" s="29"/>
      <c r="D12" s="29"/>
      <c r="E12" s="30"/>
      <c r="F12" s="31"/>
      <c r="G12" s="29"/>
    </row>
    <row r="13" spans="1:12" x14ac:dyDescent="0.2">
      <c r="A13" s="32" t="s">
        <v>81</v>
      </c>
      <c r="B13" s="38"/>
      <c r="C13" s="38"/>
      <c r="D13" s="38"/>
      <c r="E13" s="59"/>
      <c r="F13" s="38"/>
      <c r="G13" s="38"/>
      <c r="H13" s="38"/>
    </row>
    <row r="14" spans="1:12" ht="12" customHeight="1" x14ac:dyDescent="0.2">
      <c r="A14" s="33" t="s">
        <v>84</v>
      </c>
      <c r="B14" s="38" t="s">
        <v>85</v>
      </c>
      <c r="C14" s="61">
        <f>A2</f>
        <v>0</v>
      </c>
      <c r="D14" s="65">
        <v>10000</v>
      </c>
      <c r="E14" s="59">
        <f>C14*D14</f>
        <v>0</v>
      </c>
      <c r="F14" s="60">
        <f>E14</f>
        <v>0</v>
      </c>
      <c r="G14" s="38"/>
      <c r="H14" s="38"/>
      <c r="L14" s="36"/>
    </row>
    <row r="15" spans="1:12" ht="12" customHeight="1" x14ac:dyDescent="0.2">
      <c r="A15" s="33" t="s">
        <v>88</v>
      </c>
      <c r="B15" s="38"/>
      <c r="C15" s="61"/>
      <c r="D15" s="65"/>
      <c r="E15" s="59"/>
      <c r="F15" s="60"/>
      <c r="G15" s="38"/>
      <c r="H15" s="38"/>
      <c r="L15" s="36"/>
    </row>
    <row r="16" spans="1:12" ht="12" customHeight="1" x14ac:dyDescent="0.2">
      <c r="A16" s="33" t="s">
        <v>10</v>
      </c>
      <c r="B16" s="38"/>
      <c r="C16" s="61"/>
      <c r="D16" s="65"/>
      <c r="E16" s="59"/>
      <c r="F16" s="60"/>
      <c r="G16" s="38"/>
      <c r="H16" s="38"/>
      <c r="L16" s="36"/>
    </row>
    <row r="17" spans="1:18" x14ac:dyDescent="0.2">
      <c r="A17" s="33" t="s">
        <v>90</v>
      </c>
      <c r="B17" s="38" t="s">
        <v>85</v>
      </c>
      <c r="C17" s="61">
        <f>A2</f>
        <v>0</v>
      </c>
      <c r="D17" s="65">
        <v>2000</v>
      </c>
      <c r="E17" s="59">
        <f>C17*D17</f>
        <v>0</v>
      </c>
      <c r="F17" s="60">
        <f>E17</f>
        <v>0</v>
      </c>
      <c r="G17" s="38"/>
      <c r="H17" s="38"/>
      <c r="L17" s="36"/>
    </row>
    <row r="18" spans="1:18" x14ac:dyDescent="0.2">
      <c r="A18" s="37" t="s">
        <v>92</v>
      </c>
      <c r="B18" s="38"/>
      <c r="C18" s="38"/>
      <c r="D18" s="65"/>
      <c r="E18" s="59"/>
      <c r="F18" s="38"/>
      <c r="G18" s="38"/>
      <c r="H18" s="38"/>
    </row>
    <row r="19" spans="1:18" x14ac:dyDescent="0.2">
      <c r="A19" s="33" t="s">
        <v>93</v>
      </c>
      <c r="B19" s="38" t="s">
        <v>94</v>
      </c>
      <c r="C19" s="61">
        <v>0</v>
      </c>
      <c r="D19" s="63">
        <v>4.22</v>
      </c>
      <c r="E19" s="59">
        <f>C19*D19</f>
        <v>0</v>
      </c>
      <c r="F19" s="124"/>
      <c r="G19" s="60">
        <f>E19</f>
        <v>0</v>
      </c>
      <c r="H19" s="19" t="s">
        <v>75</v>
      </c>
      <c r="Q19" s="36"/>
    </row>
    <row r="20" spans="1:18" ht="14.25" customHeight="1" x14ac:dyDescent="0.2">
      <c r="A20" s="33" t="s">
        <v>11</v>
      </c>
      <c r="B20" s="38" t="s">
        <v>97</v>
      </c>
      <c r="C20" s="61">
        <f>(C19/1000)*50</f>
        <v>0</v>
      </c>
      <c r="D20" s="63">
        <v>0</v>
      </c>
      <c r="E20" s="59">
        <f>C20*D20</f>
        <v>0</v>
      </c>
      <c r="F20" s="38"/>
      <c r="G20" s="60">
        <f>E20</f>
        <v>0</v>
      </c>
      <c r="H20" s="38"/>
      <c r="Q20" s="36"/>
    </row>
    <row r="21" spans="1:18" x14ac:dyDescent="0.2">
      <c r="A21" s="33" t="s">
        <v>98</v>
      </c>
      <c r="B21" s="38" t="s">
        <v>99</v>
      </c>
      <c r="C21" s="61">
        <f>E19</f>
        <v>0</v>
      </c>
      <c r="D21" s="43">
        <v>0</v>
      </c>
      <c r="E21" s="59">
        <f>C21*D21</f>
        <v>0</v>
      </c>
      <c r="F21" s="38"/>
      <c r="G21" s="60">
        <f>E21</f>
        <v>0</v>
      </c>
      <c r="H21" s="38"/>
      <c r="P21" s="36"/>
      <c r="Q21" s="36"/>
    </row>
    <row r="22" spans="1:18" x14ac:dyDescent="0.2">
      <c r="A22" s="33" t="s">
        <v>100</v>
      </c>
      <c r="B22" s="38" t="s">
        <v>99</v>
      </c>
      <c r="C22" s="61">
        <f>C21</f>
        <v>0</v>
      </c>
      <c r="D22" s="123">
        <v>0.01</v>
      </c>
      <c r="E22" s="59">
        <f>C22*D22</f>
        <v>0</v>
      </c>
      <c r="F22" s="38"/>
      <c r="G22" s="60">
        <f>E22</f>
        <v>0</v>
      </c>
      <c r="H22" s="38"/>
      <c r="Q22" s="36"/>
    </row>
    <row r="23" spans="1:18" x14ac:dyDescent="0.2">
      <c r="A23" s="37" t="s">
        <v>101</v>
      </c>
      <c r="B23" s="38"/>
      <c r="C23" s="61"/>
      <c r="D23" s="43"/>
      <c r="E23" s="59"/>
      <c r="F23" s="38"/>
      <c r="G23" s="61"/>
      <c r="H23" s="38"/>
      <c r="Q23" s="36"/>
    </row>
    <row r="24" spans="1:18" ht="25.5" x14ac:dyDescent="0.2">
      <c r="A24" s="33" t="s">
        <v>102</v>
      </c>
      <c r="B24" s="43" t="s">
        <v>103</v>
      </c>
      <c r="C24" s="122">
        <f>2*A2*0.1</f>
        <v>0</v>
      </c>
      <c r="D24" s="65">
        <v>5000</v>
      </c>
      <c r="E24" s="59">
        <f>C24*D24</f>
        <v>0</v>
      </c>
      <c r="F24" s="38"/>
      <c r="G24" s="60">
        <f t="shared" ref="G24:G29" si="0">E24</f>
        <v>0</v>
      </c>
      <c r="H24" s="38"/>
      <c r="Q24" s="36"/>
    </row>
    <row r="25" spans="1:18" ht="15" customHeight="1" x14ac:dyDescent="0.2">
      <c r="A25" s="33" t="s">
        <v>12</v>
      </c>
      <c r="B25" s="38" t="s">
        <v>13</v>
      </c>
      <c r="C25" s="71">
        <f>E14</f>
        <v>0</v>
      </c>
      <c r="D25" s="43">
        <v>0.05</v>
      </c>
      <c r="E25" s="59">
        <f>C25*D25</f>
        <v>0</v>
      </c>
      <c r="F25" s="38"/>
      <c r="G25" s="60">
        <f t="shared" si="0"/>
        <v>0</v>
      </c>
      <c r="H25" s="38"/>
      <c r="Q25" s="36"/>
    </row>
    <row r="26" spans="1:18" ht="26.1" customHeight="1" x14ac:dyDescent="0.2">
      <c r="A26" s="33" t="s">
        <v>14</v>
      </c>
      <c r="B26" s="38" t="s">
        <v>78</v>
      </c>
      <c r="C26" s="71">
        <f>5*A2*250</f>
        <v>0</v>
      </c>
      <c r="D26" s="121">
        <v>5</v>
      </c>
      <c r="E26" s="59">
        <f>C26*D26</f>
        <v>0</v>
      </c>
      <c r="F26" s="38"/>
      <c r="G26" s="60">
        <f t="shared" si="0"/>
        <v>0</v>
      </c>
      <c r="H26" s="38"/>
      <c r="Q26" s="36"/>
    </row>
    <row r="27" spans="1:18" x14ac:dyDescent="0.2">
      <c r="A27" s="33" t="s">
        <v>108</v>
      </c>
      <c r="B27" s="38" t="s">
        <v>26</v>
      </c>
      <c r="C27" s="71">
        <f>A3*1000/20</f>
        <v>1450000</v>
      </c>
      <c r="D27" s="121">
        <v>0</v>
      </c>
      <c r="E27" s="59">
        <f>C27*D27</f>
        <v>0</v>
      </c>
      <c r="F27" s="38"/>
      <c r="G27" s="60">
        <f t="shared" si="0"/>
        <v>0</v>
      </c>
      <c r="H27" s="38"/>
      <c r="Q27" s="36"/>
    </row>
    <row r="28" spans="1:18" ht="25.5" x14ac:dyDescent="0.2">
      <c r="A28" s="33" t="s">
        <v>110</v>
      </c>
      <c r="B28" s="43" t="s">
        <v>15</v>
      </c>
      <c r="C28" s="59">
        <f>SUM(E24:E27)</f>
        <v>0</v>
      </c>
      <c r="D28" s="119">
        <v>0.03</v>
      </c>
      <c r="E28" s="59">
        <f>C28*D28</f>
        <v>0</v>
      </c>
      <c r="F28" s="38"/>
      <c r="G28" s="60">
        <f t="shared" si="0"/>
        <v>0</v>
      </c>
      <c r="H28" s="38"/>
      <c r="Q28" s="36"/>
    </row>
    <row r="29" spans="1:18" ht="25.5" x14ac:dyDescent="0.2">
      <c r="A29" s="33" t="s">
        <v>112</v>
      </c>
      <c r="B29" s="127" t="s">
        <v>0</v>
      </c>
      <c r="C29" s="120">
        <f>SUM(E19:E28)-E21-E22</f>
        <v>0</v>
      </c>
      <c r="D29" s="119">
        <v>0</v>
      </c>
      <c r="E29" s="59">
        <f>+D29*C29</f>
        <v>0</v>
      </c>
      <c r="F29" s="38"/>
      <c r="G29" s="60">
        <f t="shared" si="0"/>
        <v>0</v>
      </c>
      <c r="H29" s="38"/>
      <c r="Q29" s="36"/>
    </row>
    <row r="30" spans="1:18" x14ac:dyDescent="0.2">
      <c r="A30" s="49"/>
      <c r="B30" s="38"/>
      <c r="C30" s="38"/>
      <c r="D30" s="38"/>
      <c r="E30" s="73">
        <f>SUM(E14:E29)</f>
        <v>0</v>
      </c>
      <c r="F30" s="128">
        <f>SUM(F14:F29)</f>
        <v>0</v>
      </c>
      <c r="G30" s="128">
        <f>SUM(G14:G29)</f>
        <v>0</v>
      </c>
      <c r="H30" s="38"/>
      <c r="P30" s="52"/>
      <c r="Q30" s="52"/>
      <c r="R30" s="36"/>
    </row>
    <row r="31" spans="1:18" x14ac:dyDescent="0.2">
      <c r="A31" s="53" t="s">
        <v>114</v>
      </c>
      <c r="B31" s="53"/>
      <c r="C31" s="53"/>
      <c r="D31" s="53"/>
      <c r="E31" s="53"/>
      <c r="F31" s="53"/>
      <c r="G31" s="53"/>
      <c r="H31" s="38"/>
      <c r="Q31" s="36"/>
    </row>
    <row r="32" spans="1:18" x14ac:dyDescent="0.2">
      <c r="A32" s="55" t="s">
        <v>115</v>
      </c>
      <c r="B32" s="38"/>
      <c r="C32" s="38"/>
      <c r="D32" s="38"/>
      <c r="E32" s="59"/>
      <c r="F32" s="38"/>
      <c r="G32" s="38"/>
      <c r="H32" s="38"/>
      <c r="Q32" s="36"/>
    </row>
    <row r="33" spans="1:17" ht="25.5" x14ac:dyDescent="0.2">
      <c r="A33" s="33" t="s">
        <v>116</v>
      </c>
      <c r="B33" s="38" t="s">
        <v>117</v>
      </c>
      <c r="C33" s="38">
        <v>2</v>
      </c>
      <c r="D33" s="118">
        <v>3000</v>
      </c>
      <c r="E33" s="59">
        <f>C33*D33</f>
        <v>6000</v>
      </c>
      <c r="F33" s="60">
        <f>E33</f>
        <v>6000</v>
      </c>
      <c r="G33" s="38"/>
      <c r="H33" s="38"/>
      <c r="L33" s="36"/>
      <c r="Q33" s="36"/>
    </row>
    <row r="34" spans="1:17" x14ac:dyDescent="0.2">
      <c r="A34" s="33" t="s">
        <v>16</v>
      </c>
      <c r="B34" s="38" t="s">
        <v>119</v>
      </c>
      <c r="C34" s="38">
        <v>30</v>
      </c>
      <c r="D34" s="65">
        <v>500</v>
      </c>
      <c r="E34" s="59">
        <f>C34*D34</f>
        <v>15000</v>
      </c>
      <c r="F34" s="60">
        <f>E34</f>
        <v>15000</v>
      </c>
      <c r="G34" s="38"/>
      <c r="H34" s="38"/>
      <c r="L34" s="36"/>
      <c r="Q34" s="36"/>
    </row>
    <row r="35" spans="1:17" x14ac:dyDescent="0.2">
      <c r="A35" s="33" t="s">
        <v>120</v>
      </c>
      <c r="B35" s="38" t="s">
        <v>121</v>
      </c>
      <c r="C35" s="38">
        <v>2</v>
      </c>
      <c r="D35" s="118">
        <v>2000</v>
      </c>
      <c r="E35" s="59">
        <f>C35*D35</f>
        <v>4000</v>
      </c>
      <c r="F35" s="60">
        <f>E35</f>
        <v>4000</v>
      </c>
      <c r="G35" s="38"/>
      <c r="H35" s="38"/>
      <c r="L35" s="36"/>
      <c r="Q35" s="36"/>
    </row>
    <row r="36" spans="1:17" x14ac:dyDescent="0.2">
      <c r="A36" s="33" t="s">
        <v>122</v>
      </c>
      <c r="B36" s="38" t="s">
        <v>123</v>
      </c>
      <c r="C36" s="38">
        <v>1</v>
      </c>
      <c r="D36" s="65">
        <v>50000</v>
      </c>
      <c r="E36" s="59">
        <f>C36*D36</f>
        <v>50000</v>
      </c>
      <c r="F36" s="60">
        <f>E36</f>
        <v>50000</v>
      </c>
      <c r="G36" s="38"/>
      <c r="H36" s="38"/>
      <c r="L36" s="36"/>
      <c r="Q36" s="36"/>
    </row>
    <row r="37" spans="1:17" x14ac:dyDescent="0.2">
      <c r="A37" s="33" t="s">
        <v>124</v>
      </c>
      <c r="B37" s="38" t="s">
        <v>123</v>
      </c>
      <c r="C37" s="38">
        <v>1</v>
      </c>
      <c r="D37" s="59">
        <v>10000</v>
      </c>
      <c r="E37" s="59">
        <f>C37*D37</f>
        <v>10000</v>
      </c>
      <c r="F37" s="60">
        <f>E37</f>
        <v>10000</v>
      </c>
      <c r="G37" s="38"/>
      <c r="H37" s="38"/>
      <c r="L37" s="36"/>
      <c r="Q37" s="36"/>
    </row>
    <row r="38" spans="1:17" x14ac:dyDescent="0.2">
      <c r="A38" s="33" t="s">
        <v>125</v>
      </c>
      <c r="B38" s="38"/>
      <c r="C38" s="38"/>
      <c r="D38" s="38"/>
      <c r="E38" s="117"/>
      <c r="F38" s="115"/>
      <c r="G38" s="38"/>
      <c r="H38" s="38"/>
      <c r="Q38" s="36"/>
    </row>
    <row r="39" spans="1:17" x14ac:dyDescent="0.2">
      <c r="A39" s="37" t="s">
        <v>126</v>
      </c>
      <c r="B39" s="38"/>
      <c r="C39" s="38"/>
      <c r="D39" s="38"/>
      <c r="E39" s="59"/>
      <c r="F39" s="38"/>
      <c r="G39" s="38"/>
      <c r="H39" s="38"/>
      <c r="Q39" s="36"/>
    </row>
    <row r="40" spans="1:17" x14ac:dyDescent="0.2">
      <c r="A40" s="33" t="s">
        <v>127</v>
      </c>
      <c r="B40" s="38" t="s">
        <v>17</v>
      </c>
      <c r="C40" s="38">
        <f>A2*A6*0.5</f>
        <v>0</v>
      </c>
      <c r="D40" s="62">
        <f>A9</f>
        <v>5</v>
      </c>
      <c r="E40" s="59">
        <f>C40*D40</f>
        <v>0</v>
      </c>
      <c r="F40" s="38"/>
      <c r="G40" s="60">
        <f>E40</f>
        <v>0</v>
      </c>
      <c r="H40" s="38"/>
      <c r="O40" s="36"/>
      <c r="Q40" s="36"/>
    </row>
    <row r="41" spans="1:17" x14ac:dyDescent="0.2">
      <c r="A41" s="33" t="s">
        <v>129</v>
      </c>
      <c r="B41" s="38" t="s">
        <v>29</v>
      </c>
      <c r="C41" s="38">
        <f>50*A2*A6</f>
        <v>0</v>
      </c>
      <c r="D41" s="62">
        <v>0.5</v>
      </c>
      <c r="E41" s="59">
        <f>C41*D41</f>
        <v>0</v>
      </c>
      <c r="F41" s="38"/>
      <c r="G41" s="60">
        <f>E41</f>
        <v>0</v>
      </c>
      <c r="H41" s="38"/>
      <c r="O41" s="36"/>
      <c r="Q41" s="36"/>
    </row>
    <row r="42" spans="1:17" x14ac:dyDescent="0.2">
      <c r="A42" s="33" t="s">
        <v>131</v>
      </c>
      <c r="B42" s="38" t="s">
        <v>18</v>
      </c>
      <c r="C42" s="38">
        <f>A2*A6*4</f>
        <v>0</v>
      </c>
      <c r="D42" s="63">
        <v>0.25</v>
      </c>
      <c r="E42" s="59">
        <f>C42*D42</f>
        <v>0</v>
      </c>
      <c r="F42" s="38"/>
      <c r="G42" s="60">
        <f>E42</f>
        <v>0</v>
      </c>
      <c r="H42" s="38"/>
      <c r="O42" s="36"/>
      <c r="Q42" s="36"/>
    </row>
    <row r="43" spans="1:17" ht="25.5" x14ac:dyDescent="0.2">
      <c r="A43" s="33" t="s">
        <v>31</v>
      </c>
      <c r="B43" s="38" t="s">
        <v>19</v>
      </c>
      <c r="C43" s="38">
        <f>A2*A6*4</f>
        <v>0</v>
      </c>
      <c r="D43" s="129">
        <v>20</v>
      </c>
      <c r="E43" s="59">
        <f>C43*D43</f>
        <v>0</v>
      </c>
      <c r="F43" s="38"/>
      <c r="G43" s="60">
        <f>E43</f>
        <v>0</v>
      </c>
      <c r="H43" s="38"/>
      <c r="O43" s="36"/>
      <c r="Q43" s="36"/>
    </row>
    <row r="44" spans="1:17" ht="25.5" x14ac:dyDescent="0.2">
      <c r="A44" s="33" t="s">
        <v>135</v>
      </c>
      <c r="B44" s="38" t="s">
        <v>20</v>
      </c>
      <c r="C44" s="59">
        <f>SUM(E40:E43)</f>
        <v>0</v>
      </c>
      <c r="D44" s="43">
        <v>0.1</v>
      </c>
      <c r="E44" s="59">
        <f>C44*D44</f>
        <v>0</v>
      </c>
      <c r="F44" s="38"/>
      <c r="G44" s="60">
        <f>E44</f>
        <v>0</v>
      </c>
      <c r="H44" s="38"/>
      <c r="O44" s="36"/>
      <c r="Q44" s="36"/>
    </row>
    <row r="45" spans="1:17" x14ac:dyDescent="0.2">
      <c r="A45" s="37" t="s">
        <v>27</v>
      </c>
      <c r="B45" s="38"/>
      <c r="C45" s="59"/>
      <c r="D45" s="43"/>
      <c r="E45" s="59"/>
      <c r="F45" s="38"/>
      <c r="G45" s="60"/>
      <c r="H45" s="38"/>
      <c r="O45" s="36"/>
      <c r="Q45" s="36"/>
    </row>
    <row r="46" spans="1:17" ht="25.5" x14ac:dyDescent="0.2">
      <c r="A46" s="33" t="s">
        <v>127</v>
      </c>
      <c r="B46" s="38" t="s">
        <v>28</v>
      </c>
      <c r="C46" s="61">
        <f>0.5*A4</f>
        <v>97</v>
      </c>
      <c r="D46" s="62">
        <f>A9</f>
        <v>5</v>
      </c>
      <c r="E46" s="59">
        <f>C46*D46</f>
        <v>485</v>
      </c>
      <c r="F46" s="38"/>
      <c r="G46" s="60">
        <f>E46</f>
        <v>485</v>
      </c>
      <c r="H46" s="38"/>
      <c r="O46" s="36"/>
      <c r="Q46" s="36"/>
    </row>
    <row r="47" spans="1:17" x14ac:dyDescent="0.2">
      <c r="A47" s="33" t="s">
        <v>129</v>
      </c>
      <c r="B47" s="38" t="s">
        <v>29</v>
      </c>
      <c r="C47" s="61">
        <f>50*A4</f>
        <v>9700</v>
      </c>
      <c r="D47" s="62">
        <v>0.5</v>
      </c>
      <c r="E47" s="59">
        <f>C47*D47</f>
        <v>4850</v>
      </c>
      <c r="F47" s="38"/>
      <c r="G47" s="60">
        <f>E47</f>
        <v>4850</v>
      </c>
      <c r="H47" s="38"/>
      <c r="O47" s="36"/>
      <c r="Q47" s="36"/>
    </row>
    <row r="48" spans="1:17" x14ac:dyDescent="0.2">
      <c r="A48" s="33" t="s">
        <v>131</v>
      </c>
      <c r="B48" s="38" t="s">
        <v>30</v>
      </c>
      <c r="C48" s="61">
        <f>A4*10</f>
        <v>1940</v>
      </c>
      <c r="D48" s="63">
        <v>0.25</v>
      </c>
      <c r="E48" s="59">
        <f>C48*D48</f>
        <v>485</v>
      </c>
      <c r="F48" s="38"/>
      <c r="G48" s="60">
        <f>E48</f>
        <v>485</v>
      </c>
      <c r="H48" s="38"/>
      <c r="O48" s="36"/>
      <c r="Q48" s="36"/>
    </row>
    <row r="49" spans="1:17" ht="25.5" x14ac:dyDescent="0.2">
      <c r="A49" s="33" t="s">
        <v>31</v>
      </c>
      <c r="B49" s="38" t="s">
        <v>32</v>
      </c>
      <c r="C49" s="64">
        <f>3*A4</f>
        <v>582</v>
      </c>
      <c r="D49" s="129">
        <v>20</v>
      </c>
      <c r="E49" s="59">
        <f>C49*D49</f>
        <v>11640</v>
      </c>
      <c r="F49" s="38"/>
      <c r="G49" s="60">
        <f>E49</f>
        <v>11640</v>
      </c>
      <c r="H49" s="38"/>
      <c r="O49" s="36"/>
      <c r="Q49" s="36"/>
    </row>
    <row r="50" spans="1:17" ht="25.5" x14ac:dyDescent="0.2">
      <c r="A50" s="33" t="s">
        <v>135</v>
      </c>
      <c r="B50" s="38" t="s">
        <v>33</v>
      </c>
      <c r="C50" s="59">
        <f>SUM(E46:E49)</f>
        <v>17460</v>
      </c>
      <c r="D50" s="43">
        <v>0.1</v>
      </c>
      <c r="E50" s="59">
        <f>C50*D50</f>
        <v>1746</v>
      </c>
      <c r="F50" s="38"/>
      <c r="G50" s="60">
        <f>E50</f>
        <v>1746</v>
      </c>
      <c r="H50" s="38"/>
      <c r="O50" s="36"/>
      <c r="Q50" s="36"/>
    </row>
    <row r="51" spans="1:17" x14ac:dyDescent="0.2">
      <c r="A51" s="37" t="s">
        <v>34</v>
      </c>
      <c r="B51" s="38"/>
      <c r="C51" s="38"/>
      <c r="D51" s="38"/>
      <c r="E51" s="117"/>
      <c r="F51" s="116"/>
      <c r="G51" s="115"/>
      <c r="H51" s="38"/>
      <c r="O51" s="36"/>
      <c r="Q51" s="36"/>
    </row>
    <row r="52" spans="1:17" ht="25.5" x14ac:dyDescent="0.2">
      <c r="A52" s="33" t="s">
        <v>127</v>
      </c>
      <c r="B52" s="38" t="s">
        <v>3</v>
      </c>
      <c r="C52" s="61">
        <f>A7</f>
        <v>50</v>
      </c>
      <c r="D52" s="100">
        <v>5</v>
      </c>
      <c r="E52" s="59">
        <f>C52*D52</f>
        <v>250</v>
      </c>
      <c r="F52" s="38"/>
      <c r="G52" s="60">
        <f>E52</f>
        <v>250</v>
      </c>
      <c r="H52" s="38"/>
      <c r="O52" s="36"/>
      <c r="Q52" s="36"/>
    </row>
    <row r="53" spans="1:17" x14ac:dyDescent="0.2">
      <c r="A53" s="33" t="s">
        <v>129</v>
      </c>
      <c r="B53" s="38" t="s">
        <v>29</v>
      </c>
      <c r="C53" s="38">
        <f>A7*50</f>
        <v>2500</v>
      </c>
      <c r="D53" s="62">
        <v>0.5</v>
      </c>
      <c r="E53" s="59">
        <f>C53*D53</f>
        <v>1250</v>
      </c>
      <c r="F53" s="38"/>
      <c r="G53" s="60">
        <f>E53</f>
        <v>1250</v>
      </c>
      <c r="H53" s="38"/>
      <c r="O53" s="36"/>
      <c r="Q53" s="36"/>
    </row>
    <row r="54" spans="1:17" x14ac:dyDescent="0.2">
      <c r="A54" s="33" t="s">
        <v>131</v>
      </c>
      <c r="B54" s="38" t="s">
        <v>4</v>
      </c>
      <c r="C54" s="61">
        <f>A8</f>
        <v>2000</v>
      </c>
      <c r="D54" s="63">
        <v>0.25</v>
      </c>
      <c r="E54" s="59">
        <f>C54*D54</f>
        <v>500</v>
      </c>
      <c r="F54" s="38"/>
      <c r="G54" s="60">
        <f>E54</f>
        <v>500</v>
      </c>
      <c r="H54" s="38"/>
      <c r="O54" s="36"/>
      <c r="Q54" s="36"/>
    </row>
    <row r="55" spans="1:17" x14ac:dyDescent="0.2">
      <c r="A55" s="33" t="s">
        <v>31</v>
      </c>
      <c r="B55" s="38" t="s">
        <v>5</v>
      </c>
      <c r="C55" s="67">
        <f>0.05*C54</f>
        <v>100</v>
      </c>
      <c r="D55" s="129">
        <v>20</v>
      </c>
      <c r="E55" s="59">
        <f>C55*D55</f>
        <v>2000</v>
      </c>
      <c r="F55" s="38"/>
      <c r="G55" s="60">
        <f>E55</f>
        <v>2000</v>
      </c>
      <c r="H55" s="38"/>
      <c r="O55" s="36"/>
      <c r="Q55" s="36"/>
    </row>
    <row r="56" spans="1:17" ht="25.5" x14ac:dyDescent="0.2">
      <c r="A56" s="33" t="s">
        <v>135</v>
      </c>
      <c r="B56" s="38" t="s">
        <v>6</v>
      </c>
      <c r="C56" s="59">
        <f>SUM(E52:E55)</f>
        <v>4000</v>
      </c>
      <c r="D56" s="43">
        <v>0.1</v>
      </c>
      <c r="E56" s="59">
        <f>SUM(E52:E55)</f>
        <v>4000</v>
      </c>
      <c r="F56" s="38"/>
      <c r="G56" s="60">
        <f>E56</f>
        <v>4000</v>
      </c>
      <c r="H56" s="38"/>
      <c r="O56" s="36"/>
      <c r="Q56" s="36"/>
    </row>
    <row r="57" spans="1:17" x14ac:dyDescent="0.2">
      <c r="A57" s="49"/>
      <c r="B57" s="38"/>
      <c r="C57" s="59"/>
      <c r="D57" s="43"/>
      <c r="E57" s="73">
        <f>E33+E34+E35+E36+E37+E40+E41+E42+E43+E44+E52+E53+E54+E55+E56</f>
        <v>93000</v>
      </c>
      <c r="F57" s="73">
        <f>F33+F34+F35+F36+F37+F40+F41+F42+F43+F44+F52+F53+F54+F55+F56</f>
        <v>85000</v>
      </c>
      <c r="G57" s="73">
        <f>G33+G34+G35+G36+G37+G40+G41+G42+G43+G44+G52+G53+G54+G55+G56</f>
        <v>8000</v>
      </c>
      <c r="H57" s="60"/>
      <c r="O57" s="36"/>
      <c r="Q57" s="36"/>
    </row>
    <row r="58" spans="1:17" x14ac:dyDescent="0.2">
      <c r="A58" s="68" t="s">
        <v>39</v>
      </c>
      <c r="B58" s="68"/>
      <c r="C58" s="68"/>
      <c r="D58" s="68"/>
      <c r="E58" s="68"/>
      <c r="F58" s="68"/>
      <c r="G58" s="68"/>
      <c r="H58" s="38"/>
      <c r="Q58" s="36"/>
    </row>
    <row r="59" spans="1:17" x14ac:dyDescent="0.2">
      <c r="A59" s="69" t="s">
        <v>40</v>
      </c>
      <c r="B59" s="38" t="s">
        <v>41</v>
      </c>
      <c r="C59" s="38">
        <v>0</v>
      </c>
      <c r="D59" s="65">
        <v>20000</v>
      </c>
      <c r="E59" s="59">
        <f t="shared" ref="E59:E64" si="1">C59*D59</f>
        <v>0</v>
      </c>
      <c r="F59" s="60">
        <f t="shared" ref="F59:F64" si="2">E59</f>
        <v>0</v>
      </c>
      <c r="H59" s="70" t="s">
        <v>42</v>
      </c>
      <c r="L59" s="36"/>
      <c r="Q59" s="36"/>
    </row>
    <row r="60" spans="1:17" x14ac:dyDescent="0.2">
      <c r="A60" s="69" t="s">
        <v>43</v>
      </c>
      <c r="B60" s="38" t="s">
        <v>41</v>
      </c>
      <c r="C60" s="38">
        <v>0</v>
      </c>
      <c r="D60" s="65">
        <v>30000</v>
      </c>
      <c r="E60" s="59">
        <f t="shared" si="1"/>
        <v>0</v>
      </c>
      <c r="F60" s="60">
        <f t="shared" si="2"/>
        <v>0</v>
      </c>
      <c r="G60" s="60"/>
      <c r="H60" s="38"/>
      <c r="L60" s="36"/>
      <c r="Q60" s="36"/>
    </row>
    <row r="61" spans="1:17" x14ac:dyDescent="0.2">
      <c r="A61" s="69" t="s">
        <v>44</v>
      </c>
      <c r="B61" s="38" t="s">
        <v>41</v>
      </c>
      <c r="C61" s="38">
        <v>0</v>
      </c>
      <c r="D61" s="65">
        <v>150000</v>
      </c>
      <c r="E61" s="59">
        <f t="shared" si="1"/>
        <v>0</v>
      </c>
      <c r="F61" s="60">
        <f t="shared" si="2"/>
        <v>0</v>
      </c>
      <c r="G61" s="60"/>
      <c r="H61" s="38"/>
      <c r="L61" s="36"/>
      <c r="Q61" s="36"/>
    </row>
    <row r="62" spans="1:17" x14ac:dyDescent="0.2">
      <c r="A62" s="69" t="s">
        <v>45</v>
      </c>
      <c r="B62" s="38" t="s">
        <v>121</v>
      </c>
      <c r="C62" s="38">
        <v>0</v>
      </c>
      <c r="D62" s="65">
        <v>10000</v>
      </c>
      <c r="E62" s="59">
        <f t="shared" si="1"/>
        <v>0</v>
      </c>
      <c r="F62" s="60">
        <f t="shared" si="2"/>
        <v>0</v>
      </c>
      <c r="G62" s="60"/>
      <c r="H62" s="38"/>
      <c r="L62" s="36"/>
      <c r="Q62" s="36"/>
    </row>
    <row r="63" spans="1:17" x14ac:dyDescent="0.2">
      <c r="A63" s="69" t="s">
        <v>46</v>
      </c>
      <c r="B63" s="38" t="s">
        <v>47</v>
      </c>
      <c r="C63" s="71">
        <v>0</v>
      </c>
      <c r="D63" s="38">
        <v>0.2</v>
      </c>
      <c r="E63" s="59">
        <f t="shared" si="1"/>
        <v>0</v>
      </c>
      <c r="F63" s="60">
        <f t="shared" si="2"/>
        <v>0</v>
      </c>
      <c r="G63" s="60"/>
      <c r="H63" s="38"/>
      <c r="L63" s="36"/>
      <c r="Q63" s="36"/>
    </row>
    <row r="64" spans="1:17" ht="25.5" x14ac:dyDescent="0.2">
      <c r="A64" s="69" t="s">
        <v>135</v>
      </c>
      <c r="B64" s="38" t="s">
        <v>48</v>
      </c>
      <c r="C64" s="59">
        <f>SUM(E59:E63)</f>
        <v>0</v>
      </c>
      <c r="D64" s="43">
        <v>0.1</v>
      </c>
      <c r="E64" s="59">
        <f t="shared" si="1"/>
        <v>0</v>
      </c>
      <c r="F64" s="60">
        <f t="shared" si="2"/>
        <v>0</v>
      </c>
      <c r="G64" s="60"/>
      <c r="H64" s="38"/>
      <c r="L64" s="36"/>
      <c r="Q64" s="36"/>
    </row>
    <row r="65" spans="1:18" x14ac:dyDescent="0.2">
      <c r="A65" s="72"/>
      <c r="B65" s="38"/>
      <c r="C65" s="59"/>
      <c r="D65" s="43"/>
      <c r="E65" s="73">
        <f>SUM(E59:E64)</f>
        <v>0</v>
      </c>
      <c r="F65" s="128">
        <f>SUM(F59:F64)</f>
        <v>0</v>
      </c>
      <c r="G65" s="74"/>
      <c r="H65" s="38"/>
      <c r="Q65" s="36"/>
    </row>
    <row r="66" spans="1:18" x14ac:dyDescent="0.2">
      <c r="A66" s="75" t="s">
        <v>49</v>
      </c>
      <c r="B66" s="75"/>
      <c r="C66" s="75"/>
      <c r="D66" s="75"/>
      <c r="E66" s="75"/>
      <c r="F66" s="75"/>
      <c r="G66" s="75"/>
      <c r="H66" s="38"/>
      <c r="Q66" s="36"/>
    </row>
    <row r="67" spans="1:18" x14ac:dyDescent="0.2">
      <c r="A67" s="69" t="s">
        <v>50</v>
      </c>
      <c r="B67" s="38" t="s">
        <v>51</v>
      </c>
      <c r="C67" s="38">
        <v>0</v>
      </c>
      <c r="D67" s="65">
        <v>0</v>
      </c>
      <c r="E67" s="59">
        <f>C67*D67</f>
        <v>0</v>
      </c>
      <c r="F67" s="60">
        <f>E67</f>
        <v>0</v>
      </c>
      <c r="G67" s="60"/>
      <c r="H67" s="70" t="s">
        <v>52</v>
      </c>
      <c r="L67" s="36"/>
      <c r="Q67" s="36"/>
    </row>
    <row r="68" spans="1:18" x14ac:dyDescent="0.2">
      <c r="A68" s="69" t="s">
        <v>53</v>
      </c>
      <c r="B68" s="38" t="s">
        <v>54</v>
      </c>
      <c r="C68" s="38">
        <v>0</v>
      </c>
      <c r="D68" s="65">
        <v>80000</v>
      </c>
      <c r="E68" s="59">
        <f>C68*D68</f>
        <v>0</v>
      </c>
      <c r="F68" s="60">
        <f>E68</f>
        <v>0</v>
      </c>
      <c r="G68" s="60"/>
      <c r="H68" s="38"/>
      <c r="L68" s="36"/>
      <c r="Q68" s="36"/>
    </row>
    <row r="69" spans="1:18" x14ac:dyDescent="0.2">
      <c r="A69" s="69" t="s">
        <v>55</v>
      </c>
      <c r="B69" s="38" t="s">
        <v>56</v>
      </c>
      <c r="C69" s="38">
        <v>0</v>
      </c>
      <c r="D69" s="65">
        <v>80000</v>
      </c>
      <c r="E69" s="59">
        <f>C69*D69</f>
        <v>0</v>
      </c>
      <c r="F69" s="60">
        <f>E69</f>
        <v>0</v>
      </c>
      <c r="G69" s="60"/>
      <c r="H69" s="38"/>
      <c r="L69" s="36"/>
      <c r="Q69" s="36"/>
    </row>
    <row r="70" spans="1:18" ht="25.5" x14ac:dyDescent="0.2">
      <c r="A70" s="69" t="s">
        <v>57</v>
      </c>
      <c r="B70" s="38" t="s">
        <v>58</v>
      </c>
      <c r="C70" s="38">
        <v>0</v>
      </c>
      <c r="D70" s="65">
        <v>20000</v>
      </c>
      <c r="E70" s="59">
        <f>C70*D70</f>
        <v>0</v>
      </c>
      <c r="F70" s="38"/>
      <c r="G70" s="60">
        <f>E70</f>
        <v>0</v>
      </c>
      <c r="H70" s="38"/>
      <c r="K70" s="36"/>
      <c r="O70" s="36"/>
      <c r="Q70" s="36"/>
    </row>
    <row r="71" spans="1:18" x14ac:dyDescent="0.2">
      <c r="A71" s="76"/>
      <c r="B71" s="38"/>
      <c r="C71" s="38"/>
      <c r="D71" s="38"/>
      <c r="E71" s="73">
        <f>SUM(E67:E70)</f>
        <v>0</v>
      </c>
      <c r="F71" s="128">
        <f>SUM(F67:F70)</f>
        <v>0</v>
      </c>
      <c r="G71" s="128">
        <f>SUM(G67:G70)</f>
        <v>0</v>
      </c>
      <c r="H71" s="38"/>
    </row>
    <row r="72" spans="1:18" x14ac:dyDescent="0.2">
      <c r="A72" s="76"/>
      <c r="B72" s="38"/>
      <c r="C72" s="38"/>
      <c r="D72" s="38"/>
      <c r="E72" s="59"/>
      <c r="F72" s="38"/>
      <c r="G72" s="38"/>
      <c r="H72" s="38"/>
      <c r="K72" s="24"/>
      <c r="L72" s="24"/>
      <c r="M72" s="24"/>
      <c r="N72" s="20"/>
      <c r="O72" s="24"/>
      <c r="P72" s="24"/>
      <c r="Q72" s="24"/>
      <c r="R72" s="20"/>
    </row>
    <row r="73" spans="1:18" ht="13.5" thickBot="1" x14ac:dyDescent="0.25">
      <c r="A73" s="38"/>
      <c r="B73" s="38"/>
      <c r="C73" s="38"/>
      <c r="D73" s="38"/>
      <c r="E73" s="59"/>
      <c r="F73" s="38"/>
      <c r="G73" s="38"/>
      <c r="H73" s="38"/>
      <c r="R73" s="36"/>
    </row>
    <row r="74" spans="1:18" ht="13.5" thickBot="1" x14ac:dyDescent="0.25">
      <c r="A74" s="102" t="s">
        <v>59</v>
      </c>
      <c r="B74" s="103" t="s">
        <v>60</v>
      </c>
      <c r="C74" s="103" t="s">
        <v>82</v>
      </c>
      <c r="D74" s="103" t="s">
        <v>230</v>
      </c>
      <c r="E74" s="104" t="s">
        <v>61</v>
      </c>
      <c r="F74" s="103" t="s">
        <v>62</v>
      </c>
      <c r="G74" s="38"/>
      <c r="H74" s="38"/>
      <c r="R74" s="36"/>
    </row>
    <row r="75" spans="1:18" x14ac:dyDescent="0.2">
      <c r="A75" s="80" t="s">
        <v>83</v>
      </c>
      <c r="B75" s="105">
        <f>F30</f>
        <v>0</v>
      </c>
      <c r="C75" s="105">
        <f>G30</f>
        <v>0</v>
      </c>
      <c r="D75" s="105">
        <f>B75+(C75*10)</f>
        <v>0</v>
      </c>
      <c r="E75" s="106">
        <f>D75/10</f>
        <v>0</v>
      </c>
      <c r="F75" s="107">
        <f>E75/A3</f>
        <v>0</v>
      </c>
      <c r="G75" s="38"/>
      <c r="H75" s="38"/>
    </row>
    <row r="76" spans="1:18" x14ac:dyDescent="0.2">
      <c r="A76" s="80" t="s">
        <v>273</v>
      </c>
      <c r="B76" s="105">
        <f>F57</f>
        <v>85000</v>
      </c>
      <c r="C76" s="105">
        <f>G57</f>
        <v>8000</v>
      </c>
      <c r="D76" s="105">
        <f>B76+(C76*10)</f>
        <v>165000</v>
      </c>
      <c r="E76" s="106">
        <f>D76/10</f>
        <v>16500</v>
      </c>
      <c r="F76" s="107">
        <f>E76/A3</f>
        <v>0.56896551724137934</v>
      </c>
      <c r="G76" s="38"/>
      <c r="H76" s="38"/>
    </row>
    <row r="77" spans="1:18" x14ac:dyDescent="0.2">
      <c r="A77" s="80" t="s">
        <v>316</v>
      </c>
      <c r="B77" s="105">
        <f>F65</f>
        <v>0</v>
      </c>
      <c r="C77" s="105">
        <f>G65</f>
        <v>0</v>
      </c>
      <c r="D77" s="105">
        <f>B77+(C77*10)</f>
        <v>0</v>
      </c>
      <c r="E77" s="106">
        <f>D77/10</f>
        <v>0</v>
      </c>
      <c r="F77" s="107">
        <f>E77/A3</f>
        <v>0</v>
      </c>
      <c r="G77" s="38"/>
      <c r="H77" s="38"/>
    </row>
    <row r="78" spans="1:18" ht="13.5" thickBot="1" x14ac:dyDescent="0.25">
      <c r="A78" s="80" t="s">
        <v>275</v>
      </c>
      <c r="B78" s="105">
        <f>F71</f>
        <v>0</v>
      </c>
      <c r="C78" s="105">
        <f>G71</f>
        <v>0</v>
      </c>
      <c r="D78" s="105">
        <f>B78+(C78*10)</f>
        <v>0</v>
      </c>
      <c r="E78" s="106">
        <f>D78/10</f>
        <v>0</v>
      </c>
      <c r="F78" s="107">
        <f>E78/A3</f>
        <v>0</v>
      </c>
      <c r="G78" s="38"/>
      <c r="H78" s="38"/>
    </row>
    <row r="79" spans="1:18" ht="13.5" thickBot="1" x14ac:dyDescent="0.25">
      <c r="A79" s="108"/>
      <c r="B79" s="109">
        <f>SUM(B75:B78)</f>
        <v>85000</v>
      </c>
      <c r="C79" s="109">
        <f>SUM(C75:C78)</f>
        <v>8000</v>
      </c>
      <c r="D79" s="109">
        <f>SUM(D75:D78)</f>
        <v>165000</v>
      </c>
      <c r="E79" s="110">
        <f>SUM(E75:E78)</f>
        <v>16500</v>
      </c>
      <c r="F79" s="111">
        <f>SUM(F75:F78)</f>
        <v>0.56896551724137934</v>
      </c>
      <c r="G79" s="112"/>
      <c r="H79" s="113"/>
    </row>
    <row r="80" spans="1:18" x14ac:dyDescent="0.2">
      <c r="A80" s="38"/>
      <c r="B80" s="38"/>
      <c r="C80" s="38"/>
      <c r="D80" s="38"/>
      <c r="E80" s="38"/>
      <c r="F80" s="38"/>
      <c r="G80" s="38"/>
      <c r="H80" s="114"/>
    </row>
    <row r="81" spans="1:9" x14ac:dyDescent="0.2">
      <c r="A81" s="38"/>
      <c r="B81" s="38"/>
      <c r="C81" s="38"/>
      <c r="D81" s="38"/>
      <c r="E81" s="38"/>
      <c r="F81" s="38"/>
      <c r="G81" s="38"/>
      <c r="H81" s="38"/>
    </row>
    <row r="82" spans="1:9" x14ac:dyDescent="0.2">
      <c r="A82" s="38"/>
      <c r="B82" s="38"/>
      <c r="C82" s="38"/>
      <c r="D82" s="38"/>
      <c r="E82" s="59"/>
      <c r="F82" s="38"/>
      <c r="G82" s="38"/>
      <c r="H82" s="38"/>
    </row>
    <row r="83" spans="1:9" ht="13.5" thickBot="1" x14ac:dyDescent="0.25">
      <c r="A83" s="38"/>
      <c r="B83" s="38"/>
      <c r="C83" s="38"/>
      <c r="D83" s="38"/>
      <c r="E83" s="59"/>
      <c r="F83" s="38"/>
      <c r="G83" s="38"/>
      <c r="H83" s="38"/>
    </row>
    <row r="84" spans="1:9" ht="13.5" thickBot="1" x14ac:dyDescent="0.25">
      <c r="A84" s="102" t="s">
        <v>7</v>
      </c>
      <c r="B84" s="38"/>
      <c r="C84" s="38"/>
      <c r="D84" s="38"/>
      <c r="E84" s="59"/>
      <c r="F84" s="38"/>
      <c r="G84" s="38"/>
      <c r="H84" s="90">
        <f>SUM(H86:H101)</f>
        <v>168037.26430544475</v>
      </c>
      <c r="I84" s="18" t="s">
        <v>66</v>
      </c>
    </row>
    <row r="85" spans="1:9" ht="51" x14ac:dyDescent="0.2">
      <c r="A85" s="91" t="s">
        <v>262</v>
      </c>
      <c r="B85" s="59" t="s">
        <v>83</v>
      </c>
      <c r="C85" s="38" t="s">
        <v>273</v>
      </c>
      <c r="D85" s="38" t="s">
        <v>316</v>
      </c>
      <c r="E85" s="38" t="s">
        <v>275</v>
      </c>
      <c r="F85" s="38" t="s">
        <v>292</v>
      </c>
      <c r="G85" s="38" t="s">
        <v>67</v>
      </c>
      <c r="H85" s="38" t="s">
        <v>68</v>
      </c>
    </row>
    <row r="86" spans="1:9" x14ac:dyDescent="0.2">
      <c r="A86" s="19">
        <v>0</v>
      </c>
      <c r="B86" s="24">
        <f>+B75</f>
        <v>0</v>
      </c>
      <c r="C86" s="24">
        <f>B76</f>
        <v>85000</v>
      </c>
      <c r="D86" s="24">
        <f>$B$77/2</f>
        <v>0</v>
      </c>
      <c r="E86" s="24">
        <f>F67+$C$78</f>
        <v>0</v>
      </c>
      <c r="F86" s="24">
        <f t="shared" ref="F86:F101" si="3">SUM(B86:E86)</f>
        <v>85000</v>
      </c>
      <c r="G86" s="92">
        <v>1</v>
      </c>
      <c r="H86" s="93">
        <f>+F86*G86</f>
        <v>85000</v>
      </c>
    </row>
    <row r="87" spans="1:9" x14ac:dyDescent="0.2">
      <c r="A87" s="19">
        <f>+A86+1</f>
        <v>1</v>
      </c>
      <c r="B87" s="24">
        <f t="shared" ref="B87:B101" si="4">$C$75</f>
        <v>0</v>
      </c>
      <c r="C87" s="24">
        <f>$C$76</f>
        <v>8000</v>
      </c>
      <c r="D87" s="24">
        <f>$B$77/2</f>
        <v>0</v>
      </c>
      <c r="E87" s="24">
        <f>$C$78</f>
        <v>0</v>
      </c>
      <c r="F87" s="24">
        <f t="shared" si="3"/>
        <v>8000</v>
      </c>
      <c r="G87" s="92">
        <f>+G86/(1+DiscountRate)</f>
        <v>0.95238095238095233</v>
      </c>
      <c r="H87" s="93">
        <f t="shared" ref="H87:H101" si="5">+F87*G87</f>
        <v>7619.0476190476184</v>
      </c>
    </row>
    <row r="88" spans="1:9" x14ac:dyDescent="0.2">
      <c r="A88" s="19">
        <f t="shared" ref="A88:A101" si="6">+A87+1</f>
        <v>2</v>
      </c>
      <c r="B88" s="24">
        <f t="shared" si="4"/>
        <v>0</v>
      </c>
      <c r="C88" s="24">
        <f t="shared" ref="C88:C101" si="7">$C$76</f>
        <v>8000</v>
      </c>
      <c r="D88" s="24"/>
      <c r="E88" s="24">
        <f>F68+$C$78</f>
        <v>0</v>
      </c>
      <c r="F88" s="24">
        <f t="shared" si="3"/>
        <v>8000</v>
      </c>
      <c r="G88" s="92">
        <f t="shared" ref="G88:G101" si="8">+G87/(1+DiscountRate)</f>
        <v>0.90702947845804982</v>
      </c>
      <c r="H88" s="93">
        <f t="shared" si="5"/>
        <v>7256.2358276643981</v>
      </c>
    </row>
    <row r="89" spans="1:9" x14ac:dyDescent="0.2">
      <c r="A89" s="19">
        <f t="shared" si="6"/>
        <v>3</v>
      </c>
      <c r="B89" s="24">
        <f t="shared" si="4"/>
        <v>0</v>
      </c>
      <c r="C89" s="24">
        <f t="shared" si="7"/>
        <v>8000</v>
      </c>
      <c r="D89" s="24"/>
      <c r="E89" s="24">
        <f>$C$78</f>
        <v>0</v>
      </c>
      <c r="F89" s="24">
        <f t="shared" si="3"/>
        <v>8000</v>
      </c>
      <c r="G89" s="92">
        <f t="shared" si="8"/>
        <v>0.86383759853147601</v>
      </c>
      <c r="H89" s="93">
        <f t="shared" si="5"/>
        <v>6910.7007882518083</v>
      </c>
    </row>
    <row r="90" spans="1:9" x14ac:dyDescent="0.2">
      <c r="A90" s="19">
        <f t="shared" si="6"/>
        <v>4</v>
      </c>
      <c r="B90" s="24">
        <f t="shared" si="4"/>
        <v>0</v>
      </c>
      <c r="C90" s="24">
        <f t="shared" si="7"/>
        <v>8000</v>
      </c>
      <c r="D90" s="24"/>
      <c r="E90" s="24">
        <f>F69+$C$78</f>
        <v>0</v>
      </c>
      <c r="F90" s="24">
        <f t="shared" si="3"/>
        <v>8000</v>
      </c>
      <c r="G90" s="92">
        <f t="shared" si="8"/>
        <v>0.82270247479188185</v>
      </c>
      <c r="H90" s="93">
        <f t="shared" si="5"/>
        <v>6581.6197983350548</v>
      </c>
    </row>
    <row r="91" spans="1:9" x14ac:dyDescent="0.2">
      <c r="A91" s="19">
        <f t="shared" si="6"/>
        <v>5</v>
      </c>
      <c r="B91" s="24">
        <f t="shared" si="4"/>
        <v>0</v>
      </c>
      <c r="C91" s="24">
        <f t="shared" si="7"/>
        <v>8000</v>
      </c>
      <c r="D91" s="24"/>
      <c r="E91" s="24">
        <f t="shared" ref="E91:E101" si="9">$C$78</f>
        <v>0</v>
      </c>
      <c r="F91" s="24">
        <f t="shared" si="3"/>
        <v>8000</v>
      </c>
      <c r="G91" s="92">
        <f t="shared" si="8"/>
        <v>0.78352616646845885</v>
      </c>
      <c r="H91" s="93">
        <f t="shared" si="5"/>
        <v>6268.2093317476711</v>
      </c>
    </row>
    <row r="92" spans="1:9" x14ac:dyDescent="0.2">
      <c r="A92" s="19">
        <f t="shared" si="6"/>
        <v>6</v>
      </c>
      <c r="B92" s="24">
        <f t="shared" si="4"/>
        <v>0</v>
      </c>
      <c r="C92" s="24">
        <f t="shared" si="7"/>
        <v>8000</v>
      </c>
      <c r="D92" s="24"/>
      <c r="E92" s="24">
        <f t="shared" si="9"/>
        <v>0</v>
      </c>
      <c r="F92" s="24">
        <f t="shared" si="3"/>
        <v>8000</v>
      </c>
      <c r="G92" s="92">
        <f t="shared" si="8"/>
        <v>0.74621539663662739</v>
      </c>
      <c r="H92" s="93">
        <f t="shared" si="5"/>
        <v>5969.7231730930189</v>
      </c>
    </row>
    <row r="93" spans="1:9" x14ac:dyDescent="0.2">
      <c r="A93" s="19">
        <f t="shared" si="6"/>
        <v>7</v>
      </c>
      <c r="B93" s="24">
        <f t="shared" si="4"/>
        <v>0</v>
      </c>
      <c r="C93" s="24">
        <f t="shared" si="7"/>
        <v>8000</v>
      </c>
      <c r="D93" s="24"/>
      <c r="E93" s="24">
        <f t="shared" si="9"/>
        <v>0</v>
      </c>
      <c r="F93" s="24">
        <f t="shared" si="3"/>
        <v>8000</v>
      </c>
      <c r="G93" s="92">
        <f t="shared" si="8"/>
        <v>0.71068133013012125</v>
      </c>
      <c r="H93" s="93">
        <f t="shared" si="5"/>
        <v>5685.4506410409704</v>
      </c>
    </row>
    <row r="94" spans="1:9" x14ac:dyDescent="0.2">
      <c r="A94" s="19">
        <f t="shared" si="6"/>
        <v>8</v>
      </c>
      <c r="B94" s="24">
        <f t="shared" si="4"/>
        <v>0</v>
      </c>
      <c r="C94" s="24">
        <f t="shared" si="7"/>
        <v>8000</v>
      </c>
      <c r="D94" s="24"/>
      <c r="E94" s="24">
        <f t="shared" si="9"/>
        <v>0</v>
      </c>
      <c r="F94" s="24">
        <f t="shared" si="3"/>
        <v>8000</v>
      </c>
      <c r="G94" s="92">
        <f t="shared" si="8"/>
        <v>0.67683936202868689</v>
      </c>
      <c r="H94" s="93">
        <f t="shared" si="5"/>
        <v>5414.714896229495</v>
      </c>
    </row>
    <row r="95" spans="1:9" x14ac:dyDescent="0.2">
      <c r="A95" s="19">
        <f t="shared" si="6"/>
        <v>9</v>
      </c>
      <c r="B95" s="24">
        <f t="shared" si="4"/>
        <v>0</v>
      </c>
      <c r="C95" s="24">
        <f t="shared" si="7"/>
        <v>8000</v>
      </c>
      <c r="D95" s="24"/>
      <c r="E95" s="24">
        <f t="shared" si="9"/>
        <v>0</v>
      </c>
      <c r="F95" s="24">
        <f t="shared" si="3"/>
        <v>8000</v>
      </c>
      <c r="G95" s="92">
        <f t="shared" si="8"/>
        <v>0.64460891621779703</v>
      </c>
      <c r="H95" s="93">
        <f t="shared" si="5"/>
        <v>5156.8713297423765</v>
      </c>
    </row>
    <row r="96" spans="1:9" x14ac:dyDescent="0.2">
      <c r="A96" s="19">
        <f t="shared" si="6"/>
        <v>10</v>
      </c>
      <c r="B96" s="24">
        <f t="shared" si="4"/>
        <v>0</v>
      </c>
      <c r="C96" s="24">
        <f t="shared" si="7"/>
        <v>8000</v>
      </c>
      <c r="D96" s="24"/>
      <c r="E96" s="24">
        <f t="shared" si="9"/>
        <v>0</v>
      </c>
      <c r="F96" s="24">
        <f t="shared" si="3"/>
        <v>8000</v>
      </c>
      <c r="G96" s="92">
        <f t="shared" si="8"/>
        <v>0.6139132535407591</v>
      </c>
      <c r="H96" s="93">
        <f t="shared" si="5"/>
        <v>4911.3060283260729</v>
      </c>
    </row>
    <row r="97" spans="1:8" x14ac:dyDescent="0.2">
      <c r="A97" s="19">
        <f t="shared" si="6"/>
        <v>11</v>
      </c>
      <c r="B97" s="24">
        <f t="shared" si="4"/>
        <v>0</v>
      </c>
      <c r="C97" s="24">
        <f t="shared" si="7"/>
        <v>8000</v>
      </c>
      <c r="D97" s="24"/>
      <c r="E97" s="24">
        <f t="shared" si="9"/>
        <v>0</v>
      </c>
      <c r="F97" s="24">
        <f t="shared" si="3"/>
        <v>8000</v>
      </c>
      <c r="G97" s="92">
        <f t="shared" si="8"/>
        <v>0.58467928908643718</v>
      </c>
      <c r="H97" s="93">
        <f t="shared" si="5"/>
        <v>4677.4343126914973</v>
      </c>
    </row>
    <row r="98" spans="1:8" x14ac:dyDescent="0.2">
      <c r="A98" s="19">
        <f t="shared" si="6"/>
        <v>12</v>
      </c>
      <c r="B98" s="24">
        <f t="shared" si="4"/>
        <v>0</v>
      </c>
      <c r="C98" s="24">
        <f t="shared" si="7"/>
        <v>8000</v>
      </c>
      <c r="D98" s="24"/>
      <c r="E98" s="24">
        <f t="shared" si="9"/>
        <v>0</v>
      </c>
      <c r="F98" s="24">
        <f t="shared" si="3"/>
        <v>8000</v>
      </c>
      <c r="G98" s="92">
        <f t="shared" si="8"/>
        <v>0.55683741817755916</v>
      </c>
      <c r="H98" s="93">
        <f t="shared" si="5"/>
        <v>4454.699345420473</v>
      </c>
    </row>
    <row r="99" spans="1:8" x14ac:dyDescent="0.2">
      <c r="A99" s="19">
        <f t="shared" si="6"/>
        <v>13</v>
      </c>
      <c r="B99" s="24">
        <f t="shared" si="4"/>
        <v>0</v>
      </c>
      <c r="C99" s="24">
        <f t="shared" si="7"/>
        <v>8000</v>
      </c>
      <c r="D99" s="24"/>
      <c r="E99" s="24">
        <f t="shared" si="9"/>
        <v>0</v>
      </c>
      <c r="F99" s="24">
        <f t="shared" si="3"/>
        <v>8000</v>
      </c>
      <c r="G99" s="92">
        <f t="shared" si="8"/>
        <v>0.5303213506452944</v>
      </c>
      <c r="H99" s="93">
        <f t="shared" si="5"/>
        <v>4242.5708051623551</v>
      </c>
    </row>
    <row r="100" spans="1:8" x14ac:dyDescent="0.2">
      <c r="A100" s="19">
        <f t="shared" si="6"/>
        <v>14</v>
      </c>
      <c r="B100" s="24">
        <f t="shared" si="4"/>
        <v>0</v>
      </c>
      <c r="C100" s="24">
        <f t="shared" si="7"/>
        <v>8000</v>
      </c>
      <c r="D100" s="24"/>
      <c r="E100" s="24">
        <f t="shared" si="9"/>
        <v>0</v>
      </c>
      <c r="F100" s="24">
        <f t="shared" si="3"/>
        <v>8000</v>
      </c>
      <c r="G100" s="92">
        <f t="shared" si="8"/>
        <v>0.50506795299551843</v>
      </c>
      <c r="H100" s="93">
        <f t="shared" si="5"/>
        <v>4040.5436239641476</v>
      </c>
    </row>
    <row r="101" spans="1:8" x14ac:dyDescent="0.2">
      <c r="A101" s="19">
        <f t="shared" si="6"/>
        <v>15</v>
      </c>
      <c r="B101" s="24">
        <f t="shared" si="4"/>
        <v>0</v>
      </c>
      <c r="C101" s="24">
        <f t="shared" si="7"/>
        <v>8000</v>
      </c>
      <c r="D101" s="24"/>
      <c r="E101" s="24">
        <f t="shared" si="9"/>
        <v>0</v>
      </c>
      <c r="F101" s="24">
        <f t="shared" si="3"/>
        <v>8000</v>
      </c>
      <c r="G101" s="92">
        <f t="shared" si="8"/>
        <v>0.48101709809096993</v>
      </c>
      <c r="H101" s="93">
        <f t="shared" si="5"/>
        <v>3848.1367847277593</v>
      </c>
    </row>
    <row r="102" spans="1:8" x14ac:dyDescent="0.2">
      <c r="B102" s="21"/>
      <c r="E102" s="19"/>
    </row>
  </sheetData>
  <mergeCells count="1">
    <mergeCell ref="B10:D10"/>
  </mergeCells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72"/>
  <sheetViews>
    <sheetView workbookViewId="0"/>
  </sheetViews>
  <sheetFormatPr defaultColWidth="11.5546875" defaultRowHeight="15" x14ac:dyDescent="0.2"/>
  <cols>
    <col min="1" max="1" width="2.33203125" customWidth="1"/>
    <col min="2" max="2" width="22.5546875" customWidth="1"/>
    <col min="3" max="3" width="14.88671875" customWidth="1"/>
    <col min="4" max="4" width="17.5546875" customWidth="1"/>
    <col min="5" max="5" width="11.109375" customWidth="1"/>
    <col min="6" max="6" width="13.6640625" customWidth="1"/>
    <col min="7" max="7" width="11.44140625" customWidth="1"/>
    <col min="8" max="8" width="14" customWidth="1"/>
  </cols>
  <sheetData>
    <row r="1" spans="2:9" ht="15.75" x14ac:dyDescent="0.25">
      <c r="B1" s="178" t="s">
        <v>260</v>
      </c>
    </row>
    <row r="3" spans="2:9" ht="15.75" x14ac:dyDescent="0.25">
      <c r="B3" s="178" t="s">
        <v>286</v>
      </c>
      <c r="E3" s="178"/>
      <c r="F3" s="178"/>
    </row>
    <row r="4" spans="2:9" ht="15.75" x14ac:dyDescent="0.25">
      <c r="B4" s="178" t="s">
        <v>287</v>
      </c>
      <c r="E4" s="178"/>
      <c r="F4" s="178"/>
    </row>
    <row r="5" spans="2:9" ht="45" x14ac:dyDescent="0.2">
      <c r="B5" t="s">
        <v>288</v>
      </c>
      <c r="C5" s="10" t="s">
        <v>289</v>
      </c>
      <c r="D5" t="s">
        <v>290</v>
      </c>
      <c r="E5" t="s">
        <v>291</v>
      </c>
    </row>
    <row r="6" spans="2:9" x14ac:dyDescent="0.2">
      <c r="B6">
        <v>2012</v>
      </c>
      <c r="C6" s="3">
        <f>D6/D8</f>
        <v>0.46268091603053435</v>
      </c>
      <c r="D6" s="139">
        <v>37882</v>
      </c>
    </row>
    <row r="7" spans="2:9" x14ac:dyDescent="0.2">
      <c r="B7">
        <v>2013</v>
      </c>
      <c r="C7" s="3">
        <f>D7/D8</f>
        <v>1.0226564885496183</v>
      </c>
      <c r="D7" s="139">
        <v>83730</v>
      </c>
      <c r="E7" s="17">
        <v>28835</v>
      </c>
    </row>
    <row r="8" spans="2:9" x14ac:dyDescent="0.2">
      <c r="B8">
        <v>2014</v>
      </c>
      <c r="C8" s="3">
        <v>1</v>
      </c>
      <c r="D8" s="139">
        <v>81875</v>
      </c>
      <c r="I8" s="3"/>
    </row>
    <row r="9" spans="2:9" x14ac:dyDescent="0.2">
      <c r="B9">
        <v>2015</v>
      </c>
      <c r="C9" s="3">
        <v>1</v>
      </c>
      <c r="D9" s="139">
        <v>81875</v>
      </c>
      <c r="I9" s="3"/>
    </row>
    <row r="10" spans="2:9" x14ac:dyDescent="0.2">
      <c r="B10">
        <v>2016</v>
      </c>
      <c r="C10" s="3">
        <v>0.75</v>
      </c>
      <c r="D10" s="139">
        <f>D9*C10</f>
        <v>61406.25</v>
      </c>
      <c r="I10" s="3"/>
    </row>
    <row r="11" spans="2:9" x14ac:dyDescent="0.2">
      <c r="C11" s="3"/>
      <c r="D11" s="139"/>
      <c r="I11" s="3"/>
    </row>
    <row r="12" spans="2:9" ht="15.75" x14ac:dyDescent="0.25">
      <c r="B12" s="178" t="s">
        <v>292</v>
      </c>
      <c r="C12" s="3"/>
      <c r="D12" s="156">
        <f>D6+E7+D8+D9+D10</f>
        <v>291873.25</v>
      </c>
      <c r="I12" s="3"/>
    </row>
    <row r="13" spans="2:9" x14ac:dyDescent="0.2">
      <c r="C13" s="3"/>
      <c r="D13" s="139"/>
    </row>
    <row r="14" spans="2:9" x14ac:dyDescent="0.2">
      <c r="C14" s="3"/>
      <c r="D14" s="139"/>
    </row>
    <row r="15" spans="2:9" ht="15.75" x14ac:dyDescent="0.25">
      <c r="B15" s="178" t="s">
        <v>293</v>
      </c>
    </row>
    <row r="17" spans="2:7" x14ac:dyDescent="0.2">
      <c r="B17" t="s">
        <v>294</v>
      </c>
      <c r="C17" s="6">
        <v>10557259</v>
      </c>
    </row>
    <row r="19" spans="2:7" ht="15.75" x14ac:dyDescent="0.25">
      <c r="B19" s="178" t="s">
        <v>295</v>
      </c>
      <c r="C19" s="178" t="s">
        <v>296</v>
      </c>
      <c r="D19" s="178" t="s">
        <v>297</v>
      </c>
      <c r="E19" s="178" t="s">
        <v>298</v>
      </c>
      <c r="F19" s="178"/>
      <c r="G19" s="178"/>
    </row>
    <row r="20" spans="2:7" x14ac:dyDescent="0.2">
      <c r="B20" t="s">
        <v>299</v>
      </c>
      <c r="C20" s="3">
        <v>0.82</v>
      </c>
      <c r="D20">
        <v>1</v>
      </c>
      <c r="E20" s="7">
        <f>C17*C20*D20</f>
        <v>8656952.379999999</v>
      </c>
      <c r="F20" s="7"/>
      <c r="G20" s="17"/>
    </row>
    <row r="21" spans="2:7" x14ac:dyDescent="0.2">
      <c r="B21" t="s">
        <v>300</v>
      </c>
      <c r="C21" s="3">
        <v>0.47499999999999998</v>
      </c>
      <c r="D21">
        <v>7</v>
      </c>
      <c r="E21" s="7">
        <f>C17*C21*D21</f>
        <v>35102886.174999997</v>
      </c>
      <c r="F21" s="7"/>
      <c r="G21" s="17"/>
    </row>
    <row r="22" spans="2:7" x14ac:dyDescent="0.2">
      <c r="B22" t="s">
        <v>301</v>
      </c>
      <c r="C22" s="3">
        <v>0.48</v>
      </c>
      <c r="D22">
        <v>7</v>
      </c>
      <c r="E22" s="157">
        <f>C17*C22*D22</f>
        <v>35472390.239999995</v>
      </c>
      <c r="F22" s="7"/>
      <c r="G22" s="17"/>
    </row>
    <row r="23" spans="2:7" x14ac:dyDescent="0.2">
      <c r="B23" t="s">
        <v>302</v>
      </c>
      <c r="C23" s="3">
        <v>0.4</v>
      </c>
      <c r="D23">
        <v>1</v>
      </c>
      <c r="E23" s="157">
        <f>C17*C23*D23</f>
        <v>4222903.6000000006</v>
      </c>
      <c r="F23" s="7"/>
      <c r="G23" s="17"/>
    </row>
    <row r="24" spans="2:7" ht="15.75" x14ac:dyDescent="0.25">
      <c r="B24" t="s">
        <v>303</v>
      </c>
      <c r="C24" s="3">
        <v>0.99</v>
      </c>
      <c r="D24">
        <v>1</v>
      </c>
      <c r="E24" s="157">
        <f>C17*C24*D24</f>
        <v>10451686.41</v>
      </c>
      <c r="F24" s="7"/>
      <c r="G24" s="161"/>
    </row>
    <row r="25" spans="2:7" ht="15.75" x14ac:dyDescent="0.25">
      <c r="D25" s="162" t="s">
        <v>304</v>
      </c>
      <c r="E25" s="153">
        <f>SUM(E20:E24)</f>
        <v>93906818.804999977</v>
      </c>
      <c r="F25" s="9"/>
      <c r="G25" s="7">
        <f>E33-E24</f>
        <v>58117710.794999987</v>
      </c>
    </row>
    <row r="26" spans="2:7" x14ac:dyDescent="0.2">
      <c r="D26" s="4"/>
      <c r="E26" s="9"/>
      <c r="F26" s="9"/>
    </row>
    <row r="27" spans="2:7" x14ac:dyDescent="0.2">
      <c r="B27" t="s">
        <v>305</v>
      </c>
      <c r="C27" s="3">
        <v>0.4</v>
      </c>
      <c r="D27">
        <v>1</v>
      </c>
      <c r="E27" s="157">
        <f>C17*C27*D27</f>
        <v>4222903.6000000006</v>
      </c>
      <c r="F27" s="7"/>
    </row>
    <row r="28" spans="2:7" x14ac:dyDescent="0.2">
      <c r="B28" t="s">
        <v>306</v>
      </c>
      <c r="C28" s="3">
        <v>0.2</v>
      </c>
      <c r="D28">
        <v>1</v>
      </c>
      <c r="E28" s="157">
        <f>C17*C28*D28</f>
        <v>2111451.8000000003</v>
      </c>
      <c r="F28" s="7"/>
    </row>
    <row r="29" spans="2:7" x14ac:dyDescent="0.2">
      <c r="B29" t="s">
        <v>307</v>
      </c>
      <c r="C29" s="3">
        <v>0.2</v>
      </c>
      <c r="D29">
        <v>1</v>
      </c>
      <c r="E29" s="157">
        <f>C17*C29*D29</f>
        <v>2111451.8000000003</v>
      </c>
      <c r="F29" s="7"/>
    </row>
    <row r="30" spans="2:7" x14ac:dyDescent="0.2">
      <c r="B30" t="s">
        <v>308</v>
      </c>
      <c r="C30" s="3">
        <v>0.2</v>
      </c>
      <c r="D30">
        <v>1</v>
      </c>
      <c r="E30" s="157">
        <f>C17*C30*D30</f>
        <v>2111451.8000000003</v>
      </c>
      <c r="F30" s="7"/>
    </row>
    <row r="31" spans="2:7" x14ac:dyDescent="0.2">
      <c r="B31" t="s">
        <v>309</v>
      </c>
      <c r="C31" s="3">
        <v>0.2</v>
      </c>
      <c r="D31">
        <v>7</v>
      </c>
      <c r="E31" s="157">
        <f>C17*C31*D31</f>
        <v>14780162.600000001</v>
      </c>
      <c r="F31" s="7"/>
    </row>
    <row r="32" spans="2:7" x14ac:dyDescent="0.2">
      <c r="C32" s="3"/>
      <c r="E32" s="157">
        <f>SUM(E27:E31)</f>
        <v>25337421.600000001</v>
      </c>
      <c r="F32" s="7"/>
    </row>
    <row r="33" spans="2:10" x14ac:dyDescent="0.2">
      <c r="C33" s="3"/>
      <c r="D33" s="12" t="s">
        <v>310</v>
      </c>
      <c r="E33" s="13">
        <f>E25-E32</f>
        <v>68569397.204999983</v>
      </c>
      <c r="F33" s="7"/>
    </row>
    <row r="34" spans="2:10" x14ac:dyDescent="0.2">
      <c r="B34" t="s">
        <v>311</v>
      </c>
    </row>
    <row r="35" spans="2:10" x14ac:dyDescent="0.2">
      <c r="B35" t="s">
        <v>312</v>
      </c>
    </row>
    <row r="38" spans="2:10" ht="15.75" x14ac:dyDescent="0.25">
      <c r="B38" s="178" t="s">
        <v>313</v>
      </c>
    </row>
    <row r="40" spans="2:10" ht="30.75" x14ac:dyDescent="0.25">
      <c r="B40" s="10" t="s">
        <v>314</v>
      </c>
      <c r="C40" s="11" t="s">
        <v>315</v>
      </c>
      <c r="D40" s="10" t="s">
        <v>273</v>
      </c>
      <c r="E40" s="10" t="s">
        <v>316</v>
      </c>
      <c r="F40" s="10" t="s">
        <v>275</v>
      </c>
      <c r="G40" s="10" t="s">
        <v>317</v>
      </c>
      <c r="H40" s="10" t="s">
        <v>318</v>
      </c>
      <c r="I40" s="134"/>
      <c r="J40" s="178"/>
    </row>
    <row r="41" spans="2:10" ht="15.75" x14ac:dyDescent="0.25">
      <c r="B41" t="s">
        <v>319</v>
      </c>
      <c r="C41" s="140">
        <f>E60+143200</f>
        <v>1844820.8</v>
      </c>
      <c r="D41" s="7">
        <v>126206</v>
      </c>
      <c r="E41" s="7">
        <v>37400</v>
      </c>
      <c r="F41" s="7">
        <v>50000</v>
      </c>
      <c r="G41" s="13">
        <f>SUM(D41:F41)</f>
        <v>213606</v>
      </c>
      <c r="H41" s="13">
        <f>C41+D41+E41+F41</f>
        <v>2058426.8</v>
      </c>
      <c r="J41" s="178"/>
    </row>
    <row r="42" spans="2:10" x14ac:dyDescent="0.2">
      <c r="B42" t="s">
        <v>320</v>
      </c>
      <c r="G42" s="134" t="s">
        <v>321</v>
      </c>
      <c r="H42" s="134"/>
    </row>
    <row r="43" spans="2:10" x14ac:dyDescent="0.2">
      <c r="B43" t="s">
        <v>322</v>
      </c>
    </row>
    <row r="45" spans="2:10" ht="15.75" x14ac:dyDescent="0.25">
      <c r="B45" s="135" t="s">
        <v>323</v>
      </c>
      <c r="C45" s="136">
        <f>D12/E33</f>
        <v>4.2566109940764801E-3</v>
      </c>
      <c r="D45" s="135" t="s">
        <v>324</v>
      </c>
    </row>
    <row r="46" spans="2:10" ht="15.75" x14ac:dyDescent="0.25">
      <c r="B46" s="135" t="s">
        <v>200</v>
      </c>
      <c r="C46" s="136">
        <f>D12/G25</f>
        <v>5.0221050693054926E-3</v>
      </c>
      <c r="D46" s="135" t="s">
        <v>324</v>
      </c>
    </row>
    <row r="47" spans="2:10" ht="15.75" x14ac:dyDescent="0.25">
      <c r="B47" s="135" t="s">
        <v>201</v>
      </c>
      <c r="C47" s="136">
        <f>G41/E33</f>
        <v>3.1151797843779814E-3</v>
      </c>
      <c r="D47" s="135" t="s">
        <v>202</v>
      </c>
    </row>
    <row r="48" spans="2:10" ht="15.75" x14ac:dyDescent="0.25">
      <c r="B48" s="135" t="s">
        <v>203</v>
      </c>
      <c r="C48" s="136">
        <f>H41/E33</f>
        <v>3.0019613470510464E-2</v>
      </c>
      <c r="D48" s="135" t="s">
        <v>202</v>
      </c>
    </row>
    <row r="50" spans="2:8" ht="15.75" x14ac:dyDescent="0.25">
      <c r="B50" s="178" t="s">
        <v>204</v>
      </c>
    </row>
    <row r="51" spans="2:8" ht="15.75" x14ac:dyDescent="0.25">
      <c r="B51" s="178" t="s">
        <v>205</v>
      </c>
      <c r="C51" s="178" t="s">
        <v>206</v>
      </c>
      <c r="D51" s="178" t="s">
        <v>207</v>
      </c>
      <c r="E51" s="178" t="s">
        <v>208</v>
      </c>
      <c r="H51" s="178"/>
    </row>
    <row r="52" spans="2:8" x14ac:dyDescent="0.2">
      <c r="B52" t="s">
        <v>209</v>
      </c>
      <c r="C52" s="17">
        <v>20500</v>
      </c>
      <c r="D52" s="130">
        <v>12.2</v>
      </c>
      <c r="E52" s="139">
        <f t="shared" ref="E52:E59" si="0">C52*D52</f>
        <v>250099.99999999997</v>
      </c>
    </row>
    <row r="53" spans="2:8" x14ac:dyDescent="0.2">
      <c r="B53" t="s">
        <v>210</v>
      </c>
      <c r="C53" s="17">
        <v>2000</v>
      </c>
      <c r="D53" s="130">
        <v>5.75</v>
      </c>
      <c r="E53" s="139">
        <f t="shared" si="0"/>
        <v>11500</v>
      </c>
    </row>
    <row r="54" spans="2:8" x14ac:dyDescent="0.2">
      <c r="B54" t="s">
        <v>211</v>
      </c>
      <c r="C54" s="17">
        <v>3744</v>
      </c>
      <c r="D54" s="130">
        <v>5.75</v>
      </c>
      <c r="E54" s="139">
        <f t="shared" si="0"/>
        <v>21528</v>
      </c>
    </row>
    <row r="55" spans="2:8" x14ac:dyDescent="0.2">
      <c r="B55" t="s">
        <v>212</v>
      </c>
      <c r="C55" s="17">
        <v>8000</v>
      </c>
      <c r="D55" s="130">
        <v>5.75</v>
      </c>
      <c r="E55" s="139">
        <f t="shared" si="0"/>
        <v>46000</v>
      </c>
    </row>
    <row r="56" spans="2:8" x14ac:dyDescent="0.2">
      <c r="B56" t="s">
        <v>213</v>
      </c>
      <c r="C56" s="17">
        <v>43200</v>
      </c>
      <c r="D56" s="130">
        <v>10.08</v>
      </c>
      <c r="E56" s="139">
        <f t="shared" si="0"/>
        <v>435456</v>
      </c>
    </row>
    <row r="57" spans="2:8" x14ac:dyDescent="0.2">
      <c r="B57" t="s">
        <v>214</v>
      </c>
      <c r="C57" s="17">
        <v>12960</v>
      </c>
      <c r="D57" s="130">
        <v>10.08</v>
      </c>
      <c r="E57" s="139">
        <f t="shared" si="0"/>
        <v>130636.8</v>
      </c>
    </row>
    <row r="58" spans="2:8" x14ac:dyDescent="0.2">
      <c r="B58" t="s">
        <v>215</v>
      </c>
      <c r="C58" s="17">
        <v>30000</v>
      </c>
      <c r="D58" s="130">
        <v>10.08</v>
      </c>
      <c r="E58" s="139">
        <f t="shared" si="0"/>
        <v>302400</v>
      </c>
    </row>
    <row r="59" spans="2:8" x14ac:dyDescent="0.2">
      <c r="B59" t="s">
        <v>216</v>
      </c>
      <c r="C59" s="17">
        <v>50000</v>
      </c>
      <c r="D59" s="130">
        <v>10.08</v>
      </c>
      <c r="E59" s="139">
        <f t="shared" si="0"/>
        <v>504000</v>
      </c>
    </row>
    <row r="60" spans="2:8" ht="15.75" x14ac:dyDescent="0.25">
      <c r="B60" s="178" t="s">
        <v>208</v>
      </c>
      <c r="E60" s="140">
        <f>SUM(E52:E59)</f>
        <v>1701620.8</v>
      </c>
      <c r="H60" s="178"/>
    </row>
    <row r="61" spans="2:8" x14ac:dyDescent="0.2">
      <c r="B61" t="s">
        <v>217</v>
      </c>
    </row>
    <row r="63" spans="2:8" ht="15.75" x14ac:dyDescent="0.25">
      <c r="B63" s="178"/>
    </row>
    <row r="64" spans="2:8" ht="15.75" x14ac:dyDescent="0.25">
      <c r="B64" s="178"/>
      <c r="H64" s="178"/>
    </row>
    <row r="65" spans="2:8" x14ac:dyDescent="0.2">
      <c r="B65" s="131"/>
      <c r="H65" s="131"/>
    </row>
    <row r="66" spans="2:8" x14ac:dyDescent="0.2">
      <c r="B66" s="131"/>
      <c r="H66" s="131"/>
    </row>
    <row r="67" spans="2:8" x14ac:dyDescent="0.2">
      <c r="C67" s="139"/>
      <c r="D67" s="139"/>
    </row>
    <row r="68" spans="2:8" x14ac:dyDescent="0.2">
      <c r="C68" s="139"/>
    </row>
    <row r="69" spans="2:8" x14ac:dyDescent="0.2">
      <c r="C69" s="139"/>
    </row>
    <row r="70" spans="2:8" x14ac:dyDescent="0.2">
      <c r="C70" s="139"/>
    </row>
    <row r="71" spans="2:8" x14ac:dyDescent="0.2">
      <c r="C71" s="139"/>
    </row>
    <row r="72" spans="2:8" ht="15.75" x14ac:dyDescent="0.25">
      <c r="B72" s="178"/>
      <c r="C72" s="140"/>
      <c r="H72" s="178"/>
    </row>
  </sheetData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64"/>
  <sheetViews>
    <sheetView workbookViewId="0"/>
  </sheetViews>
  <sheetFormatPr defaultColWidth="11.5546875" defaultRowHeight="15" x14ac:dyDescent="0.2"/>
  <cols>
    <col min="1" max="1" width="5" customWidth="1"/>
    <col min="2" max="2" width="18.88671875" customWidth="1"/>
    <col min="3" max="3" width="15.33203125" customWidth="1"/>
    <col min="4" max="5" width="17" customWidth="1"/>
    <col min="6" max="6" width="14.44140625" customWidth="1"/>
    <col min="7" max="7" width="12.33203125" customWidth="1"/>
    <col min="8" max="8" width="12.6640625" customWidth="1"/>
    <col min="10" max="10" width="14.6640625" customWidth="1"/>
    <col min="11" max="11" width="4.109375" customWidth="1"/>
    <col min="12" max="12" width="12.6640625" customWidth="1"/>
    <col min="13" max="13" width="13.33203125" customWidth="1"/>
  </cols>
  <sheetData>
    <row r="1" spans="2:15" ht="15.75" x14ac:dyDescent="0.25">
      <c r="B1" s="178" t="s">
        <v>218</v>
      </c>
    </row>
    <row r="2" spans="2:15" ht="15.75" x14ac:dyDescent="0.25">
      <c r="B2" s="178"/>
      <c r="E2" s="1"/>
      <c r="F2" s="1"/>
      <c r="G2" s="1"/>
      <c r="H2" s="2"/>
    </row>
    <row r="3" spans="2:15" ht="15.75" x14ac:dyDescent="0.25">
      <c r="B3" s="178" t="s">
        <v>286</v>
      </c>
      <c r="E3" s="1"/>
      <c r="F3" s="1"/>
      <c r="G3" s="178"/>
      <c r="L3" s="178"/>
      <c r="O3" s="178"/>
    </row>
    <row r="4" spans="2:15" ht="15.75" x14ac:dyDescent="0.25">
      <c r="B4" s="178" t="s">
        <v>287</v>
      </c>
      <c r="C4" s="3"/>
      <c r="D4" s="139"/>
      <c r="E4" s="1"/>
      <c r="F4" s="1"/>
      <c r="G4" s="178"/>
      <c r="L4" s="178"/>
      <c r="O4" s="178"/>
    </row>
    <row r="5" spans="2:15" ht="30" x14ac:dyDescent="0.2">
      <c r="B5" t="s">
        <v>288</v>
      </c>
      <c r="C5" s="10" t="s">
        <v>289</v>
      </c>
      <c r="D5" t="s">
        <v>290</v>
      </c>
      <c r="E5" s="1" t="s">
        <v>291</v>
      </c>
      <c r="F5" s="1"/>
    </row>
    <row r="6" spans="2:15" x14ac:dyDescent="0.2">
      <c r="B6">
        <v>2010</v>
      </c>
      <c r="C6" s="3">
        <v>1.05</v>
      </c>
      <c r="D6" s="14">
        <v>90769</v>
      </c>
      <c r="E6" s="1"/>
      <c r="F6" s="1"/>
      <c r="H6" s="3"/>
      <c r="I6" s="139"/>
      <c r="M6" s="3"/>
      <c r="N6" s="139"/>
    </row>
    <row r="7" spans="2:15" x14ac:dyDescent="0.2">
      <c r="B7">
        <v>2011</v>
      </c>
      <c r="C7" s="3">
        <v>1</v>
      </c>
      <c r="D7" s="14">
        <v>85000</v>
      </c>
      <c r="E7" s="1">
        <v>90500</v>
      </c>
      <c r="F7" s="1"/>
      <c r="H7" s="3"/>
      <c r="I7" s="139"/>
      <c r="M7" s="3"/>
      <c r="N7" s="139"/>
    </row>
    <row r="8" spans="2:15" x14ac:dyDescent="0.2">
      <c r="B8">
        <v>2012</v>
      </c>
      <c r="C8" s="3">
        <v>0.6</v>
      </c>
      <c r="D8" s="14">
        <v>51550</v>
      </c>
      <c r="E8" s="1">
        <v>51600</v>
      </c>
      <c r="F8" s="1"/>
      <c r="H8" s="3"/>
      <c r="I8" s="139"/>
      <c r="M8" s="3"/>
      <c r="N8" s="139"/>
    </row>
    <row r="9" spans="2:15" x14ac:dyDescent="0.2">
      <c r="B9">
        <v>2013</v>
      </c>
      <c r="C9" s="3">
        <f>D9/D7</f>
        <v>0.85110588235294116</v>
      </c>
      <c r="D9" s="14">
        <v>72344</v>
      </c>
      <c r="E9" s="1">
        <v>81667</v>
      </c>
      <c r="F9" s="1"/>
      <c r="H9" s="3"/>
      <c r="I9" s="139"/>
      <c r="M9" s="3"/>
      <c r="N9" s="139"/>
    </row>
    <row r="10" spans="2:15" x14ac:dyDescent="0.2">
      <c r="B10">
        <v>2014</v>
      </c>
      <c r="C10" s="3">
        <f>D10/D7</f>
        <v>0.14877647058823529</v>
      </c>
      <c r="D10" s="14">
        <v>12646</v>
      </c>
      <c r="E10" s="1"/>
      <c r="F10" s="1"/>
      <c r="H10" s="3"/>
      <c r="I10" s="139"/>
      <c r="M10" s="3"/>
      <c r="N10" s="139"/>
    </row>
    <row r="11" spans="2:15" x14ac:dyDescent="0.2">
      <c r="B11">
        <v>2015</v>
      </c>
      <c r="C11" s="3">
        <f>D11/D7</f>
        <v>0.21382352941176472</v>
      </c>
      <c r="D11" s="14">
        <v>18175</v>
      </c>
      <c r="E11" s="1"/>
      <c r="F11" s="1"/>
      <c r="H11" s="3"/>
      <c r="I11" s="139"/>
      <c r="M11" s="3"/>
      <c r="N11" s="139"/>
    </row>
    <row r="12" spans="2:15" ht="15.75" x14ac:dyDescent="0.25">
      <c r="B12" s="178" t="s">
        <v>208</v>
      </c>
      <c r="D12" s="15">
        <f>D6+E7+E8+E9+D10+D11</f>
        <v>345357</v>
      </c>
      <c r="E12" s="1"/>
      <c r="F12" s="1"/>
      <c r="H12" s="3"/>
      <c r="I12" s="139"/>
      <c r="M12" s="3"/>
      <c r="N12" s="139"/>
    </row>
    <row r="13" spans="2:15" x14ac:dyDescent="0.2">
      <c r="C13" s="3"/>
      <c r="D13" s="139"/>
      <c r="E13" s="1"/>
      <c r="F13" s="1"/>
      <c r="H13" s="3"/>
      <c r="I13" s="139"/>
      <c r="M13" s="3"/>
      <c r="N13" s="139"/>
    </row>
    <row r="14" spans="2:15" x14ac:dyDescent="0.2">
      <c r="M14" s="3"/>
      <c r="N14" s="139"/>
    </row>
    <row r="15" spans="2:15" ht="15.75" x14ac:dyDescent="0.25">
      <c r="B15" s="178" t="s">
        <v>293</v>
      </c>
    </row>
    <row r="17" spans="2:15" x14ac:dyDescent="0.2">
      <c r="B17" t="s">
        <v>219</v>
      </c>
      <c r="C17" s="6">
        <v>16323044</v>
      </c>
      <c r="H17" s="17"/>
      <c r="M17" s="17"/>
    </row>
    <row r="19" spans="2:15" ht="15.75" x14ac:dyDescent="0.25">
      <c r="B19" s="178" t="s">
        <v>295</v>
      </c>
      <c r="C19" s="178" t="s">
        <v>296</v>
      </c>
      <c r="D19" s="178" t="s">
        <v>297</v>
      </c>
      <c r="E19" s="178" t="s">
        <v>298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2:15" x14ac:dyDescent="0.2">
      <c r="B20" t="s">
        <v>220</v>
      </c>
      <c r="C20" s="3">
        <v>0.59</v>
      </c>
      <c r="D20">
        <v>1</v>
      </c>
      <c r="E20" s="157">
        <f>C17*C20*D20</f>
        <v>9630595.959999999</v>
      </c>
      <c r="F20" s="7"/>
      <c r="G20" s="17"/>
    </row>
    <row r="21" spans="2:15" x14ac:dyDescent="0.2">
      <c r="B21" t="s">
        <v>299</v>
      </c>
      <c r="C21" s="3">
        <v>0.56999999999999995</v>
      </c>
      <c r="D21">
        <v>1</v>
      </c>
      <c r="E21" s="7">
        <f t="shared" ref="E21:E24" si="0">$C$17*C21*D21</f>
        <v>9304135.0800000001</v>
      </c>
      <c r="F21" s="7"/>
      <c r="G21" s="17"/>
    </row>
    <row r="22" spans="2:15" x14ac:dyDescent="0.2">
      <c r="B22" t="s">
        <v>221</v>
      </c>
      <c r="C22" s="3">
        <v>0.24</v>
      </c>
      <c r="D22">
        <v>8</v>
      </c>
      <c r="E22" s="7">
        <f t="shared" si="0"/>
        <v>31340244.48</v>
      </c>
      <c r="F22" s="7"/>
      <c r="G22" s="17"/>
    </row>
    <row r="23" spans="2:15" x14ac:dyDescent="0.2">
      <c r="B23" t="s">
        <v>222</v>
      </c>
      <c r="C23" s="3">
        <v>0.06</v>
      </c>
      <c r="D23">
        <v>8</v>
      </c>
      <c r="E23" s="7">
        <f t="shared" si="0"/>
        <v>7835061.1200000001</v>
      </c>
      <c r="F23" s="7"/>
      <c r="G23" s="17"/>
    </row>
    <row r="24" spans="2:15" ht="15.75" x14ac:dyDescent="0.25">
      <c r="B24" t="s">
        <v>303</v>
      </c>
      <c r="C24" s="3">
        <v>0.84</v>
      </c>
      <c r="D24">
        <v>1</v>
      </c>
      <c r="E24" s="7">
        <f t="shared" si="0"/>
        <v>13711356.959999999</v>
      </c>
      <c r="F24" s="7"/>
      <c r="G24" s="161"/>
    </row>
    <row r="25" spans="2:15" ht="15.75" x14ac:dyDescent="0.25">
      <c r="D25" s="162" t="s">
        <v>304</v>
      </c>
      <c r="E25" s="153">
        <f>SUM(E20:E24)</f>
        <v>71821393.599999994</v>
      </c>
      <c r="F25" s="9"/>
    </row>
    <row r="26" spans="2:15" x14ac:dyDescent="0.2">
      <c r="D26" s="4"/>
      <c r="E26" s="9"/>
      <c r="F26" s="9"/>
    </row>
    <row r="27" spans="2:15" x14ac:dyDescent="0.2">
      <c r="B27" t="s">
        <v>223</v>
      </c>
      <c r="C27" s="3">
        <v>0.46</v>
      </c>
      <c r="D27">
        <v>1</v>
      </c>
      <c r="E27" s="7">
        <f t="shared" ref="E27:E30" si="1">$C$17*C27*D27</f>
        <v>7508600.2400000002</v>
      </c>
      <c r="F27" s="7"/>
    </row>
    <row r="28" spans="2:15" x14ac:dyDescent="0.2">
      <c r="B28" t="s">
        <v>306</v>
      </c>
      <c r="C28" s="3">
        <v>0.24</v>
      </c>
      <c r="D28">
        <v>1</v>
      </c>
      <c r="E28" s="7">
        <f t="shared" si="1"/>
        <v>3917530.56</v>
      </c>
      <c r="F28" s="7"/>
    </row>
    <row r="29" spans="2:15" x14ac:dyDescent="0.2">
      <c r="B29" t="s">
        <v>307</v>
      </c>
      <c r="C29" s="3">
        <v>0.23</v>
      </c>
      <c r="D29">
        <v>1</v>
      </c>
      <c r="E29" s="7">
        <f t="shared" si="1"/>
        <v>3754300.12</v>
      </c>
      <c r="F29" s="7"/>
    </row>
    <row r="30" spans="2:15" x14ac:dyDescent="0.2">
      <c r="B30" t="s">
        <v>224</v>
      </c>
      <c r="C30" s="3">
        <v>0.21</v>
      </c>
      <c r="D30">
        <v>1</v>
      </c>
      <c r="E30" s="7">
        <f t="shared" si="1"/>
        <v>3427839.2399999998</v>
      </c>
      <c r="F30" s="7"/>
    </row>
    <row r="31" spans="2:15" x14ac:dyDescent="0.2">
      <c r="C31" s="3"/>
      <c r="E31" s="157"/>
      <c r="F31" s="7"/>
    </row>
    <row r="32" spans="2:15" x14ac:dyDescent="0.2">
      <c r="C32" s="3"/>
      <c r="E32" s="157">
        <f>SUM(E27:E31)</f>
        <v>18608270.16</v>
      </c>
      <c r="F32" s="7"/>
    </row>
    <row r="33" spans="2:10" x14ac:dyDescent="0.2">
      <c r="C33" s="3"/>
      <c r="D33" s="12" t="s">
        <v>225</v>
      </c>
      <c r="E33" s="13">
        <f>E25-E32</f>
        <v>53213123.439999998</v>
      </c>
      <c r="F33" s="7"/>
    </row>
    <row r="34" spans="2:10" x14ac:dyDescent="0.2">
      <c r="B34" t="s">
        <v>226</v>
      </c>
    </row>
    <row r="35" spans="2:10" x14ac:dyDescent="0.2">
      <c r="B35" t="s">
        <v>227</v>
      </c>
      <c r="J35" s="7"/>
    </row>
    <row r="36" spans="2:10" x14ac:dyDescent="0.2">
      <c r="J36" s="7"/>
    </row>
    <row r="37" spans="2:10" x14ac:dyDescent="0.2">
      <c r="J37" s="7"/>
    </row>
    <row r="38" spans="2:10" x14ac:dyDescent="0.2">
      <c r="J38" s="7"/>
    </row>
    <row r="40" spans="2:10" ht="15.75" x14ac:dyDescent="0.25">
      <c r="B40" s="178" t="s">
        <v>228</v>
      </c>
    </row>
    <row r="42" spans="2:10" ht="30.75" x14ac:dyDescent="0.25">
      <c r="B42" s="10" t="s">
        <v>314</v>
      </c>
      <c r="C42" s="11" t="s">
        <v>315</v>
      </c>
      <c r="D42" s="10" t="s">
        <v>273</v>
      </c>
      <c r="E42" s="10" t="s">
        <v>316</v>
      </c>
      <c r="F42" s="10" t="s">
        <v>275</v>
      </c>
      <c r="G42" s="10" t="s">
        <v>317</v>
      </c>
      <c r="H42" s="10" t="s">
        <v>229</v>
      </c>
      <c r="I42" s="178"/>
    </row>
    <row r="43" spans="2:10" x14ac:dyDescent="0.2">
      <c r="B43" t="s">
        <v>230</v>
      </c>
      <c r="C43" s="7">
        <f>E63+141500</f>
        <v>5560900</v>
      </c>
      <c r="D43" s="7">
        <v>126206</v>
      </c>
      <c r="E43" s="7">
        <v>37400</v>
      </c>
      <c r="F43" s="7">
        <v>50000</v>
      </c>
      <c r="G43" s="13">
        <f>D43+E43+F43</f>
        <v>213606</v>
      </c>
      <c r="H43" s="7">
        <f>C43+D43+E43+F43</f>
        <v>5774506</v>
      </c>
    </row>
    <row r="44" spans="2:10" x14ac:dyDescent="0.2">
      <c r="B44" t="s">
        <v>231</v>
      </c>
      <c r="G44" t="s">
        <v>321</v>
      </c>
      <c r="H44" s="134"/>
    </row>
    <row r="45" spans="2:10" x14ac:dyDescent="0.2">
      <c r="B45" t="s">
        <v>322</v>
      </c>
    </row>
    <row r="47" spans="2:10" ht="15.75" x14ac:dyDescent="0.25">
      <c r="B47" s="135" t="s">
        <v>323</v>
      </c>
      <c r="C47" s="136">
        <f>D12/E33</f>
        <v>6.4900719535737148E-3</v>
      </c>
      <c r="D47" s="135" t="s">
        <v>324</v>
      </c>
    </row>
    <row r="48" spans="2:10" ht="15.75" x14ac:dyDescent="0.25">
      <c r="B48" s="135" t="s">
        <v>200</v>
      </c>
      <c r="C48" s="136">
        <f>D12/8110037</f>
        <v>4.2583899432271394E-2</v>
      </c>
      <c r="D48" s="135" t="s">
        <v>324</v>
      </c>
    </row>
    <row r="49" spans="2:7" ht="15.75" x14ac:dyDescent="0.25">
      <c r="B49" s="135" t="s">
        <v>201</v>
      </c>
      <c r="C49" s="136">
        <f>G43/E33</f>
        <v>4.0141601580829887E-3</v>
      </c>
      <c r="D49" s="135" t="s">
        <v>202</v>
      </c>
      <c r="G49" t="s">
        <v>232</v>
      </c>
    </row>
    <row r="50" spans="2:7" ht="15.75" x14ac:dyDescent="0.25">
      <c r="B50" s="135" t="s">
        <v>203</v>
      </c>
      <c r="C50" s="155">
        <f>H43/E33</f>
        <v>0.10851657686493436</v>
      </c>
      <c r="D50" s="135" t="s">
        <v>202</v>
      </c>
    </row>
    <row r="51" spans="2:7" x14ac:dyDescent="0.2">
      <c r="B51" s="131"/>
      <c r="C51" s="131"/>
    </row>
    <row r="52" spans="2:7" ht="15.75" x14ac:dyDescent="0.25">
      <c r="B52" s="178" t="s">
        <v>204</v>
      </c>
    </row>
    <row r="53" spans="2:7" ht="15.75" x14ac:dyDescent="0.25">
      <c r="B53" s="178" t="s">
        <v>205</v>
      </c>
      <c r="C53" s="178" t="s">
        <v>206</v>
      </c>
      <c r="D53" s="178" t="s">
        <v>207</v>
      </c>
      <c r="E53" s="178" t="s">
        <v>208</v>
      </c>
    </row>
    <row r="54" spans="2:7" x14ac:dyDescent="0.2">
      <c r="B54" t="s">
        <v>216</v>
      </c>
      <c r="C54" s="17">
        <v>36000</v>
      </c>
      <c r="D54" s="130">
        <v>10.75</v>
      </c>
      <c r="E54" s="139">
        <f t="shared" ref="E54:E61" si="2">C54*D54</f>
        <v>387000</v>
      </c>
    </row>
    <row r="55" spans="2:7" x14ac:dyDescent="0.2">
      <c r="B55" t="s">
        <v>233</v>
      </c>
      <c r="C55" s="17">
        <v>18000</v>
      </c>
      <c r="D55" s="130">
        <v>10</v>
      </c>
      <c r="E55" s="139">
        <f t="shared" si="2"/>
        <v>180000</v>
      </c>
    </row>
    <row r="56" spans="2:7" x14ac:dyDescent="0.2">
      <c r="B56" t="s">
        <v>234</v>
      </c>
      <c r="C56" s="17">
        <v>9600</v>
      </c>
      <c r="D56" s="130">
        <v>10.75</v>
      </c>
      <c r="E56" s="139">
        <f t="shared" si="2"/>
        <v>103200</v>
      </c>
    </row>
    <row r="57" spans="2:7" x14ac:dyDescent="0.2">
      <c r="B57" t="s">
        <v>235</v>
      </c>
      <c r="C57" s="17">
        <v>10000</v>
      </c>
      <c r="D57" s="130">
        <v>5.74</v>
      </c>
      <c r="E57" s="139">
        <f t="shared" si="2"/>
        <v>57400</v>
      </c>
    </row>
    <row r="58" spans="2:7" x14ac:dyDescent="0.2">
      <c r="B58" t="s">
        <v>236</v>
      </c>
      <c r="C58" s="17">
        <v>60000</v>
      </c>
      <c r="D58" s="130">
        <v>5.74</v>
      </c>
      <c r="E58" s="139">
        <f t="shared" si="2"/>
        <v>344400</v>
      </c>
    </row>
    <row r="59" spans="2:7" x14ac:dyDescent="0.2">
      <c r="B59" t="s">
        <v>237</v>
      </c>
      <c r="C59" s="17">
        <v>120000</v>
      </c>
      <c r="D59" s="130">
        <v>10.75</v>
      </c>
      <c r="E59" s="139">
        <f t="shared" si="2"/>
        <v>1290000</v>
      </c>
    </row>
    <row r="60" spans="2:7" x14ac:dyDescent="0.2">
      <c r="B60" t="s">
        <v>238</v>
      </c>
      <c r="C60" s="17">
        <v>5000</v>
      </c>
      <c r="D60" s="130">
        <v>5.74</v>
      </c>
      <c r="E60" s="139">
        <f t="shared" si="2"/>
        <v>28700</v>
      </c>
    </row>
    <row r="61" spans="2:7" x14ac:dyDescent="0.2">
      <c r="B61" t="s">
        <v>239</v>
      </c>
      <c r="C61" s="17">
        <v>5000</v>
      </c>
      <c r="D61" s="130">
        <v>5.74</v>
      </c>
      <c r="E61" s="139">
        <f t="shared" si="2"/>
        <v>28700</v>
      </c>
    </row>
    <row r="62" spans="2:7" x14ac:dyDescent="0.2">
      <c r="B62" t="s">
        <v>240</v>
      </c>
      <c r="C62" s="17">
        <v>200000</v>
      </c>
      <c r="D62" s="130"/>
      <c r="E62" s="139">
        <v>3000000</v>
      </c>
    </row>
    <row r="63" spans="2:7" ht="15.75" x14ac:dyDescent="0.25">
      <c r="B63" s="178" t="s">
        <v>208</v>
      </c>
      <c r="E63" s="140">
        <f>SUM(E54:E62)</f>
        <v>5419400</v>
      </c>
    </row>
    <row r="64" spans="2:7" x14ac:dyDescent="0.2">
      <c r="B64" t="s">
        <v>217</v>
      </c>
    </row>
  </sheetData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73"/>
  <sheetViews>
    <sheetView workbookViewId="0"/>
  </sheetViews>
  <sheetFormatPr defaultColWidth="11.5546875" defaultRowHeight="15" x14ac:dyDescent="0.2"/>
  <cols>
    <col min="1" max="1" width="3.88671875" customWidth="1"/>
    <col min="2" max="2" width="19.6640625" customWidth="1"/>
    <col min="3" max="3" width="15.33203125" customWidth="1"/>
    <col min="4" max="4" width="18.5546875" customWidth="1"/>
    <col min="5" max="5" width="16.88671875" customWidth="1"/>
    <col min="6" max="6" width="16.109375" customWidth="1"/>
    <col min="7" max="7" width="10.88671875" bestFit="1" customWidth="1"/>
    <col min="8" max="8" width="14.6640625" customWidth="1"/>
  </cols>
  <sheetData>
    <row r="1" spans="2:6" ht="15.75" x14ac:dyDescent="0.25">
      <c r="B1" s="178" t="s">
        <v>280</v>
      </c>
    </row>
    <row r="3" spans="2:6" ht="15.75" x14ac:dyDescent="0.25">
      <c r="B3" s="178" t="s">
        <v>286</v>
      </c>
      <c r="E3" s="178"/>
      <c r="F3" s="178"/>
    </row>
    <row r="4" spans="2:6" ht="15.75" x14ac:dyDescent="0.25">
      <c r="B4" s="178" t="s">
        <v>287</v>
      </c>
      <c r="E4" s="178"/>
      <c r="F4" s="178"/>
    </row>
    <row r="5" spans="2:6" ht="30" x14ac:dyDescent="0.2">
      <c r="B5" t="s">
        <v>288</v>
      </c>
      <c r="C5" s="10" t="s">
        <v>289</v>
      </c>
      <c r="D5" t="s">
        <v>290</v>
      </c>
      <c r="E5" t="s">
        <v>291</v>
      </c>
    </row>
    <row r="6" spans="2:6" x14ac:dyDescent="0.2">
      <c r="B6">
        <v>2007</v>
      </c>
      <c r="C6" s="3">
        <v>0.16</v>
      </c>
      <c r="D6" s="139">
        <v>24000</v>
      </c>
    </row>
    <row r="7" spans="2:6" x14ac:dyDescent="0.2">
      <c r="B7">
        <v>2008</v>
      </c>
      <c r="C7" s="3">
        <v>1.1000000000000001</v>
      </c>
      <c r="D7" s="139">
        <v>172000</v>
      </c>
    </row>
    <row r="8" spans="2:6" x14ac:dyDescent="0.2">
      <c r="B8">
        <v>2009</v>
      </c>
      <c r="C8" s="3">
        <v>0.5</v>
      </c>
      <c r="D8" s="139">
        <v>72000</v>
      </c>
    </row>
    <row r="9" spans="2:6" x14ac:dyDescent="0.2">
      <c r="B9">
        <v>2010</v>
      </c>
      <c r="C9" s="3">
        <v>1</v>
      </c>
      <c r="D9" s="139">
        <v>150000</v>
      </c>
      <c r="E9" s="17">
        <v>93000</v>
      </c>
    </row>
    <row r="10" spans="2:6" x14ac:dyDescent="0.2">
      <c r="B10">
        <v>2011</v>
      </c>
      <c r="C10" s="3">
        <v>1</v>
      </c>
      <c r="D10" s="139">
        <v>150000</v>
      </c>
      <c r="E10" s="17">
        <v>93000</v>
      </c>
    </row>
    <row r="11" spans="2:6" x14ac:dyDescent="0.2">
      <c r="B11">
        <v>2012</v>
      </c>
      <c r="C11" s="3">
        <f>D11/D10</f>
        <v>0.48442666666666667</v>
      </c>
      <c r="D11" s="139">
        <v>72664</v>
      </c>
      <c r="E11" s="17">
        <v>71500</v>
      </c>
    </row>
    <row r="12" spans="2:6" x14ac:dyDescent="0.2">
      <c r="B12">
        <v>2013</v>
      </c>
      <c r="C12" s="3">
        <f>D12/D9</f>
        <v>0.47004000000000001</v>
      </c>
      <c r="D12" s="139">
        <v>70506</v>
      </c>
      <c r="E12" s="17">
        <v>89489</v>
      </c>
    </row>
    <row r="13" spans="2:6" x14ac:dyDescent="0.2">
      <c r="B13">
        <v>2014</v>
      </c>
      <c r="C13" s="3">
        <f>D13/D10</f>
        <v>0.32440000000000002</v>
      </c>
      <c r="D13" s="139">
        <v>48660</v>
      </c>
    </row>
    <row r="14" spans="2:6" x14ac:dyDescent="0.2">
      <c r="B14">
        <v>2015</v>
      </c>
      <c r="C14" s="3">
        <v>0.2</v>
      </c>
      <c r="D14" s="139">
        <v>44015</v>
      </c>
    </row>
    <row r="15" spans="2:6" ht="15.75" x14ac:dyDescent="0.25">
      <c r="B15" s="178" t="s">
        <v>208</v>
      </c>
      <c r="D15" s="16">
        <f>D6+D7+D8+E9+E10+E11+E12+D13+D14</f>
        <v>707664</v>
      </c>
      <c r="E15" s="17"/>
      <c r="F15" s="178"/>
    </row>
    <row r="16" spans="2:6" x14ac:dyDescent="0.2">
      <c r="C16" s="3"/>
      <c r="D16" s="139"/>
    </row>
    <row r="18" spans="2:8" ht="15.75" x14ac:dyDescent="0.25">
      <c r="B18" s="178" t="s">
        <v>293</v>
      </c>
    </row>
    <row r="20" spans="2:8" x14ac:dyDescent="0.2">
      <c r="B20" t="s">
        <v>241</v>
      </c>
      <c r="C20" s="6">
        <v>10746311</v>
      </c>
      <c r="H20" s="3"/>
    </row>
    <row r="21" spans="2:8" x14ac:dyDescent="0.2">
      <c r="H21" s="3"/>
    </row>
    <row r="22" spans="2:8" ht="15.75" x14ac:dyDescent="0.25">
      <c r="B22" s="178" t="s">
        <v>295</v>
      </c>
      <c r="C22" s="178" t="s">
        <v>296</v>
      </c>
      <c r="D22" s="178" t="s">
        <v>297</v>
      </c>
      <c r="E22" s="178" t="s">
        <v>298</v>
      </c>
      <c r="F22" s="178" t="s">
        <v>242</v>
      </c>
      <c r="G22" s="178"/>
      <c r="H22" s="3"/>
    </row>
    <row r="23" spans="2:8" x14ac:dyDescent="0.2">
      <c r="B23" t="s">
        <v>220</v>
      </c>
      <c r="C23" s="3">
        <v>0.6</v>
      </c>
      <c r="D23">
        <v>1</v>
      </c>
      <c r="E23" s="17">
        <f>C20*C23*D23</f>
        <v>6447786.5999999996</v>
      </c>
      <c r="F23" s="7">
        <v>6447787</v>
      </c>
      <c r="G23" s="17"/>
      <c r="H23" s="3"/>
    </row>
    <row r="24" spans="2:8" x14ac:dyDescent="0.2">
      <c r="B24" t="s">
        <v>299</v>
      </c>
      <c r="C24" s="3">
        <v>0.8</v>
      </c>
      <c r="D24">
        <v>1</v>
      </c>
      <c r="E24" s="17">
        <f>C20*C24*D24</f>
        <v>8597048.8000000007</v>
      </c>
      <c r="F24" s="7">
        <v>8597049</v>
      </c>
      <c r="G24" s="17"/>
    </row>
    <row r="25" spans="2:8" x14ac:dyDescent="0.2">
      <c r="B25" t="s">
        <v>221</v>
      </c>
      <c r="C25" s="3">
        <v>0.7</v>
      </c>
      <c r="D25">
        <v>7</v>
      </c>
      <c r="E25" s="17">
        <f>C20*C25*D25</f>
        <v>52656923.899999991</v>
      </c>
      <c r="F25" s="7">
        <v>52656924</v>
      </c>
      <c r="G25" s="17"/>
    </row>
    <row r="26" spans="2:8" x14ac:dyDescent="0.2">
      <c r="B26" t="s">
        <v>222</v>
      </c>
      <c r="C26" s="3">
        <v>0.5</v>
      </c>
      <c r="D26">
        <v>7</v>
      </c>
      <c r="E26" s="17">
        <f>C20*C26*D26</f>
        <v>37612088.5</v>
      </c>
      <c r="F26" s="7">
        <v>37612089</v>
      </c>
      <c r="G26" s="17"/>
    </row>
    <row r="27" spans="2:8" x14ac:dyDescent="0.2">
      <c r="B27" t="s">
        <v>303</v>
      </c>
      <c r="C27" s="3">
        <v>0.99</v>
      </c>
      <c r="D27">
        <v>1</v>
      </c>
      <c r="E27" s="17">
        <f>C20*C27*D27</f>
        <v>10638847.890000001</v>
      </c>
      <c r="F27" s="165"/>
      <c r="G27" s="163"/>
    </row>
    <row r="28" spans="2:8" x14ac:dyDescent="0.2">
      <c r="D28" s="4" t="s">
        <v>304</v>
      </c>
      <c r="E28" s="158">
        <f>SUM(E23:E27)</f>
        <v>115952695.69</v>
      </c>
      <c r="F28" s="7">
        <f>SUM(F23:F27)</f>
        <v>105313849</v>
      </c>
      <c r="G28" s="7"/>
    </row>
    <row r="29" spans="2:8" x14ac:dyDescent="0.2">
      <c r="D29" s="4"/>
      <c r="E29" s="159"/>
      <c r="F29" s="9"/>
    </row>
    <row r="30" spans="2:8" x14ac:dyDescent="0.2">
      <c r="B30" t="s">
        <v>243</v>
      </c>
      <c r="C30" s="3">
        <v>0.4</v>
      </c>
      <c r="D30" s="4">
        <v>7</v>
      </c>
      <c r="E30" s="159">
        <f>C20*C30*D30</f>
        <v>30089670.800000004</v>
      </c>
      <c r="F30" s="9"/>
    </row>
    <row r="31" spans="2:8" x14ac:dyDescent="0.2">
      <c r="B31" t="s">
        <v>244</v>
      </c>
      <c r="C31" s="3">
        <v>0.3</v>
      </c>
      <c r="D31" s="4">
        <v>1</v>
      </c>
      <c r="E31" s="159">
        <f>C20*C31*D31</f>
        <v>3223893.3</v>
      </c>
      <c r="F31" s="9"/>
    </row>
    <row r="32" spans="2:8" x14ac:dyDescent="0.2">
      <c r="B32" t="s">
        <v>245</v>
      </c>
      <c r="C32" s="3">
        <v>0.4</v>
      </c>
      <c r="D32" s="4">
        <v>1</v>
      </c>
      <c r="E32" s="159">
        <f>C20*C32*D32</f>
        <v>4298524.4000000004</v>
      </c>
      <c r="F32" s="9"/>
    </row>
    <row r="33" spans="2:9" x14ac:dyDescent="0.2">
      <c r="B33" t="s">
        <v>308</v>
      </c>
      <c r="C33" s="3">
        <v>0.2</v>
      </c>
      <c r="D33" s="4">
        <v>1</v>
      </c>
      <c r="E33" s="159">
        <f>C20*C33*D33</f>
        <v>2149262.2000000002</v>
      </c>
      <c r="F33" s="9"/>
    </row>
    <row r="34" spans="2:9" x14ac:dyDescent="0.2">
      <c r="B34" t="s">
        <v>246</v>
      </c>
      <c r="C34" s="3">
        <v>0.65</v>
      </c>
      <c r="D34">
        <v>1</v>
      </c>
      <c r="E34" s="17">
        <f>C20*C34*D34</f>
        <v>6985102.1500000004</v>
      </c>
      <c r="F34" s="7"/>
    </row>
    <row r="35" spans="2:9" x14ac:dyDescent="0.2">
      <c r="C35" s="3"/>
      <c r="D35" t="s">
        <v>265</v>
      </c>
      <c r="E35" s="17">
        <f>SUM(E30:E34)</f>
        <v>46746452.850000009</v>
      </c>
      <c r="F35" s="7"/>
    </row>
    <row r="36" spans="2:9" x14ac:dyDescent="0.2">
      <c r="C36" s="3"/>
      <c r="D36" s="12" t="s">
        <v>225</v>
      </c>
      <c r="E36" s="13">
        <f>E28-E35</f>
        <v>69206242.839999989</v>
      </c>
      <c r="F36" s="7">
        <f>F28-E35</f>
        <v>58567396.149999991</v>
      </c>
      <c r="G36" s="17"/>
      <c r="H36" s="17"/>
      <c r="I36" s="17"/>
    </row>
    <row r="37" spans="2:9" x14ac:dyDescent="0.2">
      <c r="B37" t="s">
        <v>247</v>
      </c>
    </row>
    <row r="38" spans="2:9" x14ac:dyDescent="0.2">
      <c r="B38" t="s">
        <v>248</v>
      </c>
    </row>
    <row r="42" spans="2:9" ht="15.75" x14ac:dyDescent="0.25">
      <c r="B42" s="178" t="s">
        <v>313</v>
      </c>
    </row>
    <row r="44" spans="2:9" ht="30.75" x14ac:dyDescent="0.25">
      <c r="B44" s="10" t="s">
        <v>314</v>
      </c>
      <c r="C44" s="11" t="s">
        <v>315</v>
      </c>
      <c r="D44" s="10" t="s">
        <v>273</v>
      </c>
      <c r="E44" s="10" t="s">
        <v>316</v>
      </c>
      <c r="F44" s="10" t="s">
        <v>275</v>
      </c>
      <c r="G44" s="10" t="s">
        <v>317</v>
      </c>
      <c r="H44" s="10" t="s">
        <v>318</v>
      </c>
      <c r="I44" s="178"/>
    </row>
    <row r="45" spans="2:9" x14ac:dyDescent="0.2">
      <c r="B45" t="s">
        <v>319</v>
      </c>
      <c r="C45" s="7">
        <f>927715+100000</f>
        <v>1027715</v>
      </c>
      <c r="D45" s="7">
        <v>126000</v>
      </c>
      <c r="E45" s="7">
        <v>37400</v>
      </c>
      <c r="F45" s="7">
        <v>50000</v>
      </c>
      <c r="G45" s="13">
        <f>SUM(D45:F45)</f>
        <v>213400</v>
      </c>
      <c r="H45" s="13">
        <f>C45+D45+E45+F45</f>
        <v>1241115</v>
      </c>
    </row>
    <row r="46" spans="2:9" x14ac:dyDescent="0.2">
      <c r="B46" t="s">
        <v>320</v>
      </c>
      <c r="G46" t="s">
        <v>321</v>
      </c>
      <c r="H46" s="134"/>
    </row>
    <row r="47" spans="2:9" x14ac:dyDescent="0.2">
      <c r="B47" t="s">
        <v>249</v>
      </c>
    </row>
    <row r="49" spans="2:8" ht="15.75" x14ac:dyDescent="0.25">
      <c r="B49" s="135" t="s">
        <v>323</v>
      </c>
      <c r="C49" s="136">
        <f>D15/E36</f>
        <v>1.022543589941835E-2</v>
      </c>
      <c r="D49" s="135" t="s">
        <v>324</v>
      </c>
    </row>
    <row r="50" spans="2:8" ht="15.75" x14ac:dyDescent="0.25">
      <c r="B50" s="135" t="s">
        <v>200</v>
      </c>
      <c r="C50" s="136">
        <f>D15/F36</f>
        <v>1.2082900154679322E-2</v>
      </c>
      <c r="D50" s="135" t="s">
        <v>324</v>
      </c>
    </row>
    <row r="51" spans="2:8" ht="15.75" x14ac:dyDescent="0.25">
      <c r="B51" s="135" t="s">
        <v>201</v>
      </c>
      <c r="C51" s="136">
        <f>G45/E36</f>
        <v>3.0835368493181449E-3</v>
      </c>
      <c r="D51" s="135" t="s">
        <v>202</v>
      </c>
    </row>
    <row r="52" spans="2:8" ht="15.75" x14ac:dyDescent="0.25">
      <c r="B52" s="135" t="s">
        <v>203</v>
      </c>
      <c r="C52" s="136">
        <f>H45/E36</f>
        <v>1.7933569994102574E-2</v>
      </c>
      <c r="D52" s="135" t="s">
        <v>202</v>
      </c>
    </row>
    <row r="54" spans="2:8" ht="15.75" x14ac:dyDescent="0.25">
      <c r="B54" s="178" t="s">
        <v>204</v>
      </c>
    </row>
    <row r="55" spans="2:8" ht="15.75" x14ac:dyDescent="0.25">
      <c r="B55" s="178" t="s">
        <v>205</v>
      </c>
      <c r="C55" s="178" t="s">
        <v>206</v>
      </c>
      <c r="D55" s="178" t="s">
        <v>207</v>
      </c>
      <c r="E55" s="178" t="s">
        <v>208</v>
      </c>
      <c r="H55" s="178"/>
    </row>
    <row r="56" spans="2:8" x14ac:dyDescent="0.2">
      <c r="B56" t="s">
        <v>250</v>
      </c>
      <c r="C56" s="17"/>
      <c r="D56" s="130"/>
      <c r="E56" s="139">
        <f>C56*D56</f>
        <v>0</v>
      </c>
    </row>
    <row r="57" spans="2:8" x14ac:dyDescent="0.2">
      <c r="B57" t="s">
        <v>251</v>
      </c>
      <c r="C57" s="17">
        <v>8500</v>
      </c>
      <c r="D57" s="130">
        <v>5.75</v>
      </c>
      <c r="E57" s="139">
        <f>C57*D57</f>
        <v>48875</v>
      </c>
    </row>
    <row r="58" spans="2:8" x14ac:dyDescent="0.2">
      <c r="B58" t="s">
        <v>252</v>
      </c>
      <c r="C58" s="17">
        <v>50000</v>
      </c>
      <c r="D58" s="130">
        <v>10.75</v>
      </c>
      <c r="E58" s="139">
        <f>C58*D58</f>
        <v>537500</v>
      </c>
    </row>
    <row r="59" spans="2:8" x14ac:dyDescent="0.2">
      <c r="B59" t="s">
        <v>253</v>
      </c>
      <c r="C59" s="17">
        <v>2000</v>
      </c>
      <c r="D59" s="130">
        <v>9.42</v>
      </c>
      <c r="E59" s="139">
        <f>C59*D59</f>
        <v>18840</v>
      </c>
    </row>
    <row r="60" spans="2:8" x14ac:dyDescent="0.2">
      <c r="B60" t="s">
        <v>254</v>
      </c>
      <c r="C60" s="17">
        <v>30000</v>
      </c>
      <c r="D60" s="130">
        <v>10.75</v>
      </c>
      <c r="E60" s="139">
        <f>C60*D60</f>
        <v>322500</v>
      </c>
    </row>
    <row r="61" spans="2:8" ht="15.75" x14ac:dyDescent="0.25">
      <c r="B61" s="178" t="s">
        <v>208</v>
      </c>
      <c r="E61" s="140">
        <f>SUM(E56:E60)</f>
        <v>927715</v>
      </c>
      <c r="H61" s="178"/>
    </row>
    <row r="62" spans="2:8" x14ac:dyDescent="0.2">
      <c r="B62" t="s">
        <v>217</v>
      </c>
    </row>
    <row r="64" spans="2:8" ht="15.75" x14ac:dyDescent="0.25">
      <c r="B64" s="178"/>
    </row>
    <row r="65" spans="2:8" ht="15.75" x14ac:dyDescent="0.25">
      <c r="B65" s="178"/>
      <c r="H65" s="178"/>
    </row>
    <row r="66" spans="2:8" x14ac:dyDescent="0.2">
      <c r="B66" s="131"/>
      <c r="H66" s="131"/>
    </row>
    <row r="67" spans="2:8" x14ac:dyDescent="0.2">
      <c r="B67" s="131"/>
      <c r="H67" s="131"/>
    </row>
    <row r="68" spans="2:8" x14ac:dyDescent="0.2">
      <c r="C68" s="139"/>
      <c r="D68" s="139"/>
    </row>
    <row r="69" spans="2:8" x14ac:dyDescent="0.2">
      <c r="C69" s="139"/>
    </row>
    <row r="70" spans="2:8" x14ac:dyDescent="0.2">
      <c r="C70" s="139"/>
    </row>
    <row r="71" spans="2:8" x14ac:dyDescent="0.2">
      <c r="C71" s="139"/>
    </row>
    <row r="72" spans="2:8" x14ac:dyDescent="0.2">
      <c r="C72" s="139"/>
    </row>
    <row r="73" spans="2:8" ht="15.75" x14ac:dyDescent="0.25">
      <c r="B73" s="178"/>
      <c r="C73" s="140"/>
      <c r="H73" s="178"/>
    </row>
  </sheetData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54"/>
  <sheetViews>
    <sheetView workbookViewId="0"/>
  </sheetViews>
  <sheetFormatPr defaultColWidth="11.5546875" defaultRowHeight="15" x14ac:dyDescent="0.2"/>
  <cols>
    <col min="1" max="1" width="3.88671875" customWidth="1"/>
    <col min="2" max="2" width="19.109375" customWidth="1"/>
    <col min="3" max="3" width="14.88671875" customWidth="1"/>
    <col min="4" max="4" width="17.109375" customWidth="1"/>
    <col min="5" max="5" width="10.88671875" bestFit="1" customWidth="1"/>
    <col min="6" max="6" width="14.6640625" customWidth="1"/>
    <col min="7" max="7" width="12.109375" customWidth="1"/>
    <col min="8" max="8" width="13.6640625" customWidth="1"/>
  </cols>
  <sheetData>
    <row r="1" spans="2:5" ht="15.75" x14ac:dyDescent="0.25">
      <c r="B1" s="178" t="s">
        <v>282</v>
      </c>
    </row>
    <row r="3" spans="2:5" ht="15.75" x14ac:dyDescent="0.25">
      <c r="B3" s="178" t="s">
        <v>286</v>
      </c>
      <c r="E3" s="178"/>
    </row>
    <row r="4" spans="2:5" ht="15.75" x14ac:dyDescent="0.25">
      <c r="B4" s="178" t="s">
        <v>287</v>
      </c>
      <c r="E4" s="178"/>
    </row>
    <row r="5" spans="2:5" ht="45" x14ac:dyDescent="0.2">
      <c r="B5" t="s">
        <v>288</v>
      </c>
      <c r="C5" s="10" t="s">
        <v>289</v>
      </c>
      <c r="D5" t="s">
        <v>290</v>
      </c>
      <c r="E5" t="s">
        <v>291</v>
      </c>
    </row>
    <row r="6" spans="2:5" x14ac:dyDescent="0.2">
      <c r="B6">
        <v>2009</v>
      </c>
      <c r="C6" s="3">
        <v>0.16</v>
      </c>
      <c r="D6" s="139">
        <v>16000</v>
      </c>
    </row>
    <row r="7" spans="2:5" x14ac:dyDescent="0.2">
      <c r="B7">
        <v>2010</v>
      </c>
      <c r="C7" s="3">
        <v>0.92</v>
      </c>
      <c r="D7" s="139">
        <v>90000</v>
      </c>
    </row>
    <row r="8" spans="2:5" x14ac:dyDescent="0.2">
      <c r="B8">
        <v>2011</v>
      </c>
      <c r="C8" s="3">
        <v>1</v>
      </c>
      <c r="D8" s="139">
        <v>98000</v>
      </c>
      <c r="E8" s="17">
        <v>8000</v>
      </c>
    </row>
    <row r="9" spans="2:5" x14ac:dyDescent="0.2">
      <c r="B9">
        <v>2012</v>
      </c>
      <c r="C9" s="3">
        <f>D9/D8</f>
        <v>0.53965306122448975</v>
      </c>
      <c r="D9" s="139">
        <v>52886</v>
      </c>
      <c r="E9" s="17">
        <v>53000</v>
      </c>
    </row>
    <row r="10" spans="2:5" x14ac:dyDescent="0.2">
      <c r="B10">
        <v>2013</v>
      </c>
      <c r="C10" s="3">
        <v>0.9</v>
      </c>
      <c r="D10" s="139">
        <v>88758</v>
      </c>
      <c r="E10" s="17">
        <v>63704</v>
      </c>
    </row>
    <row r="11" spans="2:5" x14ac:dyDescent="0.2">
      <c r="B11">
        <v>2014</v>
      </c>
      <c r="C11" s="3">
        <f>D11/D8</f>
        <v>0.78086734693877546</v>
      </c>
      <c r="D11" s="139">
        <v>76525</v>
      </c>
    </row>
    <row r="12" spans="2:5" x14ac:dyDescent="0.2">
      <c r="B12">
        <v>2015</v>
      </c>
      <c r="C12" s="3">
        <f>D12/D8</f>
        <v>0.83061224489795915</v>
      </c>
      <c r="D12" s="139">
        <v>81400</v>
      </c>
    </row>
    <row r="13" spans="2:5" x14ac:dyDescent="0.2">
      <c r="B13">
        <v>2016</v>
      </c>
      <c r="C13" s="3">
        <v>0.6</v>
      </c>
      <c r="D13" s="139">
        <f>D8*C13</f>
        <v>58800</v>
      </c>
    </row>
    <row r="14" spans="2:5" ht="15.75" x14ac:dyDescent="0.25">
      <c r="B14" s="178" t="s">
        <v>292</v>
      </c>
      <c r="D14" s="16">
        <f>D6+D7+E8+E9+E10+D11+D12+D13</f>
        <v>447429</v>
      </c>
      <c r="E14" s="178"/>
    </row>
    <row r="15" spans="2:5" ht="15.95" customHeight="1" x14ac:dyDescent="0.2"/>
    <row r="17" spans="2:7" ht="15.75" x14ac:dyDescent="0.25">
      <c r="B17" s="178" t="s">
        <v>293</v>
      </c>
      <c r="F17" s="178"/>
    </row>
    <row r="19" spans="2:7" x14ac:dyDescent="0.2">
      <c r="B19" t="s">
        <v>255</v>
      </c>
      <c r="C19" s="6">
        <v>4190000</v>
      </c>
      <c r="G19" s="6"/>
    </row>
    <row r="21" spans="2:7" ht="15.75" x14ac:dyDescent="0.25">
      <c r="B21" s="178" t="s">
        <v>295</v>
      </c>
      <c r="C21" s="178" t="s">
        <v>296</v>
      </c>
      <c r="D21" s="178" t="s">
        <v>297</v>
      </c>
      <c r="E21" s="178" t="s">
        <v>298</v>
      </c>
      <c r="F21" s="178" t="s">
        <v>242</v>
      </c>
      <c r="G21" s="178"/>
    </row>
    <row r="22" spans="2:7" x14ac:dyDescent="0.2">
      <c r="C22" s="3"/>
      <c r="E22" s="7"/>
      <c r="F22" s="17"/>
      <c r="G22" s="3"/>
    </row>
    <row r="23" spans="2:7" x14ac:dyDescent="0.2">
      <c r="B23" t="s">
        <v>299</v>
      </c>
      <c r="C23" s="3">
        <v>2.3E-2</v>
      </c>
      <c r="D23">
        <v>1</v>
      </c>
      <c r="E23" s="7">
        <f>C19*C23*D23</f>
        <v>96370</v>
      </c>
      <c r="F23" s="166">
        <v>3040000</v>
      </c>
      <c r="G23" s="3"/>
    </row>
    <row r="24" spans="2:7" x14ac:dyDescent="0.2">
      <c r="B24" t="s">
        <v>302</v>
      </c>
      <c r="C24" s="3">
        <v>0.53</v>
      </c>
      <c r="D24">
        <v>1</v>
      </c>
      <c r="E24" s="7">
        <f>C19*C24*D24</f>
        <v>2220700</v>
      </c>
      <c r="F24" s="166"/>
      <c r="G24" s="3"/>
    </row>
    <row r="25" spans="2:7" x14ac:dyDescent="0.2">
      <c r="B25" t="s">
        <v>303</v>
      </c>
      <c r="C25" s="3">
        <v>0.99</v>
      </c>
      <c r="D25">
        <v>1</v>
      </c>
      <c r="E25" s="7">
        <f>C19*C25*D25</f>
        <v>4148100</v>
      </c>
      <c r="F25" s="166">
        <v>10640000</v>
      </c>
      <c r="G25" s="3"/>
    </row>
    <row r="26" spans="2:7" x14ac:dyDescent="0.2">
      <c r="B26" t="s">
        <v>256</v>
      </c>
      <c r="C26" s="3">
        <v>0.55000000000000004</v>
      </c>
      <c r="D26">
        <v>8</v>
      </c>
      <c r="E26" s="7">
        <f>C19*C26*D26</f>
        <v>18436000</v>
      </c>
      <c r="F26" s="167"/>
      <c r="G26" s="3"/>
    </row>
    <row r="27" spans="2:7" x14ac:dyDescent="0.2">
      <c r="D27" s="4" t="s">
        <v>304</v>
      </c>
      <c r="E27" s="8">
        <f>SUM(E22:E26)</f>
        <v>24901170</v>
      </c>
      <c r="F27" s="17">
        <f>SUM(F22:F26)</f>
        <v>13680000</v>
      </c>
    </row>
    <row r="28" spans="2:7" x14ac:dyDescent="0.2">
      <c r="D28" s="4"/>
      <c r="E28" s="9"/>
    </row>
    <row r="29" spans="2:7" x14ac:dyDescent="0.2">
      <c r="C29" s="3"/>
      <c r="E29" s="7"/>
      <c r="G29" s="3"/>
    </row>
    <row r="30" spans="2:7" x14ac:dyDescent="0.2">
      <c r="B30" t="s">
        <v>257</v>
      </c>
      <c r="C30" s="3">
        <v>0.3</v>
      </c>
      <c r="D30">
        <v>1</v>
      </c>
      <c r="E30" s="7">
        <f>C19*C30*D30</f>
        <v>1257000</v>
      </c>
    </row>
    <row r="31" spans="2:7" x14ac:dyDescent="0.2">
      <c r="B31" t="s">
        <v>258</v>
      </c>
      <c r="C31" s="3">
        <v>0.23</v>
      </c>
      <c r="D31">
        <v>1</v>
      </c>
      <c r="E31" s="7">
        <f>C19*C31*D31</f>
        <v>963700</v>
      </c>
    </row>
    <row r="32" spans="2:7" x14ac:dyDescent="0.2">
      <c r="C32" s="3"/>
      <c r="D32" t="s">
        <v>265</v>
      </c>
      <c r="E32" s="7">
        <f>SUM(E30:E31)</f>
        <v>2220700</v>
      </c>
    </row>
    <row r="33" spans="2:9" x14ac:dyDescent="0.2">
      <c r="D33" s="132" t="s">
        <v>225</v>
      </c>
      <c r="E33" s="13">
        <f>E27-E32</f>
        <v>22680470</v>
      </c>
      <c r="F33" s="7">
        <f>F27-E32</f>
        <v>11459300</v>
      </c>
      <c r="G33" s="164"/>
    </row>
    <row r="34" spans="2:9" x14ac:dyDescent="0.2">
      <c r="B34" t="s">
        <v>259</v>
      </c>
    </row>
    <row r="36" spans="2:9" ht="15.75" x14ac:dyDescent="0.25">
      <c r="B36" s="178" t="s">
        <v>228</v>
      </c>
    </row>
    <row r="38" spans="2:9" ht="30.75" x14ac:dyDescent="0.25">
      <c r="B38" s="10" t="s">
        <v>314</v>
      </c>
      <c r="C38" s="11" t="s">
        <v>315</v>
      </c>
      <c r="D38" s="10" t="s">
        <v>273</v>
      </c>
      <c r="E38" s="10" t="s">
        <v>316</v>
      </c>
      <c r="F38" s="10" t="s">
        <v>275</v>
      </c>
      <c r="G38" s="10" t="s">
        <v>317</v>
      </c>
      <c r="H38" s="10" t="s">
        <v>229</v>
      </c>
      <c r="I38" s="178"/>
    </row>
    <row r="39" spans="2:9" x14ac:dyDescent="0.2">
      <c r="B39" t="s">
        <v>230</v>
      </c>
      <c r="C39" s="7">
        <f>E51+100000</f>
        <v>369610</v>
      </c>
      <c r="D39" s="7">
        <v>126000</v>
      </c>
      <c r="E39" s="7">
        <v>37400</v>
      </c>
      <c r="F39" s="7">
        <v>50000</v>
      </c>
      <c r="G39" s="13">
        <f>SUM(D39:F39)</f>
        <v>213400</v>
      </c>
      <c r="H39" s="13">
        <f>C39+D39+E39+F39</f>
        <v>583010</v>
      </c>
    </row>
    <row r="40" spans="2:9" x14ac:dyDescent="0.2">
      <c r="B40" t="s">
        <v>320</v>
      </c>
      <c r="G40" t="s">
        <v>321</v>
      </c>
    </row>
    <row r="41" spans="2:9" x14ac:dyDescent="0.2">
      <c r="B41" t="s">
        <v>322</v>
      </c>
    </row>
    <row r="43" spans="2:9" ht="15.75" x14ac:dyDescent="0.25">
      <c r="B43" s="135" t="s">
        <v>323</v>
      </c>
      <c r="C43" s="136">
        <f>D14/E33</f>
        <v>1.9727501237849127E-2</v>
      </c>
      <c r="D43" s="135" t="s">
        <v>324</v>
      </c>
    </row>
    <row r="44" spans="2:9" ht="15.75" x14ac:dyDescent="0.25">
      <c r="B44" s="135" t="s">
        <v>200</v>
      </c>
      <c r="C44" s="136">
        <f>D14/F33</f>
        <v>3.9045055108078153E-2</v>
      </c>
      <c r="D44" s="135" t="s">
        <v>324</v>
      </c>
    </row>
    <row r="45" spans="2:9" ht="15.75" x14ac:dyDescent="0.25">
      <c r="B45" s="135" t="s">
        <v>137</v>
      </c>
      <c r="C45" s="136">
        <f>G39/E33</f>
        <v>9.4089760926471099E-3</v>
      </c>
      <c r="D45" s="135" t="s">
        <v>202</v>
      </c>
    </row>
    <row r="46" spans="2:9" ht="15.75" x14ac:dyDescent="0.25">
      <c r="B46" s="135" t="s">
        <v>203</v>
      </c>
      <c r="C46" s="136">
        <f>H39/E33</f>
        <v>2.5705375594068377E-2</v>
      </c>
      <c r="D46" s="135" t="s">
        <v>202</v>
      </c>
    </row>
    <row r="48" spans="2:9" ht="15.75" x14ac:dyDescent="0.25">
      <c r="B48" s="178" t="s">
        <v>205</v>
      </c>
      <c r="C48" s="178" t="s">
        <v>206</v>
      </c>
      <c r="D48" s="178" t="s">
        <v>138</v>
      </c>
      <c r="E48" s="178" t="s">
        <v>208</v>
      </c>
      <c r="F48" s="178"/>
      <c r="G48" s="178"/>
    </row>
    <row r="49" spans="2:6" x14ac:dyDescent="0.2">
      <c r="B49" t="s">
        <v>139</v>
      </c>
      <c r="C49" s="17">
        <v>25080</v>
      </c>
      <c r="D49" s="130">
        <v>10.75</v>
      </c>
      <c r="E49" s="133">
        <f>C49*D49</f>
        <v>269610</v>
      </c>
    </row>
    <row r="50" spans="2:6" ht="15.75" x14ac:dyDescent="0.25">
      <c r="B50" t="s">
        <v>140</v>
      </c>
      <c r="C50" s="17"/>
      <c r="D50" s="130"/>
      <c r="E50" s="133"/>
      <c r="F50" s="177" t="s">
        <v>141</v>
      </c>
    </row>
    <row r="51" spans="2:6" ht="15.75" x14ac:dyDescent="0.25">
      <c r="B51" s="178" t="s">
        <v>208</v>
      </c>
      <c r="E51" s="140">
        <f>SUM(E49:E50)</f>
        <v>269610</v>
      </c>
      <c r="F51" s="178"/>
    </row>
    <row r="52" spans="2:6" x14ac:dyDescent="0.2">
      <c r="B52" t="s">
        <v>142</v>
      </c>
    </row>
    <row r="53" spans="2:6" x14ac:dyDescent="0.2">
      <c r="D53" s="130"/>
      <c r="E53" s="133"/>
    </row>
    <row r="54" spans="2:6" ht="15.75" x14ac:dyDescent="0.25">
      <c r="B54" s="178"/>
      <c r="E54" s="140"/>
      <c r="F54" s="178"/>
    </row>
  </sheetData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workbookViewId="0"/>
  </sheetViews>
  <sheetFormatPr defaultColWidth="11.5546875" defaultRowHeight="15" x14ac:dyDescent="0.2"/>
  <cols>
    <col min="1" max="1" width="5" customWidth="1"/>
    <col min="2" max="2" width="20" customWidth="1"/>
    <col min="3" max="3" width="23.44140625" customWidth="1"/>
    <col min="4" max="4" width="18.33203125" customWidth="1"/>
    <col min="5" max="5" width="12.44140625" customWidth="1"/>
    <col min="6" max="6" width="13.88671875" customWidth="1"/>
    <col min="8" max="8" width="14.5546875" customWidth="1"/>
  </cols>
  <sheetData>
    <row r="1" spans="2:6" ht="15.75" x14ac:dyDescent="0.25">
      <c r="B1" s="178" t="s">
        <v>285</v>
      </c>
    </row>
    <row r="3" spans="2:6" ht="15.75" x14ac:dyDescent="0.25">
      <c r="B3" s="178" t="s">
        <v>143</v>
      </c>
      <c r="C3" s="178"/>
      <c r="D3" s="178"/>
      <c r="E3" s="178"/>
      <c r="F3" s="178"/>
    </row>
    <row r="4" spans="2:6" ht="15.75" x14ac:dyDescent="0.25">
      <c r="B4" s="178" t="s">
        <v>144</v>
      </c>
      <c r="E4" s="178"/>
      <c r="F4" s="178"/>
    </row>
    <row r="5" spans="2:6" x14ac:dyDescent="0.2">
      <c r="B5" t="s">
        <v>262</v>
      </c>
      <c r="C5" s="10" t="s">
        <v>281</v>
      </c>
      <c r="D5" t="s">
        <v>264</v>
      </c>
    </row>
    <row r="6" spans="2:6" x14ac:dyDescent="0.2">
      <c r="B6">
        <v>2014</v>
      </c>
      <c r="C6" s="3">
        <f>D6/D7</f>
        <v>0.83463076923076918</v>
      </c>
      <c r="D6" s="139">
        <v>54251</v>
      </c>
    </row>
    <row r="7" spans="2:6" x14ac:dyDescent="0.2">
      <c r="B7">
        <v>2015</v>
      </c>
      <c r="C7" s="3">
        <v>1</v>
      </c>
      <c r="D7" s="139">
        <v>65000</v>
      </c>
    </row>
    <row r="8" spans="2:6" x14ac:dyDescent="0.2">
      <c r="B8">
        <v>2016</v>
      </c>
      <c r="C8" s="3">
        <v>1</v>
      </c>
      <c r="D8" s="139">
        <f>D7*C8</f>
        <v>65000</v>
      </c>
    </row>
    <row r="9" spans="2:6" x14ac:dyDescent="0.2">
      <c r="C9" s="3"/>
      <c r="D9" s="139"/>
    </row>
    <row r="10" spans="2:6" ht="15.75" x14ac:dyDescent="0.25">
      <c r="B10" s="178" t="s">
        <v>292</v>
      </c>
      <c r="C10" s="3"/>
      <c r="D10" s="170">
        <f>SUM(D6:D9)</f>
        <v>184251</v>
      </c>
    </row>
    <row r="11" spans="2:6" x14ac:dyDescent="0.2">
      <c r="C11" s="3"/>
      <c r="D11" s="139"/>
    </row>
    <row r="12" spans="2:6" x14ac:dyDescent="0.2">
      <c r="C12" s="3"/>
      <c r="D12" s="139"/>
    </row>
    <row r="13" spans="2:6" ht="15.75" x14ac:dyDescent="0.25">
      <c r="B13" s="178" t="s">
        <v>145</v>
      </c>
      <c r="C13" s="178"/>
    </row>
    <row r="15" spans="2:6" x14ac:dyDescent="0.2">
      <c r="B15" t="s">
        <v>146</v>
      </c>
      <c r="C15" s="175">
        <v>13500000</v>
      </c>
    </row>
    <row r="17" spans="2:7" ht="15.75" x14ac:dyDescent="0.25">
      <c r="B17" s="178" t="s">
        <v>147</v>
      </c>
      <c r="C17" s="178" t="s">
        <v>148</v>
      </c>
      <c r="D17" s="178" t="s">
        <v>149</v>
      </c>
      <c r="E17" s="178" t="s">
        <v>150</v>
      </c>
      <c r="F17" s="178"/>
      <c r="G17" s="178"/>
    </row>
    <row r="18" spans="2:7" x14ac:dyDescent="0.2">
      <c r="B18" t="s">
        <v>151</v>
      </c>
      <c r="C18" s="3">
        <v>0.82</v>
      </c>
      <c r="D18">
        <v>1</v>
      </c>
      <c r="E18" s="7">
        <f>C15*C18*D18</f>
        <v>11070000</v>
      </c>
      <c r="F18" s="7"/>
      <c r="G18" s="17"/>
    </row>
    <row r="19" spans="2:7" x14ac:dyDescent="0.2">
      <c r="B19" t="s">
        <v>300</v>
      </c>
      <c r="C19" s="3">
        <v>0.48</v>
      </c>
      <c r="D19">
        <v>7</v>
      </c>
      <c r="E19" s="7">
        <f>C15*C19*D19</f>
        <v>45360000</v>
      </c>
      <c r="F19" s="7"/>
      <c r="G19" s="17"/>
    </row>
    <row r="20" spans="2:7" x14ac:dyDescent="0.2">
      <c r="B20" t="s">
        <v>152</v>
      </c>
      <c r="C20" s="3">
        <v>0.3</v>
      </c>
      <c r="D20">
        <v>7</v>
      </c>
      <c r="E20" s="157">
        <f>C15*C20*D20</f>
        <v>28350000</v>
      </c>
      <c r="F20" s="7"/>
      <c r="G20" s="17"/>
    </row>
    <row r="21" spans="2:7" x14ac:dyDescent="0.2">
      <c r="B21" t="s">
        <v>302</v>
      </c>
      <c r="C21" s="3">
        <v>0.6</v>
      </c>
      <c r="D21">
        <v>1</v>
      </c>
      <c r="E21" s="157">
        <f>C15*C21*D21</f>
        <v>8100000</v>
      </c>
      <c r="F21" s="7"/>
      <c r="G21" s="17"/>
    </row>
    <row r="22" spans="2:7" ht="15.75" x14ac:dyDescent="0.25">
      <c r="B22" t="s">
        <v>153</v>
      </c>
      <c r="C22" s="3">
        <v>0.99</v>
      </c>
      <c r="D22">
        <v>1</v>
      </c>
      <c r="E22" s="157">
        <f>C15*C22*D22</f>
        <v>13365000</v>
      </c>
      <c r="F22" s="7"/>
      <c r="G22" s="161"/>
    </row>
    <row r="23" spans="2:7" ht="15.75" x14ac:dyDescent="0.25">
      <c r="D23" s="162" t="s">
        <v>265</v>
      </c>
      <c r="E23" s="153">
        <f>SUM(E18:E22)</f>
        <v>106245000</v>
      </c>
      <c r="F23" s="7"/>
      <c r="G23" s="7"/>
    </row>
    <row r="24" spans="2:7" x14ac:dyDescent="0.2">
      <c r="D24" s="4"/>
      <c r="E24" s="7"/>
      <c r="F24" s="7"/>
    </row>
    <row r="25" spans="2:7" x14ac:dyDescent="0.2">
      <c r="B25" t="s">
        <v>223</v>
      </c>
      <c r="C25" s="3">
        <v>0.46</v>
      </c>
      <c r="D25">
        <v>1</v>
      </c>
      <c r="E25" s="7">
        <f>C15*C25*D25</f>
        <v>6210000</v>
      </c>
      <c r="F25" s="7"/>
    </row>
    <row r="26" spans="2:7" x14ac:dyDescent="0.2">
      <c r="B26" t="s">
        <v>154</v>
      </c>
      <c r="C26" s="3">
        <v>0.24</v>
      </c>
      <c r="D26">
        <v>1</v>
      </c>
      <c r="E26" s="7">
        <f>C15*C26*D26</f>
        <v>3240000</v>
      </c>
      <c r="F26" s="7"/>
    </row>
    <row r="27" spans="2:7" x14ac:dyDescent="0.2">
      <c r="B27" t="s">
        <v>155</v>
      </c>
      <c r="C27" s="3">
        <v>0.23</v>
      </c>
      <c r="D27">
        <v>1</v>
      </c>
      <c r="E27" s="7">
        <f>C15*C27*D27</f>
        <v>3105000</v>
      </c>
      <c r="F27" s="7"/>
    </row>
    <row r="28" spans="2:7" x14ac:dyDescent="0.2">
      <c r="B28" t="s">
        <v>224</v>
      </c>
      <c r="C28" s="3">
        <v>0.21</v>
      </c>
      <c r="D28">
        <v>1</v>
      </c>
      <c r="E28" s="7">
        <f>C15*C28*D28</f>
        <v>2835000</v>
      </c>
      <c r="F28" s="7"/>
    </row>
    <row r="29" spans="2:7" x14ac:dyDescent="0.2">
      <c r="B29" t="s">
        <v>156</v>
      </c>
      <c r="C29" s="3">
        <v>0.21</v>
      </c>
      <c r="D29">
        <v>7</v>
      </c>
      <c r="E29" s="157">
        <f>C15*C29*D29</f>
        <v>19845000</v>
      </c>
      <c r="F29" s="7"/>
    </row>
    <row r="30" spans="2:7" x14ac:dyDescent="0.2">
      <c r="C30" s="3"/>
      <c r="E30" s="157">
        <f>SUM(E25:E29)</f>
        <v>35235000</v>
      </c>
      <c r="F30" s="7"/>
    </row>
    <row r="31" spans="2:7" x14ac:dyDescent="0.2">
      <c r="C31" s="3"/>
      <c r="D31" s="171" t="s">
        <v>310</v>
      </c>
      <c r="E31" s="172">
        <f>E23-E30</f>
        <v>71010000</v>
      </c>
      <c r="F31" s="7"/>
    </row>
    <row r="32" spans="2:7" x14ac:dyDescent="0.2">
      <c r="B32" t="s">
        <v>157</v>
      </c>
    </row>
    <row r="33" spans="2:8" x14ac:dyDescent="0.2">
      <c r="B33" t="s">
        <v>158</v>
      </c>
    </row>
    <row r="36" spans="2:8" ht="15.75" x14ac:dyDescent="0.25">
      <c r="B36" s="178" t="s">
        <v>159</v>
      </c>
    </row>
    <row r="38" spans="2:8" ht="30" x14ac:dyDescent="0.2">
      <c r="B38" s="10" t="s">
        <v>160</v>
      </c>
      <c r="C38" s="11" t="s">
        <v>161</v>
      </c>
      <c r="D38" s="10" t="s">
        <v>273</v>
      </c>
      <c r="E38" s="10" t="s">
        <v>316</v>
      </c>
      <c r="F38" s="10" t="s">
        <v>275</v>
      </c>
      <c r="G38" s="10" t="s">
        <v>317</v>
      </c>
      <c r="H38" s="10" t="s">
        <v>318</v>
      </c>
    </row>
    <row r="39" spans="2:8" x14ac:dyDescent="0.2">
      <c r="B39" t="s">
        <v>230</v>
      </c>
      <c r="C39" s="139">
        <v>5339000</v>
      </c>
      <c r="D39" s="7">
        <v>126206</v>
      </c>
      <c r="E39" s="7">
        <v>37400</v>
      </c>
      <c r="F39" s="7">
        <v>36000</v>
      </c>
      <c r="G39" s="172">
        <v>199606</v>
      </c>
      <c r="H39" s="172">
        <f>C39+G39</f>
        <v>5538606</v>
      </c>
    </row>
    <row r="40" spans="2:8" x14ac:dyDescent="0.2">
      <c r="B40" t="s">
        <v>162</v>
      </c>
      <c r="G40" t="s">
        <v>321</v>
      </c>
    </row>
    <row r="41" spans="2:8" x14ac:dyDescent="0.2">
      <c r="B41" t="s">
        <v>163</v>
      </c>
    </row>
    <row r="43" spans="2:8" ht="15.75" x14ac:dyDescent="0.25">
      <c r="B43" s="173" t="s">
        <v>164</v>
      </c>
      <c r="C43" s="174">
        <f>D10/E31</f>
        <v>2.5947190536544148E-3</v>
      </c>
      <c r="D43" s="173" t="s">
        <v>165</v>
      </c>
    </row>
    <row r="44" spans="2:8" ht="15.75" x14ac:dyDescent="0.25">
      <c r="B44" s="173" t="s">
        <v>166</v>
      </c>
      <c r="C44" s="174"/>
      <c r="D44" s="173" t="s">
        <v>165</v>
      </c>
    </row>
    <row r="45" spans="2:8" ht="15.75" x14ac:dyDescent="0.25">
      <c r="B45" s="173" t="s">
        <v>137</v>
      </c>
      <c r="C45" s="174">
        <f>G39/E31</f>
        <v>2.8109562033516405E-3</v>
      </c>
      <c r="D45" s="173" t="s">
        <v>167</v>
      </c>
    </row>
    <row r="46" spans="2:8" ht="15.75" x14ac:dyDescent="0.25">
      <c r="B46" s="173" t="s">
        <v>168</v>
      </c>
      <c r="C46" s="174">
        <f>H39/E31</f>
        <v>7.7997549640895655E-2</v>
      </c>
      <c r="D46" s="173" t="s">
        <v>167</v>
      </c>
    </row>
    <row r="48" spans="2:8" ht="15.75" x14ac:dyDescent="0.25">
      <c r="B48" s="178" t="s">
        <v>169</v>
      </c>
    </row>
    <row r="49" spans="2:8" ht="15.75" x14ac:dyDescent="0.25">
      <c r="B49" s="178" t="s">
        <v>170</v>
      </c>
      <c r="C49" s="178" t="s">
        <v>171</v>
      </c>
      <c r="D49" s="178" t="s">
        <v>172</v>
      </c>
      <c r="E49" s="178" t="s">
        <v>292</v>
      </c>
      <c r="H49" s="178"/>
    </row>
    <row r="50" spans="2:8" x14ac:dyDescent="0.2">
      <c r="B50" t="s">
        <v>173</v>
      </c>
      <c r="C50" s="17"/>
      <c r="D50" s="130"/>
      <c r="E50" s="139"/>
    </row>
    <row r="51" spans="2:8" x14ac:dyDescent="0.2">
      <c r="B51" t="s">
        <v>174</v>
      </c>
      <c r="C51" s="17"/>
      <c r="D51" s="130"/>
      <c r="E51" s="139"/>
    </row>
    <row r="52" spans="2:8" x14ac:dyDescent="0.2">
      <c r="B52" t="s">
        <v>301</v>
      </c>
      <c r="C52" s="17"/>
      <c r="D52" s="130"/>
      <c r="E52" s="139"/>
    </row>
    <row r="53" spans="2:8" x14ac:dyDescent="0.2">
      <c r="B53" t="s">
        <v>175</v>
      </c>
      <c r="C53" s="17"/>
      <c r="D53" s="130"/>
      <c r="E53" s="139"/>
    </row>
    <row r="54" spans="2:8" x14ac:dyDescent="0.2">
      <c r="C54" s="17"/>
      <c r="D54" s="130"/>
      <c r="E54" s="139"/>
    </row>
  </sheetData>
  <phoneticPr fontId="18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workbookViewId="0"/>
  </sheetViews>
  <sheetFormatPr defaultColWidth="11.5546875" defaultRowHeight="15" x14ac:dyDescent="0.2"/>
  <cols>
    <col min="1" max="1" width="5" customWidth="1"/>
    <col min="2" max="2" width="20" customWidth="1"/>
    <col min="3" max="3" width="23.44140625" customWidth="1"/>
    <col min="4" max="4" width="18.33203125" customWidth="1"/>
    <col min="5" max="5" width="12.44140625" customWidth="1"/>
    <col min="6" max="6" width="13.88671875" customWidth="1"/>
    <col min="8" max="8" width="14.5546875" customWidth="1"/>
  </cols>
  <sheetData>
    <row r="1" spans="2:6" ht="15.75" x14ac:dyDescent="0.25">
      <c r="B1" s="178" t="s">
        <v>325</v>
      </c>
    </row>
    <row r="3" spans="2:6" ht="15.75" x14ac:dyDescent="0.25">
      <c r="B3" s="178" t="s">
        <v>143</v>
      </c>
      <c r="C3" s="178"/>
      <c r="D3" s="178"/>
      <c r="E3" s="178"/>
      <c r="F3" s="178"/>
    </row>
    <row r="4" spans="2:6" ht="15.75" x14ac:dyDescent="0.25">
      <c r="B4" s="178" t="s">
        <v>144</v>
      </c>
      <c r="E4" s="178"/>
      <c r="F4" s="178"/>
    </row>
    <row r="5" spans="2:6" x14ac:dyDescent="0.2">
      <c r="B5" t="s">
        <v>262</v>
      </c>
      <c r="C5" s="10" t="s">
        <v>281</v>
      </c>
      <c r="D5" t="s">
        <v>264</v>
      </c>
    </row>
    <row r="6" spans="2:6" x14ac:dyDescent="0.2">
      <c r="B6">
        <v>2014</v>
      </c>
      <c r="C6" s="3">
        <f>D6/D7</f>
        <v>0.67004153686396672</v>
      </c>
      <c r="D6" s="139">
        <v>51620</v>
      </c>
    </row>
    <row r="7" spans="2:6" x14ac:dyDescent="0.2">
      <c r="B7">
        <v>2015</v>
      </c>
      <c r="C7" s="3">
        <v>1</v>
      </c>
      <c r="D7" s="139">
        <v>77040</v>
      </c>
    </row>
    <row r="8" spans="2:6" x14ac:dyDescent="0.2">
      <c r="B8">
        <v>2016</v>
      </c>
      <c r="C8" s="3">
        <v>1</v>
      </c>
      <c r="D8" s="139">
        <f>D7*C8</f>
        <v>77040</v>
      </c>
    </row>
    <row r="9" spans="2:6" x14ac:dyDescent="0.2">
      <c r="C9" s="3"/>
      <c r="D9" s="139"/>
    </row>
    <row r="10" spans="2:6" ht="15.75" x14ac:dyDescent="0.25">
      <c r="B10" s="178" t="s">
        <v>292</v>
      </c>
      <c r="C10" s="3"/>
      <c r="D10" s="170">
        <f>SUM(D6:D9)</f>
        <v>205700</v>
      </c>
    </row>
    <row r="11" spans="2:6" x14ac:dyDescent="0.2">
      <c r="C11" s="3"/>
      <c r="D11" s="139"/>
    </row>
    <row r="12" spans="2:6" x14ac:dyDescent="0.2">
      <c r="C12" s="3"/>
      <c r="D12" s="139"/>
    </row>
    <row r="13" spans="2:6" ht="15.75" x14ac:dyDescent="0.25">
      <c r="B13" s="178" t="s">
        <v>145</v>
      </c>
      <c r="C13" s="178"/>
    </row>
    <row r="15" spans="2:6" x14ac:dyDescent="0.2">
      <c r="B15" t="s">
        <v>176</v>
      </c>
      <c r="C15" s="175">
        <v>6000000</v>
      </c>
    </row>
    <row r="17" spans="2:7" ht="15.75" x14ac:dyDescent="0.25">
      <c r="B17" s="178" t="s">
        <v>147</v>
      </c>
      <c r="C17" s="178" t="s">
        <v>148</v>
      </c>
      <c r="D17" s="178" t="s">
        <v>149</v>
      </c>
      <c r="E17" s="178" t="s">
        <v>150</v>
      </c>
      <c r="F17" s="178"/>
      <c r="G17" s="178"/>
    </row>
    <row r="18" spans="2:7" x14ac:dyDescent="0.2">
      <c r="B18" t="s">
        <v>151</v>
      </c>
      <c r="C18" s="3">
        <v>0.02</v>
      </c>
      <c r="D18">
        <v>1</v>
      </c>
      <c r="E18" s="7">
        <f>C15*C18*D18</f>
        <v>120000</v>
      </c>
      <c r="F18" s="7"/>
      <c r="G18" s="17"/>
    </row>
    <row r="19" spans="2:7" x14ac:dyDescent="0.2">
      <c r="B19" t="s">
        <v>152</v>
      </c>
      <c r="C19" s="3">
        <v>0.65</v>
      </c>
      <c r="D19">
        <v>7</v>
      </c>
      <c r="E19" s="157">
        <f>C15*C19*D19</f>
        <v>27300000</v>
      </c>
      <c r="F19" s="7"/>
      <c r="G19" s="17"/>
    </row>
    <row r="20" spans="2:7" x14ac:dyDescent="0.2">
      <c r="B20" t="s">
        <v>302</v>
      </c>
      <c r="C20" s="3">
        <v>0.53</v>
      </c>
      <c r="D20">
        <v>1</v>
      </c>
      <c r="E20" s="157">
        <f>C15*C20*D20</f>
        <v>3180000</v>
      </c>
      <c r="F20" s="7"/>
      <c r="G20" s="17"/>
    </row>
    <row r="21" spans="2:7" ht="15.75" x14ac:dyDescent="0.25">
      <c r="B21" t="s">
        <v>153</v>
      </c>
      <c r="C21" s="3">
        <v>0.99</v>
      </c>
      <c r="D21">
        <v>1</v>
      </c>
      <c r="E21" s="157">
        <f>C15*C21*D21</f>
        <v>5940000</v>
      </c>
      <c r="F21" s="7"/>
      <c r="G21" s="161"/>
    </row>
    <row r="22" spans="2:7" ht="15.75" x14ac:dyDescent="0.25">
      <c r="D22" s="162" t="s">
        <v>265</v>
      </c>
      <c r="E22" s="153">
        <f>SUM(E18:E21)</f>
        <v>36540000</v>
      </c>
      <c r="F22" s="7"/>
      <c r="G22" s="7"/>
    </row>
    <row r="23" spans="2:7" x14ac:dyDescent="0.2">
      <c r="D23" s="4"/>
      <c r="E23" s="7"/>
      <c r="F23" s="7"/>
    </row>
    <row r="24" spans="2:7" x14ac:dyDescent="0.2">
      <c r="B24" t="s">
        <v>177</v>
      </c>
      <c r="C24" s="3">
        <v>0.23</v>
      </c>
      <c r="D24">
        <v>1</v>
      </c>
      <c r="E24" s="7">
        <f>C15*C24*D24</f>
        <v>1380000</v>
      </c>
      <c r="F24" s="7"/>
    </row>
    <row r="25" spans="2:7" x14ac:dyDescent="0.2">
      <c r="C25" s="3"/>
      <c r="E25" s="157">
        <f>SUM(E24:E24)</f>
        <v>1380000</v>
      </c>
      <c r="F25" s="7"/>
    </row>
    <row r="26" spans="2:7" x14ac:dyDescent="0.2">
      <c r="C26" s="3"/>
      <c r="D26" s="171" t="s">
        <v>310</v>
      </c>
      <c r="E26" s="172">
        <f>E22-E25</f>
        <v>35160000</v>
      </c>
      <c r="F26" s="7"/>
    </row>
    <row r="27" spans="2:7" x14ac:dyDescent="0.2">
      <c r="B27" t="s">
        <v>178</v>
      </c>
    </row>
    <row r="28" spans="2:7" x14ac:dyDescent="0.2">
      <c r="B28" t="s">
        <v>158</v>
      </c>
    </row>
    <row r="31" spans="2:7" ht="15.75" x14ac:dyDescent="0.25">
      <c r="B31" s="178" t="s">
        <v>159</v>
      </c>
    </row>
    <row r="33" spans="2:8" ht="30" x14ac:dyDescent="0.2">
      <c r="B33" s="10" t="s">
        <v>160</v>
      </c>
      <c r="C33" s="11" t="s">
        <v>161</v>
      </c>
      <c r="D33" s="10" t="s">
        <v>273</v>
      </c>
      <c r="E33" s="10" t="s">
        <v>316</v>
      </c>
      <c r="F33" s="10" t="s">
        <v>275</v>
      </c>
      <c r="G33" s="10" t="s">
        <v>317</v>
      </c>
      <c r="H33" s="10" t="s">
        <v>318</v>
      </c>
    </row>
    <row r="34" spans="2:8" x14ac:dyDescent="0.2">
      <c r="B34" t="s">
        <v>230</v>
      </c>
      <c r="C34" s="139">
        <f>E45+100000</f>
        <v>100000</v>
      </c>
      <c r="D34" s="7">
        <v>126206</v>
      </c>
      <c r="E34" s="7">
        <v>37400</v>
      </c>
      <c r="F34" s="7">
        <v>50000</v>
      </c>
      <c r="G34" s="172">
        <f>SUM(D34+E34+F34)</f>
        <v>213606</v>
      </c>
      <c r="H34" s="172">
        <f>C34+G34</f>
        <v>313606</v>
      </c>
    </row>
    <row r="35" spans="2:8" x14ac:dyDescent="0.2">
      <c r="B35" t="s">
        <v>162</v>
      </c>
      <c r="G35" t="s">
        <v>321</v>
      </c>
    </row>
    <row r="36" spans="2:8" x14ac:dyDescent="0.2">
      <c r="B36" t="s">
        <v>179</v>
      </c>
    </row>
    <row r="38" spans="2:8" ht="15.75" x14ac:dyDescent="0.25">
      <c r="B38" s="173" t="s">
        <v>164</v>
      </c>
      <c r="C38" s="174">
        <f>D10/E26</f>
        <v>5.8503981797497157E-3</v>
      </c>
      <c r="D38" s="173" t="s">
        <v>165</v>
      </c>
    </row>
    <row r="39" spans="2:8" ht="15.75" x14ac:dyDescent="0.25">
      <c r="B39" s="173" t="s">
        <v>166</v>
      </c>
      <c r="C39" s="174"/>
      <c r="D39" s="173" t="s">
        <v>165</v>
      </c>
    </row>
    <row r="40" spans="2:8" ht="15.75" x14ac:dyDescent="0.25">
      <c r="B40" s="173" t="s">
        <v>137</v>
      </c>
      <c r="C40" s="174">
        <f>G34/E26</f>
        <v>6.0752559726962455E-3</v>
      </c>
      <c r="D40" s="173" t="s">
        <v>167</v>
      </c>
    </row>
    <row r="41" spans="2:8" ht="15.75" x14ac:dyDescent="0.25">
      <c r="B41" s="173" t="s">
        <v>168</v>
      </c>
      <c r="C41" s="174">
        <f>H34/E26</f>
        <v>8.919397042093288E-3</v>
      </c>
      <c r="D41" s="173" t="s">
        <v>167</v>
      </c>
    </row>
    <row r="43" spans="2:8" ht="15.75" x14ac:dyDescent="0.25">
      <c r="B43" s="178" t="s">
        <v>169</v>
      </c>
    </row>
    <row r="44" spans="2:8" ht="15.75" x14ac:dyDescent="0.25">
      <c r="B44" s="178" t="s">
        <v>170</v>
      </c>
      <c r="C44" s="178" t="s">
        <v>171</v>
      </c>
      <c r="D44" s="178" t="s">
        <v>172</v>
      </c>
      <c r="E44" s="178" t="s">
        <v>292</v>
      </c>
      <c r="H44" s="178"/>
    </row>
    <row r="45" spans="2:8" x14ac:dyDescent="0.2">
      <c r="B45" t="s">
        <v>175</v>
      </c>
      <c r="C45" s="17"/>
      <c r="D45" s="130"/>
      <c r="E45" s="139"/>
    </row>
    <row r="46" spans="2:8" x14ac:dyDescent="0.2">
      <c r="B46" t="s">
        <v>174</v>
      </c>
      <c r="C46" s="17"/>
      <c r="D46" s="130"/>
      <c r="E46" s="139"/>
    </row>
    <row r="47" spans="2:8" x14ac:dyDescent="0.2">
      <c r="B47" t="s">
        <v>301</v>
      </c>
      <c r="C47" s="17"/>
      <c r="D47" s="130"/>
      <c r="E47" s="139"/>
    </row>
    <row r="48" spans="2:8" x14ac:dyDescent="0.2">
      <c r="B48" t="s">
        <v>302</v>
      </c>
      <c r="C48" s="17"/>
      <c r="D48" s="130"/>
      <c r="E48" s="139"/>
    </row>
    <row r="49" spans="3:5" x14ac:dyDescent="0.2">
      <c r="C49" s="17"/>
      <c r="D49" s="130"/>
      <c r="E49" s="139"/>
    </row>
  </sheetData>
  <phoneticPr fontId="18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workbookViewId="0"/>
  </sheetViews>
  <sheetFormatPr defaultColWidth="11.5546875" defaultRowHeight="15" x14ac:dyDescent="0.2"/>
  <cols>
    <col min="1" max="1" width="5" customWidth="1"/>
    <col min="2" max="2" width="17.109375" customWidth="1"/>
    <col min="3" max="3" width="23.44140625" customWidth="1"/>
    <col min="4" max="4" width="16.88671875" customWidth="1"/>
    <col min="5" max="5" width="14.33203125" customWidth="1"/>
    <col min="6" max="6" width="13.109375" customWidth="1"/>
  </cols>
  <sheetData>
    <row r="1" spans="2:6" ht="15.75" x14ac:dyDescent="0.25">
      <c r="B1" s="178" t="s">
        <v>283</v>
      </c>
    </row>
    <row r="3" spans="2:6" ht="15.75" x14ac:dyDescent="0.25">
      <c r="B3" s="178" t="s">
        <v>143</v>
      </c>
      <c r="C3" s="178"/>
      <c r="D3" s="178"/>
      <c r="E3" s="178"/>
      <c r="F3" s="178"/>
    </row>
    <row r="4" spans="2:6" ht="15.75" x14ac:dyDescent="0.25">
      <c r="B4" s="178" t="s">
        <v>144</v>
      </c>
      <c r="E4" s="178"/>
      <c r="F4" s="178"/>
    </row>
    <row r="5" spans="2:6" x14ac:dyDescent="0.2">
      <c r="B5" t="s">
        <v>262</v>
      </c>
      <c r="C5" s="10" t="s">
        <v>281</v>
      </c>
      <c r="D5" t="s">
        <v>264</v>
      </c>
    </row>
    <row r="6" spans="2:6" x14ac:dyDescent="0.2">
      <c r="B6">
        <v>2014</v>
      </c>
      <c r="C6" s="3">
        <v>1</v>
      </c>
      <c r="D6" s="139">
        <v>87540</v>
      </c>
    </row>
    <row r="7" spans="2:6" x14ac:dyDescent="0.2">
      <c r="B7">
        <v>2015</v>
      </c>
      <c r="C7" s="3">
        <f>D7/D6</f>
        <v>0.94602467443454419</v>
      </c>
      <c r="D7" s="139">
        <v>82815</v>
      </c>
    </row>
    <row r="8" spans="2:6" x14ac:dyDescent="0.2">
      <c r="B8">
        <v>2016</v>
      </c>
      <c r="C8" s="3">
        <v>0.8</v>
      </c>
      <c r="D8" s="139">
        <f>D7*C8</f>
        <v>66252</v>
      </c>
    </row>
    <row r="9" spans="2:6" x14ac:dyDescent="0.2">
      <c r="C9" s="3"/>
      <c r="D9" s="139"/>
    </row>
    <row r="10" spans="2:6" ht="15.75" x14ac:dyDescent="0.25">
      <c r="B10" s="178" t="s">
        <v>292</v>
      </c>
      <c r="C10" s="3"/>
      <c r="D10" s="170">
        <f>SUM(D6:D9)</f>
        <v>236607</v>
      </c>
    </row>
    <row r="11" spans="2:6" x14ac:dyDescent="0.2">
      <c r="C11" s="3"/>
      <c r="D11" s="139"/>
    </row>
    <row r="12" spans="2:6" x14ac:dyDescent="0.2">
      <c r="C12" s="3"/>
      <c r="D12" s="139"/>
    </row>
    <row r="13" spans="2:6" ht="15.75" x14ac:dyDescent="0.25">
      <c r="B13" s="178" t="s">
        <v>145</v>
      </c>
      <c r="C13" s="178"/>
    </row>
    <row r="15" spans="2:6" x14ac:dyDescent="0.2">
      <c r="B15" t="s">
        <v>180</v>
      </c>
      <c r="C15" s="7">
        <v>13000000</v>
      </c>
    </row>
    <row r="17" spans="2:7" ht="15.75" x14ac:dyDescent="0.25">
      <c r="B17" s="178" t="s">
        <v>147</v>
      </c>
      <c r="C17" s="178" t="s">
        <v>148</v>
      </c>
      <c r="D17" s="178" t="s">
        <v>149</v>
      </c>
      <c r="E17" s="178" t="s">
        <v>150</v>
      </c>
      <c r="F17" s="178"/>
      <c r="G17" s="178"/>
    </row>
    <row r="18" spans="2:7" x14ac:dyDescent="0.2">
      <c r="B18" t="s">
        <v>151</v>
      </c>
      <c r="C18" s="3">
        <v>0.82</v>
      </c>
      <c r="D18">
        <v>1</v>
      </c>
      <c r="E18" s="7">
        <f>C15*C18*D18</f>
        <v>10660000</v>
      </c>
      <c r="F18" s="7"/>
      <c r="G18" s="17"/>
    </row>
    <row r="19" spans="2:7" x14ac:dyDescent="0.2">
      <c r="B19" t="s">
        <v>300</v>
      </c>
      <c r="C19" s="3">
        <v>0.48</v>
      </c>
      <c r="D19">
        <v>7</v>
      </c>
      <c r="E19" s="7">
        <f>C15*C19*D19</f>
        <v>43680000</v>
      </c>
      <c r="F19" s="7"/>
      <c r="G19" s="17"/>
    </row>
    <row r="20" spans="2:7" x14ac:dyDescent="0.2">
      <c r="B20" t="s">
        <v>152</v>
      </c>
      <c r="C20" s="3">
        <v>0.3</v>
      </c>
      <c r="D20">
        <v>7</v>
      </c>
      <c r="E20" s="7">
        <f>C15*C20*D20</f>
        <v>27300000</v>
      </c>
      <c r="F20" s="7"/>
      <c r="G20" s="17"/>
    </row>
    <row r="21" spans="2:7" x14ac:dyDescent="0.2">
      <c r="B21" t="s">
        <v>302</v>
      </c>
      <c r="C21" s="3">
        <v>0.44</v>
      </c>
      <c r="D21">
        <v>2</v>
      </c>
      <c r="E21" s="157">
        <f>C15*C21*D21</f>
        <v>11440000</v>
      </c>
      <c r="F21" s="7"/>
      <c r="G21" s="17"/>
    </row>
    <row r="22" spans="2:7" ht="15.75" x14ac:dyDescent="0.25">
      <c r="B22" t="s">
        <v>153</v>
      </c>
      <c r="C22" s="3">
        <v>0.99</v>
      </c>
      <c r="D22">
        <v>1</v>
      </c>
      <c r="E22" s="157">
        <f>C15*C22*D22</f>
        <v>12870000</v>
      </c>
      <c r="F22" s="7"/>
      <c r="G22" s="161"/>
    </row>
    <row r="23" spans="2:7" ht="15.75" x14ac:dyDescent="0.25">
      <c r="D23" s="162" t="s">
        <v>265</v>
      </c>
      <c r="E23" s="153">
        <f>SUM(E18:E22)</f>
        <v>105950000</v>
      </c>
      <c r="F23" s="7"/>
      <c r="G23" s="7">
        <v>51336355</v>
      </c>
    </row>
    <row r="24" spans="2:7" x14ac:dyDescent="0.2">
      <c r="D24" s="4"/>
      <c r="E24" s="7"/>
      <c r="F24" s="7"/>
    </row>
    <row r="25" spans="2:7" x14ac:dyDescent="0.2">
      <c r="B25" t="s">
        <v>223</v>
      </c>
      <c r="C25" s="3">
        <v>0.4</v>
      </c>
      <c r="D25">
        <v>1</v>
      </c>
      <c r="E25" s="7">
        <f>C15*C25*D25</f>
        <v>5200000</v>
      </c>
      <c r="F25" s="7"/>
    </row>
    <row r="26" spans="2:7" x14ac:dyDescent="0.2">
      <c r="B26" t="s">
        <v>154</v>
      </c>
      <c r="C26" s="3">
        <v>0.24</v>
      </c>
      <c r="D26">
        <v>1</v>
      </c>
      <c r="E26" s="7">
        <f>C15*C26*D26</f>
        <v>3120000</v>
      </c>
      <c r="F26" s="7"/>
    </row>
    <row r="27" spans="2:7" x14ac:dyDescent="0.2">
      <c r="B27" t="s">
        <v>155</v>
      </c>
      <c r="C27" s="3">
        <v>0.23</v>
      </c>
      <c r="D27">
        <v>1</v>
      </c>
      <c r="E27" s="157">
        <f>C15*C27*D27</f>
        <v>2990000</v>
      </c>
      <c r="F27" s="7"/>
    </row>
    <row r="28" spans="2:7" x14ac:dyDescent="0.2">
      <c r="B28" t="s">
        <v>224</v>
      </c>
      <c r="C28" s="3">
        <v>0.21</v>
      </c>
      <c r="D28">
        <v>1</v>
      </c>
      <c r="E28" s="157">
        <f>C15*C28*D28</f>
        <v>2730000</v>
      </c>
      <c r="F28" s="7"/>
    </row>
    <row r="29" spans="2:7" x14ac:dyDescent="0.2">
      <c r="B29" t="s">
        <v>181</v>
      </c>
      <c r="C29" s="3">
        <v>0.21</v>
      </c>
      <c r="D29">
        <v>7</v>
      </c>
      <c r="E29" s="157">
        <f>C15*C29*D29</f>
        <v>19110000</v>
      </c>
      <c r="F29" s="7"/>
    </row>
    <row r="30" spans="2:7" x14ac:dyDescent="0.2">
      <c r="C30" s="3"/>
      <c r="E30" s="157">
        <f>SUM(E25:E29)</f>
        <v>33150000</v>
      </c>
      <c r="F30" s="7"/>
    </row>
    <row r="31" spans="2:7" x14ac:dyDescent="0.2">
      <c r="C31" s="3"/>
      <c r="D31" s="171" t="s">
        <v>310</v>
      </c>
      <c r="E31" s="172">
        <f>E23-E30</f>
        <v>72800000</v>
      </c>
      <c r="F31" s="7"/>
    </row>
    <row r="32" spans="2:7" x14ac:dyDescent="0.2">
      <c r="B32" t="s">
        <v>182</v>
      </c>
    </row>
    <row r="33" spans="2:8" x14ac:dyDescent="0.2">
      <c r="B33" t="s">
        <v>158</v>
      </c>
    </row>
    <row r="36" spans="2:8" ht="15.75" x14ac:dyDescent="0.25">
      <c r="B36" s="178" t="s">
        <v>159</v>
      </c>
    </row>
    <row r="38" spans="2:8" ht="45" x14ac:dyDescent="0.2">
      <c r="B38" s="10" t="s">
        <v>160</v>
      </c>
      <c r="C38" s="11" t="s">
        <v>161</v>
      </c>
      <c r="D38" s="10" t="s">
        <v>273</v>
      </c>
      <c r="E38" s="10" t="s">
        <v>316</v>
      </c>
      <c r="F38" s="10" t="s">
        <v>275</v>
      </c>
      <c r="G38" s="10" t="s">
        <v>317</v>
      </c>
      <c r="H38" s="10" t="s">
        <v>318</v>
      </c>
    </row>
    <row r="39" spans="2:8" x14ac:dyDescent="0.2">
      <c r="B39" t="s">
        <v>230</v>
      </c>
      <c r="C39" s="139">
        <f>E53+160+800000</f>
        <v>5339295</v>
      </c>
      <c r="D39" s="7">
        <v>126206</v>
      </c>
      <c r="E39" s="7">
        <v>37400</v>
      </c>
      <c r="F39" s="7">
        <v>50000</v>
      </c>
      <c r="G39" s="172">
        <f>D39+E39+F39</f>
        <v>213606</v>
      </c>
      <c r="H39" s="172">
        <f>G39+C39</f>
        <v>5552901</v>
      </c>
    </row>
    <row r="40" spans="2:8" x14ac:dyDescent="0.2">
      <c r="B40" t="s">
        <v>162</v>
      </c>
      <c r="G40" t="s">
        <v>321</v>
      </c>
    </row>
    <row r="41" spans="2:8" x14ac:dyDescent="0.2">
      <c r="B41" t="s">
        <v>183</v>
      </c>
    </row>
    <row r="43" spans="2:8" ht="15.75" x14ac:dyDescent="0.25">
      <c r="B43" s="173" t="s">
        <v>164</v>
      </c>
      <c r="C43" s="174">
        <f>D10/E31</f>
        <v>3.2500961538461538E-3</v>
      </c>
      <c r="D43" s="173" t="s">
        <v>165</v>
      </c>
      <c r="E43" s="176"/>
    </row>
    <row r="44" spans="2:8" ht="15.75" x14ac:dyDescent="0.25">
      <c r="B44" s="173" t="s">
        <v>166</v>
      </c>
      <c r="C44" s="174"/>
      <c r="D44" s="173" t="s">
        <v>165</v>
      </c>
      <c r="E44" s="176"/>
    </row>
    <row r="45" spans="2:8" ht="15.75" x14ac:dyDescent="0.25">
      <c r="B45" s="173" t="s">
        <v>137</v>
      </c>
      <c r="C45" s="174">
        <f>G39/E31</f>
        <v>2.9341483516483516E-3</v>
      </c>
      <c r="D45" s="173" t="s">
        <v>167</v>
      </c>
      <c r="E45" s="176"/>
    </row>
    <row r="46" spans="2:8" ht="15.75" x14ac:dyDescent="0.25">
      <c r="B46" s="173" t="s">
        <v>168</v>
      </c>
      <c r="C46" s="174">
        <f>H39/E31</f>
        <v>7.6276112637362642E-2</v>
      </c>
      <c r="D46" s="173" t="s">
        <v>167</v>
      </c>
      <c r="E46" s="176"/>
    </row>
    <row r="48" spans="2:8" ht="15.75" x14ac:dyDescent="0.25">
      <c r="B48" s="178" t="s">
        <v>169</v>
      </c>
    </row>
    <row r="49" spans="2:8" ht="15.75" x14ac:dyDescent="0.25">
      <c r="B49" s="178" t="s">
        <v>170</v>
      </c>
      <c r="C49" s="178" t="s">
        <v>171</v>
      </c>
      <c r="D49" s="178" t="s">
        <v>172</v>
      </c>
      <c r="E49" s="178" t="s">
        <v>292</v>
      </c>
      <c r="H49" s="178"/>
    </row>
    <row r="50" spans="2:8" x14ac:dyDescent="0.2">
      <c r="B50" t="s">
        <v>302</v>
      </c>
      <c r="C50" s="17"/>
      <c r="D50" s="130">
        <v>12.2</v>
      </c>
      <c r="E50" s="139">
        <v>1900900</v>
      </c>
    </row>
    <row r="51" spans="2:8" x14ac:dyDescent="0.2">
      <c r="B51" t="s">
        <v>184</v>
      </c>
      <c r="C51" s="17">
        <v>39960</v>
      </c>
      <c r="D51" s="130">
        <v>2</v>
      </c>
      <c r="E51" s="139">
        <f>C51*D51</f>
        <v>79920</v>
      </c>
    </row>
    <row r="52" spans="2:8" x14ac:dyDescent="0.2">
      <c r="B52" t="s">
        <v>301</v>
      </c>
      <c r="C52" s="17"/>
      <c r="D52" s="130"/>
      <c r="E52" s="139">
        <v>2558315</v>
      </c>
    </row>
    <row r="53" spans="2:8" x14ac:dyDescent="0.2">
      <c r="C53" s="17"/>
      <c r="D53" s="130"/>
      <c r="E53" s="139">
        <f>SUM(E50:E52)</f>
        <v>4539135</v>
      </c>
    </row>
    <row r="54" spans="2:8" x14ac:dyDescent="0.2">
      <c r="C54" s="17"/>
      <c r="D54" s="130"/>
      <c r="E54" s="139"/>
    </row>
  </sheetData>
  <phoneticPr fontId="18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/>
  </sheetViews>
  <sheetFormatPr defaultColWidth="7.5546875" defaultRowHeight="12.75" outlineLevelCol="1" x14ac:dyDescent="0.2"/>
  <cols>
    <col min="1" max="1" width="38.6640625" style="19" customWidth="1"/>
    <col min="2" max="2" width="34.44140625" style="19" customWidth="1" outlineLevel="1"/>
    <col min="3" max="3" width="9.6640625" style="19" customWidth="1" outlineLevel="1"/>
    <col min="4" max="4" width="10.5546875" style="19" customWidth="1" outlineLevel="1"/>
    <col min="5" max="5" width="16" style="21" customWidth="1" outlineLevel="1"/>
    <col min="6" max="6" width="10" style="19" customWidth="1"/>
    <col min="7" max="7" width="11.5546875" style="19" customWidth="1"/>
    <col min="8" max="8" width="11.6640625" style="19" customWidth="1"/>
    <col min="9" max="10" width="7.5546875" style="19"/>
    <col min="11" max="11" width="8.88671875" style="19" customWidth="1"/>
    <col min="12" max="12" width="8.33203125" style="19" customWidth="1"/>
    <col min="13" max="13" width="8.88671875" style="19" customWidth="1"/>
    <col min="14" max="14" width="8" style="19" customWidth="1"/>
    <col min="15" max="15" width="7.5546875" style="19"/>
    <col min="16" max="16" width="8.33203125" style="19" customWidth="1"/>
    <col min="17" max="17" width="14.33203125" style="19" customWidth="1"/>
    <col min="18" max="18" width="7.5546875" style="19"/>
    <col min="19" max="19" width="8" style="19" customWidth="1"/>
    <col min="20" max="20" width="11" style="19" customWidth="1"/>
    <col min="21" max="21" width="14.33203125" style="19" customWidth="1"/>
    <col min="22" max="22" width="11" style="19" customWidth="1"/>
    <col min="23" max="23" width="9.6640625" style="19" customWidth="1"/>
    <col min="24" max="24" width="11" style="19" customWidth="1"/>
    <col min="25" max="25" width="12" style="19" customWidth="1"/>
    <col min="26" max="16384" width="7.5546875" style="19"/>
  </cols>
  <sheetData>
    <row r="1" spans="1:25" x14ac:dyDescent="0.2">
      <c r="A1" s="18" t="s">
        <v>185</v>
      </c>
      <c r="D1" s="20"/>
    </row>
    <row r="2" spans="1:25" x14ac:dyDescent="0.2">
      <c r="A2" s="22">
        <v>1</v>
      </c>
      <c r="B2" s="19" t="s">
        <v>186</v>
      </c>
      <c r="D2" s="20"/>
    </row>
    <row r="3" spans="1:25" x14ac:dyDescent="0.2">
      <c r="A3" s="22">
        <v>20500</v>
      </c>
      <c r="B3" s="23" t="s">
        <v>187</v>
      </c>
      <c r="D3" s="20"/>
    </row>
    <row r="4" spans="1:25" x14ac:dyDescent="0.2">
      <c r="A4" s="22">
        <v>5</v>
      </c>
      <c r="B4" s="23" t="s">
        <v>188</v>
      </c>
      <c r="D4" s="20"/>
    </row>
    <row r="5" spans="1:25" x14ac:dyDescent="0.2">
      <c r="A5" s="22">
        <v>1000</v>
      </c>
      <c r="B5" s="19" t="s">
        <v>189</v>
      </c>
      <c r="D5" s="20"/>
    </row>
    <row r="6" spans="1:25" x14ac:dyDescent="0.2">
      <c r="A6" s="22">
        <v>2</v>
      </c>
      <c r="B6" s="19" t="s">
        <v>190</v>
      </c>
      <c r="D6" s="20"/>
    </row>
    <row r="7" spans="1:25" x14ac:dyDescent="0.2">
      <c r="A7" s="22">
        <v>50</v>
      </c>
      <c r="B7" s="19" t="s">
        <v>191</v>
      </c>
      <c r="D7" s="24"/>
    </row>
    <row r="8" spans="1:25" x14ac:dyDescent="0.2">
      <c r="A8" s="22">
        <v>2000</v>
      </c>
      <c r="B8" s="19" t="s">
        <v>192</v>
      </c>
    </row>
    <row r="9" spans="1:25" x14ac:dyDescent="0.2">
      <c r="A9" s="25">
        <v>5</v>
      </c>
      <c r="B9" s="19" t="s">
        <v>193</v>
      </c>
    </row>
    <row r="10" spans="1:25" ht="12.75" customHeight="1" x14ac:dyDescent="0.2">
      <c r="A10" s="185" t="s">
        <v>194</v>
      </c>
      <c r="B10" s="186"/>
      <c r="C10" s="186"/>
      <c r="D10" s="186"/>
      <c r="E10" s="26"/>
      <c r="F10" s="27" t="s">
        <v>195</v>
      </c>
      <c r="G10" s="27" t="s">
        <v>196</v>
      </c>
    </row>
    <row r="11" spans="1:25" ht="15" customHeight="1" x14ac:dyDescent="0.2">
      <c r="A11" s="185"/>
      <c r="B11" s="27" t="s">
        <v>197</v>
      </c>
      <c r="C11" s="27" t="s">
        <v>198</v>
      </c>
      <c r="D11" s="27" t="s">
        <v>199</v>
      </c>
      <c r="E11" s="26" t="s">
        <v>292</v>
      </c>
      <c r="F11" s="27" t="s">
        <v>81</v>
      </c>
      <c r="G11" s="27" t="s">
        <v>82</v>
      </c>
    </row>
    <row r="12" spans="1:25" x14ac:dyDescent="0.2">
      <c r="A12" s="28" t="s">
        <v>83</v>
      </c>
      <c r="B12" s="29"/>
      <c r="C12" s="29"/>
      <c r="D12" s="29"/>
      <c r="E12" s="30"/>
      <c r="F12" s="31"/>
      <c r="G12" s="29"/>
    </row>
    <row r="13" spans="1:25" x14ac:dyDescent="0.2">
      <c r="A13" s="32" t="s">
        <v>81</v>
      </c>
    </row>
    <row r="14" spans="1:25" ht="12" customHeight="1" x14ac:dyDescent="0.2">
      <c r="A14" s="33" t="s">
        <v>84</v>
      </c>
      <c r="B14" s="19" t="s">
        <v>85</v>
      </c>
      <c r="C14" s="34">
        <f>$A$2</f>
        <v>1</v>
      </c>
      <c r="D14" s="35">
        <v>15000</v>
      </c>
      <c r="E14" s="21">
        <f t="shared" ref="E14:E19" si="0">C14*D14</f>
        <v>15000</v>
      </c>
      <c r="F14" s="36">
        <f t="shared" ref="F14:F19" si="1">E14</f>
        <v>15000</v>
      </c>
      <c r="L14" s="36"/>
      <c r="S14" s="24"/>
      <c r="T14" s="24"/>
      <c r="U14" s="24"/>
      <c r="V14" s="24"/>
      <c r="W14" s="24"/>
      <c r="X14" s="24"/>
      <c r="Y14" s="24"/>
    </row>
    <row r="15" spans="1:25" ht="12" customHeight="1" x14ac:dyDescent="0.2">
      <c r="A15" s="33" t="s">
        <v>86</v>
      </c>
      <c r="B15" s="19" t="s">
        <v>85</v>
      </c>
      <c r="C15" s="34">
        <v>1</v>
      </c>
      <c r="D15" s="35">
        <v>100000</v>
      </c>
      <c r="E15" s="35">
        <f t="shared" si="0"/>
        <v>100000</v>
      </c>
      <c r="F15" s="35">
        <f t="shared" si="1"/>
        <v>100000</v>
      </c>
      <c r="L15" s="36"/>
      <c r="S15" s="24"/>
      <c r="T15" s="24"/>
      <c r="U15" s="24"/>
      <c r="V15" s="24"/>
      <c r="W15" s="24"/>
      <c r="X15" s="24"/>
      <c r="Y15" s="24"/>
    </row>
    <row r="16" spans="1:25" ht="12" customHeight="1" x14ac:dyDescent="0.2">
      <c r="A16" s="33" t="s">
        <v>87</v>
      </c>
      <c r="B16" s="19" t="s">
        <v>85</v>
      </c>
      <c r="C16" s="34">
        <v>1</v>
      </c>
      <c r="D16" s="35">
        <v>30000</v>
      </c>
      <c r="E16" s="35">
        <f t="shared" si="0"/>
        <v>30000</v>
      </c>
      <c r="F16" s="35">
        <f t="shared" si="1"/>
        <v>30000</v>
      </c>
      <c r="L16" s="36"/>
      <c r="S16" s="24"/>
      <c r="T16" s="24"/>
      <c r="U16" s="24"/>
      <c r="V16" s="24"/>
      <c r="W16" s="24"/>
      <c r="X16" s="24"/>
      <c r="Y16" s="24"/>
    </row>
    <row r="17" spans="1:25" ht="12" customHeight="1" x14ac:dyDescent="0.2">
      <c r="A17" s="33" t="s">
        <v>88</v>
      </c>
      <c r="B17" s="19" t="s">
        <v>85</v>
      </c>
      <c r="C17" s="34">
        <f>$A$2</f>
        <v>1</v>
      </c>
      <c r="D17" s="35">
        <v>15000</v>
      </c>
      <c r="E17" s="21">
        <f t="shared" si="0"/>
        <v>15000</v>
      </c>
      <c r="F17" s="36">
        <f t="shared" si="1"/>
        <v>15000</v>
      </c>
      <c r="L17" s="36"/>
      <c r="S17" s="24"/>
      <c r="T17" s="24"/>
      <c r="U17" s="24"/>
      <c r="V17" s="24"/>
      <c r="W17" s="24"/>
      <c r="X17" s="24"/>
      <c r="Y17" s="24"/>
    </row>
    <row r="18" spans="1:25" ht="12" customHeight="1" x14ac:dyDescent="0.2">
      <c r="A18" s="33" t="s">
        <v>89</v>
      </c>
      <c r="B18" s="19" t="s">
        <v>85</v>
      </c>
      <c r="C18" s="34">
        <f>$A$2</f>
        <v>1</v>
      </c>
      <c r="D18" s="35">
        <v>50000</v>
      </c>
      <c r="E18" s="21">
        <f t="shared" si="0"/>
        <v>50000</v>
      </c>
      <c r="F18" s="36">
        <f t="shared" si="1"/>
        <v>50000</v>
      </c>
      <c r="L18" s="36"/>
      <c r="S18" s="24"/>
      <c r="T18" s="24"/>
      <c r="U18" s="24"/>
      <c r="V18" s="24"/>
      <c r="W18" s="24"/>
      <c r="X18" s="24"/>
      <c r="Y18" s="24"/>
    </row>
    <row r="19" spans="1:25" x14ac:dyDescent="0.2">
      <c r="A19" s="33" t="s">
        <v>90</v>
      </c>
      <c r="B19" s="19" t="s">
        <v>85</v>
      </c>
      <c r="C19" s="34">
        <f>$A$2</f>
        <v>1</v>
      </c>
      <c r="D19" s="35">
        <v>5000</v>
      </c>
      <c r="E19" s="21">
        <f t="shared" si="0"/>
        <v>5000</v>
      </c>
      <c r="F19" s="36">
        <f t="shared" si="1"/>
        <v>5000</v>
      </c>
      <c r="L19" s="36"/>
      <c r="S19" s="24"/>
      <c r="T19" s="24"/>
      <c r="U19" s="24"/>
      <c r="V19" s="24"/>
      <c r="W19" s="24"/>
      <c r="X19" s="24"/>
      <c r="Y19" s="24"/>
    </row>
    <row r="20" spans="1:25" ht="25.5" x14ac:dyDescent="0.2">
      <c r="A20" s="33" t="s">
        <v>91</v>
      </c>
      <c r="B20" s="19" t="s">
        <v>85</v>
      </c>
      <c r="C20" s="34">
        <v>1</v>
      </c>
      <c r="D20" s="35">
        <v>10000</v>
      </c>
      <c r="E20" s="21">
        <v>10000</v>
      </c>
      <c r="F20" s="21">
        <v>10000</v>
      </c>
      <c r="G20" s="36"/>
      <c r="L20" s="36"/>
      <c r="S20" s="24"/>
      <c r="T20" s="24"/>
      <c r="U20" s="24"/>
      <c r="V20" s="24"/>
      <c r="W20" s="24"/>
      <c r="X20" s="24"/>
      <c r="Y20" s="24"/>
    </row>
    <row r="21" spans="1:25" x14ac:dyDescent="0.2">
      <c r="A21" s="37" t="s">
        <v>92</v>
      </c>
      <c r="D21" s="35"/>
      <c r="S21" s="24"/>
      <c r="T21" s="24"/>
      <c r="U21" s="24"/>
      <c r="V21" s="24"/>
      <c r="W21" s="24"/>
      <c r="X21" s="24"/>
      <c r="Y21" s="24"/>
    </row>
    <row r="22" spans="1:25" x14ac:dyDescent="0.2">
      <c r="A22" s="33" t="s">
        <v>93</v>
      </c>
      <c r="B22" s="38" t="s">
        <v>94</v>
      </c>
      <c r="C22" s="34">
        <f>A3*A5/1000</f>
        <v>20500</v>
      </c>
      <c r="D22" s="39">
        <v>6</v>
      </c>
      <c r="E22" s="21">
        <f>C22*D22</f>
        <v>123000</v>
      </c>
      <c r="F22" s="40"/>
      <c r="G22" s="36">
        <f>E22</f>
        <v>123000</v>
      </c>
      <c r="H22" s="19" t="s">
        <v>95</v>
      </c>
      <c r="Q22" s="36"/>
      <c r="S22" s="24"/>
      <c r="T22" s="24"/>
      <c r="U22" s="24"/>
      <c r="V22" s="24"/>
      <c r="W22" s="24"/>
      <c r="X22" s="24"/>
      <c r="Y22" s="24"/>
    </row>
    <row r="23" spans="1:25" ht="14.25" customHeight="1" x14ac:dyDescent="0.2">
      <c r="A23" s="33" t="s">
        <v>96</v>
      </c>
      <c r="B23" s="38" t="s">
        <v>97</v>
      </c>
      <c r="C23" s="34">
        <f>(C22/1000)*50</f>
        <v>1025</v>
      </c>
      <c r="D23" s="39">
        <v>0</v>
      </c>
      <c r="E23" s="21">
        <f>C23*D23</f>
        <v>0</v>
      </c>
      <c r="G23" s="36">
        <f>E23</f>
        <v>0</v>
      </c>
      <c r="Q23" s="36"/>
      <c r="S23" s="24"/>
      <c r="T23" s="24"/>
      <c r="U23" s="24"/>
      <c r="V23" s="24"/>
      <c r="W23" s="24"/>
      <c r="X23" s="24"/>
      <c r="Y23" s="24"/>
    </row>
    <row r="24" spans="1:25" x14ac:dyDescent="0.2">
      <c r="A24" s="33" t="s">
        <v>98</v>
      </c>
      <c r="B24" s="19" t="s">
        <v>99</v>
      </c>
      <c r="C24" s="34">
        <f>E22</f>
        <v>123000</v>
      </c>
      <c r="D24" s="41">
        <v>0</v>
      </c>
      <c r="E24" s="21">
        <f>C24*D24</f>
        <v>0</v>
      </c>
      <c r="G24" s="36">
        <f>E24</f>
        <v>0</v>
      </c>
      <c r="P24" s="36"/>
      <c r="Q24" s="36"/>
      <c r="S24" s="24"/>
      <c r="T24" s="24"/>
      <c r="U24" s="24"/>
      <c r="V24" s="24"/>
      <c r="W24" s="24"/>
      <c r="X24" s="24"/>
      <c r="Y24" s="24"/>
    </row>
    <row r="25" spans="1:25" x14ac:dyDescent="0.2">
      <c r="A25" s="33" t="s">
        <v>100</v>
      </c>
      <c r="B25" s="19" t="s">
        <v>99</v>
      </c>
      <c r="C25" s="34">
        <f>+C24</f>
        <v>123000</v>
      </c>
      <c r="D25" s="42">
        <v>0.01</v>
      </c>
      <c r="E25" s="21">
        <f>C25*D25</f>
        <v>1230</v>
      </c>
      <c r="F25" s="36"/>
      <c r="G25" s="36">
        <f>E25</f>
        <v>1230</v>
      </c>
      <c r="Q25" s="36"/>
      <c r="S25" s="24"/>
      <c r="T25" s="24"/>
      <c r="U25" s="24"/>
      <c r="V25" s="24"/>
      <c r="W25" s="24"/>
      <c r="X25" s="24"/>
      <c r="Y25" s="24"/>
    </row>
    <row r="26" spans="1:25" x14ac:dyDescent="0.2">
      <c r="A26" s="37" t="s">
        <v>101</v>
      </c>
      <c r="C26" s="34"/>
      <c r="D26" s="41"/>
      <c r="G26" s="34"/>
      <c r="Q26" s="36"/>
      <c r="S26" s="24"/>
      <c r="T26" s="24"/>
      <c r="U26" s="24"/>
      <c r="V26" s="24"/>
      <c r="W26" s="24"/>
      <c r="X26" s="24"/>
      <c r="Y26" s="24"/>
    </row>
    <row r="27" spans="1:25" ht="12.95" customHeight="1" x14ac:dyDescent="0.2">
      <c r="A27" s="33" t="s">
        <v>102</v>
      </c>
      <c r="B27" s="43" t="s">
        <v>103</v>
      </c>
      <c r="C27" s="44">
        <f>2*A2*0.1</f>
        <v>0.2</v>
      </c>
      <c r="D27" s="35">
        <v>5000</v>
      </c>
      <c r="E27" s="21">
        <f>C27*D27</f>
        <v>1000</v>
      </c>
      <c r="F27" s="36"/>
      <c r="G27" s="36">
        <f t="shared" ref="G27:G32" si="2">E27</f>
        <v>1000</v>
      </c>
      <c r="Q27" s="36"/>
      <c r="S27" s="24"/>
      <c r="T27" s="24"/>
      <c r="U27" s="24"/>
      <c r="V27" s="24"/>
      <c r="W27" s="24"/>
      <c r="X27" s="24"/>
      <c r="Y27" s="24"/>
    </row>
    <row r="28" spans="1:25" ht="15" customHeight="1" x14ac:dyDescent="0.2">
      <c r="A28" s="33" t="s">
        <v>104</v>
      </c>
      <c r="B28" s="19" t="s">
        <v>105</v>
      </c>
      <c r="C28" s="34">
        <v>225000</v>
      </c>
      <c r="D28" s="41">
        <v>0.05</v>
      </c>
      <c r="E28" s="21">
        <f>C28*D28</f>
        <v>11250</v>
      </c>
      <c r="G28" s="36">
        <f t="shared" si="2"/>
        <v>11250</v>
      </c>
      <c r="Q28" s="36"/>
      <c r="S28" s="24"/>
      <c r="T28" s="24"/>
      <c r="U28" s="24"/>
      <c r="V28" s="24"/>
      <c r="W28" s="24"/>
      <c r="X28" s="24"/>
      <c r="Y28" s="24"/>
    </row>
    <row r="29" spans="1:25" ht="12.95" customHeight="1" x14ac:dyDescent="0.2">
      <c r="A29" s="33" t="s">
        <v>106</v>
      </c>
      <c r="B29" s="38" t="s">
        <v>107</v>
      </c>
      <c r="C29" s="24">
        <f>5*A2*250</f>
        <v>1250</v>
      </c>
      <c r="D29" s="45">
        <v>5</v>
      </c>
      <c r="E29" s="21">
        <f>C29*D29</f>
        <v>6250</v>
      </c>
      <c r="F29" s="36"/>
      <c r="G29" s="36">
        <f t="shared" si="2"/>
        <v>6250</v>
      </c>
      <c r="Q29" s="36"/>
    </row>
    <row r="30" spans="1:25" x14ac:dyDescent="0.2">
      <c r="A30" s="33" t="s">
        <v>108</v>
      </c>
      <c r="B30" s="19" t="s">
        <v>109</v>
      </c>
      <c r="C30" s="24"/>
      <c r="D30" s="35">
        <v>5000</v>
      </c>
      <c r="E30" s="21">
        <f>D30</f>
        <v>5000</v>
      </c>
      <c r="F30" s="36"/>
      <c r="G30" s="36">
        <v>5000</v>
      </c>
      <c r="H30" s="21"/>
      <c r="Q30" s="36"/>
      <c r="S30" s="24"/>
      <c r="T30" s="24"/>
      <c r="U30" s="24"/>
      <c r="V30" s="24"/>
      <c r="W30" s="24"/>
      <c r="X30" s="24"/>
      <c r="Y30" s="24"/>
    </row>
    <row r="31" spans="1:25" x14ac:dyDescent="0.2">
      <c r="A31" s="33" t="s">
        <v>110</v>
      </c>
      <c r="B31" s="41" t="s">
        <v>111</v>
      </c>
      <c r="C31" s="21">
        <f>SUM(E27:E30)</f>
        <v>23500</v>
      </c>
      <c r="D31" s="41">
        <v>0.03</v>
      </c>
      <c r="E31" s="21">
        <f>C31*D31</f>
        <v>705</v>
      </c>
      <c r="G31" s="36">
        <f t="shared" si="2"/>
        <v>705</v>
      </c>
      <c r="Q31" s="36"/>
      <c r="S31" s="24"/>
      <c r="T31" s="24"/>
      <c r="U31" s="24"/>
      <c r="V31" s="24"/>
      <c r="W31" s="24"/>
      <c r="X31" s="24"/>
      <c r="Y31" s="24"/>
    </row>
    <row r="32" spans="1:25" hidden="1" x14ac:dyDescent="0.2">
      <c r="A32" s="46" t="s">
        <v>112</v>
      </c>
      <c r="B32" s="47" t="s">
        <v>113</v>
      </c>
      <c r="C32" s="21">
        <f>SUM(E22:E31)-E24-E25</f>
        <v>147205</v>
      </c>
      <c r="D32" s="48">
        <v>0</v>
      </c>
      <c r="E32" s="21">
        <f>+D32*C32</f>
        <v>0</v>
      </c>
      <c r="G32" s="36">
        <f t="shared" si="2"/>
        <v>0</v>
      </c>
      <c r="Q32" s="36"/>
    </row>
    <row r="33" spans="1:25" x14ac:dyDescent="0.2">
      <c r="A33" s="49"/>
      <c r="E33" s="50">
        <f>SUM(E14:E31)</f>
        <v>373435</v>
      </c>
      <c r="F33" s="50">
        <f>SUM(F13:F32)</f>
        <v>225000</v>
      </c>
      <c r="G33" s="50">
        <f>SUM(G13:G32)</f>
        <v>148435</v>
      </c>
      <c r="H33" s="36"/>
      <c r="I33" s="51"/>
      <c r="J33" s="51"/>
      <c r="K33" s="51"/>
      <c r="P33" s="52"/>
      <c r="Q33" s="52"/>
      <c r="R33" s="36"/>
      <c r="S33" s="24"/>
      <c r="T33" s="24"/>
      <c r="U33" s="24"/>
      <c r="V33" s="24"/>
      <c r="W33" s="24"/>
      <c r="X33" s="24"/>
      <c r="Y33" s="24"/>
    </row>
    <row r="34" spans="1:25" x14ac:dyDescent="0.2">
      <c r="A34" s="53" t="s">
        <v>114</v>
      </c>
      <c r="B34" s="29"/>
      <c r="C34" s="29"/>
      <c r="D34" s="29"/>
      <c r="E34" s="54"/>
      <c r="F34" s="29"/>
      <c r="G34" s="29"/>
      <c r="Q34" s="36"/>
      <c r="S34" s="24"/>
      <c r="T34" s="24"/>
      <c r="U34" s="24"/>
      <c r="V34" s="24"/>
      <c r="W34" s="24"/>
      <c r="X34" s="24"/>
      <c r="Y34" s="24"/>
    </row>
    <row r="35" spans="1:25" x14ac:dyDescent="0.2">
      <c r="A35" s="55" t="s">
        <v>115</v>
      </c>
      <c r="K35" s="48"/>
      <c r="Q35" s="36"/>
      <c r="S35" s="24"/>
      <c r="T35" s="24"/>
      <c r="U35" s="24"/>
      <c r="V35" s="24"/>
      <c r="W35" s="24"/>
      <c r="X35" s="24"/>
      <c r="Y35" s="24"/>
    </row>
    <row r="36" spans="1:25" x14ac:dyDescent="0.2">
      <c r="A36" s="33" t="s">
        <v>116</v>
      </c>
      <c r="B36" s="19" t="s">
        <v>117</v>
      </c>
      <c r="C36" s="19">
        <v>2</v>
      </c>
      <c r="D36" s="56">
        <v>3000</v>
      </c>
      <c r="E36" s="21">
        <f>C36*D36</f>
        <v>6000</v>
      </c>
      <c r="F36" s="36">
        <f>E36</f>
        <v>6000</v>
      </c>
      <c r="L36" s="36"/>
      <c r="Q36" s="36"/>
      <c r="S36" s="24"/>
      <c r="T36" s="24"/>
      <c r="U36" s="24"/>
      <c r="V36" s="24"/>
      <c r="W36" s="24"/>
      <c r="X36" s="24"/>
      <c r="Y36" s="24"/>
    </row>
    <row r="37" spans="1:25" x14ac:dyDescent="0.2">
      <c r="A37" s="33" t="s">
        <v>118</v>
      </c>
      <c r="B37" s="19" t="s">
        <v>119</v>
      </c>
      <c r="C37" s="19">
        <v>30</v>
      </c>
      <c r="D37" s="35">
        <v>500</v>
      </c>
      <c r="E37" s="21">
        <f>C37*D37</f>
        <v>15000</v>
      </c>
      <c r="F37" s="36">
        <f>E37</f>
        <v>15000</v>
      </c>
      <c r="L37" s="36"/>
      <c r="Q37" s="36"/>
      <c r="S37" s="24"/>
      <c r="T37" s="24"/>
      <c r="U37" s="24"/>
      <c r="V37" s="24"/>
      <c r="W37" s="24"/>
      <c r="X37" s="24"/>
      <c r="Y37" s="24"/>
    </row>
    <row r="38" spans="1:25" x14ac:dyDescent="0.2">
      <c r="A38" s="33" t="s">
        <v>120</v>
      </c>
      <c r="B38" s="19" t="s">
        <v>121</v>
      </c>
      <c r="C38" s="19">
        <v>2</v>
      </c>
      <c r="D38" s="56">
        <v>2000</v>
      </c>
      <c r="E38" s="21">
        <f>C38*D38</f>
        <v>4000</v>
      </c>
      <c r="F38" s="36">
        <f>E38</f>
        <v>4000</v>
      </c>
      <c r="L38" s="36"/>
      <c r="Q38" s="36"/>
      <c r="S38" s="24"/>
      <c r="T38" s="24"/>
      <c r="U38" s="24"/>
      <c r="V38" s="24"/>
      <c r="W38" s="24"/>
      <c r="X38" s="24"/>
      <c r="Y38" s="24"/>
    </row>
    <row r="39" spans="1:25" x14ac:dyDescent="0.2">
      <c r="A39" s="33" t="s">
        <v>122</v>
      </c>
      <c r="B39" s="19" t="s">
        <v>123</v>
      </c>
      <c r="C39" s="19">
        <v>1</v>
      </c>
      <c r="D39" s="35">
        <v>50000</v>
      </c>
      <c r="E39" s="21">
        <f>C39*D39</f>
        <v>50000</v>
      </c>
      <c r="F39" s="36">
        <f>E39</f>
        <v>50000</v>
      </c>
      <c r="L39" s="36"/>
      <c r="Q39" s="36"/>
      <c r="S39" s="24"/>
      <c r="T39" s="24"/>
      <c r="U39" s="24"/>
      <c r="V39" s="24"/>
      <c r="W39" s="24"/>
      <c r="X39" s="24"/>
      <c r="Y39" s="24"/>
    </row>
    <row r="40" spans="1:25" x14ac:dyDescent="0.2">
      <c r="A40" s="33" t="s">
        <v>124</v>
      </c>
      <c r="B40" s="19" t="s">
        <v>123</v>
      </c>
      <c r="C40" s="19">
        <v>1</v>
      </c>
      <c r="D40" s="35">
        <v>10000</v>
      </c>
      <c r="E40" s="21">
        <v>10000</v>
      </c>
      <c r="F40" s="36">
        <f>E40</f>
        <v>10000</v>
      </c>
      <c r="L40" s="36"/>
      <c r="Q40" s="36"/>
      <c r="S40" s="24"/>
      <c r="T40" s="24"/>
      <c r="U40" s="24"/>
      <c r="V40" s="24"/>
      <c r="W40" s="24"/>
      <c r="X40" s="24"/>
      <c r="Y40" s="24"/>
    </row>
    <row r="41" spans="1:25" x14ac:dyDescent="0.2">
      <c r="A41" s="33" t="s">
        <v>125</v>
      </c>
      <c r="E41" s="57"/>
      <c r="F41" s="52"/>
      <c r="Q41" s="36"/>
      <c r="S41" s="24"/>
      <c r="T41" s="24"/>
      <c r="U41" s="24"/>
      <c r="V41" s="24"/>
      <c r="W41" s="24"/>
      <c r="X41" s="24"/>
      <c r="Y41" s="24"/>
    </row>
    <row r="42" spans="1:25" x14ac:dyDescent="0.2">
      <c r="A42" s="37" t="s">
        <v>126</v>
      </c>
      <c r="Q42" s="36"/>
      <c r="S42" s="24"/>
      <c r="T42" s="24"/>
      <c r="U42" s="24"/>
      <c r="V42" s="24"/>
      <c r="W42" s="24"/>
      <c r="X42" s="24"/>
      <c r="Y42" s="24"/>
    </row>
    <row r="43" spans="1:25" x14ac:dyDescent="0.2">
      <c r="A43" s="33" t="s">
        <v>127</v>
      </c>
      <c r="B43" s="19" t="s">
        <v>128</v>
      </c>
      <c r="C43" s="38">
        <f>A2*A6*0.5</f>
        <v>1</v>
      </c>
      <c r="D43" s="58">
        <v>5</v>
      </c>
      <c r="E43" s="21">
        <f>C43*D43</f>
        <v>5</v>
      </c>
      <c r="G43" s="36">
        <f>E43</f>
        <v>5</v>
      </c>
      <c r="O43" s="36"/>
      <c r="Q43" s="36"/>
      <c r="S43" s="24"/>
      <c r="T43" s="24"/>
      <c r="U43" s="24"/>
      <c r="V43" s="24"/>
      <c r="W43" s="24"/>
      <c r="X43" s="24"/>
      <c r="Y43" s="24"/>
    </row>
    <row r="44" spans="1:25" x14ac:dyDescent="0.2">
      <c r="A44" s="33" t="s">
        <v>129</v>
      </c>
      <c r="B44" s="19" t="s">
        <v>130</v>
      </c>
      <c r="C44" s="38">
        <f>50*A2*A6</f>
        <v>100</v>
      </c>
      <c r="D44" s="58">
        <v>0.25</v>
      </c>
      <c r="E44" s="21">
        <f>C44*D44</f>
        <v>25</v>
      </c>
      <c r="G44" s="36">
        <f>E44</f>
        <v>25</v>
      </c>
      <c r="O44" s="36"/>
      <c r="Q44" s="36"/>
      <c r="S44" s="24"/>
      <c r="T44" s="24"/>
      <c r="U44" s="24"/>
      <c r="V44" s="24"/>
      <c r="W44" s="24"/>
      <c r="X44" s="24"/>
      <c r="Y44" s="24"/>
    </row>
    <row r="45" spans="1:25" x14ac:dyDescent="0.2">
      <c r="A45" s="33" t="s">
        <v>131</v>
      </c>
      <c r="B45" s="19" t="s">
        <v>132</v>
      </c>
      <c r="C45" s="38">
        <f>A2*A6*4</f>
        <v>8</v>
      </c>
      <c r="D45" s="39">
        <v>0.25</v>
      </c>
      <c r="E45" s="21">
        <f>C45*D45</f>
        <v>2</v>
      </c>
      <c r="G45" s="36">
        <f>E45</f>
        <v>2</v>
      </c>
      <c r="O45" s="36"/>
      <c r="Q45" s="36"/>
      <c r="S45" s="24"/>
      <c r="T45" s="24"/>
      <c r="U45" s="24"/>
      <c r="V45" s="24"/>
      <c r="W45" s="24"/>
      <c r="X45" s="24"/>
      <c r="Y45" s="24"/>
    </row>
    <row r="46" spans="1:25" x14ac:dyDescent="0.2">
      <c r="A46" s="33" t="s">
        <v>133</v>
      </c>
      <c r="B46" s="19" t="s">
        <v>134</v>
      </c>
      <c r="C46" s="38">
        <f>A2*A6*4</f>
        <v>8</v>
      </c>
      <c r="D46" s="35">
        <v>25</v>
      </c>
      <c r="E46" s="21">
        <f>C46*D46</f>
        <v>200</v>
      </c>
      <c r="G46" s="36">
        <f>E46</f>
        <v>200</v>
      </c>
      <c r="O46" s="36"/>
      <c r="Q46" s="36"/>
      <c r="S46" s="24"/>
      <c r="T46" s="24"/>
      <c r="U46" s="24"/>
      <c r="V46" s="24"/>
      <c r="W46" s="24"/>
      <c r="X46" s="24"/>
      <c r="Y46" s="24"/>
    </row>
    <row r="47" spans="1:25" x14ac:dyDescent="0.2">
      <c r="A47" s="33" t="s">
        <v>135</v>
      </c>
      <c r="B47" s="19" t="s">
        <v>136</v>
      </c>
      <c r="C47" s="59">
        <f>SUM(E43:E46)</f>
        <v>232</v>
      </c>
      <c r="D47" s="41">
        <v>0.1</v>
      </c>
      <c r="E47" s="21">
        <f>C47*D47</f>
        <v>23.200000000000003</v>
      </c>
      <c r="G47" s="36">
        <f>E47</f>
        <v>23.200000000000003</v>
      </c>
      <c r="O47" s="36"/>
      <c r="Q47" s="36"/>
      <c r="S47" s="24"/>
      <c r="T47" s="24"/>
      <c r="U47" s="24"/>
      <c r="V47" s="24"/>
      <c r="W47" s="24"/>
      <c r="X47" s="24"/>
      <c r="Y47" s="24"/>
    </row>
    <row r="48" spans="1:25" x14ac:dyDescent="0.2">
      <c r="A48" s="37" t="s">
        <v>27</v>
      </c>
      <c r="B48" s="38"/>
      <c r="C48" s="59"/>
      <c r="D48" s="43"/>
      <c r="E48" s="59"/>
      <c r="F48" s="38"/>
      <c r="G48" s="60"/>
      <c r="O48" s="36"/>
      <c r="Q48" s="36"/>
      <c r="S48" s="24"/>
      <c r="T48" s="24"/>
      <c r="U48" s="24"/>
      <c r="V48" s="24"/>
      <c r="W48" s="24"/>
      <c r="X48" s="24"/>
      <c r="Y48" s="24"/>
    </row>
    <row r="49" spans="1:25" x14ac:dyDescent="0.2">
      <c r="A49" s="33" t="s">
        <v>127</v>
      </c>
      <c r="B49" s="38" t="s">
        <v>28</v>
      </c>
      <c r="C49" s="61">
        <f>0.5*A4</f>
        <v>2.5</v>
      </c>
      <c r="D49" s="62">
        <f>A9</f>
        <v>5</v>
      </c>
      <c r="E49" s="59">
        <f>C49*D49</f>
        <v>12.5</v>
      </c>
      <c r="F49" s="38"/>
      <c r="G49" s="60">
        <f>E49</f>
        <v>12.5</v>
      </c>
      <c r="O49" s="36"/>
      <c r="Q49" s="36"/>
      <c r="S49" s="24"/>
      <c r="T49" s="24"/>
      <c r="U49" s="24"/>
      <c r="V49" s="24"/>
      <c r="W49" s="24"/>
      <c r="X49" s="24"/>
      <c r="Y49" s="24"/>
    </row>
    <row r="50" spans="1:25" x14ac:dyDescent="0.2">
      <c r="A50" s="33" t="s">
        <v>129</v>
      </c>
      <c r="B50" s="38" t="s">
        <v>29</v>
      </c>
      <c r="C50" s="61">
        <f>50*A4</f>
        <v>250</v>
      </c>
      <c r="D50" s="62">
        <v>0.5</v>
      </c>
      <c r="E50" s="59">
        <f>C50*D50</f>
        <v>125</v>
      </c>
      <c r="F50" s="38"/>
      <c r="G50" s="60">
        <f>E50</f>
        <v>125</v>
      </c>
      <c r="O50" s="36"/>
      <c r="Q50" s="36"/>
      <c r="S50" s="24"/>
      <c r="T50" s="24"/>
      <c r="U50" s="24"/>
      <c r="V50" s="24"/>
      <c r="W50" s="24"/>
      <c r="X50" s="24"/>
      <c r="Y50" s="24"/>
    </row>
    <row r="51" spans="1:25" x14ac:dyDescent="0.2">
      <c r="A51" s="33" t="s">
        <v>131</v>
      </c>
      <c r="B51" s="38" t="s">
        <v>30</v>
      </c>
      <c r="C51" s="61">
        <f>A4*10</f>
        <v>50</v>
      </c>
      <c r="D51" s="63">
        <v>0.25</v>
      </c>
      <c r="E51" s="59">
        <f>C51*D51</f>
        <v>12.5</v>
      </c>
      <c r="F51" s="38"/>
      <c r="G51" s="60">
        <f>E51</f>
        <v>12.5</v>
      </c>
      <c r="O51" s="36"/>
      <c r="Q51" s="36"/>
      <c r="S51" s="24"/>
      <c r="T51" s="24"/>
      <c r="U51" s="24"/>
      <c r="V51" s="24"/>
      <c r="W51" s="24"/>
      <c r="X51" s="24"/>
      <c r="Y51" s="24"/>
    </row>
    <row r="52" spans="1:25" x14ac:dyDescent="0.2">
      <c r="A52" s="33" t="s">
        <v>31</v>
      </c>
      <c r="B52" s="38" t="s">
        <v>32</v>
      </c>
      <c r="C52" s="64">
        <f>3*A4</f>
        <v>15</v>
      </c>
      <c r="D52" s="65">
        <v>55</v>
      </c>
      <c r="E52" s="59">
        <f>C52*D52</f>
        <v>825</v>
      </c>
      <c r="F52" s="38"/>
      <c r="G52" s="60">
        <f>E52</f>
        <v>825</v>
      </c>
      <c r="O52" s="36"/>
      <c r="Q52" s="36"/>
      <c r="S52" s="24"/>
      <c r="T52" s="24"/>
      <c r="U52" s="24"/>
      <c r="V52" s="24"/>
      <c r="W52" s="24"/>
      <c r="X52" s="24"/>
      <c r="Y52" s="24"/>
    </row>
    <row r="53" spans="1:25" x14ac:dyDescent="0.2">
      <c r="A53" s="33" t="s">
        <v>135</v>
      </c>
      <c r="B53" s="38" t="s">
        <v>33</v>
      </c>
      <c r="C53" s="59">
        <f>SUM(E49:E52)</f>
        <v>975</v>
      </c>
      <c r="D53" s="43">
        <v>0.1</v>
      </c>
      <c r="E53" s="59">
        <f>C53*D53</f>
        <v>97.5</v>
      </c>
      <c r="F53" s="38"/>
      <c r="G53" s="60">
        <f>E53</f>
        <v>97.5</v>
      </c>
      <c r="O53" s="36"/>
      <c r="Q53" s="36"/>
      <c r="S53" s="24"/>
      <c r="T53" s="24"/>
      <c r="U53" s="24"/>
      <c r="V53" s="24"/>
      <c r="W53" s="24"/>
      <c r="X53" s="24"/>
      <c r="Y53" s="24"/>
    </row>
    <row r="54" spans="1:25" x14ac:dyDescent="0.2">
      <c r="A54" s="37" t="s">
        <v>34</v>
      </c>
      <c r="E54" s="57"/>
      <c r="F54" s="18"/>
      <c r="G54" s="52"/>
      <c r="O54" s="36"/>
      <c r="Q54" s="36"/>
      <c r="S54" s="24"/>
      <c r="T54" s="24"/>
      <c r="U54" s="24"/>
      <c r="V54" s="24"/>
      <c r="W54" s="24"/>
      <c r="X54" s="24"/>
      <c r="Y54" s="24"/>
    </row>
    <row r="55" spans="1:25" x14ac:dyDescent="0.2">
      <c r="A55" s="33" t="s">
        <v>127</v>
      </c>
      <c r="B55" s="19" t="s">
        <v>35</v>
      </c>
      <c r="C55" s="61">
        <f>A7</f>
        <v>50</v>
      </c>
      <c r="D55" s="66">
        <v>5</v>
      </c>
      <c r="E55" s="21">
        <f>C55*D55</f>
        <v>250</v>
      </c>
      <c r="G55" s="36">
        <f>E55</f>
        <v>250</v>
      </c>
      <c r="O55" s="36"/>
      <c r="Q55" s="36"/>
      <c r="S55" s="24"/>
      <c r="T55" s="24"/>
      <c r="U55" s="24"/>
      <c r="V55" s="24"/>
      <c r="W55" s="24"/>
      <c r="X55" s="24"/>
      <c r="Y55" s="24"/>
    </row>
    <row r="56" spans="1:25" x14ac:dyDescent="0.2">
      <c r="A56" s="33" t="s">
        <v>129</v>
      </c>
      <c r="B56" s="19" t="s">
        <v>130</v>
      </c>
      <c r="C56" s="38">
        <f>A7*50</f>
        <v>2500</v>
      </c>
      <c r="D56" s="35">
        <v>0.5</v>
      </c>
      <c r="E56" s="21">
        <f>C56*D56</f>
        <v>1250</v>
      </c>
      <c r="G56" s="36">
        <f>E56</f>
        <v>1250</v>
      </c>
      <c r="O56" s="36"/>
      <c r="Q56" s="36"/>
      <c r="S56" s="24"/>
      <c r="T56" s="24"/>
      <c r="U56" s="24"/>
      <c r="V56" s="24"/>
      <c r="W56" s="24"/>
      <c r="X56" s="24"/>
      <c r="Y56" s="24"/>
    </row>
    <row r="57" spans="1:25" x14ac:dyDescent="0.2">
      <c r="A57" s="33" t="s">
        <v>131</v>
      </c>
      <c r="B57" s="19" t="s">
        <v>36</v>
      </c>
      <c r="C57" s="61">
        <f>A8</f>
        <v>2000</v>
      </c>
      <c r="D57" s="39">
        <v>0.25</v>
      </c>
      <c r="E57" s="21">
        <f>C57*D57</f>
        <v>500</v>
      </c>
      <c r="G57" s="36">
        <f>E57</f>
        <v>500</v>
      </c>
      <c r="O57" s="36"/>
      <c r="Q57" s="36"/>
      <c r="S57" s="24"/>
      <c r="T57" s="24"/>
      <c r="U57" s="24"/>
      <c r="V57" s="24"/>
      <c r="W57" s="24"/>
      <c r="X57" s="24"/>
      <c r="Y57" s="24"/>
    </row>
    <row r="58" spans="1:25" x14ac:dyDescent="0.2">
      <c r="A58" s="33" t="s">
        <v>133</v>
      </c>
      <c r="B58" s="19" t="s">
        <v>37</v>
      </c>
      <c r="C58" s="67">
        <f>0.05*C57</f>
        <v>100</v>
      </c>
      <c r="D58" s="35">
        <v>30</v>
      </c>
      <c r="E58" s="21">
        <f>C58*D58</f>
        <v>3000</v>
      </c>
      <c r="G58" s="36">
        <f>E58</f>
        <v>3000</v>
      </c>
      <c r="O58" s="36"/>
      <c r="Q58" s="36"/>
      <c r="S58" s="24"/>
      <c r="T58" s="24"/>
      <c r="U58" s="24"/>
      <c r="V58" s="24"/>
      <c r="W58" s="24"/>
      <c r="X58" s="24"/>
      <c r="Y58" s="24"/>
    </row>
    <row r="59" spans="1:25" x14ac:dyDescent="0.2">
      <c r="A59" s="33" t="s">
        <v>135</v>
      </c>
      <c r="B59" s="19" t="s">
        <v>38</v>
      </c>
      <c r="C59" s="59">
        <f>SUM(E55:E58)</f>
        <v>5000</v>
      </c>
      <c r="D59" s="41">
        <v>0.1</v>
      </c>
      <c r="E59" s="21">
        <f>SUM(E55:E58)</f>
        <v>5000</v>
      </c>
      <c r="G59" s="36">
        <f>E59</f>
        <v>5000</v>
      </c>
      <c r="O59" s="36"/>
      <c r="Q59" s="36"/>
      <c r="S59" s="24"/>
      <c r="T59" s="24"/>
      <c r="U59" s="24"/>
      <c r="V59" s="24"/>
      <c r="W59" s="24"/>
      <c r="X59" s="24"/>
      <c r="Y59" s="24"/>
    </row>
    <row r="60" spans="1:25" x14ac:dyDescent="0.2">
      <c r="A60" s="49"/>
      <c r="C60" s="21"/>
      <c r="D60" s="41"/>
      <c r="E60" s="50">
        <f>SUM(E35:E59)</f>
        <v>96327.7</v>
      </c>
      <c r="F60" s="50">
        <f>SUM(F35:F59)</f>
        <v>85000</v>
      </c>
      <c r="G60" s="50">
        <f>SUM(G35:G59)</f>
        <v>11327.7</v>
      </c>
      <c r="H60" s="36"/>
      <c r="O60" s="36"/>
      <c r="Q60" s="36"/>
      <c r="S60" s="24"/>
      <c r="T60" s="24"/>
      <c r="U60" s="24"/>
      <c r="V60" s="24"/>
      <c r="W60" s="24"/>
      <c r="X60" s="24"/>
      <c r="Y60" s="24"/>
    </row>
    <row r="61" spans="1:25" x14ac:dyDescent="0.2">
      <c r="A61" s="68" t="s">
        <v>39</v>
      </c>
      <c r="B61" s="68"/>
      <c r="C61" s="68"/>
      <c r="D61" s="68"/>
      <c r="E61" s="68"/>
      <c r="F61" s="68"/>
      <c r="G61" s="68"/>
      <c r="H61" s="38"/>
      <c r="Q61" s="36"/>
      <c r="S61" s="24"/>
      <c r="T61" s="24"/>
      <c r="U61" s="24"/>
      <c r="V61" s="24"/>
      <c r="W61" s="24"/>
      <c r="X61" s="24"/>
      <c r="Y61" s="24"/>
    </row>
    <row r="62" spans="1:25" x14ac:dyDescent="0.2">
      <c r="A62" s="69" t="s">
        <v>40</v>
      </c>
      <c r="B62" s="38" t="s">
        <v>41</v>
      </c>
      <c r="C62" s="38">
        <v>1</v>
      </c>
      <c r="D62" s="65">
        <v>20000</v>
      </c>
      <c r="E62" s="59">
        <f t="shared" ref="E62:E67" si="3">C62*D62</f>
        <v>20000</v>
      </c>
      <c r="F62" s="60">
        <f t="shared" ref="F62:F67" si="4">E62</f>
        <v>20000</v>
      </c>
      <c r="H62" s="70" t="s">
        <v>42</v>
      </c>
      <c r="L62" s="36"/>
      <c r="Q62" s="36"/>
      <c r="S62" s="24"/>
      <c r="T62" s="24"/>
      <c r="U62" s="24"/>
      <c r="V62" s="24"/>
      <c r="W62" s="24"/>
      <c r="X62" s="24"/>
      <c r="Y62" s="24"/>
    </row>
    <row r="63" spans="1:25" x14ac:dyDescent="0.2">
      <c r="A63" s="69" t="s">
        <v>43</v>
      </c>
      <c r="B63" s="38" t="s">
        <v>41</v>
      </c>
      <c r="C63" s="38">
        <v>1</v>
      </c>
      <c r="D63" s="65">
        <v>30000</v>
      </c>
      <c r="E63" s="59">
        <f t="shared" si="3"/>
        <v>30000</v>
      </c>
      <c r="F63" s="60">
        <f t="shared" si="4"/>
        <v>30000</v>
      </c>
      <c r="G63" s="60"/>
      <c r="H63" s="38"/>
      <c r="L63" s="36"/>
      <c r="Q63" s="36"/>
      <c r="S63" s="24"/>
      <c r="T63" s="24"/>
      <c r="U63" s="24"/>
      <c r="V63" s="24"/>
      <c r="W63" s="24"/>
      <c r="X63" s="24"/>
      <c r="Y63" s="24"/>
    </row>
    <row r="64" spans="1:25" x14ac:dyDescent="0.2">
      <c r="A64" s="69" t="s">
        <v>44</v>
      </c>
      <c r="B64" s="38" t="s">
        <v>41</v>
      </c>
      <c r="C64" s="38">
        <v>1</v>
      </c>
      <c r="D64" s="65">
        <v>150000</v>
      </c>
      <c r="E64" s="59">
        <f t="shared" si="3"/>
        <v>150000</v>
      </c>
      <c r="F64" s="60">
        <f t="shared" si="4"/>
        <v>150000</v>
      </c>
      <c r="G64" s="60"/>
      <c r="H64" s="38"/>
      <c r="L64" s="36"/>
      <c r="Q64" s="36"/>
      <c r="S64" s="24"/>
      <c r="T64" s="24"/>
      <c r="U64" s="24"/>
      <c r="V64" s="24"/>
      <c r="W64" s="24"/>
      <c r="X64" s="24"/>
      <c r="Y64" s="24"/>
    </row>
    <row r="65" spans="1:25" x14ac:dyDescent="0.2">
      <c r="A65" s="69" t="s">
        <v>45</v>
      </c>
      <c r="B65" s="38" t="s">
        <v>121</v>
      </c>
      <c r="C65" s="38">
        <v>10</v>
      </c>
      <c r="D65" s="65">
        <v>10000</v>
      </c>
      <c r="E65" s="59">
        <f t="shared" si="3"/>
        <v>100000</v>
      </c>
      <c r="F65" s="60">
        <f t="shared" si="4"/>
        <v>100000</v>
      </c>
      <c r="G65" s="60"/>
      <c r="H65" s="38"/>
      <c r="L65" s="36"/>
      <c r="Q65" s="36"/>
      <c r="S65" s="24"/>
      <c r="T65" s="24"/>
      <c r="U65" s="24"/>
      <c r="V65" s="24"/>
      <c r="W65" s="24"/>
      <c r="X65" s="24"/>
      <c r="Y65" s="24"/>
    </row>
    <row r="66" spans="1:25" x14ac:dyDescent="0.2">
      <c r="A66" s="69" t="s">
        <v>46</v>
      </c>
      <c r="B66" s="38" t="s">
        <v>47</v>
      </c>
      <c r="C66" s="71">
        <v>200000</v>
      </c>
      <c r="D66" s="38">
        <v>0.2</v>
      </c>
      <c r="E66" s="59">
        <f t="shared" si="3"/>
        <v>40000</v>
      </c>
      <c r="F66" s="60">
        <f t="shared" si="4"/>
        <v>40000</v>
      </c>
      <c r="G66" s="60"/>
      <c r="H66" s="38"/>
      <c r="L66" s="36"/>
      <c r="Q66" s="36"/>
      <c r="S66" s="24"/>
      <c r="T66" s="24"/>
      <c r="U66" s="24"/>
      <c r="V66" s="24"/>
      <c r="W66" s="24"/>
      <c r="X66" s="24"/>
      <c r="Y66" s="24"/>
    </row>
    <row r="67" spans="1:25" x14ac:dyDescent="0.2">
      <c r="A67" s="69" t="s">
        <v>135</v>
      </c>
      <c r="B67" s="38" t="s">
        <v>48</v>
      </c>
      <c r="C67" s="59">
        <f>SUM(E62:E66)</f>
        <v>340000</v>
      </c>
      <c r="D67" s="43">
        <v>0.1</v>
      </c>
      <c r="E67" s="59">
        <f t="shared" si="3"/>
        <v>34000</v>
      </c>
      <c r="F67" s="60">
        <f t="shared" si="4"/>
        <v>34000</v>
      </c>
      <c r="G67" s="60"/>
      <c r="H67" s="38"/>
      <c r="L67" s="36"/>
      <c r="Q67" s="36"/>
      <c r="S67" s="24"/>
      <c r="T67" s="24"/>
      <c r="U67" s="24"/>
      <c r="V67" s="24"/>
      <c r="W67" s="24"/>
      <c r="X67" s="24"/>
      <c r="Y67" s="24"/>
    </row>
    <row r="68" spans="1:25" x14ac:dyDescent="0.2">
      <c r="A68" s="72"/>
      <c r="B68" s="38"/>
      <c r="C68" s="59"/>
      <c r="D68" s="43"/>
      <c r="E68" s="73">
        <f>SUM(E62:E67)</f>
        <v>374000</v>
      </c>
      <c r="F68" s="73">
        <f>SUM(F62:F67)</f>
        <v>374000</v>
      </c>
      <c r="G68" s="74"/>
      <c r="H68" s="38"/>
      <c r="Q68" s="36"/>
      <c r="S68" s="24"/>
      <c r="T68" s="24"/>
      <c r="U68" s="24"/>
      <c r="V68" s="24"/>
      <c r="W68" s="24"/>
      <c r="X68" s="24"/>
      <c r="Y68" s="24"/>
    </row>
    <row r="69" spans="1:25" x14ac:dyDescent="0.2">
      <c r="A69" s="75" t="s">
        <v>49</v>
      </c>
      <c r="B69" s="75"/>
      <c r="C69" s="75"/>
      <c r="D69" s="75"/>
      <c r="E69" s="75"/>
      <c r="F69" s="75"/>
      <c r="G69" s="75"/>
      <c r="H69" s="38"/>
      <c r="Q69" s="36"/>
      <c r="S69" s="24"/>
      <c r="T69" s="24"/>
      <c r="U69" s="24"/>
      <c r="V69" s="24"/>
      <c r="W69" s="24"/>
      <c r="X69" s="24"/>
      <c r="Y69" s="24"/>
    </row>
    <row r="70" spans="1:25" x14ac:dyDescent="0.2">
      <c r="A70" s="69" t="s">
        <v>50</v>
      </c>
      <c r="B70" s="38" t="s">
        <v>51</v>
      </c>
      <c r="C70" s="38">
        <v>1</v>
      </c>
      <c r="D70" s="65">
        <v>0</v>
      </c>
      <c r="E70" s="59">
        <f>C70*D70</f>
        <v>0</v>
      </c>
      <c r="F70" s="60">
        <f>E70</f>
        <v>0</v>
      </c>
      <c r="G70" s="60"/>
      <c r="H70" s="70" t="s">
        <v>52</v>
      </c>
      <c r="L70" s="36"/>
      <c r="Q70" s="36"/>
      <c r="S70" s="24"/>
      <c r="T70" s="24"/>
      <c r="U70" s="24"/>
      <c r="V70" s="24"/>
      <c r="W70" s="24"/>
      <c r="X70" s="24"/>
      <c r="Y70" s="24"/>
    </row>
    <row r="71" spans="1:25" x14ac:dyDescent="0.2">
      <c r="A71" s="69" t="s">
        <v>53</v>
      </c>
      <c r="B71" s="38" t="s">
        <v>54</v>
      </c>
      <c r="C71" s="38">
        <v>1</v>
      </c>
      <c r="D71" s="65">
        <v>80000</v>
      </c>
      <c r="E71" s="59">
        <f>C71*D71</f>
        <v>80000</v>
      </c>
      <c r="F71" s="60">
        <f>E71</f>
        <v>80000</v>
      </c>
      <c r="G71" s="60"/>
      <c r="H71" s="38"/>
      <c r="L71" s="36"/>
      <c r="Q71" s="36"/>
      <c r="S71" s="24"/>
      <c r="T71" s="24"/>
      <c r="U71" s="24"/>
      <c r="V71" s="24"/>
      <c r="W71" s="24"/>
      <c r="X71" s="24"/>
      <c r="Y71" s="24"/>
    </row>
    <row r="72" spans="1:25" x14ac:dyDescent="0.2">
      <c r="A72" s="69" t="s">
        <v>55</v>
      </c>
      <c r="B72" s="38" t="s">
        <v>56</v>
      </c>
      <c r="C72" s="38">
        <v>1</v>
      </c>
      <c r="D72" s="65">
        <v>80000</v>
      </c>
      <c r="E72" s="59">
        <f>C72*D72</f>
        <v>80000</v>
      </c>
      <c r="F72" s="60">
        <f>E72</f>
        <v>80000</v>
      </c>
      <c r="G72" s="60"/>
      <c r="H72" s="38"/>
      <c r="L72" s="36"/>
      <c r="Q72" s="36"/>
      <c r="S72" s="24"/>
      <c r="T72" s="24"/>
      <c r="U72" s="24"/>
      <c r="V72" s="24"/>
      <c r="W72" s="24"/>
      <c r="X72" s="24"/>
      <c r="Y72" s="24"/>
    </row>
    <row r="73" spans="1:25" x14ac:dyDescent="0.2">
      <c r="A73" s="69" t="s">
        <v>57</v>
      </c>
      <c r="B73" s="38" t="s">
        <v>58</v>
      </c>
      <c r="C73" s="38">
        <v>1</v>
      </c>
      <c r="D73" s="65">
        <v>20000</v>
      </c>
      <c r="E73" s="59">
        <f>C73*D73</f>
        <v>20000</v>
      </c>
      <c r="F73" s="38"/>
      <c r="G73" s="60">
        <f>E73</f>
        <v>20000</v>
      </c>
      <c r="H73" s="38"/>
      <c r="K73" s="36"/>
      <c r="O73" s="36"/>
      <c r="Q73" s="36"/>
      <c r="S73" s="24"/>
      <c r="T73" s="24"/>
      <c r="U73" s="24"/>
      <c r="V73" s="24"/>
      <c r="W73" s="24"/>
      <c r="X73" s="24"/>
      <c r="Y73" s="24"/>
    </row>
    <row r="74" spans="1:25" x14ac:dyDescent="0.2">
      <c r="A74" s="76"/>
      <c r="B74" s="38"/>
      <c r="C74" s="38"/>
      <c r="D74" s="38"/>
      <c r="E74" s="73">
        <f>SUM(E70:E73)</f>
        <v>180000</v>
      </c>
      <c r="F74" s="73">
        <f>SUM(F70:F73)</f>
        <v>160000</v>
      </c>
      <c r="G74" s="73">
        <f>SUM(G70:G73)</f>
        <v>20000</v>
      </c>
      <c r="H74" s="38"/>
      <c r="S74" s="24"/>
      <c r="T74" s="24"/>
      <c r="U74" s="24"/>
      <c r="V74" s="24"/>
      <c r="W74" s="24"/>
      <c r="X74" s="24"/>
      <c r="Y74" s="24"/>
    </row>
    <row r="75" spans="1:25" x14ac:dyDescent="0.2">
      <c r="A75" s="76"/>
      <c r="K75" s="24"/>
      <c r="L75" s="24"/>
      <c r="M75" s="24"/>
      <c r="N75" s="20"/>
      <c r="O75" s="24"/>
      <c r="P75" s="24"/>
      <c r="Q75" s="24"/>
      <c r="R75" s="20"/>
      <c r="S75" s="24"/>
      <c r="T75" s="24"/>
      <c r="U75" s="24"/>
      <c r="V75" s="24"/>
      <c r="W75" s="24"/>
      <c r="X75" s="24"/>
      <c r="Y75" s="24"/>
    </row>
    <row r="76" spans="1:25" ht="13.5" thickBot="1" x14ac:dyDescent="0.25">
      <c r="U76" s="20"/>
      <c r="V76" s="20"/>
      <c r="Y76" s="20"/>
    </row>
    <row r="77" spans="1:25" ht="13.5" thickBot="1" x14ac:dyDescent="0.25">
      <c r="A77" s="77" t="s">
        <v>59</v>
      </c>
      <c r="B77" s="78" t="s">
        <v>60</v>
      </c>
      <c r="C77" s="78" t="s">
        <v>82</v>
      </c>
      <c r="D77" s="78" t="s">
        <v>230</v>
      </c>
      <c r="E77" s="79" t="s">
        <v>61</v>
      </c>
      <c r="F77" s="78" t="s">
        <v>62</v>
      </c>
      <c r="Y77" s="20"/>
    </row>
    <row r="78" spans="1:25" x14ac:dyDescent="0.2">
      <c r="A78" s="80" t="s">
        <v>63</v>
      </c>
      <c r="B78" s="81">
        <f>F33</f>
        <v>225000</v>
      </c>
      <c r="C78" s="81">
        <f>G33</f>
        <v>148435</v>
      </c>
      <c r="D78" s="81">
        <f>B78+(C78*10)</f>
        <v>1709350</v>
      </c>
      <c r="E78" s="82">
        <f>D78/10</f>
        <v>170935</v>
      </c>
      <c r="F78" s="83">
        <f>E78/A3</f>
        <v>8.3382926829268289</v>
      </c>
    </row>
    <row r="79" spans="1:25" x14ac:dyDescent="0.2">
      <c r="A79" s="80" t="s">
        <v>273</v>
      </c>
      <c r="B79" s="81">
        <f>F60</f>
        <v>85000</v>
      </c>
      <c r="C79" s="81">
        <f>G60</f>
        <v>11327.7</v>
      </c>
      <c r="D79" s="81">
        <f>B79+(C79*10)</f>
        <v>198277</v>
      </c>
      <c r="E79" s="82">
        <f>D79/10</f>
        <v>19827.7</v>
      </c>
      <c r="F79" s="83">
        <f>E79/A3</f>
        <v>0.96720487804878053</v>
      </c>
    </row>
    <row r="80" spans="1:25" x14ac:dyDescent="0.2">
      <c r="A80" s="80" t="s">
        <v>316</v>
      </c>
      <c r="B80" s="81">
        <f>F68</f>
        <v>374000</v>
      </c>
      <c r="C80" s="84"/>
      <c r="D80" s="81">
        <f>B80+(C80*10)</f>
        <v>374000</v>
      </c>
      <c r="E80" s="82">
        <f>D80/10</f>
        <v>37400</v>
      </c>
      <c r="F80" s="83">
        <f>E80/A3</f>
        <v>1.8243902439024391</v>
      </c>
    </row>
    <row r="81" spans="1:9" ht="13.5" thickBot="1" x14ac:dyDescent="0.25">
      <c r="A81" s="80" t="s">
        <v>275</v>
      </c>
      <c r="B81" s="81">
        <f>F74</f>
        <v>160000</v>
      </c>
      <c r="C81" s="81">
        <f>G74</f>
        <v>20000</v>
      </c>
      <c r="D81" s="81">
        <f>B81+(C81*10)</f>
        <v>360000</v>
      </c>
      <c r="E81" s="82">
        <f>D81/10</f>
        <v>36000</v>
      </c>
      <c r="F81" s="83">
        <f>E81/A3</f>
        <v>1.7560975609756098</v>
      </c>
    </row>
    <row r="82" spans="1:9" ht="13.5" thickBot="1" x14ac:dyDescent="0.25">
      <c r="A82" s="85"/>
      <c r="B82" s="86">
        <f>SUM(B78:B81)</f>
        <v>844000</v>
      </c>
      <c r="C82" s="86">
        <f>SUM(C78:C81)</f>
        <v>179762.7</v>
      </c>
      <c r="D82" s="86">
        <f>SUM(D78:D81)</f>
        <v>2641627</v>
      </c>
      <c r="E82" s="87">
        <f>SUM(E78:E81)</f>
        <v>264162.7</v>
      </c>
      <c r="F82" s="88">
        <f>SUM(F78:F81)</f>
        <v>12.885985365853658</v>
      </c>
      <c r="G82" s="89" t="s">
        <v>64</v>
      </c>
    </row>
    <row r="83" spans="1:9" x14ac:dyDescent="0.2">
      <c r="C83" s="48"/>
    </row>
    <row r="84" spans="1:9" x14ac:dyDescent="0.2">
      <c r="E84" s="19"/>
    </row>
    <row r="86" spans="1:9" ht="13.5" thickBot="1" x14ac:dyDescent="0.25"/>
    <row r="87" spans="1:9" ht="13.5" thickBot="1" x14ac:dyDescent="0.25">
      <c r="A87" s="77" t="s">
        <v>65</v>
      </c>
      <c r="H87" s="90">
        <f>SUM(H89:H104)</f>
        <v>2679349.1483752774</v>
      </c>
      <c r="I87" s="18" t="s">
        <v>66</v>
      </c>
    </row>
    <row r="88" spans="1:9" ht="51" x14ac:dyDescent="0.2">
      <c r="A88" s="91" t="s">
        <v>262</v>
      </c>
      <c r="B88" s="59" t="s">
        <v>83</v>
      </c>
      <c r="C88" s="38" t="s">
        <v>273</v>
      </c>
      <c r="D88" s="38" t="s">
        <v>316</v>
      </c>
      <c r="E88" s="38" t="s">
        <v>275</v>
      </c>
      <c r="F88" s="38" t="s">
        <v>292</v>
      </c>
      <c r="G88" s="38" t="s">
        <v>67</v>
      </c>
      <c r="H88" s="38" t="s">
        <v>68</v>
      </c>
    </row>
    <row r="89" spans="1:9" x14ac:dyDescent="0.2">
      <c r="A89" s="19">
        <v>0</v>
      </c>
      <c r="B89" s="24">
        <f>+B78</f>
        <v>225000</v>
      </c>
      <c r="C89" s="24">
        <f>+B79</f>
        <v>85000</v>
      </c>
      <c r="D89" s="24">
        <f>+B80/2</f>
        <v>187000</v>
      </c>
      <c r="E89" s="24">
        <f>+E70</f>
        <v>0</v>
      </c>
      <c r="F89" s="24">
        <f>SUM(B89:E89)</f>
        <v>497000</v>
      </c>
      <c r="G89" s="92">
        <v>1</v>
      </c>
      <c r="H89" s="93">
        <f>+F89*G89</f>
        <v>497000</v>
      </c>
    </row>
    <row r="90" spans="1:9" x14ac:dyDescent="0.2">
      <c r="A90" s="19">
        <f>+A89+1</f>
        <v>1</v>
      </c>
      <c r="B90" s="24">
        <f>+C78</f>
        <v>148435</v>
      </c>
      <c r="C90" s="24">
        <f>+C79</f>
        <v>11327.7</v>
      </c>
      <c r="D90" s="24">
        <f>+D89</f>
        <v>187000</v>
      </c>
      <c r="E90" s="24">
        <f>$C$81</f>
        <v>20000</v>
      </c>
      <c r="F90" s="24">
        <f>SUM(B90:E90)</f>
        <v>366762.7</v>
      </c>
      <c r="G90" s="92">
        <f>+G89/(1+DiscountRate)</f>
        <v>0.95238095238095233</v>
      </c>
      <c r="H90" s="93">
        <f t="shared" ref="H90:H104" si="5">+F90*G90</f>
        <v>349297.80952380953</v>
      </c>
    </row>
    <row r="91" spans="1:9" x14ac:dyDescent="0.2">
      <c r="A91" s="19">
        <f t="shared" ref="A91:A104" si="6">+A90+1</f>
        <v>2</v>
      </c>
      <c r="B91" s="24">
        <f>+B90</f>
        <v>148435</v>
      </c>
      <c r="C91" s="24">
        <f>+C90</f>
        <v>11327.7</v>
      </c>
      <c r="D91" s="24"/>
      <c r="E91" s="24">
        <f>D71+$C$81</f>
        <v>100000</v>
      </c>
      <c r="F91" s="24">
        <f t="shared" ref="F91:F104" si="7">SUM(B91:E91)</f>
        <v>259762.7</v>
      </c>
      <c r="G91" s="92">
        <f t="shared" ref="G91:G104" si="8">+G90/(1+DiscountRate)</f>
        <v>0.90702947845804982</v>
      </c>
      <c r="H91" s="93">
        <f t="shared" si="5"/>
        <v>235612.42630385488</v>
      </c>
    </row>
    <row r="92" spans="1:9" x14ac:dyDescent="0.2">
      <c r="A92" s="19">
        <f t="shared" si="6"/>
        <v>3</v>
      </c>
      <c r="B92" s="24">
        <f t="shared" ref="B92:C104" si="9">+B91</f>
        <v>148435</v>
      </c>
      <c r="C92" s="24">
        <f t="shared" si="9"/>
        <v>11327.7</v>
      </c>
      <c r="D92" s="24"/>
      <c r="E92" s="24">
        <f>$C$81</f>
        <v>20000</v>
      </c>
      <c r="F92" s="24">
        <f t="shared" si="7"/>
        <v>179762.7</v>
      </c>
      <c r="G92" s="92">
        <f t="shared" si="8"/>
        <v>0.86383759853147601</v>
      </c>
      <c r="H92" s="93">
        <f t="shared" si="5"/>
        <v>155285.77907353418</v>
      </c>
    </row>
    <row r="93" spans="1:9" x14ac:dyDescent="0.2">
      <c r="A93" s="19">
        <f t="shared" si="6"/>
        <v>4</v>
      </c>
      <c r="B93" s="24">
        <f t="shared" si="9"/>
        <v>148435</v>
      </c>
      <c r="C93" s="24">
        <f t="shared" si="9"/>
        <v>11327.7</v>
      </c>
      <c r="D93" s="24"/>
      <c r="E93" s="24">
        <f>D72+$C$81</f>
        <v>100000</v>
      </c>
      <c r="F93" s="24">
        <f t="shared" si="7"/>
        <v>259762.7</v>
      </c>
      <c r="G93" s="92">
        <f t="shared" si="8"/>
        <v>0.82270247479188185</v>
      </c>
      <c r="H93" s="93">
        <f t="shared" si="5"/>
        <v>213707.41614862118</v>
      </c>
    </row>
    <row r="94" spans="1:9" x14ac:dyDescent="0.2">
      <c r="A94" s="19">
        <f t="shared" si="6"/>
        <v>5</v>
      </c>
      <c r="B94" s="24">
        <f t="shared" si="9"/>
        <v>148435</v>
      </c>
      <c r="C94" s="24">
        <f t="shared" si="9"/>
        <v>11327.7</v>
      </c>
      <c r="D94" s="24"/>
      <c r="E94" s="24">
        <f t="shared" ref="E94:E104" si="10">$C$81</f>
        <v>20000</v>
      </c>
      <c r="F94" s="24">
        <f t="shared" si="7"/>
        <v>179762.7</v>
      </c>
      <c r="G94" s="92">
        <f t="shared" si="8"/>
        <v>0.78352616646845885</v>
      </c>
      <c r="H94" s="93">
        <f t="shared" si="5"/>
        <v>140848.77920501964</v>
      </c>
    </row>
    <row r="95" spans="1:9" x14ac:dyDescent="0.2">
      <c r="A95" s="19">
        <f t="shared" si="6"/>
        <v>6</v>
      </c>
      <c r="B95" s="24">
        <f t="shared" si="9"/>
        <v>148435</v>
      </c>
      <c r="C95" s="24">
        <f t="shared" si="9"/>
        <v>11327.7</v>
      </c>
      <c r="D95" s="24"/>
      <c r="E95" s="24">
        <f t="shared" si="10"/>
        <v>20000</v>
      </c>
      <c r="F95" s="24">
        <f t="shared" si="7"/>
        <v>179762.7</v>
      </c>
      <c r="G95" s="92">
        <f t="shared" si="8"/>
        <v>0.74621539663662739</v>
      </c>
      <c r="H95" s="93">
        <f t="shared" si="5"/>
        <v>134141.69448097105</v>
      </c>
    </row>
    <row r="96" spans="1:9" x14ac:dyDescent="0.2">
      <c r="A96" s="19">
        <f t="shared" si="6"/>
        <v>7</v>
      </c>
      <c r="B96" s="24">
        <f t="shared" si="9"/>
        <v>148435</v>
      </c>
      <c r="C96" s="24">
        <f t="shared" si="9"/>
        <v>11327.7</v>
      </c>
      <c r="D96" s="24"/>
      <c r="E96" s="24">
        <f t="shared" si="10"/>
        <v>20000</v>
      </c>
      <c r="F96" s="24">
        <f t="shared" si="7"/>
        <v>179762.7</v>
      </c>
      <c r="G96" s="92">
        <f t="shared" si="8"/>
        <v>0.71068133013012125</v>
      </c>
      <c r="H96" s="93">
        <f t="shared" si="5"/>
        <v>127753.99474378195</v>
      </c>
    </row>
    <row r="97" spans="1:8" x14ac:dyDescent="0.2">
      <c r="A97" s="19">
        <f t="shared" si="6"/>
        <v>8</v>
      </c>
      <c r="B97" s="24">
        <f t="shared" si="9"/>
        <v>148435</v>
      </c>
      <c r="C97" s="24">
        <f t="shared" si="9"/>
        <v>11327.7</v>
      </c>
      <c r="D97" s="24"/>
      <c r="E97" s="24">
        <f t="shared" si="10"/>
        <v>20000</v>
      </c>
      <c r="F97" s="24">
        <f t="shared" si="7"/>
        <v>179762.7</v>
      </c>
      <c r="G97" s="92">
        <f t="shared" si="8"/>
        <v>0.67683936202868689</v>
      </c>
      <c r="H97" s="93">
        <f t="shared" si="5"/>
        <v>121670.47118455423</v>
      </c>
    </row>
    <row r="98" spans="1:8" x14ac:dyDescent="0.2">
      <c r="A98" s="19">
        <f t="shared" si="6"/>
        <v>9</v>
      </c>
      <c r="B98" s="24">
        <f t="shared" si="9"/>
        <v>148435</v>
      </c>
      <c r="C98" s="24">
        <f t="shared" si="9"/>
        <v>11327.7</v>
      </c>
      <c r="D98" s="24"/>
      <c r="E98" s="24">
        <f t="shared" si="10"/>
        <v>20000</v>
      </c>
      <c r="F98" s="24">
        <f t="shared" si="7"/>
        <v>179762.7</v>
      </c>
      <c r="G98" s="92">
        <f t="shared" si="8"/>
        <v>0.64460891621779703</v>
      </c>
      <c r="H98" s="93">
        <f t="shared" si="5"/>
        <v>115876.63922338499</v>
      </c>
    </row>
    <row r="99" spans="1:8" x14ac:dyDescent="0.2">
      <c r="A99" s="19">
        <f t="shared" si="6"/>
        <v>10</v>
      </c>
      <c r="B99" s="24">
        <f t="shared" si="9"/>
        <v>148435</v>
      </c>
      <c r="C99" s="24">
        <f t="shared" si="9"/>
        <v>11327.7</v>
      </c>
      <c r="D99" s="24"/>
      <c r="E99" s="24">
        <f t="shared" si="10"/>
        <v>20000</v>
      </c>
      <c r="F99" s="24">
        <f t="shared" si="7"/>
        <v>179762.7</v>
      </c>
      <c r="G99" s="92">
        <f t="shared" si="8"/>
        <v>0.6139132535407591</v>
      </c>
      <c r="H99" s="93">
        <f t="shared" si="5"/>
        <v>110358.70402227143</v>
      </c>
    </row>
    <row r="100" spans="1:8" x14ac:dyDescent="0.2">
      <c r="A100" s="19">
        <f t="shared" si="6"/>
        <v>11</v>
      </c>
      <c r="B100" s="24">
        <f t="shared" si="9"/>
        <v>148435</v>
      </c>
      <c r="C100" s="24">
        <f t="shared" si="9"/>
        <v>11327.7</v>
      </c>
      <c r="D100" s="24"/>
      <c r="E100" s="24">
        <f t="shared" si="10"/>
        <v>20000</v>
      </c>
      <c r="F100" s="24">
        <f t="shared" si="7"/>
        <v>179762.7</v>
      </c>
      <c r="G100" s="92">
        <f t="shared" si="8"/>
        <v>0.58467928908643718</v>
      </c>
      <c r="H100" s="93">
        <f t="shared" si="5"/>
        <v>105103.52764025849</v>
      </c>
    </row>
    <row r="101" spans="1:8" x14ac:dyDescent="0.2">
      <c r="A101" s="19">
        <f t="shared" si="6"/>
        <v>12</v>
      </c>
      <c r="B101" s="24">
        <f t="shared" si="9"/>
        <v>148435</v>
      </c>
      <c r="C101" s="24">
        <f t="shared" si="9"/>
        <v>11327.7</v>
      </c>
      <c r="D101" s="24"/>
      <c r="E101" s="24">
        <f t="shared" si="10"/>
        <v>20000</v>
      </c>
      <c r="F101" s="24">
        <f t="shared" si="7"/>
        <v>179762.7</v>
      </c>
      <c r="G101" s="92">
        <f t="shared" si="8"/>
        <v>0.55683741817755916</v>
      </c>
      <c r="H101" s="93">
        <f t="shared" si="5"/>
        <v>100098.59775262712</v>
      </c>
    </row>
    <row r="102" spans="1:8" x14ac:dyDescent="0.2">
      <c r="A102" s="19">
        <f t="shared" si="6"/>
        <v>13</v>
      </c>
      <c r="B102" s="24">
        <f t="shared" si="9"/>
        <v>148435</v>
      </c>
      <c r="C102" s="24">
        <f t="shared" si="9"/>
        <v>11327.7</v>
      </c>
      <c r="D102" s="24"/>
      <c r="E102" s="24">
        <f t="shared" si="10"/>
        <v>20000</v>
      </c>
      <c r="F102" s="24">
        <f t="shared" si="7"/>
        <v>179762.7</v>
      </c>
      <c r="G102" s="92">
        <f t="shared" si="8"/>
        <v>0.5303213506452944</v>
      </c>
      <c r="H102" s="93">
        <f t="shared" si="5"/>
        <v>95331.997859644864</v>
      </c>
    </row>
    <row r="103" spans="1:8" x14ac:dyDescent="0.2">
      <c r="A103" s="19">
        <f t="shared" si="6"/>
        <v>14</v>
      </c>
      <c r="B103" s="24">
        <f t="shared" si="9"/>
        <v>148435</v>
      </c>
      <c r="C103" s="24">
        <f t="shared" si="9"/>
        <v>11327.7</v>
      </c>
      <c r="D103" s="24"/>
      <c r="E103" s="24">
        <f t="shared" si="10"/>
        <v>20000</v>
      </c>
      <c r="F103" s="24">
        <f t="shared" si="7"/>
        <v>179762.7</v>
      </c>
      <c r="G103" s="92">
        <f t="shared" si="8"/>
        <v>0.50506795299551843</v>
      </c>
      <c r="H103" s="93">
        <f t="shared" si="5"/>
        <v>90792.378913947483</v>
      </c>
    </row>
    <row r="104" spans="1:8" x14ac:dyDescent="0.2">
      <c r="A104" s="19">
        <f t="shared" si="6"/>
        <v>15</v>
      </c>
      <c r="B104" s="24">
        <f t="shared" si="9"/>
        <v>148435</v>
      </c>
      <c r="C104" s="24">
        <f t="shared" si="9"/>
        <v>11327.7</v>
      </c>
      <c r="D104" s="24"/>
      <c r="E104" s="24">
        <f t="shared" si="10"/>
        <v>20000</v>
      </c>
      <c r="F104" s="24">
        <f t="shared" si="7"/>
        <v>179762.7</v>
      </c>
      <c r="G104" s="92">
        <f t="shared" si="8"/>
        <v>0.48101709809096993</v>
      </c>
      <c r="H104" s="93">
        <f t="shared" si="5"/>
        <v>86468.932298997606</v>
      </c>
    </row>
    <row r="105" spans="1:8" x14ac:dyDescent="0.2">
      <c r="B105" s="21"/>
      <c r="E105" s="19"/>
      <c r="H105" s="93"/>
    </row>
  </sheetData>
  <mergeCells count="2">
    <mergeCell ref="A10:A11"/>
    <mergeCell ref="B10:D10"/>
  </mergeCells>
  <phoneticPr fontId="5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ALL COUNTRY SUMMARY</vt:lpstr>
      <vt:lpstr>Burundi</vt:lpstr>
      <vt:lpstr>Malawi</vt:lpstr>
      <vt:lpstr>Rwanda</vt:lpstr>
      <vt:lpstr>Liberia</vt:lpstr>
      <vt:lpstr>Zambia</vt:lpstr>
      <vt:lpstr>Sierra Leone</vt:lpstr>
      <vt:lpstr>Zimbabwe</vt:lpstr>
      <vt:lpstr>Sugar Budget</vt:lpstr>
      <vt:lpstr>Vegetable Oil Budget</vt:lpstr>
      <vt:lpstr>Wheat Flour Budget</vt:lpstr>
      <vt:lpstr>Maize Flour Budget</vt:lpstr>
      <vt:lpstr>Salt Budget</vt:lpstr>
      <vt:lpstr>'Maize Flour Budget'!Print_Area</vt:lpstr>
      <vt:lpstr>'Salt Budget'!Print_Area</vt:lpstr>
      <vt:lpstr>'Sugar Budget'!Print_Area</vt:lpstr>
      <vt:lpstr>'Vegetable Oil Budget'!Print_Area</vt:lpstr>
      <vt:lpstr>'Wheat Flour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cp:revision/>
  <dcterms:created xsi:type="dcterms:W3CDTF">2011-02-14T11:38:07Z</dcterms:created>
  <dcterms:modified xsi:type="dcterms:W3CDTF">2016-09-08T12:06:12Z</dcterms:modified>
</cp:coreProperties>
</file>