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filterPrivacy="1" autoCompressPictures="0"/>
  <bookViews>
    <workbookView xWindow="0" yWindow="0" windowWidth="25600" windowHeight="16060"/>
  </bookViews>
  <sheets>
    <sheet name="SUMMARY" sheetId="5" r:id="rId1"/>
    <sheet name="Cookstoves" sheetId="1" r:id="rId2"/>
    <sheet name="Solar" sheetId="3" r:id="rId3"/>
    <sheet name="Briquettes" sheetId="2" r:id="rId4"/>
    <sheet name="Snapshot" sheetId="4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4" i="5" l="1"/>
  <c r="E53" i="5"/>
  <c r="E52" i="5"/>
  <c r="E51" i="5"/>
  <c r="E50" i="5"/>
  <c r="E49" i="5"/>
  <c r="E48" i="5"/>
  <c r="E47" i="5"/>
  <c r="E45" i="5"/>
  <c r="E44" i="5"/>
  <c r="E43" i="5"/>
  <c r="E42" i="5"/>
  <c r="K6" i="5"/>
  <c r="L6" i="5"/>
  <c r="M6" i="5"/>
  <c r="K7" i="5"/>
  <c r="L7" i="5"/>
  <c r="M7" i="5"/>
  <c r="K8" i="5"/>
  <c r="L8" i="5"/>
  <c r="M8" i="5"/>
  <c r="K9" i="5"/>
  <c r="L9" i="5"/>
  <c r="M9" i="5"/>
  <c r="K10" i="5"/>
  <c r="L10" i="5"/>
  <c r="M10" i="5"/>
  <c r="K12" i="5"/>
  <c r="L12" i="5"/>
  <c r="M12" i="5"/>
  <c r="K13" i="5"/>
  <c r="L13" i="5"/>
  <c r="M13" i="5"/>
  <c r="K14" i="5"/>
  <c r="L14" i="5"/>
  <c r="M14" i="5"/>
  <c r="K15" i="5"/>
  <c r="L15" i="5"/>
  <c r="M15" i="5"/>
  <c r="K16" i="5"/>
  <c r="L16" i="5"/>
  <c r="M16" i="5"/>
  <c r="K18" i="5"/>
  <c r="L18" i="5"/>
  <c r="M18" i="5"/>
  <c r="K42" i="5"/>
  <c r="L42" i="5"/>
  <c r="M42" i="5"/>
  <c r="K43" i="5"/>
  <c r="L43" i="5"/>
  <c r="M43" i="5"/>
  <c r="K44" i="5"/>
  <c r="L44" i="5"/>
  <c r="M44" i="5"/>
  <c r="K45" i="5"/>
  <c r="L45" i="5"/>
  <c r="M45" i="5"/>
  <c r="K47" i="5"/>
  <c r="L47" i="5"/>
  <c r="M47" i="5"/>
  <c r="K48" i="5"/>
  <c r="L48" i="5"/>
  <c r="M48" i="5"/>
  <c r="K49" i="5"/>
  <c r="L49" i="5"/>
  <c r="M49" i="5"/>
  <c r="K50" i="5"/>
  <c r="L50" i="5"/>
  <c r="M50" i="5"/>
  <c r="K51" i="5"/>
  <c r="L51" i="5"/>
  <c r="M51" i="5"/>
  <c r="K52" i="5"/>
  <c r="L52" i="5"/>
  <c r="M52" i="5"/>
  <c r="K53" i="5"/>
  <c r="L53" i="5"/>
  <c r="M53" i="5"/>
  <c r="K54" i="5"/>
  <c r="L54" i="5"/>
  <c r="M54" i="5"/>
  <c r="E17" i="5"/>
  <c r="E18" i="5"/>
  <c r="E16" i="5"/>
  <c r="E15" i="5"/>
  <c r="E14" i="5"/>
  <c r="E13" i="5"/>
  <c r="E12" i="5"/>
  <c r="E10" i="5"/>
  <c r="E9" i="5"/>
  <c r="E8" i="5"/>
  <c r="E7" i="5"/>
  <c r="E6" i="5"/>
  <c r="A71" i="5"/>
  <c r="A63" i="5"/>
  <c r="A34" i="5"/>
  <c r="Y6" i="1"/>
  <c r="Y5" i="1"/>
  <c r="T26" i="3"/>
  <c r="T34" i="3"/>
  <c r="X4" i="3"/>
  <c r="V4" i="3"/>
  <c r="K4" i="3"/>
  <c r="L4" i="3"/>
  <c r="E4" i="3"/>
  <c r="O4" i="3"/>
  <c r="P4" i="3"/>
  <c r="N4" i="3"/>
  <c r="M4" i="3"/>
  <c r="D4" i="3"/>
  <c r="X13" i="3"/>
  <c r="X10" i="3"/>
  <c r="X8" i="3"/>
  <c r="X7" i="3"/>
  <c r="V5" i="3"/>
  <c r="X5" i="3"/>
  <c r="X2" i="3"/>
  <c r="U32" i="1"/>
  <c r="V3" i="3"/>
  <c r="X3" i="3"/>
  <c r="V2" i="3"/>
  <c r="X12" i="3"/>
  <c r="X11" i="3"/>
  <c r="X9" i="3"/>
  <c r="X6" i="3"/>
  <c r="V13" i="3"/>
  <c r="V12" i="3"/>
  <c r="V11" i="3"/>
  <c r="V10" i="3"/>
  <c r="V9" i="3"/>
  <c r="V8" i="3"/>
  <c r="V7" i="3"/>
  <c r="V6" i="3"/>
  <c r="Y4" i="1"/>
  <c r="Y3" i="1"/>
  <c r="Y2" i="1"/>
  <c r="W8" i="1"/>
  <c r="Y8" i="1"/>
  <c r="W7" i="1"/>
  <c r="Y7" i="1"/>
  <c r="W13" i="1"/>
  <c r="Y13" i="1"/>
  <c r="W12" i="1"/>
  <c r="W11" i="1"/>
  <c r="Y11" i="1"/>
  <c r="Y10" i="1"/>
  <c r="Y9" i="1"/>
  <c r="W10" i="1"/>
  <c r="W9" i="1"/>
  <c r="K2" i="3"/>
  <c r="N2" i="1"/>
  <c r="L2" i="3"/>
  <c r="O2" i="3"/>
  <c r="A11" i="2"/>
  <c r="J3" i="2"/>
  <c r="K3" i="2"/>
  <c r="A21" i="2"/>
  <c r="A22" i="2"/>
  <c r="A12" i="2"/>
  <c r="J2" i="2"/>
  <c r="K2" i="2"/>
  <c r="A13" i="2"/>
  <c r="A14" i="2"/>
  <c r="I2" i="2"/>
  <c r="A34" i="3"/>
  <c r="A35" i="3"/>
  <c r="K11" i="3"/>
  <c r="N11" i="3"/>
  <c r="A30" i="3"/>
  <c r="A31" i="3"/>
  <c r="L11" i="3"/>
  <c r="E11" i="3"/>
  <c r="O11" i="3"/>
  <c r="P11" i="3"/>
  <c r="A26" i="1"/>
  <c r="J12" i="1"/>
  <c r="K12" i="1"/>
  <c r="J11" i="1"/>
  <c r="K11" i="1"/>
  <c r="J10" i="1"/>
  <c r="K10" i="1"/>
  <c r="J9" i="1"/>
  <c r="K9" i="1"/>
  <c r="J8" i="1"/>
  <c r="K8" i="1"/>
  <c r="J7" i="1"/>
  <c r="K7" i="1"/>
  <c r="A27" i="1"/>
  <c r="J4" i="1"/>
  <c r="K4" i="1"/>
  <c r="J3" i="1"/>
  <c r="K3" i="1"/>
  <c r="J2" i="1"/>
  <c r="K2" i="1"/>
  <c r="E2" i="1"/>
  <c r="O2" i="1"/>
  <c r="M2" i="1"/>
  <c r="L2" i="1"/>
  <c r="A29" i="3"/>
  <c r="A26" i="3"/>
  <c r="A27" i="3"/>
  <c r="E18" i="3"/>
  <c r="D18" i="3"/>
  <c r="E17" i="3"/>
  <c r="D17" i="3"/>
  <c r="D16" i="3"/>
  <c r="E13" i="3"/>
  <c r="D13" i="3"/>
  <c r="E12" i="3"/>
  <c r="D12" i="3"/>
  <c r="D11" i="3"/>
  <c r="E10" i="3"/>
  <c r="D10" i="3"/>
  <c r="E9" i="3"/>
  <c r="D9" i="3"/>
  <c r="E8" i="3"/>
  <c r="D8" i="3"/>
  <c r="N7" i="3"/>
  <c r="E7" i="3"/>
  <c r="D7" i="3"/>
  <c r="E6" i="3"/>
  <c r="D6" i="3"/>
  <c r="E5" i="3"/>
  <c r="D5" i="3"/>
  <c r="E3" i="3"/>
  <c r="D3" i="3"/>
  <c r="E2" i="3"/>
  <c r="D2" i="3"/>
  <c r="I3" i="2"/>
  <c r="E3" i="2"/>
  <c r="D3" i="2"/>
  <c r="E2" i="2"/>
  <c r="D2" i="2"/>
  <c r="J13" i="1"/>
  <c r="M13" i="1"/>
  <c r="E13" i="1"/>
  <c r="D13" i="1"/>
  <c r="M12" i="1"/>
  <c r="E12" i="1"/>
  <c r="D12" i="1"/>
  <c r="M11" i="1"/>
  <c r="E11" i="1"/>
  <c r="D11" i="1"/>
  <c r="M10" i="1"/>
  <c r="E10" i="1"/>
  <c r="D10" i="1"/>
  <c r="M9" i="1"/>
  <c r="E9" i="1"/>
  <c r="D9" i="1"/>
  <c r="M8" i="1"/>
  <c r="E8" i="1"/>
  <c r="D8" i="1"/>
  <c r="M7" i="1"/>
  <c r="E7" i="1"/>
  <c r="D7" i="1"/>
  <c r="J6" i="1"/>
  <c r="M6" i="1"/>
  <c r="E6" i="1"/>
  <c r="D6" i="1"/>
  <c r="J5" i="1"/>
  <c r="M5" i="1"/>
  <c r="E5" i="1"/>
  <c r="D5" i="1"/>
  <c r="M4" i="1"/>
  <c r="E4" i="1"/>
  <c r="D4" i="1"/>
  <c r="M3" i="1"/>
  <c r="E3" i="1"/>
  <c r="D3" i="1"/>
  <c r="D2" i="1"/>
  <c r="K5" i="3"/>
  <c r="K3" i="3"/>
  <c r="M2" i="3"/>
  <c r="M3" i="3"/>
  <c r="M5" i="3"/>
  <c r="K18" i="3"/>
  <c r="M18" i="3"/>
  <c r="K17" i="3"/>
  <c r="M17" i="3"/>
  <c r="K13" i="3"/>
  <c r="K12" i="3"/>
  <c r="K10" i="3"/>
  <c r="K9" i="3"/>
  <c r="K7" i="3"/>
  <c r="L7" i="3"/>
  <c r="O7" i="3"/>
  <c r="P7" i="3"/>
  <c r="K6" i="3"/>
  <c r="K16" i="3"/>
  <c r="N3" i="1"/>
  <c r="O3" i="1"/>
  <c r="N4" i="1"/>
  <c r="O4" i="1"/>
  <c r="N8" i="1"/>
  <c r="O8" i="1"/>
  <c r="N9" i="1"/>
  <c r="O9" i="1"/>
  <c r="N10" i="1"/>
  <c r="O10" i="1"/>
  <c r="N11" i="1"/>
  <c r="O11" i="1"/>
  <c r="N12" i="1"/>
  <c r="O12" i="1"/>
  <c r="N6" i="3"/>
  <c r="L6" i="3"/>
  <c r="O6" i="3"/>
  <c r="P6" i="3"/>
  <c r="N9" i="3"/>
  <c r="L9" i="3"/>
  <c r="O9" i="3"/>
  <c r="P9" i="3"/>
  <c r="N13" i="3"/>
  <c r="L13" i="3"/>
  <c r="O13" i="3"/>
  <c r="P13" i="3"/>
  <c r="N18" i="3"/>
  <c r="L18" i="3"/>
  <c r="O18" i="3"/>
  <c r="P18" i="3"/>
  <c r="M6" i="3"/>
  <c r="L11" i="1"/>
  <c r="L3" i="1"/>
  <c r="N3" i="3"/>
  <c r="L3" i="3"/>
  <c r="O3" i="3"/>
  <c r="P3" i="3"/>
  <c r="M13" i="3"/>
  <c r="M11" i="3"/>
  <c r="M9" i="3"/>
  <c r="L10" i="1"/>
  <c r="L4" i="1"/>
  <c r="N7" i="1"/>
  <c r="O7" i="1"/>
  <c r="L7" i="1"/>
  <c r="L16" i="3"/>
  <c r="N16" i="3"/>
  <c r="N10" i="3"/>
  <c r="L10" i="3"/>
  <c r="O10" i="3"/>
  <c r="P10" i="3"/>
  <c r="N12" i="3"/>
  <c r="L12" i="3"/>
  <c r="O12" i="3"/>
  <c r="P12" i="3"/>
  <c r="N17" i="3"/>
  <c r="L17" i="3"/>
  <c r="O17" i="3"/>
  <c r="P17" i="3"/>
  <c r="M7" i="3"/>
  <c r="L9" i="1"/>
  <c r="N2" i="3"/>
  <c r="P2" i="3"/>
  <c r="N5" i="3"/>
  <c r="L5" i="3"/>
  <c r="O5" i="3"/>
  <c r="P5" i="3"/>
  <c r="M12" i="3"/>
  <c r="M10" i="3"/>
  <c r="L12" i="1"/>
  <c r="L8" i="1"/>
</calcChain>
</file>

<file path=xl/sharedStrings.xml><?xml version="1.0" encoding="utf-8"?>
<sst xmlns="http://schemas.openxmlformats.org/spreadsheetml/2006/main" count="571" uniqueCount="193">
  <si>
    <t>COUNTRY</t>
  </si>
  <si>
    <t>LOCALLY PROD?</t>
  </si>
  <si>
    <t>WHOLESALE</t>
  </si>
  <si>
    <t>RETAIL</t>
  </si>
  <si>
    <t>LG MARGIN</t>
  </si>
  <si>
    <t>DEMAND - MO. SALES ($)</t>
  </si>
  <si>
    <t>FUEL TYPE</t>
  </si>
  <si>
    <t>FUEL SAVINGS (%)</t>
  </si>
  <si>
    <t>MONTHLY FUEL COST ($)</t>
  </si>
  <si>
    <t>FUEL SAVINGS ($)</t>
  </si>
  <si>
    <t>PAYBACK PERIOD (MO.)</t>
  </si>
  <si>
    <t>TOTAL FUEL SPEND</t>
  </si>
  <si>
    <t>TOTAL SAVINGS ($)</t>
  </si>
  <si>
    <t>ROI</t>
  </si>
  <si>
    <t>EM REDUCTION</t>
  </si>
  <si>
    <t>LIFESPAN</t>
  </si>
  <si>
    <t>AFTER-SALE?</t>
  </si>
  <si>
    <t>SOURCE</t>
  </si>
  <si>
    <t>BURN TANK</t>
  </si>
  <si>
    <t>Kenya</t>
  </si>
  <si>
    <t>No</t>
  </si>
  <si>
    <t>Charcoal</t>
  </si>
  <si>
    <t>3-4 Years</t>
  </si>
  <si>
    <t>1 Year</t>
  </si>
  <si>
    <t>LG Product Catalogue, LG Kenya Product Price List (Eric), Burn Design Lab: http://www.burndesignlab.org/our-stoves</t>
  </si>
  <si>
    <t>ECO-ZOOM JET: 24cm</t>
  </si>
  <si>
    <t>1 Year</t>
  </si>
  <si>
    <t>LG Product Catalogue, LG Kenya Product Price List (Eric), Eco-Zoom Jet: http://ecozoomstove.com/wp-content/uploads/2013/03/Zoom-Jet_Technical-Sheet.pdf</t>
  </si>
  <si>
    <t>ECO-ZOOM JET: 28cm</t>
  </si>
  <si>
    <t>SCODE KCJ 10"</t>
  </si>
  <si>
    <t>Yes</t>
  </si>
  <si>
    <t>LG Product Catalogue, LG Kenya Product Price List (Eric), Scode: http://www.scode.co.ke/biolatrines/improved-cook-stoves</t>
  </si>
  <si>
    <t>SCODE KCJ 12"</t>
  </si>
  <si>
    <t>ECO-SMART: SM</t>
  </si>
  <si>
    <t>Uganda</t>
  </si>
  <si>
    <t>N/A</t>
  </si>
  <si>
    <t>2 Years</t>
  </si>
  <si>
    <t>7 Year</t>
  </si>
  <si>
    <t>LG Uganda Product Price List, Int'l Lifeline Fund: http://lifelinefund.org/work/uganda/clean-cooking</t>
  </si>
  <si>
    <t>ECO-SMART: LG</t>
  </si>
  <si>
    <t>UGASTOVE: SM</t>
  </si>
  <si>
    <t>4-5 Years</t>
  </si>
  <si>
    <t>LG Uganda Product Price List, UGASTOVE</t>
  </si>
  <si>
    <t>UGASTOVE: LG</t>
  </si>
  <si>
    <t>UGASTOVE: XLG</t>
  </si>
  <si>
    <t>UPENERGY ENVIRO-FIT</t>
  </si>
  <si>
    <t>No: China</t>
  </si>
  <si>
    <t>Wood</t>
  </si>
  <si>
    <t>3-5 Years</t>
  </si>
  <si>
    <t>LG Product Catalogue, LG Uganda Product Price List, EnviroFit: http://www.envirofit.org/images/products/pdf/g3300/G3300SpecSheet.pdf</t>
  </si>
  <si>
    <t>UPENERGY JIKO POA</t>
  </si>
  <si>
    <t>No: Kenya</t>
  </si>
  <si>
    <t>LG Uganda Product Price List, UpEnergy</t>
  </si>
  <si>
    <t>Charcoal expenditures account for 15% of household income. Monthly income is approximately $150. 150*0.15 = $22.50 per month. SOURCE: Nov. 2013 Insight Research Study in Uganda &amp; Kenya for household income figures (from Henry). EcoZoom Kenya for expenditure on cooking fuel (this no. corresponds with a figure from Henry on monthly expenditures for a 40kg bag of charcoal).</t>
  </si>
  <si>
    <t>Payback period: Stove can pay itself off in x no. of months in terms of charcoal savings. Total fuel spend: Monthly expenditure on charcoal over the life of the product. Total savings: Amount saved over the life of the product.</t>
  </si>
  <si>
    <t>ASSUMPTIONS</t>
  </si>
  <si>
    <t>Monthly HH income, Uganda (US$)</t>
  </si>
  <si>
    <t>Nov. 2013 Insight Research Study in Uganda &amp; Kenya (PPT from Henry)</t>
  </si>
  <si>
    <t>ASSUMPTIONS THAT SHOULD BE VERIFIED</t>
  </si>
  <si>
    <t>Monthly HH income, Kenya (US$)</t>
  </si>
  <si>
    <t>Monthly HH spend on charcoal (%), Uganda</t>
  </si>
  <si>
    <t>EcoZoom Kenya: http://ecozoomstove.com/internationalprojects/kenya.php</t>
  </si>
  <si>
    <t>Monthly HH spend on charcoal (%), Kenya</t>
  </si>
  <si>
    <t>Monthly HH spend on charcoal ($), Uganda</t>
  </si>
  <si>
    <t>Kat's calculations</t>
  </si>
  <si>
    <t>Monthly HH spend on charcoal ($), Kenya</t>
  </si>
  <si>
    <t>1 year product lifespan</t>
  </si>
  <si>
    <t>2 year product lifespan</t>
  </si>
  <si>
    <t>3 year product lifespan</t>
  </si>
  <si>
    <t>4 year product lifespan</t>
  </si>
  <si>
    <t>5 year product lifespan</t>
  </si>
  <si>
    <t>1 KSH = 0.01140 USD on 12/18/13</t>
  </si>
  <si>
    <t>Oanda.com</t>
  </si>
  <si>
    <t>1 UGX = 0.00039 USD on 12/18/13</t>
  </si>
  <si>
    <t>DAILY FUEL COST ($)</t>
  </si>
  <si>
    <t>FUEL SAVINGS ($) PER MO.</t>
  </si>
  <si>
    <t>SINEM BRIQUETTES</t>
  </si>
  <si>
    <t>1KG bag, assuming daily use. LG Kenya Product Price List.</t>
  </si>
  <si>
    <t>GREEN BIO ENERGY BRIKETTIS</t>
  </si>
  <si>
    <t>1KG bag, assuming daily use. LG Uganda Product Price List, Green Bio Energy: http://www.greenbioenergy.org/en/products/briketi.</t>
  </si>
  <si>
    <t>Daily HH spend on charcoal ($), Uganda</t>
  </si>
  <si>
    <t>Kat's calculations; corresponds with a figure from Henry on daily/weekly spend.</t>
  </si>
  <si>
    <t>Daily HH spend on charcoal ($), Kenya</t>
  </si>
  <si>
    <t>BATTERY LIFE</t>
  </si>
  <si>
    <t>MOBILE?</t>
  </si>
  <si>
    <t>BAREFOOT: FIREFLY 12 LED W/ CHARGER</t>
  </si>
  <si>
    <t>5 Years</t>
  </si>
  <si>
    <t>LG Kenya Product Price List; Barefoot Power: http://www.barefootpower.com/index.php/products/itemlist/category/1-firefly. Includes savings on mobile phone charging: Increases ROI from 13 to 21x.</t>
  </si>
  <si>
    <t>D.LIGHT: S20 (KIRAN)</t>
  </si>
  <si>
    <t>LG Kenya Product Price List; D.Light: http://www.dlightdesign.com/productline/s20.</t>
  </si>
  <si>
    <t>GLP: SUN KING PRO</t>
  </si>
  <si>
    <t>LG Kenya Product Price List; Green Light Planet: https://d3e4qofmfzp80a.cloudfront.net/2013/04/30/18/03/41/759/pro.pdf. Includes savings on mobile phone charging: Increase ROI from 8 to 14x.</t>
  </si>
  <si>
    <t>BAREFOOT: FIREFLY 12 LED</t>
  </si>
  <si>
    <t>3 Years</t>
  </si>
  <si>
    <t>LG Uganda Product Price List; Barefoot Power: http://www.barefootpower.com/index.php/products/itemlist/category/1-firefly.</t>
  </si>
  <si>
    <t>BAREFOOT: FIREFLY F10 MOBILE</t>
  </si>
  <si>
    <t>LG Uganda Product Price List; D.Light: http://www.dlightdesign.com/productline/s20.</t>
  </si>
  <si>
    <t>D.LIGHT: S300 (NOVA)</t>
  </si>
  <si>
    <t>LG Uganda Product Price List; D.Light: http://www.dlightdesign.com/productline/s300.</t>
  </si>
  <si>
    <t>LITTLE SUN</t>
  </si>
  <si>
    <t>LG Uganda Product Price List; Little Sun: http://www.littlesun.com/downloads/ls_downloads/LittleSun_Tech_Specs_Medium_web.pdf.</t>
  </si>
  <si>
    <t>GLP: SUN KING SOLO</t>
  </si>
  <si>
    <t>LG Uganda Product Price List; Green Light Planet: https://d3e4qofmfzp80a.cloudfront.net/2013/04/30/18/03/28/593/solo.pdf.</t>
  </si>
  <si>
    <t>LG Uganda Product Price List; Green Light Planet: https://d3e4qofmfzp80a.cloudfront.net/2013/04/30/18/03/41/759/pro.pdf.</t>
  </si>
  <si>
    <t>SOLAR HOME SYSTEMS</t>
  </si>
  <si>
    <t>BAREFOOT: POWAPACK VILLAGE KIT 15W</t>
  </si>
  <si>
    <t>LG Uganda Product Price List; Barefoot Power: http://www.barefootpower.com/index.php/products/item/125-powapack-15w-village.</t>
  </si>
  <si>
    <t>BAREFOOT: POWAPACK 5W</t>
  </si>
  <si>
    <t>LG Uganda Product Price List; Barefoot Power: http://www.barefootpower.com/index.php/products/item/122-powapack-5w.</t>
  </si>
  <si>
    <t>BAREFOOT: POWAPACK JR 2.5W</t>
  </si>
  <si>
    <t>4 Years</t>
  </si>
  <si>
    <t>LG Uganda Product Price List; Barefoot Power: http://www.barefootpower.com/index.php/products/item/121-powapack-junior-matrix.</t>
  </si>
  <si>
    <t>Households in Kenya spend 14,000 KSH per month on lighting + 4,000 KSH per month for mobile phone charging. SOURCE: Home Solar Energy Program, Kenya.</t>
  </si>
  <si>
    <t>Payback period: Solar can pay itself off in x no. of months in terms of kerosene and mobile charging expenditures. Total fuel spend: Monthly expenditure on kerosene and mobile phone charging over the life of the product (battery life). Total savings: Amount saved over the life of the product (battery life).</t>
  </si>
  <si>
    <t>Mobile exp., per year</t>
  </si>
  <si>
    <t>Kenya Home Solar Energy Program</t>
  </si>
  <si>
    <t>Mobile exp., per mo.</t>
  </si>
  <si>
    <t>Kerosene exp., USD, per year</t>
  </si>
  <si>
    <t>Kerosene exp., KSH, per mo.</t>
  </si>
  <si>
    <t>Kerosene exp., USD, per mo.</t>
  </si>
  <si>
    <t>Kerosene exp., UGX, per day</t>
  </si>
  <si>
    <t>Uganda: Information from Henry</t>
  </si>
  <si>
    <t>Kerosene exp., USD, per day</t>
  </si>
  <si>
    <t>1 year battery lifespan</t>
  </si>
  <si>
    <t>2 year battery lifespan</t>
  </si>
  <si>
    <t>3 year battery lifespan</t>
  </si>
  <si>
    <t>4 year battery lifespan</t>
  </si>
  <si>
    <t>5 year battery lifespan</t>
  </si>
  <si>
    <t>BRIQUETTES</t>
  </si>
  <si>
    <t>SOLAR</t>
  </si>
  <si>
    <t>COOKSTOVES</t>
  </si>
  <si>
    <t>Average no. of stoves per HH</t>
  </si>
  <si>
    <t>MONTHLY FUEL SAVINGS ($)</t>
  </si>
  <si>
    <t>VERIFY</t>
  </si>
  <si>
    <t>Daily HH spend on a 1kg bag of briquettes ($), Uganda</t>
  </si>
  <si>
    <r>
      <t xml:space="preserve">Daily HH spend on </t>
    </r>
    <r>
      <rPr>
        <b/>
        <u/>
        <sz val="11"/>
        <color rgb="FF000000"/>
        <rFont val="Calibri"/>
      </rPr>
      <t>two</t>
    </r>
    <r>
      <rPr>
        <sz val="11"/>
        <color rgb="FF000000"/>
        <rFont val="Calibri"/>
      </rPr>
      <t>, 1kg bags of briquettes ($)</t>
    </r>
  </si>
  <si>
    <r>
      <t xml:space="preserve">Monthly HH spend on </t>
    </r>
    <r>
      <rPr>
        <b/>
        <u/>
        <sz val="11"/>
        <color rgb="FF000000"/>
        <rFont val="Calibri"/>
      </rPr>
      <t>two</t>
    </r>
    <r>
      <rPr>
        <sz val="11"/>
        <color rgb="FF000000"/>
        <rFont val="Calibri"/>
      </rPr>
      <t>, 1kg bags of  briquettes ($)</t>
    </r>
  </si>
  <si>
    <t>Monthly Fuel spend, BEFORE</t>
  </si>
  <si>
    <t>Monthly Fuel spend, AFTER</t>
  </si>
  <si>
    <t>Monthly Savings</t>
  </si>
  <si>
    <t>Product Lifetime (months)</t>
  </si>
  <si>
    <t>Net Customer Savings</t>
  </si>
  <si>
    <t>Uganda:</t>
  </si>
  <si>
    <t>- Use $250 across the board. As sell more high-end stoves, can re-visit.</t>
  </si>
  <si>
    <t>- Defensible and conservative both from primary and secondary research</t>
  </si>
  <si>
    <t>- Higher-end stoves would likely have even more return, so another point of under-statement.</t>
  </si>
  <si>
    <t>Kenya:</t>
  </si>
  <si>
    <t>- Use $150 for Scodes.</t>
  </si>
  <si>
    <t xml:space="preserve">    -  Lower return likely attributable to spending less for kerosene, and less initiatl conversion than seeing in Uganda</t>
  </si>
  <si>
    <t>- Use $300 for Burn and Zooms for higher-end stove sales. Our very limited data implies higher, so $300 feels consrevative and defensible</t>
  </si>
  <si>
    <t>Therefore, lifetime savings per unit stove sold is:</t>
  </si>
  <si>
    <t>- Since ~October, our unit sales of stoves have been ~80% Scodes and 20% Burn/Zooms, our blended cost savings per unit stove sold in Kenya is:</t>
  </si>
  <si>
    <t>Final Determination:</t>
  </si>
  <si>
    <r>
      <t>D.LIGHT: S</t>
    </r>
    <r>
      <rPr>
        <b/>
        <sz val="11"/>
        <color rgb="FF000000"/>
        <rFont val="Calibri"/>
      </rPr>
      <t>300</t>
    </r>
  </si>
  <si>
    <t>Monthly Fuel Savings</t>
  </si>
  <si>
    <t>- Use $400 for lamps with mobile (based on a $3.80 100% savings per month; avg lifetime of 60 months.</t>
  </si>
  <si>
    <t>- Weighted blended savings based on 70% of sales from non=mobile charging S20 and 30% from lamps with chargers (the Firefly, S300, and Sun King Pro). Bsed on actual unit sales from Nov'13 - Jan'14.</t>
  </si>
  <si>
    <t>- Use $300 for lamps with mobile (based on a $3.80 100% savings per month; avg lifetime of 60 months.</t>
  </si>
  <si>
    <t>- Weighted blended savings based on 50% of sales from non-mobile charging lamps and 50% from lamps with chargers. Based on actual unit sales from N2013</t>
  </si>
  <si>
    <t>Includes mobile charging</t>
  </si>
  <si>
    <t>- Use $50 for solar lamps that don't include moble charging. Mjority of our non-mobile sales in UG in 2013 were Little Sun, which has the lowest return profile, driven primarily on the 2-year lifetime</t>
  </si>
  <si>
    <t>- Use $200 for solar lamps that don't include moble charging. Our survey data was limited and was a bit lower; external research implies much higher (up to $200), so $200 blended feels appropriately conservate</t>
  </si>
  <si>
    <t>NA</t>
  </si>
  <si>
    <t>Í</t>
  </si>
  <si>
    <t>Stove</t>
  </si>
  <si>
    <t>Price</t>
  </si>
  <si>
    <t>Lifespan</t>
  </si>
  <si>
    <t>Emission Reductions**</t>
  </si>
  <si>
    <t>SOLD IN KENYA</t>
  </si>
  <si>
    <t>$300+</t>
  </si>
  <si>
    <t>$150 </t>
  </si>
  <si>
    <t>SOLD IN UGANDA</t>
  </si>
  <si>
    <t>$250+</t>
  </si>
  <si>
    <t xml:space="preserve">UPENERGY ENVIRO-FIT (Wood) </t>
  </si>
  <si>
    <t>Cookstove Summary</t>
  </si>
  <si>
    <t>Modelled Savings</t>
  </si>
  <si>
    <t>Mobile Charging?</t>
  </si>
  <si>
    <t>$400+</t>
  </si>
  <si>
    <t>$200+</t>
  </si>
  <si>
    <t>D.LIGHT S300 (NOVA)</t>
  </si>
  <si>
    <t>$50+</t>
  </si>
  <si>
    <t>5 years </t>
  </si>
  <si>
    <t>$300+ </t>
  </si>
  <si>
    <t>$50-100</t>
  </si>
  <si>
    <t>GLP: LITTLE SUN</t>
  </si>
  <si>
    <t>$25-50</t>
  </si>
  <si>
    <t>Solar Summary:</t>
  </si>
  <si>
    <t>Product Lifetime</t>
  </si>
  <si>
    <t>2-3 Years</t>
  </si>
  <si>
    <t>Economic Savings (Product Lifetime)</t>
  </si>
  <si>
    <t>tbd</t>
  </si>
  <si>
    <t>Monthly lighting Savings</t>
  </si>
  <si>
    <t>- Use $150 for Scodes and Ceramic stove (note Ceramic introduced in April '14 as a replacement for the Scode 12", which was having price and supply issues. No specific data on Ceramics, but profile is similar to Scode, so using $150 for unit sales of them)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</si>
</sst>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$&quot;#,##0.00"/>
    <numFmt numFmtId="168" formatCode="0.0%"/>
    <numFmt numFmtId="169" formatCode="0.0"/>
    <numFmt numFmtId="170" formatCode="d\-mmm;@"/>
    <numFmt numFmtId="171" formatCode="&quot;$&quot;#,##0.00000"/>
    <numFmt numFmtId="172" formatCode="_(* #,##0_);_(* \(#,##0\);_(* &quot;-&quot;??_);_(@_)"/>
  </numFmts>
  <fonts count="148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FF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FF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FF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FFFFFF"/>
      <name val="Calibri"/>
    </font>
    <font>
      <b/>
      <sz val="11"/>
      <color rgb="FFFF0000"/>
      <name val="Calibri"/>
    </font>
    <font>
      <b/>
      <sz val="11"/>
      <color rgb="FFFFFFFF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FFFFFF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FFFFFF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FF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u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FF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FFFFFF"/>
      <name val="Calibri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FF0000"/>
      <name val="Arial"/>
    </font>
    <font>
      <sz val="10"/>
      <name val="Arial"/>
    </font>
    <font>
      <b/>
      <u/>
      <sz val="10"/>
      <color rgb="FF000000"/>
      <name val="Arial"/>
    </font>
    <font>
      <b/>
      <sz val="11"/>
      <color rgb="FF0000FF"/>
      <name val="Arial"/>
    </font>
    <font>
      <b/>
      <i/>
      <sz val="10"/>
      <color rgb="FF000000"/>
      <name val="Arial"/>
    </font>
    <font>
      <b/>
      <sz val="11"/>
      <color rgb="FF000000"/>
      <name val="Arial"/>
    </font>
    <font>
      <b/>
      <sz val="12"/>
      <color rgb="FF000000"/>
      <name val="Calibri"/>
    </font>
    <font>
      <sz val="12"/>
      <color rgb="FF000000"/>
      <name val="Calibri"/>
    </font>
    <font>
      <b/>
      <u/>
      <sz val="14"/>
      <color rgb="FF000000"/>
      <name val="Arial"/>
    </font>
  </fonts>
  <fills count="10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9EDF4"/>
        <bgColor indexed="64"/>
      </patternFill>
    </fill>
  </fills>
  <borders count="1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/>
      <top style="medium">
        <color rgb="FF4F81BD"/>
      </top>
      <bottom/>
      <diagonal/>
    </border>
    <border>
      <left/>
      <right/>
      <top/>
      <bottom style="medium">
        <color rgb="FF4F81BD"/>
      </bottom>
      <diagonal/>
    </border>
    <border>
      <left/>
      <right style="thin">
        <color auto="1"/>
      </right>
      <top style="medium">
        <color rgb="FF4F81BD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rgb="FF4F81BD"/>
      </top>
      <bottom style="medium">
        <color rgb="FF4F81BD"/>
      </bottom>
      <diagonal/>
    </border>
    <border>
      <left/>
      <right style="thin">
        <color auto="1"/>
      </right>
      <top/>
      <bottom style="medium">
        <color rgb="FF4F81BD"/>
      </bottom>
      <diagonal/>
    </border>
  </borders>
  <cellStyleXfs count="153">
    <xf numFmtId="0" fontId="0" fillId="0" borderId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65" fontId="137" fillId="0" borderId="0" applyFon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66" fontId="137" fillId="0" borderId="0" applyFon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</cellStyleXfs>
  <cellXfs count="293">
    <xf numFmtId="0" fontId="0" fillId="0" borderId="0" xfId="0" applyAlignment="1">
      <alignment wrapText="1"/>
    </xf>
    <xf numFmtId="3" fontId="1" fillId="2" borderId="1" xfId="0" applyNumberFormat="1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left" vertical="top" wrapText="1"/>
    </xf>
    <xf numFmtId="9" fontId="4" fillId="5" borderId="0" xfId="0" applyNumberFormat="1" applyFont="1" applyFill="1" applyAlignment="1">
      <alignment horizontal="left" vertical="top" wrapText="1"/>
    </xf>
    <xf numFmtId="2" fontId="5" fillId="6" borderId="0" xfId="0" applyNumberFormat="1" applyFont="1" applyFill="1" applyAlignment="1">
      <alignment horizontal="left" vertical="top" wrapText="1"/>
    </xf>
    <xf numFmtId="167" fontId="6" fillId="7" borderId="0" xfId="0" applyNumberFormat="1" applyFont="1" applyFill="1" applyAlignment="1">
      <alignment horizontal="left" vertical="top" wrapText="1"/>
    </xf>
    <xf numFmtId="0" fontId="7" fillId="0" borderId="4" xfId="0" applyFont="1" applyBorder="1" applyAlignment="1">
      <alignment horizontal="center" vertical="top"/>
    </xf>
    <xf numFmtId="1" fontId="9" fillId="9" borderId="5" xfId="0" applyNumberFormat="1" applyFont="1" applyFill="1" applyBorder="1" applyAlignment="1">
      <alignment horizontal="left" vertical="top" wrapText="1"/>
    </xf>
    <xf numFmtId="0" fontId="10" fillId="0" borderId="6" xfId="0" applyFont="1" applyBorder="1"/>
    <xf numFmtId="0" fontId="11" fillId="10" borderId="7" xfId="0" applyFont="1" applyFill="1" applyBorder="1" applyAlignment="1">
      <alignment horizontal="left" vertical="top" wrapText="1"/>
    </xf>
    <xf numFmtId="167" fontId="12" fillId="11" borderId="0" xfId="0" applyNumberFormat="1" applyFont="1" applyFill="1" applyAlignment="1">
      <alignment horizontal="left" vertical="top" wrapText="1"/>
    </xf>
    <xf numFmtId="168" fontId="13" fillId="12" borderId="8" xfId="0" applyNumberFormat="1" applyFont="1" applyFill="1" applyBorder="1" applyAlignment="1">
      <alignment horizontal="left" vertical="top" wrapText="1"/>
    </xf>
    <xf numFmtId="167" fontId="14" fillId="13" borderId="9" xfId="0" applyNumberFormat="1" applyFont="1" applyFill="1" applyBorder="1" applyAlignment="1">
      <alignment horizontal="left" vertical="top" wrapText="1"/>
    </xf>
    <xf numFmtId="167" fontId="15" fillId="14" borderId="10" xfId="0" applyNumberFormat="1" applyFont="1" applyFill="1" applyBorder="1" applyAlignment="1">
      <alignment horizontal="left" vertical="top" wrapText="1"/>
    </xf>
    <xf numFmtId="0" fontId="16" fillId="15" borderId="11" xfId="0" applyFont="1" applyFill="1" applyBorder="1" applyAlignment="1">
      <alignment horizontal="center" vertical="top" wrapText="1"/>
    </xf>
    <xf numFmtId="0" fontId="17" fillId="0" borderId="12" xfId="0" applyFont="1" applyBorder="1" applyAlignment="1">
      <alignment horizontal="left" vertical="top" wrapText="1"/>
    </xf>
    <xf numFmtId="168" fontId="18" fillId="16" borderId="13" xfId="0" applyNumberFormat="1" applyFont="1" applyFill="1" applyBorder="1" applyAlignment="1">
      <alignment horizontal="left" vertical="top" wrapText="1"/>
    </xf>
    <xf numFmtId="3" fontId="20" fillId="18" borderId="14" xfId="0" applyNumberFormat="1" applyFont="1" applyFill="1" applyBorder="1" applyAlignment="1">
      <alignment horizontal="left" vertical="top" wrapText="1"/>
    </xf>
    <xf numFmtId="169" fontId="21" fillId="19" borderId="15" xfId="0" applyNumberFormat="1" applyFont="1" applyFill="1" applyBorder="1" applyAlignment="1">
      <alignment horizontal="left" vertical="top" wrapText="1"/>
    </xf>
    <xf numFmtId="168" fontId="22" fillId="20" borderId="16" xfId="0" applyNumberFormat="1" applyFont="1" applyFill="1" applyBorder="1" applyAlignment="1">
      <alignment horizontal="left" vertical="top" wrapText="1"/>
    </xf>
    <xf numFmtId="0" fontId="23" fillId="21" borderId="17" xfId="0" applyFont="1" applyFill="1" applyBorder="1" applyAlignment="1">
      <alignment horizontal="left" vertical="top" wrapText="1"/>
    </xf>
    <xf numFmtId="0" fontId="24" fillId="22" borderId="18" xfId="0" applyFont="1" applyFill="1" applyBorder="1" applyAlignment="1">
      <alignment horizontal="center" vertical="top" wrapText="1"/>
    </xf>
    <xf numFmtId="168" fontId="25" fillId="23" borderId="19" xfId="0" applyNumberFormat="1" applyFont="1" applyFill="1" applyBorder="1" applyAlignment="1">
      <alignment horizontal="left" vertical="top" wrapText="1"/>
    </xf>
    <xf numFmtId="168" fontId="26" fillId="24" borderId="20" xfId="0" applyNumberFormat="1" applyFont="1" applyFill="1" applyBorder="1" applyAlignment="1">
      <alignment horizontal="left" vertical="top" wrapText="1"/>
    </xf>
    <xf numFmtId="0" fontId="27" fillId="25" borderId="21" xfId="0" applyFont="1" applyFill="1" applyBorder="1" applyAlignment="1">
      <alignment horizontal="center" vertical="top" wrapText="1"/>
    </xf>
    <xf numFmtId="0" fontId="28" fillId="26" borderId="22" xfId="0" applyFont="1" applyFill="1" applyBorder="1" applyAlignment="1">
      <alignment horizontal="left" vertical="top" wrapText="1"/>
    </xf>
    <xf numFmtId="167" fontId="29" fillId="27" borderId="23" xfId="0" applyNumberFormat="1" applyFont="1" applyFill="1" applyBorder="1" applyAlignment="1">
      <alignment horizontal="left" vertical="top" wrapText="1"/>
    </xf>
    <xf numFmtId="0" fontId="31" fillId="29" borderId="24" xfId="0" applyFont="1" applyFill="1" applyBorder="1" applyAlignment="1">
      <alignment horizontal="left" vertical="top" wrapText="1"/>
    </xf>
    <xf numFmtId="0" fontId="32" fillId="30" borderId="25" xfId="0" applyFont="1" applyFill="1" applyBorder="1" applyAlignment="1">
      <alignment horizontal="left" vertical="top" wrapText="1"/>
    </xf>
    <xf numFmtId="0" fontId="33" fillId="0" borderId="26" xfId="0" applyFont="1" applyBorder="1"/>
    <xf numFmtId="0" fontId="35" fillId="32" borderId="27" xfId="0" applyFont="1" applyFill="1" applyBorder="1" applyAlignment="1">
      <alignment horizontal="left" vertical="top" wrapText="1"/>
    </xf>
    <xf numFmtId="0" fontId="36" fillId="33" borderId="28" xfId="0" applyFont="1" applyFill="1" applyBorder="1" applyAlignment="1">
      <alignment horizontal="left" vertical="top" wrapText="1"/>
    </xf>
    <xf numFmtId="0" fontId="37" fillId="0" borderId="29" xfId="0" applyFont="1" applyBorder="1" applyAlignment="1">
      <alignment horizontal="center" vertical="top" wrapText="1"/>
    </xf>
    <xf numFmtId="168" fontId="38" fillId="34" borderId="30" xfId="0" applyNumberFormat="1" applyFont="1" applyFill="1" applyBorder="1" applyAlignment="1">
      <alignment horizontal="left" vertical="top" wrapText="1"/>
    </xf>
    <xf numFmtId="168" fontId="39" fillId="35" borderId="31" xfId="0" applyNumberFormat="1" applyFont="1" applyFill="1" applyBorder="1" applyAlignment="1">
      <alignment horizontal="left" vertical="top" wrapText="1"/>
    </xf>
    <xf numFmtId="0" fontId="40" fillId="0" borderId="32" xfId="0" applyFont="1" applyBorder="1" applyAlignment="1">
      <alignment horizontal="left" vertical="top" wrapText="1"/>
    </xf>
    <xf numFmtId="0" fontId="41" fillId="36" borderId="33" xfId="0" applyFont="1" applyFill="1" applyBorder="1" applyAlignment="1">
      <alignment horizontal="left" vertical="top" wrapText="1"/>
    </xf>
    <xf numFmtId="0" fontId="42" fillId="37" borderId="34" xfId="0" applyFont="1" applyFill="1" applyBorder="1" applyAlignment="1">
      <alignment horizontal="left" vertical="top" wrapText="1"/>
    </xf>
    <xf numFmtId="167" fontId="43" fillId="0" borderId="35" xfId="0" applyNumberFormat="1" applyFont="1" applyBorder="1" applyAlignment="1">
      <alignment horizontal="left" vertical="top" wrapText="1"/>
    </xf>
    <xf numFmtId="0" fontId="44" fillId="38" borderId="36" xfId="0" applyFont="1" applyFill="1" applyBorder="1" applyAlignment="1">
      <alignment horizontal="left" vertical="top" wrapText="1"/>
    </xf>
    <xf numFmtId="167" fontId="45" fillId="0" borderId="37" xfId="0" applyNumberFormat="1" applyFont="1" applyBorder="1" applyAlignment="1">
      <alignment horizontal="center" vertical="top" wrapText="1"/>
    </xf>
    <xf numFmtId="0" fontId="46" fillId="39" borderId="38" xfId="0" applyFont="1" applyFill="1" applyBorder="1" applyAlignment="1">
      <alignment horizontal="center" vertical="top" wrapText="1"/>
    </xf>
    <xf numFmtId="167" fontId="47" fillId="40" borderId="39" xfId="0" applyNumberFormat="1" applyFont="1" applyFill="1" applyBorder="1" applyAlignment="1">
      <alignment horizontal="left" vertical="top" wrapText="1"/>
    </xf>
    <xf numFmtId="168" fontId="48" fillId="0" borderId="40" xfId="0" applyNumberFormat="1" applyFont="1" applyBorder="1" applyAlignment="1">
      <alignment horizontal="left" vertical="top" wrapText="1"/>
    </xf>
    <xf numFmtId="0" fontId="49" fillId="41" borderId="0" xfId="0" applyFont="1" applyFill="1" applyAlignment="1">
      <alignment vertical="center" wrapText="1"/>
    </xf>
    <xf numFmtId="0" fontId="50" fillId="42" borderId="41" xfId="0" applyFont="1" applyFill="1" applyBorder="1" applyAlignment="1">
      <alignment horizontal="left" vertical="top" wrapText="1"/>
    </xf>
    <xf numFmtId="0" fontId="51" fillId="0" borderId="42" xfId="0" applyFont="1" applyBorder="1" applyAlignment="1">
      <alignment horizontal="center" vertical="top" wrapText="1"/>
    </xf>
    <xf numFmtId="0" fontId="52" fillId="0" borderId="43" xfId="0" applyFont="1" applyBorder="1"/>
    <xf numFmtId="168" fontId="53" fillId="0" borderId="44" xfId="0" applyNumberFormat="1" applyFont="1" applyBorder="1" applyAlignment="1">
      <alignment horizontal="left" vertical="top" wrapText="1"/>
    </xf>
    <xf numFmtId="0" fontId="54" fillId="43" borderId="45" xfId="0" applyFont="1" applyFill="1" applyBorder="1" applyAlignment="1">
      <alignment horizontal="left" vertical="top" wrapText="1"/>
    </xf>
    <xf numFmtId="0" fontId="55" fillId="0" borderId="46" xfId="0" applyFont="1" applyBorder="1"/>
    <xf numFmtId="167" fontId="56" fillId="44" borderId="47" xfId="0" applyNumberFormat="1" applyFont="1" applyFill="1" applyBorder="1" applyAlignment="1">
      <alignment horizontal="left" vertical="top" wrapText="1"/>
    </xf>
    <xf numFmtId="0" fontId="57" fillId="45" borderId="48" xfId="0" applyFont="1" applyFill="1" applyBorder="1" applyAlignment="1">
      <alignment horizontal="center" vertical="top" wrapText="1"/>
    </xf>
    <xf numFmtId="0" fontId="58" fillId="0" borderId="49" xfId="0" applyFont="1" applyBorder="1" applyAlignment="1">
      <alignment horizontal="left" vertical="top" wrapText="1"/>
    </xf>
    <xf numFmtId="0" fontId="59" fillId="0" borderId="50" xfId="0" applyFont="1" applyBorder="1" applyAlignment="1">
      <alignment horizontal="left" vertical="top" wrapText="1"/>
    </xf>
    <xf numFmtId="167" fontId="60" fillId="0" borderId="51" xfId="0" applyNumberFormat="1" applyFont="1" applyBorder="1" applyAlignment="1">
      <alignment horizontal="left" vertical="top" wrapText="1"/>
    </xf>
    <xf numFmtId="167" fontId="61" fillId="46" borderId="52" xfId="0" applyNumberFormat="1" applyFont="1" applyFill="1" applyBorder="1" applyAlignment="1">
      <alignment horizontal="center" vertical="top" wrapText="1"/>
    </xf>
    <xf numFmtId="3" fontId="62" fillId="47" borderId="53" xfId="0" applyNumberFormat="1" applyFont="1" applyFill="1" applyBorder="1" applyAlignment="1">
      <alignment horizontal="left" vertical="top" wrapText="1"/>
    </xf>
    <xf numFmtId="167" fontId="63" fillId="48" borderId="54" xfId="0" applyNumberFormat="1" applyFont="1" applyFill="1" applyBorder="1" applyAlignment="1">
      <alignment horizontal="left" vertical="top" wrapText="1"/>
    </xf>
    <xf numFmtId="0" fontId="66" fillId="0" borderId="56" xfId="0" applyFont="1" applyBorder="1" applyAlignment="1">
      <alignment horizontal="center"/>
    </xf>
    <xf numFmtId="168" fontId="67" fillId="51" borderId="57" xfId="0" applyNumberFormat="1" applyFont="1" applyFill="1" applyBorder="1" applyAlignment="1">
      <alignment horizontal="left" vertical="top" wrapText="1"/>
    </xf>
    <xf numFmtId="167" fontId="68" fillId="52" borderId="58" xfId="0" applyNumberFormat="1" applyFont="1" applyFill="1" applyBorder="1" applyAlignment="1">
      <alignment horizontal="left" vertical="top" wrapText="1"/>
    </xf>
    <xf numFmtId="0" fontId="69" fillId="53" borderId="59" xfId="0" applyFont="1" applyFill="1" applyBorder="1" applyAlignment="1">
      <alignment horizontal="left" vertical="top" wrapText="1"/>
    </xf>
    <xf numFmtId="1" fontId="70" fillId="54" borderId="60" xfId="0" applyNumberFormat="1" applyFont="1" applyFill="1" applyBorder="1" applyAlignment="1">
      <alignment horizontal="left" vertical="top" wrapText="1"/>
    </xf>
    <xf numFmtId="167" fontId="72" fillId="56" borderId="61" xfId="0" applyNumberFormat="1" applyFont="1" applyFill="1" applyBorder="1" applyAlignment="1">
      <alignment horizontal="left" vertical="top" wrapText="1"/>
    </xf>
    <xf numFmtId="171" fontId="73" fillId="57" borderId="0" xfId="0" applyNumberFormat="1" applyFont="1" applyFill="1" applyAlignment="1">
      <alignment horizontal="left" vertical="top" wrapText="1"/>
    </xf>
    <xf numFmtId="4" fontId="75" fillId="59" borderId="0" xfId="0" applyNumberFormat="1" applyFont="1" applyFill="1" applyAlignment="1">
      <alignment horizontal="left" vertical="top" wrapText="1"/>
    </xf>
    <xf numFmtId="169" fontId="76" fillId="60" borderId="62" xfId="0" applyNumberFormat="1" applyFont="1" applyFill="1" applyBorder="1" applyAlignment="1">
      <alignment horizontal="left" vertical="top" wrapText="1"/>
    </xf>
    <xf numFmtId="167" fontId="77" fillId="0" borderId="63" xfId="0" applyNumberFormat="1" applyFont="1" applyBorder="1" applyAlignment="1">
      <alignment horizontal="left" vertical="top" wrapText="1"/>
    </xf>
    <xf numFmtId="167" fontId="78" fillId="61" borderId="64" xfId="0" applyNumberFormat="1" applyFont="1" applyFill="1" applyBorder="1" applyAlignment="1">
      <alignment horizontal="left" vertical="top" wrapText="1"/>
    </xf>
    <xf numFmtId="167" fontId="79" fillId="0" borderId="65" xfId="0" applyNumberFormat="1" applyFont="1" applyBorder="1" applyAlignment="1">
      <alignment horizontal="left" vertical="top" wrapText="1"/>
    </xf>
    <xf numFmtId="0" fontId="80" fillId="62" borderId="66" xfId="0" applyFont="1" applyFill="1" applyBorder="1" applyAlignment="1">
      <alignment horizontal="left" vertical="top" wrapText="1"/>
    </xf>
    <xf numFmtId="168" fontId="81" fillId="63" borderId="67" xfId="0" applyNumberFormat="1" applyFont="1" applyFill="1" applyBorder="1" applyAlignment="1">
      <alignment horizontal="left" vertical="top" wrapText="1"/>
    </xf>
    <xf numFmtId="168" fontId="82" fillId="64" borderId="68" xfId="0" applyNumberFormat="1" applyFont="1" applyFill="1" applyBorder="1" applyAlignment="1">
      <alignment horizontal="left" vertical="top" wrapText="1"/>
    </xf>
    <xf numFmtId="0" fontId="83" fillId="0" borderId="69" xfId="0" applyFont="1" applyBorder="1" applyAlignment="1">
      <alignment horizontal="left" vertical="top" wrapText="1"/>
    </xf>
    <xf numFmtId="168" fontId="84" fillId="65" borderId="70" xfId="0" applyNumberFormat="1" applyFont="1" applyFill="1" applyBorder="1" applyAlignment="1">
      <alignment horizontal="left" vertical="top" wrapText="1"/>
    </xf>
    <xf numFmtId="169" fontId="85" fillId="66" borderId="71" xfId="0" applyNumberFormat="1" applyFont="1" applyFill="1" applyBorder="1" applyAlignment="1">
      <alignment horizontal="left" vertical="top" wrapText="1"/>
    </xf>
    <xf numFmtId="167" fontId="86" fillId="0" borderId="72" xfId="0" applyNumberFormat="1" applyFont="1" applyBorder="1" applyAlignment="1">
      <alignment horizontal="left" vertical="top" wrapText="1"/>
    </xf>
    <xf numFmtId="167" fontId="87" fillId="67" borderId="73" xfId="0" applyNumberFormat="1" applyFont="1" applyFill="1" applyBorder="1" applyAlignment="1">
      <alignment horizontal="left" vertical="top" wrapText="1"/>
    </xf>
    <xf numFmtId="1" fontId="88" fillId="68" borderId="74" xfId="0" applyNumberFormat="1" applyFont="1" applyFill="1" applyBorder="1" applyAlignment="1">
      <alignment horizontal="left" vertical="top" wrapText="1"/>
    </xf>
    <xf numFmtId="167" fontId="89" fillId="0" borderId="75" xfId="0" applyNumberFormat="1" applyFont="1" applyBorder="1" applyAlignment="1">
      <alignment horizontal="left" vertical="top" wrapText="1"/>
    </xf>
    <xf numFmtId="168" fontId="90" fillId="0" borderId="76" xfId="0" applyNumberFormat="1" applyFont="1" applyBorder="1" applyAlignment="1">
      <alignment horizontal="left" vertical="top" wrapText="1"/>
    </xf>
    <xf numFmtId="169" fontId="91" fillId="69" borderId="77" xfId="0" applyNumberFormat="1" applyFont="1" applyFill="1" applyBorder="1" applyAlignment="1">
      <alignment horizontal="left" vertical="top" wrapText="1"/>
    </xf>
    <xf numFmtId="0" fontId="92" fillId="70" borderId="78" xfId="0" applyFont="1" applyFill="1" applyBorder="1" applyAlignment="1">
      <alignment horizontal="center" vertical="top" wrapText="1"/>
    </xf>
    <xf numFmtId="0" fontId="93" fillId="71" borderId="79" xfId="0" applyFont="1" applyFill="1" applyBorder="1" applyAlignment="1">
      <alignment horizontal="left" vertical="top" wrapText="1"/>
    </xf>
    <xf numFmtId="0" fontId="94" fillId="72" borderId="80" xfId="0" applyFont="1" applyFill="1" applyBorder="1" applyAlignment="1">
      <alignment horizontal="left" vertical="top" wrapText="1"/>
    </xf>
    <xf numFmtId="0" fontId="95" fillId="73" borderId="81" xfId="0" applyFont="1" applyFill="1" applyBorder="1" applyAlignment="1">
      <alignment horizontal="left" vertical="top" wrapText="1"/>
    </xf>
    <xf numFmtId="0" fontId="96" fillId="0" borderId="0" xfId="0" applyFont="1"/>
    <xf numFmtId="0" fontId="97" fillId="74" borderId="82" xfId="0" applyFont="1" applyFill="1" applyBorder="1" applyAlignment="1">
      <alignment horizontal="left" vertical="top" wrapText="1"/>
    </xf>
    <xf numFmtId="167" fontId="98" fillId="75" borderId="83" xfId="0" applyNumberFormat="1" applyFont="1" applyFill="1" applyBorder="1" applyAlignment="1">
      <alignment horizontal="left" vertical="top" wrapText="1"/>
    </xf>
    <xf numFmtId="0" fontId="100" fillId="0" borderId="85" xfId="0" applyFont="1" applyBorder="1"/>
    <xf numFmtId="0" fontId="101" fillId="77" borderId="86" xfId="0" applyFont="1" applyFill="1" applyBorder="1" applyAlignment="1">
      <alignment horizontal="left" vertical="top"/>
    </xf>
    <xf numFmtId="167" fontId="102" fillId="78" borderId="87" xfId="0" applyNumberFormat="1" applyFont="1" applyFill="1" applyBorder="1" applyAlignment="1">
      <alignment horizontal="left" vertical="top" wrapText="1"/>
    </xf>
    <xf numFmtId="0" fontId="103" fillId="79" borderId="88" xfId="0" applyFont="1" applyFill="1" applyBorder="1" applyAlignment="1">
      <alignment horizontal="left" vertical="top" wrapText="1"/>
    </xf>
    <xf numFmtId="167" fontId="104" fillId="0" borderId="89" xfId="0" applyNumberFormat="1" applyFont="1" applyBorder="1" applyAlignment="1">
      <alignment horizontal="left" vertical="top" wrapText="1"/>
    </xf>
    <xf numFmtId="0" fontId="105" fillId="0" borderId="90" xfId="0" applyFont="1" applyBorder="1"/>
    <xf numFmtId="0" fontId="106" fillId="0" borderId="91" xfId="0" applyFont="1" applyBorder="1" applyAlignment="1">
      <alignment horizontal="left" vertical="top" wrapText="1"/>
    </xf>
    <xf numFmtId="167" fontId="107" fillId="0" borderId="92" xfId="0" applyNumberFormat="1" applyFont="1" applyBorder="1" applyAlignment="1">
      <alignment horizontal="left" vertical="top" wrapText="1"/>
    </xf>
    <xf numFmtId="168" fontId="108" fillId="0" borderId="93" xfId="0" applyNumberFormat="1" applyFont="1" applyBorder="1" applyAlignment="1">
      <alignment horizontal="left" vertical="top" wrapText="1"/>
    </xf>
    <xf numFmtId="167" fontId="110" fillId="81" borderId="95" xfId="0" applyNumberFormat="1" applyFont="1" applyFill="1" applyBorder="1" applyAlignment="1">
      <alignment horizontal="left" vertical="top" wrapText="1"/>
    </xf>
    <xf numFmtId="167" fontId="111" fillId="82" borderId="96" xfId="0" applyNumberFormat="1" applyFont="1" applyFill="1" applyBorder="1" applyAlignment="1">
      <alignment horizontal="left" vertical="top" wrapText="1"/>
    </xf>
    <xf numFmtId="0" fontId="112" fillId="83" borderId="0" xfId="0" applyFont="1" applyFill="1" applyAlignment="1">
      <alignment horizontal="left" vertical="top" wrapText="1"/>
    </xf>
    <xf numFmtId="0" fontId="114" fillId="0" borderId="97" xfId="0" applyFont="1" applyBorder="1" applyAlignment="1">
      <alignment horizontal="left" vertical="top" wrapText="1"/>
    </xf>
    <xf numFmtId="0" fontId="116" fillId="85" borderId="99" xfId="0" applyFont="1" applyFill="1" applyBorder="1" applyAlignment="1">
      <alignment horizontal="left" vertical="top" wrapText="1"/>
    </xf>
    <xf numFmtId="167" fontId="117" fillId="86" borderId="100" xfId="0" applyNumberFormat="1" applyFont="1" applyFill="1" applyBorder="1" applyAlignment="1">
      <alignment horizontal="left" vertical="top" wrapText="1"/>
    </xf>
    <xf numFmtId="0" fontId="118" fillId="87" borderId="0" xfId="0" applyFont="1" applyFill="1" applyAlignment="1">
      <alignment horizontal="center" vertical="top" wrapText="1"/>
    </xf>
    <xf numFmtId="0" fontId="120" fillId="89" borderId="0" xfId="0" applyFont="1" applyFill="1" applyAlignment="1">
      <alignment horizontal="left" vertical="top"/>
    </xf>
    <xf numFmtId="0" fontId="121" fillId="90" borderId="101" xfId="0" applyFont="1" applyFill="1" applyBorder="1" applyAlignment="1">
      <alignment horizontal="center" vertical="top" wrapText="1"/>
    </xf>
    <xf numFmtId="0" fontId="122" fillId="91" borderId="0" xfId="0" applyFont="1" applyFill="1" applyAlignment="1">
      <alignment vertical="top" wrapText="1"/>
    </xf>
    <xf numFmtId="0" fontId="123" fillId="92" borderId="102" xfId="0" applyFont="1" applyFill="1" applyBorder="1" applyAlignment="1">
      <alignment horizontal="center" vertical="top" wrapText="1"/>
    </xf>
    <xf numFmtId="0" fontId="124" fillId="93" borderId="103" xfId="0" applyFont="1" applyFill="1" applyBorder="1" applyAlignment="1">
      <alignment horizontal="left" vertical="top" wrapText="1"/>
    </xf>
    <xf numFmtId="0" fontId="125" fillId="94" borderId="104" xfId="0" applyFont="1" applyFill="1" applyBorder="1" applyAlignment="1">
      <alignment horizontal="left" vertical="top" wrapText="1"/>
    </xf>
    <xf numFmtId="168" fontId="126" fillId="95" borderId="105" xfId="0" applyNumberFormat="1" applyFont="1" applyFill="1" applyBorder="1" applyAlignment="1">
      <alignment horizontal="left" vertical="top" wrapText="1"/>
    </xf>
    <xf numFmtId="3" fontId="127" fillId="96" borderId="106" xfId="0" applyNumberFormat="1" applyFont="1" applyFill="1" applyBorder="1" applyAlignment="1">
      <alignment horizontal="left" vertical="top" wrapText="1"/>
    </xf>
    <xf numFmtId="0" fontId="128" fillId="97" borderId="107" xfId="0" applyFont="1" applyFill="1" applyBorder="1" applyAlignment="1">
      <alignment horizontal="left" vertical="top" wrapText="1"/>
    </xf>
    <xf numFmtId="0" fontId="129" fillId="98" borderId="108" xfId="0" applyFont="1" applyFill="1" applyBorder="1" applyAlignment="1">
      <alignment horizontal="left" vertical="top" wrapText="1"/>
    </xf>
    <xf numFmtId="169" fontId="130" fillId="99" borderId="109" xfId="0" applyNumberFormat="1" applyFont="1" applyFill="1" applyBorder="1" applyAlignment="1">
      <alignment horizontal="left" vertical="top" wrapText="1"/>
    </xf>
    <xf numFmtId="0" fontId="24" fillId="22" borderId="102" xfId="0" applyFont="1" applyFill="1" applyBorder="1" applyAlignment="1">
      <alignment horizontal="center" vertical="top" wrapText="1"/>
    </xf>
    <xf numFmtId="167" fontId="68" fillId="52" borderId="109" xfId="0" applyNumberFormat="1" applyFont="1" applyFill="1" applyBorder="1" applyAlignment="1">
      <alignment horizontal="left" vertical="top" wrapText="1"/>
    </xf>
    <xf numFmtId="167" fontId="29" fillId="27" borderId="106" xfId="0" applyNumberFormat="1" applyFont="1" applyFill="1" applyBorder="1" applyAlignment="1">
      <alignment horizontal="left" vertical="top" wrapText="1"/>
    </xf>
    <xf numFmtId="167" fontId="72" fillId="56" borderId="105" xfId="0" applyNumberFormat="1" applyFont="1" applyFill="1" applyBorder="1" applyAlignment="1">
      <alignment horizontal="left" vertical="top" wrapText="1"/>
    </xf>
    <xf numFmtId="0" fontId="2" fillId="22" borderId="102" xfId="0" applyFont="1" applyFill="1" applyBorder="1" applyAlignment="1">
      <alignment horizontal="center" vertical="top" wrapText="1"/>
    </xf>
    <xf numFmtId="0" fontId="101" fillId="77" borderId="0" xfId="0" applyFont="1" applyFill="1" applyBorder="1" applyAlignment="1">
      <alignment horizontal="left" vertical="top"/>
    </xf>
    <xf numFmtId="0" fontId="32" fillId="30" borderId="111" xfId="0" applyFont="1" applyFill="1" applyBorder="1" applyAlignment="1">
      <alignment horizontal="left" vertical="top" wrapText="1"/>
    </xf>
    <xf numFmtId="0" fontId="28" fillId="26" borderId="112" xfId="0" applyFont="1" applyFill="1" applyBorder="1" applyAlignment="1">
      <alignment horizontal="left" vertical="top" wrapText="1"/>
    </xf>
    <xf numFmtId="0" fontId="93" fillId="71" borderId="113" xfId="0" applyFont="1" applyFill="1" applyBorder="1" applyAlignment="1">
      <alignment horizontal="left" vertical="top" wrapText="1"/>
    </xf>
    <xf numFmtId="167" fontId="111" fillId="82" borderId="113" xfId="0" applyNumberFormat="1" applyFont="1" applyFill="1" applyBorder="1" applyAlignment="1">
      <alignment horizontal="left" vertical="top" wrapText="1"/>
    </xf>
    <xf numFmtId="167" fontId="117" fillId="86" borderId="113" xfId="0" applyNumberFormat="1" applyFont="1" applyFill="1" applyBorder="1" applyAlignment="1">
      <alignment horizontal="left" vertical="top" wrapText="1"/>
    </xf>
    <xf numFmtId="168" fontId="18" fillId="16" borderId="113" xfId="0" applyNumberFormat="1" applyFont="1" applyFill="1" applyBorder="1" applyAlignment="1">
      <alignment horizontal="left" vertical="top" wrapText="1"/>
    </xf>
    <xf numFmtId="168" fontId="25" fillId="23" borderId="113" xfId="0" applyNumberFormat="1" applyFont="1" applyFill="1" applyBorder="1" applyAlignment="1">
      <alignment horizontal="left" vertical="top" wrapText="1"/>
    </xf>
    <xf numFmtId="167" fontId="68" fillId="52" borderId="113" xfId="0" applyNumberFormat="1" applyFont="1" applyFill="1" applyBorder="1" applyAlignment="1">
      <alignment horizontal="left" vertical="top" wrapText="1"/>
    </xf>
    <xf numFmtId="169" fontId="130" fillId="99" borderId="113" xfId="0" applyNumberFormat="1" applyFont="1" applyFill="1" applyBorder="1" applyAlignment="1">
      <alignment horizontal="left" vertical="top" wrapText="1"/>
    </xf>
    <xf numFmtId="3" fontId="1" fillId="2" borderId="113" xfId="0" applyNumberFormat="1" applyFont="1" applyFill="1" applyBorder="1" applyAlignment="1">
      <alignment horizontal="left" vertical="top" wrapText="1"/>
    </xf>
    <xf numFmtId="168" fontId="113" fillId="84" borderId="113" xfId="0" applyNumberFormat="1" applyFont="1" applyFill="1" applyBorder="1" applyAlignment="1">
      <alignment horizontal="left" vertical="top" wrapText="1"/>
    </xf>
    <xf numFmtId="0" fontId="35" fillId="32" borderId="114" xfId="0" applyFont="1" applyFill="1" applyBorder="1" applyAlignment="1">
      <alignment horizontal="left" vertical="top" wrapText="1"/>
    </xf>
    <xf numFmtId="0" fontId="50" fillId="42" borderId="111" xfId="0" applyFont="1" applyFill="1" applyBorder="1" applyAlignment="1">
      <alignment horizontal="left" vertical="top" wrapText="1"/>
    </xf>
    <xf numFmtId="0" fontId="116" fillId="85" borderId="90" xfId="0" applyFont="1" applyFill="1" applyBorder="1" applyAlignment="1">
      <alignment horizontal="left" vertical="top" wrapText="1"/>
    </xf>
    <xf numFmtId="0" fontId="92" fillId="70" borderId="102" xfId="0" applyFont="1" applyFill="1" applyBorder="1" applyAlignment="1">
      <alignment horizontal="center" vertical="top" wrapText="1"/>
    </xf>
    <xf numFmtId="0" fontId="2" fillId="3" borderId="102" xfId="0" applyFont="1" applyFill="1" applyBorder="1" applyAlignment="1">
      <alignment horizontal="center" vertical="top" wrapText="1"/>
    </xf>
    <xf numFmtId="0" fontId="16" fillId="15" borderId="102" xfId="0" applyFont="1" applyFill="1" applyBorder="1" applyAlignment="1">
      <alignment horizontal="center" vertical="top" wrapText="1"/>
    </xf>
    <xf numFmtId="0" fontId="27" fillId="25" borderId="102" xfId="0" applyFont="1" applyFill="1" applyBorder="1" applyAlignment="1">
      <alignment horizontal="center" vertical="top" wrapText="1"/>
    </xf>
    <xf numFmtId="0" fontId="121" fillId="90" borderId="42" xfId="0" applyFont="1" applyFill="1" applyBorder="1" applyAlignment="1">
      <alignment horizontal="center" vertical="top" wrapText="1"/>
    </xf>
    <xf numFmtId="0" fontId="23" fillId="21" borderId="115" xfId="0" applyFont="1" applyFill="1" applyBorder="1" applyAlignment="1">
      <alignment horizontal="left" vertical="top" wrapText="1"/>
    </xf>
    <xf numFmtId="0" fontId="129" fillId="98" borderId="116" xfId="0" applyFont="1" applyFill="1" applyBorder="1" applyAlignment="1">
      <alignment horizontal="left" vertical="top" wrapText="1"/>
    </xf>
    <xf numFmtId="0" fontId="94" fillId="72" borderId="117" xfId="0" applyFont="1" applyFill="1" applyBorder="1" applyAlignment="1">
      <alignment horizontal="left" vertical="top" wrapText="1"/>
    </xf>
    <xf numFmtId="167" fontId="14" fillId="13" borderId="117" xfId="0" applyNumberFormat="1" applyFont="1" applyFill="1" applyBorder="1" applyAlignment="1">
      <alignment horizontal="left" vertical="top" wrapText="1"/>
    </xf>
    <xf numFmtId="167" fontId="15" fillId="14" borderId="117" xfId="0" applyNumberFormat="1" applyFont="1" applyFill="1" applyBorder="1" applyAlignment="1">
      <alignment horizontal="left" vertical="top" wrapText="1"/>
    </xf>
    <xf numFmtId="168" fontId="126" fillId="95" borderId="117" xfId="0" applyNumberFormat="1" applyFont="1" applyFill="1" applyBorder="1" applyAlignment="1">
      <alignment horizontal="left" vertical="top" wrapText="1"/>
    </xf>
    <xf numFmtId="168" fontId="13" fillId="12" borderId="117" xfId="0" applyNumberFormat="1" applyFont="1" applyFill="1" applyBorder="1" applyAlignment="1">
      <alignment horizontal="left" vertical="top" wrapText="1"/>
    </xf>
    <xf numFmtId="167" fontId="78" fillId="61" borderId="117" xfId="0" applyNumberFormat="1" applyFont="1" applyFill="1" applyBorder="1" applyAlignment="1">
      <alignment horizontal="left" vertical="top" wrapText="1"/>
    </xf>
    <xf numFmtId="167" fontId="72" fillId="56" borderId="117" xfId="0" applyNumberFormat="1" applyFont="1" applyFill="1" applyBorder="1" applyAlignment="1">
      <alignment horizontal="left" vertical="top" wrapText="1"/>
    </xf>
    <xf numFmtId="169" fontId="71" fillId="55" borderId="117" xfId="0" applyNumberFormat="1" applyFont="1" applyFill="1" applyBorder="1" applyAlignment="1">
      <alignment horizontal="left" vertical="top" wrapText="1"/>
    </xf>
    <xf numFmtId="3" fontId="19" fillId="17" borderId="117" xfId="0" applyNumberFormat="1" applyFont="1" applyFill="1" applyBorder="1" applyAlignment="1">
      <alignment horizontal="left" vertical="top" wrapText="1"/>
    </xf>
    <xf numFmtId="168" fontId="65" fillId="50" borderId="117" xfId="0" applyNumberFormat="1" applyFont="1" applyFill="1" applyBorder="1" applyAlignment="1">
      <alignment horizontal="left" vertical="top" wrapText="1"/>
    </xf>
    <xf numFmtId="0" fontId="128" fillId="97" borderId="118" xfId="0" applyFont="1" applyFill="1" applyBorder="1" applyAlignment="1">
      <alignment horizontal="left" vertical="top" wrapText="1"/>
    </xf>
    <xf numFmtId="0" fontId="42" fillId="37" borderId="115" xfId="0" applyFont="1" applyFill="1" applyBorder="1" applyAlignment="1">
      <alignment horizontal="left" vertical="top" wrapText="1"/>
    </xf>
    <xf numFmtId="0" fontId="32" fillId="30" borderId="41" xfId="0" applyFont="1" applyFill="1" applyBorder="1" applyAlignment="1">
      <alignment horizontal="left" vertical="top" wrapText="1"/>
    </xf>
    <xf numFmtId="0" fontId="28" fillId="26" borderId="32" xfId="0" applyFont="1" applyFill="1" applyBorder="1" applyAlignment="1">
      <alignment horizontal="left" vertical="top" wrapText="1"/>
    </xf>
    <xf numFmtId="0" fontId="93" fillId="71" borderId="109" xfId="0" applyFont="1" applyFill="1" applyBorder="1" applyAlignment="1">
      <alignment horizontal="left" vertical="top" wrapText="1"/>
    </xf>
    <xf numFmtId="167" fontId="111" fillId="82" borderId="109" xfId="0" applyNumberFormat="1" applyFont="1" applyFill="1" applyBorder="1" applyAlignment="1">
      <alignment horizontal="left" vertical="top" wrapText="1"/>
    </xf>
    <xf numFmtId="167" fontId="117" fillId="86" borderId="109" xfId="0" applyNumberFormat="1" applyFont="1" applyFill="1" applyBorder="1" applyAlignment="1">
      <alignment horizontal="left" vertical="top" wrapText="1"/>
    </xf>
    <xf numFmtId="168" fontId="18" fillId="16" borderId="109" xfId="0" applyNumberFormat="1" applyFont="1" applyFill="1" applyBorder="1" applyAlignment="1">
      <alignment horizontal="left" vertical="top" wrapText="1"/>
    </xf>
    <xf numFmtId="168" fontId="25" fillId="23" borderId="109" xfId="0" applyNumberFormat="1" applyFont="1" applyFill="1" applyBorder="1" applyAlignment="1">
      <alignment horizontal="left" vertical="top" wrapText="1"/>
    </xf>
    <xf numFmtId="3" fontId="1" fillId="2" borderId="109" xfId="0" applyNumberFormat="1" applyFont="1" applyFill="1" applyBorder="1" applyAlignment="1">
      <alignment horizontal="left" vertical="top" wrapText="1"/>
    </xf>
    <xf numFmtId="168" fontId="113" fillId="84" borderId="109" xfId="0" applyNumberFormat="1" applyFont="1" applyFill="1" applyBorder="1" applyAlignment="1">
      <alignment horizontal="left" vertical="top" wrapText="1"/>
    </xf>
    <xf numFmtId="0" fontId="35" fillId="32" borderId="65" xfId="0" applyFont="1" applyFill="1" applyBorder="1" applyAlignment="1">
      <alignment horizontal="left" vertical="top" wrapText="1"/>
    </xf>
    <xf numFmtId="0" fontId="31" fillId="29" borderId="103" xfId="0" applyFont="1" applyFill="1" applyBorder="1" applyAlignment="1">
      <alignment horizontal="left" vertical="top" wrapText="1"/>
    </xf>
    <xf numFmtId="0" fontId="97" fillId="74" borderId="106" xfId="0" applyFont="1" applyFill="1" applyBorder="1" applyAlignment="1">
      <alignment horizontal="left" vertical="top" wrapText="1"/>
    </xf>
    <xf numFmtId="167" fontId="87" fillId="67" borderId="106" xfId="0" applyNumberFormat="1" applyFont="1" applyFill="1" applyBorder="1" applyAlignment="1">
      <alignment horizontal="left" vertical="top" wrapText="1"/>
    </xf>
    <xf numFmtId="167" fontId="102" fillId="78" borderId="106" xfId="0" applyNumberFormat="1" applyFont="1" applyFill="1" applyBorder="1" applyAlignment="1">
      <alignment horizontal="left" vertical="top" wrapText="1"/>
    </xf>
    <xf numFmtId="168" fontId="67" fillId="51" borderId="106" xfId="0" applyNumberFormat="1" applyFont="1" applyFill="1" applyBorder="1" applyAlignment="1">
      <alignment horizontal="left" vertical="top" wrapText="1"/>
    </xf>
    <xf numFmtId="168" fontId="22" fillId="20" borderId="106" xfId="0" applyNumberFormat="1" applyFont="1" applyFill="1" applyBorder="1" applyAlignment="1">
      <alignment horizontal="left" vertical="top" wrapText="1"/>
    </xf>
    <xf numFmtId="169" fontId="21" fillId="19" borderId="106" xfId="0" applyNumberFormat="1" applyFont="1" applyFill="1" applyBorder="1" applyAlignment="1">
      <alignment horizontal="left" vertical="top" wrapText="1"/>
    </xf>
    <xf numFmtId="3" fontId="62" fillId="47" borderId="106" xfId="0" applyNumberFormat="1" applyFont="1" applyFill="1" applyBorder="1" applyAlignment="1">
      <alignment horizontal="left" vertical="top" wrapText="1"/>
    </xf>
    <xf numFmtId="168" fontId="39" fillId="35" borderId="106" xfId="0" applyNumberFormat="1" applyFont="1" applyFill="1" applyBorder="1" applyAlignment="1">
      <alignment horizontal="left" vertical="top" wrapText="1"/>
    </xf>
    <xf numFmtId="0" fontId="69" fillId="53" borderId="89" xfId="0" applyFont="1" applyFill="1" applyBorder="1" applyAlignment="1">
      <alignment horizontal="left" vertical="top" wrapText="1"/>
    </xf>
    <xf numFmtId="170" fontId="34" fillId="31" borderId="106" xfId="0" applyNumberFormat="1" applyFont="1" applyFill="1" applyBorder="1" applyAlignment="1">
      <alignment horizontal="left" vertical="top" wrapText="1"/>
    </xf>
    <xf numFmtId="170" fontId="74" fillId="58" borderId="89" xfId="0" applyNumberFormat="1" applyFont="1" applyFill="1" applyBorder="1" applyAlignment="1">
      <alignment horizontal="left" vertical="top" wrapText="1"/>
    </xf>
    <xf numFmtId="0" fontId="23" fillId="21" borderId="34" xfId="0" applyFont="1" applyFill="1" applyBorder="1" applyAlignment="1">
      <alignment horizontal="left" vertical="top" wrapText="1"/>
    </xf>
    <xf numFmtId="0" fontId="94" fillId="72" borderId="105" xfId="0" applyFont="1" applyFill="1" applyBorder="1" applyAlignment="1">
      <alignment horizontal="left" vertical="top" wrapText="1"/>
    </xf>
    <xf numFmtId="167" fontId="14" fillId="13" borderId="105" xfId="0" applyNumberFormat="1" applyFont="1" applyFill="1" applyBorder="1" applyAlignment="1">
      <alignment horizontal="left" vertical="top" wrapText="1"/>
    </xf>
    <xf numFmtId="167" fontId="15" fillId="14" borderId="105" xfId="0" applyNumberFormat="1" applyFont="1" applyFill="1" applyBorder="1" applyAlignment="1">
      <alignment horizontal="left" vertical="top" wrapText="1"/>
    </xf>
    <xf numFmtId="168" fontId="13" fillId="12" borderId="105" xfId="0" applyNumberFormat="1" applyFont="1" applyFill="1" applyBorder="1" applyAlignment="1">
      <alignment horizontal="left" vertical="top" wrapText="1"/>
    </xf>
    <xf numFmtId="167" fontId="78" fillId="61" borderId="105" xfId="0" applyNumberFormat="1" applyFont="1" applyFill="1" applyBorder="1" applyAlignment="1">
      <alignment horizontal="left" vertical="top" wrapText="1"/>
    </xf>
    <xf numFmtId="169" fontId="71" fillId="55" borderId="105" xfId="0" applyNumberFormat="1" applyFont="1" applyFill="1" applyBorder="1" applyAlignment="1">
      <alignment horizontal="left" vertical="top" wrapText="1"/>
    </xf>
    <xf numFmtId="3" fontId="19" fillId="17" borderId="105" xfId="0" applyNumberFormat="1" applyFont="1" applyFill="1" applyBorder="1" applyAlignment="1">
      <alignment horizontal="left" vertical="top" wrapText="1"/>
    </xf>
    <xf numFmtId="168" fontId="65" fillId="50" borderId="105" xfId="0" applyNumberFormat="1" applyFont="1" applyFill="1" applyBorder="1" applyAlignment="1">
      <alignment horizontal="left" vertical="top" wrapText="1"/>
    </xf>
    <xf numFmtId="0" fontId="120" fillId="96" borderId="0" xfId="0" applyFont="1" applyFill="1" applyAlignment="1">
      <alignment horizontal="left" vertical="top"/>
    </xf>
    <xf numFmtId="167" fontId="63" fillId="101" borderId="54" xfId="0" applyNumberFormat="1" applyFont="1" applyFill="1" applyBorder="1" applyAlignment="1">
      <alignment horizontal="left" vertical="top" wrapText="1"/>
    </xf>
    <xf numFmtId="3" fontId="127" fillId="101" borderId="106" xfId="0" applyNumberFormat="1" applyFont="1" applyFill="1" applyBorder="1" applyAlignment="1">
      <alignment horizontal="left" vertical="top" wrapText="1"/>
    </xf>
    <xf numFmtId="0" fontId="134" fillId="0" borderId="81" xfId="0" applyFont="1" applyFill="1" applyBorder="1" applyAlignment="1">
      <alignment horizontal="left" vertical="top" wrapText="1"/>
    </xf>
    <xf numFmtId="0" fontId="95" fillId="0" borderId="81" xfId="0" applyFont="1" applyFill="1" applyBorder="1" applyAlignment="1">
      <alignment horizontal="left" vertical="top" wrapText="1"/>
    </xf>
    <xf numFmtId="0" fontId="132" fillId="22" borderId="18" xfId="0" applyFont="1" applyFill="1" applyBorder="1" applyAlignment="1">
      <alignment horizontal="center" vertical="top" wrapText="1"/>
    </xf>
    <xf numFmtId="168" fontId="115" fillId="101" borderId="98" xfId="0" applyNumberFormat="1" applyFont="1" applyFill="1" applyBorder="1" applyAlignment="1">
      <alignment horizontal="left" vertical="top" wrapText="1"/>
    </xf>
    <xf numFmtId="0" fontId="134" fillId="83" borderId="0" xfId="0" applyFont="1" applyFill="1" applyAlignment="1">
      <alignment horizontal="left" vertical="top" wrapText="1"/>
    </xf>
    <xf numFmtId="167" fontId="120" fillId="96" borderId="0" xfId="0" applyNumberFormat="1" applyFont="1" applyFill="1" applyAlignment="1">
      <alignment horizontal="left" vertical="top"/>
    </xf>
    <xf numFmtId="0" fontId="134" fillId="96" borderId="0" xfId="0" applyFont="1" applyFill="1" applyAlignment="1">
      <alignment horizontal="left" vertical="top"/>
    </xf>
    <xf numFmtId="167" fontId="112" fillId="96" borderId="0" xfId="0" applyNumberFormat="1" applyFont="1" applyFill="1" applyAlignment="1">
      <alignment horizontal="left" vertical="top" wrapText="1"/>
    </xf>
    <xf numFmtId="0" fontId="112" fillId="96" borderId="0" xfId="0" applyFont="1" applyFill="1" applyAlignment="1">
      <alignment horizontal="left" vertical="top" wrapText="1"/>
    </xf>
    <xf numFmtId="0" fontId="138" fillId="0" borderId="0" xfId="0" applyFont="1" applyAlignment="1">
      <alignment wrapText="1"/>
    </xf>
    <xf numFmtId="165" fontId="0" fillId="0" borderId="0" xfId="17" applyFont="1" applyAlignment="1">
      <alignment wrapText="1"/>
    </xf>
    <xf numFmtId="165" fontId="0" fillId="0" borderId="0" xfId="0" applyNumberFormat="1" applyAlignment="1">
      <alignment wrapText="1"/>
    </xf>
    <xf numFmtId="0" fontId="138" fillId="102" borderId="119" xfId="0" applyFont="1" applyFill="1" applyBorder="1" applyAlignment="1">
      <alignment wrapText="1"/>
    </xf>
    <xf numFmtId="165" fontId="138" fillId="102" borderId="120" xfId="0" applyNumberFormat="1" applyFont="1" applyFill="1" applyBorder="1" applyAlignment="1">
      <alignment wrapText="1"/>
    </xf>
    <xf numFmtId="165" fontId="138" fillId="102" borderId="121" xfId="0" applyNumberFormat="1" applyFont="1" applyFill="1" applyBorder="1" applyAlignment="1">
      <alignment wrapText="1"/>
    </xf>
    <xf numFmtId="165" fontId="139" fillId="0" borderId="0" xfId="17" applyFont="1" applyAlignment="1">
      <alignment wrapText="1"/>
    </xf>
    <xf numFmtId="165" fontId="139" fillId="0" borderId="0" xfId="0" applyNumberFormat="1" applyFont="1" applyAlignment="1">
      <alignment wrapText="1"/>
    </xf>
    <xf numFmtId="0" fontId="139" fillId="0" borderId="0" xfId="0" applyFont="1" applyAlignment="1">
      <alignment wrapText="1"/>
    </xf>
    <xf numFmtId="165" fontId="138" fillId="102" borderId="119" xfId="0" applyNumberFormat="1" applyFont="1" applyFill="1" applyBorder="1" applyAlignment="1">
      <alignment wrapText="1"/>
    </xf>
    <xf numFmtId="0" fontId="0" fillId="0" borderId="84" xfId="0" applyBorder="1" applyAlignment="1">
      <alignment wrapText="1"/>
    </xf>
    <xf numFmtId="165" fontId="0" fillId="0" borderId="84" xfId="17" applyFont="1" applyBorder="1" applyAlignment="1">
      <alignment wrapText="1"/>
    </xf>
    <xf numFmtId="165" fontId="0" fillId="0" borderId="84" xfId="0" applyNumberFormat="1" applyBorder="1" applyAlignment="1">
      <alignment wrapText="1"/>
    </xf>
    <xf numFmtId="165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165" fontId="140" fillId="0" borderId="0" xfId="17" applyFont="1" applyAlignment="1">
      <alignment wrapText="1"/>
    </xf>
    <xf numFmtId="165" fontId="140" fillId="0" borderId="0" xfId="0" applyNumberFormat="1" applyFont="1" applyAlignment="1">
      <alignment wrapText="1"/>
    </xf>
    <xf numFmtId="0" fontId="140" fillId="0" borderId="0" xfId="0" applyFont="1" applyAlignment="1">
      <alignment wrapText="1"/>
    </xf>
    <xf numFmtId="165" fontId="138" fillId="0" borderId="0" xfId="0" applyNumberFormat="1" applyFont="1" applyFill="1" applyBorder="1" applyAlignment="1">
      <alignment wrapText="1"/>
    </xf>
    <xf numFmtId="165" fontId="140" fillId="0" borderId="84" xfId="17" applyFont="1" applyBorder="1" applyAlignment="1">
      <alignment wrapText="1"/>
    </xf>
    <xf numFmtId="165" fontId="140" fillId="0" borderId="84" xfId="0" applyNumberFormat="1" applyFont="1" applyBorder="1" applyAlignment="1">
      <alignment wrapText="1"/>
    </xf>
    <xf numFmtId="0" fontId="140" fillId="0" borderId="84" xfId="0" applyFont="1" applyBorder="1" applyAlignment="1">
      <alignment wrapText="1"/>
    </xf>
    <xf numFmtId="0" fontId="0" fillId="0" borderId="122" xfId="0" applyBorder="1" applyAlignment="1">
      <alignment wrapText="1"/>
    </xf>
    <xf numFmtId="0" fontId="141" fillId="0" borderId="0" xfId="0" applyFont="1" applyAlignment="1">
      <alignment wrapText="1"/>
    </xf>
    <xf numFmtId="49" fontId="0" fillId="0" borderId="0" xfId="0" quotePrefix="1" applyNumberFormat="1" applyAlignment="1"/>
    <xf numFmtId="49" fontId="0" fillId="0" borderId="0" xfId="0" applyNumberFormat="1" applyAlignment="1"/>
    <xf numFmtId="49" fontId="143" fillId="0" borderId="0" xfId="0" quotePrefix="1" applyNumberFormat="1" applyFont="1" applyAlignment="1"/>
    <xf numFmtId="165" fontId="142" fillId="0" borderId="0" xfId="17" applyFont="1" applyAlignment="1">
      <alignment wrapText="1"/>
    </xf>
    <xf numFmtId="0" fontId="144" fillId="103" borderId="101" xfId="0" applyFont="1" applyFill="1" applyBorder="1" applyAlignment="1">
      <alignment wrapText="1"/>
    </xf>
    <xf numFmtId="0" fontId="2" fillId="29" borderId="24" xfId="0" applyFont="1" applyFill="1" applyBorder="1" applyAlignment="1">
      <alignment horizontal="left" vertical="top" wrapText="1"/>
    </xf>
    <xf numFmtId="0" fontId="1" fillId="62" borderId="66" xfId="0" applyFont="1" applyFill="1" applyBorder="1" applyAlignment="1">
      <alignment horizontal="left" vertical="top" wrapText="1"/>
    </xf>
    <xf numFmtId="165" fontId="138" fillId="102" borderId="120" xfId="0" applyNumberFormat="1" applyFont="1" applyFill="1" applyBorder="1" applyAlignment="1">
      <alignment horizontal="center" wrapText="1"/>
    </xf>
    <xf numFmtId="0" fontId="145" fillId="104" borderId="123" xfId="0" applyFont="1" applyFill="1" applyBorder="1" applyAlignment="1">
      <alignment horizontal="center" vertical="center" wrapText="1"/>
    </xf>
    <xf numFmtId="0" fontId="146" fillId="0" borderId="125" xfId="0" applyFont="1" applyBorder="1" applyAlignment="1">
      <alignment horizontal="left" vertical="top" wrapText="1"/>
    </xf>
    <xf numFmtId="164" fontId="1" fillId="0" borderId="125" xfId="0" applyNumberFormat="1" applyFont="1" applyBorder="1" applyAlignment="1">
      <alignment horizontal="center" vertical="top" wrapText="1"/>
    </xf>
    <xf numFmtId="0" fontId="1" fillId="0" borderId="125" xfId="0" applyFont="1" applyBorder="1" applyAlignment="1">
      <alignment horizontal="center" vertical="top" wrapText="1"/>
    </xf>
    <xf numFmtId="10" fontId="1" fillId="0" borderId="125" xfId="0" applyNumberFormat="1" applyFont="1" applyBorder="1" applyAlignment="1">
      <alignment horizontal="center" vertical="top" wrapText="1"/>
    </xf>
    <xf numFmtId="0" fontId="147" fillId="0" borderId="0" xfId="0" applyFont="1" applyAlignment="1">
      <alignment wrapText="1"/>
    </xf>
    <xf numFmtId="0" fontId="1" fillId="0" borderId="125" xfId="0" applyFont="1" applyBorder="1" applyAlignment="1">
      <alignment horizontal="center" vertical="center" wrapText="1"/>
    </xf>
    <xf numFmtId="172" fontId="0" fillId="0" borderId="0" xfId="108" applyNumberFormat="1" applyFont="1" applyAlignment="1">
      <alignment wrapText="1"/>
    </xf>
    <xf numFmtId="172" fontId="138" fillId="0" borderId="0" xfId="108" applyNumberFormat="1" applyFont="1" applyAlignment="1">
      <alignment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Fill="1" applyAlignment="1">
      <alignment wrapText="1"/>
    </xf>
    <xf numFmtId="0" fontId="145" fillId="0" borderId="0" xfId="0" applyFont="1" applyFill="1" applyBorder="1" applyAlignment="1">
      <alignment horizontal="center" vertical="center" wrapText="1"/>
    </xf>
    <xf numFmtId="0" fontId="145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145" fillId="0" borderId="0" xfId="0" applyFont="1" applyFill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127" xfId="0" applyFont="1" applyBorder="1" applyAlignment="1">
      <alignment horizontal="center" vertical="top" wrapText="1"/>
    </xf>
    <xf numFmtId="164" fontId="1" fillId="105" borderId="0" xfId="0" applyNumberFormat="1" applyFont="1" applyFill="1" applyBorder="1" applyAlignment="1">
      <alignment horizontal="center" vertical="top" wrapText="1"/>
    </xf>
    <xf numFmtId="0" fontId="1" fillId="105" borderId="0" xfId="0" applyFont="1" applyFill="1" applyBorder="1" applyAlignment="1">
      <alignment horizontal="center" vertical="top" wrapText="1"/>
    </xf>
    <xf numFmtId="0" fontId="1" fillId="105" borderId="0" xfId="0" applyFont="1" applyFill="1" applyBorder="1" applyAlignment="1">
      <alignment horizontal="center" vertical="center" wrapText="1"/>
    </xf>
    <xf numFmtId="0" fontId="1" fillId="105" borderId="127" xfId="0" applyFont="1" applyFill="1" applyBorder="1" applyAlignment="1">
      <alignment horizontal="center" vertical="top" wrapText="1"/>
    </xf>
    <xf numFmtId="165" fontId="1" fillId="0" borderId="125" xfId="17" applyFont="1" applyBorder="1" applyAlignment="1">
      <alignment horizontal="center" vertical="top" wrapText="1"/>
    </xf>
    <xf numFmtId="165" fontId="1" fillId="0" borderId="125" xfId="17" applyFont="1" applyBorder="1" applyAlignment="1">
      <alignment horizontal="center" vertical="center" wrapText="1"/>
    </xf>
    <xf numFmtId="0" fontId="145" fillId="104" borderId="128" xfId="0" applyFont="1" applyFill="1" applyBorder="1" applyAlignment="1">
      <alignment horizontal="center" vertical="center" wrapText="1"/>
    </xf>
    <xf numFmtId="0" fontId="146" fillId="0" borderId="0" xfId="0" applyFont="1" applyBorder="1" applyAlignment="1">
      <alignment horizontal="left" vertical="top" wrapText="1"/>
    </xf>
    <xf numFmtId="0" fontId="146" fillId="0" borderId="0" xfId="0" applyFont="1" applyBorder="1" applyAlignment="1">
      <alignment horizontal="center" vertical="top" wrapText="1"/>
    </xf>
    <xf numFmtId="10" fontId="1" fillId="0" borderId="0" xfId="0" applyNumberFormat="1" applyFont="1" applyBorder="1" applyAlignment="1">
      <alignment horizontal="center" vertical="top" wrapText="1"/>
    </xf>
    <xf numFmtId="165" fontId="1" fillId="0" borderId="0" xfId="17" applyFont="1" applyBorder="1" applyAlignment="1">
      <alignment horizontal="center" vertical="top" wrapText="1"/>
    </xf>
    <xf numFmtId="0" fontId="146" fillId="105" borderId="0" xfId="0" applyFont="1" applyFill="1" applyBorder="1" applyAlignment="1">
      <alignment horizontal="left" vertical="top" wrapText="1"/>
    </xf>
    <xf numFmtId="0" fontId="146" fillId="105" borderId="0" xfId="0" applyFont="1" applyFill="1" applyBorder="1" applyAlignment="1">
      <alignment horizontal="center" vertical="top" wrapText="1"/>
    </xf>
    <xf numFmtId="10" fontId="1" fillId="105" borderId="0" xfId="0" applyNumberFormat="1" applyFont="1" applyFill="1" applyBorder="1" applyAlignment="1">
      <alignment horizontal="center" vertical="top" wrapText="1"/>
    </xf>
    <xf numFmtId="165" fontId="1" fillId="105" borderId="0" xfId="17" applyFont="1" applyFill="1" applyBorder="1" applyAlignment="1">
      <alignment horizontal="center" vertical="top" wrapText="1"/>
    </xf>
    <xf numFmtId="0" fontId="1" fillId="0" borderId="129" xfId="0" applyFont="1" applyBorder="1" applyAlignment="1">
      <alignment horizontal="center" vertical="top" wrapText="1"/>
    </xf>
    <xf numFmtId="165" fontId="1" fillId="0" borderId="0" xfId="17" applyFont="1" applyBorder="1" applyAlignment="1">
      <alignment horizontal="center" vertical="center" wrapText="1"/>
    </xf>
    <xf numFmtId="165" fontId="1" fillId="105" borderId="0" xfId="17" applyFont="1" applyFill="1" applyBorder="1" applyAlignment="1">
      <alignment horizontal="center" vertical="center" wrapText="1"/>
    </xf>
    <xf numFmtId="0" fontId="145" fillId="105" borderId="124" xfId="0" applyFont="1" applyFill="1" applyBorder="1" applyAlignment="1">
      <alignment horizontal="center" vertical="top" wrapText="1"/>
    </xf>
    <xf numFmtId="0" fontId="145" fillId="105" borderId="126" xfId="0" applyFont="1" applyFill="1" applyBorder="1" applyAlignment="1">
      <alignment horizontal="center" vertical="top" wrapText="1"/>
    </xf>
    <xf numFmtId="0" fontId="145" fillId="105" borderId="0" xfId="0" applyFont="1" applyFill="1" applyBorder="1" applyAlignment="1">
      <alignment horizontal="center" vertical="top" wrapText="1"/>
    </xf>
    <xf numFmtId="0" fontId="145" fillId="105" borderId="127" xfId="0" applyFont="1" applyFill="1" applyBorder="1" applyAlignment="1">
      <alignment horizontal="center" vertical="top" wrapText="1"/>
    </xf>
    <xf numFmtId="0" fontId="145" fillId="0" borderId="0" xfId="0" applyFont="1" applyBorder="1" applyAlignment="1">
      <alignment horizontal="center" vertical="top" wrapText="1"/>
    </xf>
    <xf numFmtId="0" fontId="145" fillId="0" borderId="127" xfId="0" applyFont="1" applyBorder="1" applyAlignment="1">
      <alignment horizontal="center" vertical="top" wrapText="1"/>
    </xf>
    <xf numFmtId="0" fontId="133" fillId="96" borderId="0" xfId="0" applyFont="1" applyFill="1" applyAlignment="1">
      <alignment horizontal="center" vertical="top"/>
    </xf>
    <xf numFmtId="0" fontId="112" fillId="83" borderId="0" xfId="0" applyFont="1" applyFill="1" applyAlignment="1">
      <alignment horizontal="left" vertical="top" wrapText="1"/>
    </xf>
    <xf numFmtId="0" fontId="1" fillId="96" borderId="0" xfId="0" applyFont="1" applyFill="1" applyAlignment="1">
      <alignment horizontal="left" vertical="top"/>
    </xf>
    <xf numFmtId="0" fontId="120" fillId="96" borderId="0" xfId="0" applyFont="1" applyFill="1" applyAlignment="1">
      <alignment horizontal="left" vertical="top"/>
    </xf>
    <xf numFmtId="0" fontId="122" fillId="91" borderId="0" xfId="0" applyFont="1" applyFill="1" applyAlignment="1">
      <alignment vertical="top" wrapText="1"/>
    </xf>
    <xf numFmtId="0" fontId="118" fillId="87" borderId="0" xfId="0" applyFont="1" applyFill="1" applyAlignment="1">
      <alignment horizontal="center" vertical="top" wrapText="1"/>
    </xf>
    <xf numFmtId="0" fontId="119" fillId="88" borderId="0" xfId="0" applyFont="1" applyFill="1" applyAlignment="1">
      <alignment horizontal="left" vertical="top" wrapText="1"/>
    </xf>
    <xf numFmtId="0" fontId="30" fillId="28" borderId="0" xfId="0" applyFont="1" applyFill="1" applyAlignment="1">
      <alignment vertical="top" wrapText="1"/>
    </xf>
    <xf numFmtId="0" fontId="8" fillId="8" borderId="0" xfId="0" applyFont="1" applyFill="1" applyAlignment="1">
      <alignment horizontal="center" vertical="center" wrapText="1"/>
    </xf>
    <xf numFmtId="0" fontId="120" fillId="89" borderId="0" xfId="0" applyFont="1" applyFill="1" applyAlignment="1">
      <alignment horizontal="left" vertical="top"/>
    </xf>
    <xf numFmtId="0" fontId="99" fillId="76" borderId="84" xfId="0" applyFont="1" applyFill="1" applyBorder="1" applyAlignment="1">
      <alignment horizontal="center" vertical="top" wrapText="1"/>
    </xf>
    <xf numFmtId="0" fontId="134" fillId="96" borderId="0" xfId="0" applyFont="1" applyFill="1" applyAlignment="1">
      <alignment horizontal="left" vertical="top" wrapText="1"/>
    </xf>
    <xf numFmtId="0" fontId="112" fillId="96" borderId="0" xfId="0" applyFont="1" applyFill="1" applyAlignment="1">
      <alignment horizontal="left" vertical="top" wrapText="1"/>
    </xf>
    <xf numFmtId="0" fontId="133" fillId="96" borderId="0" xfId="0" applyFont="1" applyFill="1" applyAlignment="1">
      <alignment horizontal="center" vertical="center"/>
    </xf>
    <xf numFmtId="0" fontId="134" fillId="96" borderId="0" xfId="0" applyFont="1" applyFill="1" applyAlignment="1">
      <alignment horizontal="left" vertical="top"/>
    </xf>
    <xf numFmtId="0" fontId="64" fillId="49" borderId="55" xfId="0" applyFont="1" applyFill="1" applyBorder="1" applyAlignment="1">
      <alignment horizontal="center"/>
    </xf>
    <xf numFmtId="0" fontId="131" fillId="100" borderId="110" xfId="0" applyFont="1" applyFill="1" applyBorder="1" applyAlignment="1">
      <alignment horizontal="center"/>
    </xf>
    <xf numFmtId="0" fontId="109" fillId="80" borderId="94" xfId="0" applyFont="1" applyFill="1" applyBorder="1" applyAlignment="1">
      <alignment horizontal="center"/>
    </xf>
  </cellXfs>
  <cellStyles count="153">
    <cellStyle name="Comma" xfId="108" builtinId="3"/>
    <cellStyle name="Currency" xfId="17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workbookViewId="0">
      <selection activeCell="A31" sqref="A31"/>
    </sheetView>
  </sheetViews>
  <sheetFormatPr baseColWidth="10" defaultRowHeight="12" x14ac:dyDescent="0"/>
  <cols>
    <col min="1" max="1" width="25.5" customWidth="1"/>
    <col min="4" max="4" width="11.5" customWidth="1"/>
    <col min="6" max="6" width="13" customWidth="1"/>
    <col min="7" max="9" width="13" style="242" customWidth="1"/>
    <col min="10" max="10" width="3" customWidth="1"/>
    <col min="11" max="11" width="0" hidden="1" customWidth="1"/>
    <col min="12" max="12" width="0" style="239" hidden="1" customWidth="1"/>
    <col min="13" max="13" width="0" hidden="1" customWidth="1"/>
  </cols>
  <sheetData>
    <row r="1" spans="1:13" ht="17">
      <c r="A1" s="237" t="s">
        <v>174</v>
      </c>
    </row>
    <row r="3" spans="1:13" ht="13" thickBot="1"/>
    <row r="4" spans="1:13" ht="61" thickBot="1">
      <c r="A4" s="232" t="s">
        <v>164</v>
      </c>
      <c r="B4" s="232" t="s">
        <v>165</v>
      </c>
      <c r="C4" s="232" t="s">
        <v>166</v>
      </c>
      <c r="D4" s="232" t="s">
        <v>167</v>
      </c>
      <c r="E4" s="232" t="s">
        <v>139</v>
      </c>
      <c r="F4" s="257" t="s">
        <v>189</v>
      </c>
      <c r="G4" s="243"/>
      <c r="H4" s="243"/>
      <c r="I4" s="243"/>
      <c r="K4" s="200" t="s">
        <v>139</v>
      </c>
      <c r="L4" s="240" t="s">
        <v>187</v>
      </c>
      <c r="M4" s="200" t="s">
        <v>175</v>
      </c>
    </row>
    <row r="5" spans="1:13" ht="15" customHeight="1">
      <c r="A5" s="269" t="s">
        <v>168</v>
      </c>
      <c r="B5" s="269"/>
      <c r="C5" s="269"/>
      <c r="D5" s="269"/>
      <c r="E5" s="269"/>
      <c r="F5" s="270"/>
      <c r="G5" s="244"/>
      <c r="H5" s="244"/>
      <c r="I5" s="244"/>
    </row>
    <row r="6" spans="1:13" ht="15">
      <c r="A6" s="258" t="s">
        <v>18</v>
      </c>
      <c r="B6" s="248">
        <v>40.98</v>
      </c>
      <c r="C6" s="259" t="s">
        <v>48</v>
      </c>
      <c r="D6" s="260">
        <v>0.6</v>
      </c>
      <c r="E6" s="261">
        <f>K6</f>
        <v>12</v>
      </c>
      <c r="F6" s="250" t="s">
        <v>169</v>
      </c>
      <c r="G6" s="245"/>
      <c r="H6" s="245"/>
      <c r="I6" s="245"/>
      <c r="K6" s="201">
        <f>Cookstoves!W2</f>
        <v>12</v>
      </c>
      <c r="L6" s="239">
        <f>Cookstoves!X2</f>
        <v>36</v>
      </c>
      <c r="M6" s="202">
        <f>Cookstoves!Y2</f>
        <v>391.017</v>
      </c>
    </row>
    <row r="7" spans="1:13" ht="15">
      <c r="A7" s="262" t="s">
        <v>25</v>
      </c>
      <c r="B7" s="251">
        <v>45.62</v>
      </c>
      <c r="C7" s="263" t="s">
        <v>48</v>
      </c>
      <c r="D7" s="264">
        <v>0.45</v>
      </c>
      <c r="E7" s="265">
        <f>K7</f>
        <v>12</v>
      </c>
      <c r="F7" s="254" t="s">
        <v>169</v>
      </c>
      <c r="G7" s="245"/>
      <c r="H7" s="245"/>
      <c r="I7" s="245"/>
      <c r="K7" s="201">
        <f>Cookstoves!W3</f>
        <v>12</v>
      </c>
      <c r="L7" s="239">
        <f>Cookstoves!X3</f>
        <v>36</v>
      </c>
      <c r="M7" s="202">
        <f>Cookstoves!Y3</f>
        <v>386.37720000000002</v>
      </c>
    </row>
    <row r="8" spans="1:13" ht="15">
      <c r="A8" s="258" t="s">
        <v>28</v>
      </c>
      <c r="B8" s="248">
        <v>49.56</v>
      </c>
      <c r="C8" s="259" t="s">
        <v>48</v>
      </c>
      <c r="D8" s="260">
        <v>0.45</v>
      </c>
      <c r="E8" s="261">
        <f>K8</f>
        <v>12</v>
      </c>
      <c r="F8" s="250" t="s">
        <v>169</v>
      </c>
      <c r="G8" s="245"/>
      <c r="H8" s="245"/>
      <c r="I8" s="245"/>
      <c r="K8" s="201">
        <f>Cookstoves!W4</f>
        <v>12</v>
      </c>
      <c r="L8" s="239">
        <f>Cookstoves!X4</f>
        <v>36</v>
      </c>
      <c r="M8" s="202">
        <f>Cookstoves!Y4</f>
        <v>382.44420000000002</v>
      </c>
    </row>
    <row r="9" spans="1:13" ht="15">
      <c r="A9" s="262" t="s">
        <v>29</v>
      </c>
      <c r="B9" s="251">
        <v>5.42</v>
      </c>
      <c r="C9" s="263" t="s">
        <v>188</v>
      </c>
      <c r="D9" s="252" t="s">
        <v>190</v>
      </c>
      <c r="E9" s="265">
        <f>K9</f>
        <v>6</v>
      </c>
      <c r="F9" s="254" t="s">
        <v>170</v>
      </c>
      <c r="G9" s="245"/>
      <c r="H9" s="245"/>
      <c r="I9" s="245"/>
      <c r="K9" s="201">
        <f>Cookstoves!W5</f>
        <v>6</v>
      </c>
      <c r="L9" s="239">
        <f>Cookstoves!X5</f>
        <v>24</v>
      </c>
      <c r="M9" s="202">
        <f>Cookstoves!Y5</f>
        <v>138.58500000000001</v>
      </c>
    </row>
    <row r="10" spans="1:13" ht="15">
      <c r="A10" s="258" t="s">
        <v>32</v>
      </c>
      <c r="B10" s="248">
        <v>5.7</v>
      </c>
      <c r="C10" s="259" t="s">
        <v>188</v>
      </c>
      <c r="D10" s="241" t="s">
        <v>190</v>
      </c>
      <c r="E10" s="261">
        <f>K10</f>
        <v>6</v>
      </c>
      <c r="F10" s="250" t="s">
        <v>170</v>
      </c>
      <c r="G10" s="245"/>
      <c r="H10" s="245"/>
      <c r="I10" s="245"/>
      <c r="K10" s="201">
        <f>Cookstoves!W6</f>
        <v>6</v>
      </c>
      <c r="L10" s="239">
        <f>Cookstoves!X6</f>
        <v>24</v>
      </c>
      <c r="M10" s="202">
        <f>Cookstoves!Y6</f>
        <v>138.30000000000001</v>
      </c>
    </row>
    <row r="11" spans="1:13" ht="15" customHeight="1">
      <c r="A11" s="271" t="s">
        <v>171</v>
      </c>
      <c r="B11" s="271"/>
      <c r="C11" s="271"/>
      <c r="D11" s="271"/>
      <c r="E11" s="271"/>
      <c r="F11" s="272"/>
      <c r="G11" s="246"/>
      <c r="H11" s="246"/>
      <c r="I11" s="246"/>
      <c r="K11" s="201"/>
    </row>
    <row r="12" spans="1:13" ht="15">
      <c r="A12" s="258" t="s">
        <v>33</v>
      </c>
      <c r="B12" s="248">
        <v>4.68</v>
      </c>
      <c r="C12" s="241" t="s">
        <v>188</v>
      </c>
      <c r="D12" s="241" t="s">
        <v>35</v>
      </c>
      <c r="E12" s="261">
        <f>ROUND(K12,0)</f>
        <v>10</v>
      </c>
      <c r="F12" s="250" t="s">
        <v>169</v>
      </c>
      <c r="G12" s="245"/>
      <c r="H12" s="245"/>
      <c r="I12" s="245"/>
      <c r="K12" s="201">
        <f>Cookstoves!W7</f>
        <v>10.477349560513863</v>
      </c>
      <c r="L12" s="239">
        <f>Cookstoves!X7</f>
        <v>36</v>
      </c>
      <c r="M12" s="202">
        <f>Cookstoves!Y7</f>
        <v>372.50458417849904</v>
      </c>
    </row>
    <row r="13" spans="1:13" ht="15">
      <c r="A13" s="262" t="s">
        <v>39</v>
      </c>
      <c r="B13" s="251">
        <v>6.24</v>
      </c>
      <c r="C13" s="252" t="s">
        <v>188</v>
      </c>
      <c r="D13" s="252" t="s">
        <v>35</v>
      </c>
      <c r="E13" s="265">
        <f>ROUND(K13,0)</f>
        <v>10</v>
      </c>
      <c r="F13" s="254" t="s">
        <v>169</v>
      </c>
      <c r="G13" s="245"/>
      <c r="H13" s="245"/>
      <c r="I13" s="245"/>
      <c r="K13" s="201">
        <f>Cookstoves!W8</f>
        <v>10.477349560513863</v>
      </c>
      <c r="L13" s="239">
        <f>Cookstoves!X8</f>
        <v>36</v>
      </c>
      <c r="M13" s="202">
        <f>Cookstoves!Y8</f>
        <v>370.94458417849904</v>
      </c>
    </row>
    <row r="14" spans="1:13" ht="15">
      <c r="A14" s="258" t="s">
        <v>40</v>
      </c>
      <c r="B14" s="248">
        <v>4.68</v>
      </c>
      <c r="C14" s="241" t="s">
        <v>188</v>
      </c>
      <c r="D14" s="260">
        <v>0.5</v>
      </c>
      <c r="E14" s="261">
        <f>ROUND(K14,0)</f>
        <v>10</v>
      </c>
      <c r="F14" s="250" t="s">
        <v>172</v>
      </c>
      <c r="G14" s="245"/>
      <c r="H14" s="245"/>
      <c r="I14" s="245"/>
      <c r="K14" s="201">
        <f>Cookstoves!W9</f>
        <v>10.477349560513863</v>
      </c>
      <c r="L14" s="239">
        <f>Cookstoves!X9</f>
        <v>36</v>
      </c>
      <c r="M14" s="202">
        <f>Cookstoves!Y9</f>
        <v>372.50458417849904</v>
      </c>
    </row>
    <row r="15" spans="1:13" ht="15">
      <c r="A15" s="262" t="s">
        <v>43</v>
      </c>
      <c r="B15" s="251">
        <v>6.24</v>
      </c>
      <c r="C15" s="252" t="s">
        <v>188</v>
      </c>
      <c r="D15" s="264">
        <v>0.5</v>
      </c>
      <c r="E15" s="265">
        <f>ROUND(K15,0)</f>
        <v>10</v>
      </c>
      <c r="F15" s="254" t="s">
        <v>172</v>
      </c>
      <c r="G15" s="245"/>
      <c r="H15" s="245"/>
      <c r="I15" s="245"/>
      <c r="K15" s="201">
        <f>Cookstoves!W10</f>
        <v>10.477349560513863</v>
      </c>
      <c r="L15" s="239">
        <f>Cookstoves!X10</f>
        <v>36</v>
      </c>
      <c r="M15" s="202">
        <f>Cookstoves!Y10</f>
        <v>370.94458417849904</v>
      </c>
    </row>
    <row r="16" spans="1:13" ht="15">
      <c r="A16" s="258" t="s">
        <v>44</v>
      </c>
      <c r="B16" s="248">
        <v>8.19</v>
      </c>
      <c r="C16" s="241" t="s">
        <v>188</v>
      </c>
      <c r="D16" s="260">
        <v>0.5</v>
      </c>
      <c r="E16" s="261">
        <f>ROUND(K16,0)</f>
        <v>10</v>
      </c>
      <c r="F16" s="250" t="s">
        <v>172</v>
      </c>
      <c r="G16" s="245"/>
      <c r="H16" s="245"/>
      <c r="I16" s="245"/>
      <c r="K16" s="201">
        <f>Cookstoves!W11</f>
        <v>10.477349560513863</v>
      </c>
      <c r="L16" s="239">
        <f>Cookstoves!X11</f>
        <v>36</v>
      </c>
      <c r="M16" s="202">
        <f>Cookstoves!Y11</f>
        <v>368.99458417849905</v>
      </c>
    </row>
    <row r="17" spans="1:13" ht="30">
      <c r="A17" s="262" t="s">
        <v>173</v>
      </c>
      <c r="B17" s="251">
        <v>17.55</v>
      </c>
      <c r="C17" s="252" t="s">
        <v>188</v>
      </c>
      <c r="D17" s="264">
        <v>0.8</v>
      </c>
      <c r="E17" s="265" t="str">
        <f>K17</f>
        <v>N/A</v>
      </c>
      <c r="F17" s="254" t="s">
        <v>35</v>
      </c>
      <c r="G17" s="245"/>
      <c r="H17" s="245"/>
      <c r="I17" s="245"/>
      <c r="K17" s="201" t="s">
        <v>35</v>
      </c>
      <c r="L17" s="239" t="s">
        <v>35</v>
      </c>
      <c r="M17" s="202" t="s">
        <v>35</v>
      </c>
    </row>
    <row r="18" spans="1:13" ht="16" thickBot="1">
      <c r="A18" s="233" t="s">
        <v>50</v>
      </c>
      <c r="B18" s="234">
        <v>11.31</v>
      </c>
      <c r="C18" s="235" t="s">
        <v>188</v>
      </c>
      <c r="D18" s="236">
        <v>0.52600000000000002</v>
      </c>
      <c r="E18" s="255">
        <f>ROUND(K18,0)</f>
        <v>10</v>
      </c>
      <c r="F18" s="266" t="s">
        <v>169</v>
      </c>
      <c r="G18" s="247"/>
      <c r="H18" s="247"/>
      <c r="I18" s="247"/>
      <c r="K18" s="201">
        <f>Cookstoves!W13</f>
        <v>10.477349560513863</v>
      </c>
      <c r="L18" s="239">
        <f>Cookstoves!X13</f>
        <v>36</v>
      </c>
      <c r="M18" s="202">
        <f>Cookstoves!Y13</f>
        <v>365.87458417849905</v>
      </c>
    </row>
    <row r="19" spans="1:13" ht="13" thickBot="1"/>
    <row r="20" spans="1:13" ht="14" thickBot="1">
      <c r="A20" s="228" t="s">
        <v>152</v>
      </c>
    </row>
    <row r="21" spans="1:13">
      <c r="A21" s="223" t="s">
        <v>142</v>
      </c>
    </row>
    <row r="22" spans="1:13">
      <c r="A22" s="224" t="s">
        <v>143</v>
      </c>
    </row>
    <row r="23" spans="1:13">
      <c r="A23" s="224" t="s">
        <v>144</v>
      </c>
    </row>
    <row r="24" spans="1:13">
      <c r="A24" s="224" t="s">
        <v>145</v>
      </c>
    </row>
    <row r="25" spans="1:13">
      <c r="A25" s="226" t="s">
        <v>150</v>
      </c>
    </row>
    <row r="26" spans="1:13" ht="13">
      <c r="A26" s="227">
        <v>250</v>
      </c>
    </row>
    <row r="29" spans="1:13">
      <c r="A29" s="223" t="s">
        <v>146</v>
      </c>
    </row>
    <row r="30" spans="1:13">
      <c r="A30" s="224" t="s">
        <v>192</v>
      </c>
    </row>
    <row r="31" spans="1:13">
      <c r="A31" s="225" t="s">
        <v>148</v>
      </c>
    </row>
    <row r="32" spans="1:13">
      <c r="A32" s="224" t="s">
        <v>149</v>
      </c>
    </row>
    <row r="33" spans="1:13">
      <c r="A33" s="226" t="s">
        <v>151</v>
      </c>
    </row>
    <row r="34" spans="1:13" ht="13">
      <c r="A34" s="227">
        <f>(150*0.8)+(300*0.2)</f>
        <v>180</v>
      </c>
    </row>
    <row r="35" spans="1:13" ht="13">
      <c r="A35" s="227"/>
    </row>
    <row r="36" spans="1:13" ht="13">
      <c r="A36" s="227"/>
    </row>
    <row r="38" spans="1:13" ht="17">
      <c r="A38" s="237" t="s">
        <v>186</v>
      </c>
    </row>
    <row r="39" spans="1:13" ht="13" thickBot="1"/>
    <row r="40" spans="1:13" ht="61" thickBot="1">
      <c r="A40" s="232" t="s">
        <v>164</v>
      </c>
      <c r="B40" s="232" t="s">
        <v>165</v>
      </c>
      <c r="C40" s="232" t="s">
        <v>166</v>
      </c>
      <c r="D40" s="232" t="s">
        <v>176</v>
      </c>
      <c r="E40" s="232" t="s">
        <v>191</v>
      </c>
      <c r="F40" s="257" t="s">
        <v>189</v>
      </c>
      <c r="G40" s="243"/>
      <c r="H40" s="243"/>
      <c r="I40" s="243"/>
      <c r="K40" s="200" t="s">
        <v>139</v>
      </c>
      <c r="L40" s="240" t="s">
        <v>187</v>
      </c>
      <c r="M40" s="200" t="s">
        <v>175</v>
      </c>
    </row>
    <row r="41" spans="1:13" ht="15" customHeight="1">
      <c r="A41" s="269" t="s">
        <v>168</v>
      </c>
      <c r="B41" s="269"/>
      <c r="C41" s="269"/>
      <c r="D41" s="269"/>
      <c r="E41" s="269"/>
      <c r="F41" s="270"/>
      <c r="G41" s="244"/>
      <c r="H41" s="244"/>
      <c r="I41" s="244"/>
    </row>
    <row r="42" spans="1:13" ht="30">
      <c r="A42" s="258" t="s">
        <v>85</v>
      </c>
      <c r="B42" s="248">
        <v>27.93</v>
      </c>
      <c r="C42" s="241" t="s">
        <v>86</v>
      </c>
      <c r="D42" s="249" t="s">
        <v>30</v>
      </c>
      <c r="E42" s="267">
        <f>K42</f>
        <v>4.25</v>
      </c>
      <c r="F42" s="250" t="s">
        <v>177</v>
      </c>
      <c r="G42" s="245"/>
      <c r="H42" s="245"/>
      <c r="I42" s="245"/>
      <c r="K42" s="201">
        <f>Solar!V2</f>
        <v>4.25</v>
      </c>
      <c r="L42" s="239">
        <f>Solar!W2</f>
        <v>60</v>
      </c>
      <c r="M42" s="202">
        <f>Solar!X2</f>
        <v>455.07000000000005</v>
      </c>
    </row>
    <row r="43" spans="1:13" ht="15">
      <c r="A43" s="262" t="s">
        <v>88</v>
      </c>
      <c r="B43" s="251">
        <v>13.68</v>
      </c>
      <c r="C43" s="252" t="s">
        <v>86</v>
      </c>
      <c r="D43" s="253" t="s">
        <v>20</v>
      </c>
      <c r="E43" s="268">
        <f t="shared" ref="E43:E45" si="0">K43</f>
        <v>4.25</v>
      </c>
      <c r="F43" s="254" t="s">
        <v>178</v>
      </c>
      <c r="G43" s="245"/>
      <c r="H43" s="245"/>
      <c r="I43" s="245"/>
      <c r="K43" s="201">
        <f>Solar!V3</f>
        <v>4.25</v>
      </c>
      <c r="L43" s="239">
        <f>Solar!W3</f>
        <v>60</v>
      </c>
      <c r="M43" s="202">
        <f>Solar!X3</f>
        <v>241.32</v>
      </c>
    </row>
    <row r="44" spans="1:13" ht="15">
      <c r="A44" s="258" t="s">
        <v>179</v>
      </c>
      <c r="B44" s="248">
        <v>42.9</v>
      </c>
      <c r="C44" s="241" t="s">
        <v>86</v>
      </c>
      <c r="D44" s="249" t="s">
        <v>30</v>
      </c>
      <c r="E44" s="267">
        <f t="shared" si="0"/>
        <v>4.25</v>
      </c>
      <c r="F44" s="250" t="s">
        <v>177</v>
      </c>
      <c r="G44" s="245"/>
      <c r="H44" s="245"/>
      <c r="I44" s="245"/>
      <c r="K44" s="201">
        <f>Solar!V4</f>
        <v>4.25</v>
      </c>
      <c r="L44" s="239">
        <f>Solar!W4</f>
        <v>60</v>
      </c>
      <c r="M44" s="202">
        <f>Solar!X4</f>
        <v>483.00000000000006</v>
      </c>
    </row>
    <row r="45" spans="1:13" ht="15">
      <c r="A45" s="262" t="s">
        <v>90</v>
      </c>
      <c r="B45" s="251">
        <v>42.18</v>
      </c>
      <c r="C45" s="252" t="s">
        <v>86</v>
      </c>
      <c r="D45" s="253" t="s">
        <v>30</v>
      </c>
      <c r="E45" s="268">
        <f t="shared" si="0"/>
        <v>4.25</v>
      </c>
      <c r="F45" s="254" t="s">
        <v>177</v>
      </c>
      <c r="G45" s="245"/>
      <c r="H45" s="245"/>
      <c r="I45" s="245"/>
      <c r="K45" s="201">
        <f>Solar!V5</f>
        <v>4.25</v>
      </c>
      <c r="L45" s="239">
        <f>Solar!W5</f>
        <v>60</v>
      </c>
      <c r="M45" s="202">
        <f>Solar!X5</f>
        <v>440.82000000000005</v>
      </c>
    </row>
    <row r="46" spans="1:13" ht="15" customHeight="1">
      <c r="A46" s="273" t="s">
        <v>171</v>
      </c>
      <c r="B46" s="273"/>
      <c r="C46" s="273"/>
      <c r="D46" s="273"/>
      <c r="E46" s="273"/>
      <c r="F46" s="274"/>
      <c r="G46" s="246"/>
      <c r="H46" s="246"/>
      <c r="I46" s="246"/>
      <c r="K46" s="201"/>
    </row>
    <row r="47" spans="1:13" ht="15">
      <c r="A47" s="262" t="s">
        <v>92</v>
      </c>
      <c r="B47" s="251">
        <v>16.38</v>
      </c>
      <c r="C47" s="252" t="s">
        <v>93</v>
      </c>
      <c r="D47" s="253" t="s">
        <v>20</v>
      </c>
      <c r="E47" s="268">
        <f>ROUND(K47,1)</f>
        <v>1.6</v>
      </c>
      <c r="F47" s="254" t="s">
        <v>180</v>
      </c>
      <c r="G47" s="245"/>
      <c r="H47" s="245"/>
      <c r="I47" s="245"/>
      <c r="K47" s="201">
        <f>Solar!V6</f>
        <v>1.63</v>
      </c>
      <c r="L47" s="239">
        <f>Solar!W6</f>
        <v>36</v>
      </c>
      <c r="M47" s="202">
        <f>Solar!X6</f>
        <v>42.3</v>
      </c>
    </row>
    <row r="48" spans="1:13" ht="30">
      <c r="A48" s="258" t="s">
        <v>85</v>
      </c>
      <c r="B48" s="248">
        <v>21.84</v>
      </c>
      <c r="C48" s="241" t="s">
        <v>86</v>
      </c>
      <c r="D48" s="249" t="s">
        <v>30</v>
      </c>
      <c r="E48" s="267">
        <f t="shared" ref="E48:E54" si="1">ROUND(K48,1)</f>
        <v>1.6</v>
      </c>
      <c r="F48" s="250" t="s">
        <v>169</v>
      </c>
      <c r="G48" s="245"/>
      <c r="H48" s="245"/>
      <c r="I48" s="245"/>
      <c r="K48" s="201">
        <f>Solar!V7</f>
        <v>1.63</v>
      </c>
      <c r="L48" s="239">
        <f>Solar!W7</f>
        <v>60</v>
      </c>
      <c r="M48" s="202">
        <f>Solar!X7</f>
        <v>303.95999999999998</v>
      </c>
    </row>
    <row r="49" spans="1:13" ht="30">
      <c r="A49" s="262" t="s">
        <v>95</v>
      </c>
      <c r="B49" s="251">
        <v>26.52</v>
      </c>
      <c r="C49" s="252" t="s">
        <v>181</v>
      </c>
      <c r="D49" s="253" t="s">
        <v>30</v>
      </c>
      <c r="E49" s="268">
        <f t="shared" si="1"/>
        <v>1.6</v>
      </c>
      <c r="F49" s="254" t="s">
        <v>182</v>
      </c>
      <c r="G49" s="245"/>
      <c r="H49" s="245"/>
      <c r="I49" s="245"/>
      <c r="K49" s="201">
        <f>Solar!V8</f>
        <v>1.63</v>
      </c>
      <c r="L49" s="239">
        <f>Solar!W8</f>
        <v>60</v>
      </c>
      <c r="M49" s="202">
        <f>Solar!X8</f>
        <v>299.27999999999997</v>
      </c>
    </row>
    <row r="50" spans="1:13" ht="15">
      <c r="A50" s="258" t="s">
        <v>88</v>
      </c>
      <c r="B50" s="248">
        <v>11.7</v>
      </c>
      <c r="C50" s="241" t="s">
        <v>86</v>
      </c>
      <c r="D50" s="249" t="s">
        <v>20</v>
      </c>
      <c r="E50" s="267">
        <f t="shared" si="1"/>
        <v>1.6</v>
      </c>
      <c r="F50" s="250" t="s">
        <v>183</v>
      </c>
      <c r="G50" s="245"/>
      <c r="H50" s="245"/>
      <c r="I50" s="245"/>
      <c r="K50" s="201">
        <f>Solar!V9</f>
        <v>1.63</v>
      </c>
      <c r="L50" s="239">
        <f>Solar!W9</f>
        <v>60</v>
      </c>
      <c r="M50" s="202">
        <f>Solar!X9</f>
        <v>86.1</v>
      </c>
    </row>
    <row r="51" spans="1:13" ht="15">
      <c r="A51" s="262" t="s">
        <v>97</v>
      </c>
      <c r="B51" s="251">
        <v>42.9</v>
      </c>
      <c r="C51" s="252" t="s">
        <v>86</v>
      </c>
      <c r="D51" s="253" t="s">
        <v>30</v>
      </c>
      <c r="E51" s="268">
        <f t="shared" si="1"/>
        <v>1.6</v>
      </c>
      <c r="F51" s="254" t="s">
        <v>169</v>
      </c>
      <c r="G51" s="245"/>
      <c r="H51" s="245"/>
      <c r="I51" s="245"/>
      <c r="K51" s="201">
        <f>Solar!V10</f>
        <v>1.63</v>
      </c>
      <c r="L51" s="239">
        <f>Solar!W10</f>
        <v>60</v>
      </c>
      <c r="M51" s="202">
        <f>Solar!X10</f>
        <v>282.89999999999998</v>
      </c>
    </row>
    <row r="52" spans="1:13" ht="15">
      <c r="A52" s="258" t="s">
        <v>184</v>
      </c>
      <c r="B52" s="248">
        <v>13.07</v>
      </c>
      <c r="C52" s="241" t="s">
        <v>36</v>
      </c>
      <c r="D52" s="249" t="s">
        <v>20</v>
      </c>
      <c r="E52" s="267">
        <f t="shared" si="1"/>
        <v>1.6</v>
      </c>
      <c r="F52" s="250" t="s">
        <v>185</v>
      </c>
      <c r="G52" s="245"/>
      <c r="H52" s="245"/>
      <c r="I52" s="245"/>
      <c r="K52" s="201">
        <f>Solar!V11</f>
        <v>1.63</v>
      </c>
      <c r="L52" s="239">
        <f>Solar!W11</f>
        <v>24</v>
      </c>
      <c r="M52" s="202">
        <f>Solar!X11</f>
        <v>26.055</v>
      </c>
    </row>
    <row r="53" spans="1:13" ht="15">
      <c r="A53" s="262" t="s">
        <v>101</v>
      </c>
      <c r="B53" s="251">
        <v>23.4</v>
      </c>
      <c r="C53" s="252" t="s">
        <v>86</v>
      </c>
      <c r="D53" s="253" t="s">
        <v>20</v>
      </c>
      <c r="E53" s="268">
        <f t="shared" si="1"/>
        <v>1.6</v>
      </c>
      <c r="F53" s="254" t="s">
        <v>183</v>
      </c>
      <c r="G53" s="245"/>
      <c r="H53" s="245"/>
      <c r="I53" s="245"/>
      <c r="K53" s="201">
        <f>Solar!V12</f>
        <v>1.63</v>
      </c>
      <c r="L53" s="239">
        <f>Solar!W12</f>
        <v>60</v>
      </c>
      <c r="M53" s="202">
        <f>Solar!X12</f>
        <v>74.400000000000006</v>
      </c>
    </row>
    <row r="54" spans="1:13" ht="16" thickBot="1">
      <c r="A54" s="233" t="s">
        <v>90</v>
      </c>
      <c r="B54" s="234">
        <v>50.7</v>
      </c>
      <c r="C54" s="235" t="s">
        <v>86</v>
      </c>
      <c r="D54" s="238" t="s">
        <v>30</v>
      </c>
      <c r="E54" s="256">
        <f t="shared" si="1"/>
        <v>1.6</v>
      </c>
      <c r="F54" s="266" t="s">
        <v>169</v>
      </c>
      <c r="G54" s="247"/>
      <c r="H54" s="247"/>
      <c r="I54" s="247"/>
      <c r="K54" s="201">
        <f>Solar!V13</f>
        <v>1.63</v>
      </c>
      <c r="L54" s="239">
        <f>Solar!W13</f>
        <v>60</v>
      </c>
      <c r="M54" s="202">
        <f>Solar!X13</f>
        <v>275.09999999999997</v>
      </c>
    </row>
    <row r="56" spans="1:13" ht="13" thickBot="1"/>
    <row r="57" spans="1:13" ht="14" thickBot="1">
      <c r="A57" s="228" t="s">
        <v>152</v>
      </c>
    </row>
    <row r="58" spans="1:13">
      <c r="A58" s="223" t="s">
        <v>142</v>
      </c>
    </row>
    <row r="59" spans="1:13">
      <c r="A59" s="224" t="s">
        <v>160</v>
      </c>
    </row>
    <row r="60" spans="1:13">
      <c r="A60" s="224" t="s">
        <v>157</v>
      </c>
    </row>
    <row r="61" spans="1:13">
      <c r="A61" s="224" t="s">
        <v>158</v>
      </c>
    </row>
    <row r="62" spans="1:13">
      <c r="A62" s="226" t="s">
        <v>150</v>
      </c>
    </row>
    <row r="63" spans="1:13" ht="13">
      <c r="A63" s="227">
        <f>(50*0.5)+(300*0.5)</f>
        <v>175</v>
      </c>
    </row>
    <row r="66" spans="1:1">
      <c r="A66" s="223" t="s">
        <v>146</v>
      </c>
    </row>
    <row r="67" spans="1:1">
      <c r="A67" s="224" t="s">
        <v>161</v>
      </c>
    </row>
    <row r="68" spans="1:1">
      <c r="A68" s="224" t="s">
        <v>155</v>
      </c>
    </row>
    <row r="69" spans="1:1">
      <c r="A69" s="224" t="s">
        <v>156</v>
      </c>
    </row>
    <row r="70" spans="1:1">
      <c r="A70" s="226" t="s">
        <v>150</v>
      </c>
    </row>
    <row r="71" spans="1:1" ht="13">
      <c r="A71" s="227">
        <f>(200*0.7)+(400*0.3)</f>
        <v>260</v>
      </c>
    </row>
  </sheetData>
  <mergeCells count="4">
    <mergeCell ref="A5:F5"/>
    <mergeCell ref="A11:F11"/>
    <mergeCell ref="A41:F41"/>
    <mergeCell ref="A46:F4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X7" sqref="X7"/>
    </sheetView>
  </sheetViews>
  <sheetFormatPr baseColWidth="10" defaultColWidth="10.1640625" defaultRowHeight="13.5" customHeight="1" x14ac:dyDescent="0"/>
  <cols>
    <col min="1" max="1" width="29.33203125" style="102" customWidth="1"/>
    <col min="2" max="18" width="17.83203125" style="102" customWidth="1"/>
    <col min="19" max="19" width="86.6640625" style="102" customWidth="1"/>
    <col min="21" max="21" width="22.1640625" customWidth="1"/>
    <col min="22" max="24" width="17.5" customWidth="1"/>
    <col min="25" max="25" width="17.5" style="200" customWidth="1"/>
  </cols>
  <sheetData>
    <row r="1" spans="1:25" ht="28.5" customHeight="1" thickBot="1">
      <c r="A1" s="137"/>
      <c r="B1" s="138" t="s">
        <v>0</v>
      </c>
      <c r="C1" s="139" t="s">
        <v>1</v>
      </c>
      <c r="D1" s="139" t="s">
        <v>2</v>
      </c>
      <c r="E1" s="140" t="s">
        <v>3</v>
      </c>
      <c r="F1" s="139" t="s">
        <v>4</v>
      </c>
      <c r="G1" s="139" t="s">
        <v>5</v>
      </c>
      <c r="H1" s="139" t="s">
        <v>6</v>
      </c>
      <c r="I1" s="118" t="s">
        <v>7</v>
      </c>
      <c r="J1" s="118" t="s">
        <v>8</v>
      </c>
      <c r="K1" s="122" t="s">
        <v>132</v>
      </c>
      <c r="L1" s="118" t="s">
        <v>10</v>
      </c>
      <c r="M1" s="118" t="s">
        <v>11</v>
      </c>
      <c r="N1" s="118" t="s">
        <v>12</v>
      </c>
      <c r="O1" s="118" t="s">
        <v>13</v>
      </c>
      <c r="P1" s="110" t="s">
        <v>14</v>
      </c>
      <c r="Q1" s="139" t="s">
        <v>15</v>
      </c>
      <c r="R1" s="141" t="s">
        <v>16</v>
      </c>
      <c r="S1" s="142" t="s">
        <v>17</v>
      </c>
      <c r="U1" s="200" t="s">
        <v>137</v>
      </c>
      <c r="V1" s="200" t="s">
        <v>138</v>
      </c>
      <c r="W1" s="200" t="s">
        <v>139</v>
      </c>
      <c r="X1" s="200" t="s">
        <v>140</v>
      </c>
      <c r="Y1" s="203" t="s">
        <v>141</v>
      </c>
    </row>
    <row r="2" spans="1:25" ht="27.75" customHeight="1">
      <c r="A2" s="124" t="s">
        <v>18</v>
      </c>
      <c r="B2" s="125" t="s">
        <v>19</v>
      </c>
      <c r="C2" s="126" t="s">
        <v>20</v>
      </c>
      <c r="D2" s="127">
        <f>2801.53*A35</f>
        <v>31.937442000000004</v>
      </c>
      <c r="E2" s="128">
        <f>3595*A35</f>
        <v>40.983000000000004</v>
      </c>
      <c r="F2" s="129">
        <v>0.215</v>
      </c>
      <c r="G2" s="129"/>
      <c r="H2" s="129" t="s">
        <v>21</v>
      </c>
      <c r="I2" s="130">
        <v>0.43</v>
      </c>
      <c r="J2" s="131">
        <f>A27</f>
        <v>30</v>
      </c>
      <c r="K2" s="131">
        <f>(J2*I2)/A38</f>
        <v>6.45</v>
      </c>
      <c r="L2" s="132">
        <f>E2/K2</f>
        <v>6.3539534883720936</v>
      </c>
      <c r="M2" s="131">
        <f>J2*A31</f>
        <v>1080</v>
      </c>
      <c r="N2" s="131">
        <f>(K2*A31)-(E2)</f>
        <v>191.21700000000001</v>
      </c>
      <c r="O2" s="133">
        <f>N2/E2</f>
        <v>4.6657638533050285</v>
      </c>
      <c r="P2" s="134">
        <v>0.6</v>
      </c>
      <c r="Q2" s="126" t="s">
        <v>22</v>
      </c>
      <c r="R2" s="135" t="s">
        <v>23</v>
      </c>
      <c r="S2" s="136" t="s">
        <v>24</v>
      </c>
      <c r="W2" s="202">
        <v>12</v>
      </c>
      <c r="X2">
        <v>36</v>
      </c>
      <c r="Y2" s="204">
        <f>(W2*X2)-E2</f>
        <v>391.017</v>
      </c>
    </row>
    <row r="3" spans="1:25" ht="27.75" customHeight="1">
      <c r="A3" s="28" t="s">
        <v>25</v>
      </c>
      <c r="B3" s="72" t="s">
        <v>19</v>
      </c>
      <c r="C3" s="89" t="s">
        <v>20</v>
      </c>
      <c r="D3" s="79">
        <f>3000*A35</f>
        <v>34.200000000000003</v>
      </c>
      <c r="E3" s="93">
        <f>4002*A35</f>
        <v>45.622800000000005</v>
      </c>
      <c r="F3" s="61">
        <v>0.16700000000000001</v>
      </c>
      <c r="G3" s="61"/>
      <c r="H3" s="61" t="s">
        <v>21</v>
      </c>
      <c r="I3" s="20">
        <v>0.54</v>
      </c>
      <c r="J3" s="27">
        <f>A27</f>
        <v>30</v>
      </c>
      <c r="K3" s="27">
        <f>(J3*I3)/A38</f>
        <v>8.1000000000000014</v>
      </c>
      <c r="L3" s="19">
        <f>E3/K3</f>
        <v>5.6324444444444444</v>
      </c>
      <c r="M3" s="27">
        <f>J3*A31</f>
        <v>1080</v>
      </c>
      <c r="N3" s="27">
        <f>(K3*A31)-(E3)</f>
        <v>245.97720000000001</v>
      </c>
      <c r="O3" s="58">
        <f>N3/E3</f>
        <v>5.3915410715694785</v>
      </c>
      <c r="P3" s="35">
        <v>0.45</v>
      </c>
      <c r="Q3" s="89" t="s">
        <v>22</v>
      </c>
      <c r="R3" s="63" t="s">
        <v>26</v>
      </c>
      <c r="S3" s="111" t="s">
        <v>27</v>
      </c>
      <c r="W3" s="213">
        <v>12</v>
      </c>
      <c r="X3" s="214">
        <v>36</v>
      </c>
      <c r="Y3" s="204">
        <f>(W3*X3)-E3</f>
        <v>386.37720000000002</v>
      </c>
    </row>
    <row r="4" spans="1:25" ht="27.75" customHeight="1">
      <c r="A4" s="28" t="s">
        <v>28</v>
      </c>
      <c r="B4" s="72" t="s">
        <v>19</v>
      </c>
      <c r="C4" s="89" t="s">
        <v>20</v>
      </c>
      <c r="D4" s="79">
        <f>3474.75*A35</f>
        <v>39.61215</v>
      </c>
      <c r="E4" s="93">
        <f>4347*A35</f>
        <v>49.555800000000005</v>
      </c>
      <c r="F4" s="61">
        <v>0.187</v>
      </c>
      <c r="G4" s="61"/>
      <c r="H4" s="61" t="s">
        <v>21</v>
      </c>
      <c r="I4" s="20">
        <v>0.54</v>
      </c>
      <c r="J4" s="27">
        <f>A27</f>
        <v>30</v>
      </c>
      <c r="K4" s="27">
        <f>(J4*I4)/A38</f>
        <v>8.1000000000000014</v>
      </c>
      <c r="L4" s="19">
        <f>E4/K4</f>
        <v>6.1179999999999994</v>
      </c>
      <c r="M4" s="27">
        <f>J4*A31</f>
        <v>1080</v>
      </c>
      <c r="N4" s="27">
        <f>(K4*A31)-(E4)</f>
        <v>242.04420000000002</v>
      </c>
      <c r="O4" s="58">
        <f>N4/E4</f>
        <v>4.8842759071592026</v>
      </c>
      <c r="P4" s="35">
        <v>0.45</v>
      </c>
      <c r="Q4" s="89" t="s">
        <v>22</v>
      </c>
      <c r="R4" s="63" t="s">
        <v>26</v>
      </c>
      <c r="S4" s="111" t="s">
        <v>27</v>
      </c>
      <c r="W4" s="202">
        <v>12</v>
      </c>
      <c r="X4">
        <v>36</v>
      </c>
      <c r="Y4" s="204">
        <f>(W4*X4)-E4</f>
        <v>382.44420000000002</v>
      </c>
    </row>
    <row r="5" spans="1:25" ht="27.75" customHeight="1">
      <c r="A5" s="28" t="s">
        <v>29</v>
      </c>
      <c r="B5" s="72" t="s">
        <v>19</v>
      </c>
      <c r="C5" s="89" t="s">
        <v>30</v>
      </c>
      <c r="D5" s="79">
        <f>388.15*A35</f>
        <v>4.4249099999999997</v>
      </c>
      <c r="E5" s="93">
        <f>475*A35</f>
        <v>5.415</v>
      </c>
      <c r="F5" s="61">
        <v>9.8000000000000004E-2</v>
      </c>
      <c r="G5" s="61"/>
      <c r="H5" s="61" t="s">
        <v>21</v>
      </c>
      <c r="I5" s="24"/>
      <c r="J5" s="27">
        <f>A27</f>
        <v>30</v>
      </c>
      <c r="K5" s="59"/>
      <c r="L5" s="83"/>
      <c r="M5" s="27">
        <f>J5*A31</f>
        <v>1080</v>
      </c>
      <c r="N5" s="59"/>
      <c r="O5" s="114"/>
      <c r="P5" s="35"/>
      <c r="Q5" s="89" t="s">
        <v>22</v>
      </c>
      <c r="R5" s="63" t="s">
        <v>26</v>
      </c>
      <c r="S5" s="111" t="s">
        <v>31</v>
      </c>
      <c r="U5" s="201"/>
      <c r="V5" s="201"/>
      <c r="W5" s="202">
        <v>6</v>
      </c>
      <c r="X5">
        <v>24</v>
      </c>
      <c r="Y5" s="204">
        <f>(W5*X5)-E5</f>
        <v>138.58500000000001</v>
      </c>
    </row>
    <row r="6" spans="1:25" ht="28.5" customHeight="1" thickBot="1">
      <c r="A6" s="143" t="s">
        <v>32</v>
      </c>
      <c r="B6" s="144" t="s">
        <v>19</v>
      </c>
      <c r="C6" s="145" t="s">
        <v>30</v>
      </c>
      <c r="D6" s="146">
        <f>405*A35</f>
        <v>4.617</v>
      </c>
      <c r="E6" s="147">
        <f>500*A35</f>
        <v>5.7</v>
      </c>
      <c r="F6" s="148">
        <v>0.111</v>
      </c>
      <c r="G6" s="148"/>
      <c r="H6" s="148" t="s">
        <v>21</v>
      </c>
      <c r="I6" s="149"/>
      <c r="J6" s="150">
        <f>A27</f>
        <v>30</v>
      </c>
      <c r="K6" s="151"/>
      <c r="L6" s="152"/>
      <c r="M6" s="150">
        <f>J6*A31</f>
        <v>1080</v>
      </c>
      <c r="N6" s="151"/>
      <c r="O6" s="153"/>
      <c r="P6" s="154"/>
      <c r="Q6" s="145" t="s">
        <v>22</v>
      </c>
      <c r="R6" s="155" t="s">
        <v>26</v>
      </c>
      <c r="S6" s="156" t="s">
        <v>31</v>
      </c>
      <c r="U6" s="211"/>
      <c r="V6" s="211"/>
      <c r="W6" s="212">
        <v>6</v>
      </c>
      <c r="X6" s="210">
        <v>24</v>
      </c>
      <c r="Y6" s="205">
        <f>(W6*X6)-E6</f>
        <v>138.30000000000001</v>
      </c>
    </row>
    <row r="7" spans="1:25" ht="14">
      <c r="A7" s="157" t="s">
        <v>33</v>
      </c>
      <c r="B7" s="158" t="s">
        <v>34</v>
      </c>
      <c r="C7" s="159" t="s">
        <v>30</v>
      </c>
      <c r="D7" s="160">
        <f>10000*A36</f>
        <v>3.9</v>
      </c>
      <c r="E7" s="161">
        <f>12000*A36</f>
        <v>4.68</v>
      </c>
      <c r="F7" s="162">
        <v>-0.5</v>
      </c>
      <c r="G7" s="162"/>
      <c r="H7" s="162" t="s">
        <v>21</v>
      </c>
      <c r="I7" s="163">
        <v>0.35</v>
      </c>
      <c r="J7" s="119">
        <f>A26</f>
        <v>22.5</v>
      </c>
      <c r="K7" s="119">
        <f>(J7*I7)/A38</f>
        <v>3.9374999999999996</v>
      </c>
      <c r="L7" s="117">
        <f t="shared" ref="L7:L12" si="0">E7/K7</f>
        <v>1.1885714285714286</v>
      </c>
      <c r="M7" s="119">
        <f>J7*A30</f>
        <v>540</v>
      </c>
      <c r="N7" s="119">
        <f>(K7*A30)-(E7)</f>
        <v>89.82</v>
      </c>
      <c r="O7" s="164">
        <f t="shared" ref="O7:O12" si="1">N7/E7</f>
        <v>19.192307692307693</v>
      </c>
      <c r="P7" s="165" t="s">
        <v>35</v>
      </c>
      <c r="Q7" s="159" t="s">
        <v>36</v>
      </c>
      <c r="R7" s="166" t="s">
        <v>37</v>
      </c>
      <c r="S7" s="46" t="s">
        <v>38</v>
      </c>
      <c r="U7" s="206">
        <v>22.799188640973632</v>
      </c>
      <c r="V7" s="206">
        <v>12.321839080459769</v>
      </c>
      <c r="W7" s="207">
        <f t="shared" ref="W7:W8" si="2">U7-V7</f>
        <v>10.477349560513863</v>
      </c>
      <c r="X7" s="208">
        <v>36</v>
      </c>
      <c r="Y7" s="204">
        <f t="shared" ref="Y7:Y8" si="3">(W7*X7)-E7</f>
        <v>372.50458417849904</v>
      </c>
    </row>
    <row r="8" spans="1:25" ht="14">
      <c r="A8" s="167" t="s">
        <v>39</v>
      </c>
      <c r="B8" s="72" t="s">
        <v>34</v>
      </c>
      <c r="C8" s="168" t="s">
        <v>30</v>
      </c>
      <c r="D8" s="169">
        <f>14000*A36</f>
        <v>5.46</v>
      </c>
      <c r="E8" s="170">
        <f>16000*A36</f>
        <v>6.24</v>
      </c>
      <c r="F8" s="171">
        <v>-0.36</v>
      </c>
      <c r="G8" s="171"/>
      <c r="H8" s="171" t="s">
        <v>21</v>
      </c>
      <c r="I8" s="172">
        <v>0.35</v>
      </c>
      <c r="J8" s="120">
        <f>A26</f>
        <v>22.5</v>
      </c>
      <c r="K8" s="120">
        <f>(J8*I8)/A38</f>
        <v>3.9374999999999996</v>
      </c>
      <c r="L8" s="173">
        <f t="shared" si="0"/>
        <v>1.584761904761905</v>
      </c>
      <c r="M8" s="120">
        <f>J8*A30</f>
        <v>540</v>
      </c>
      <c r="N8" s="120">
        <f>(K8*A30)-(E8)</f>
        <v>88.259999999999991</v>
      </c>
      <c r="O8" s="174">
        <f t="shared" si="1"/>
        <v>14.144230769230766</v>
      </c>
      <c r="P8" s="175" t="s">
        <v>35</v>
      </c>
      <c r="Q8" s="168" t="s">
        <v>36</v>
      </c>
      <c r="R8" s="176" t="s">
        <v>37</v>
      </c>
      <c r="S8" s="111" t="s">
        <v>38</v>
      </c>
      <c r="U8" s="206">
        <v>22.799188640973632</v>
      </c>
      <c r="V8" s="206">
        <v>12.321839080459769</v>
      </c>
      <c r="W8" s="207">
        <f t="shared" si="2"/>
        <v>10.477349560513863</v>
      </c>
      <c r="X8" s="208">
        <v>36</v>
      </c>
      <c r="Y8" s="204">
        <f t="shared" si="3"/>
        <v>370.94458417849904</v>
      </c>
    </row>
    <row r="9" spans="1:25" ht="14">
      <c r="A9" s="167" t="s">
        <v>40</v>
      </c>
      <c r="B9" s="72" t="s">
        <v>34</v>
      </c>
      <c r="C9" s="168" t="s">
        <v>30</v>
      </c>
      <c r="D9" s="169">
        <f>10000*A36</f>
        <v>3.9</v>
      </c>
      <c r="E9" s="170">
        <f>12000*A36</f>
        <v>4.68</v>
      </c>
      <c r="F9" s="171">
        <v>1</v>
      </c>
      <c r="G9" s="171"/>
      <c r="H9" s="171" t="s">
        <v>21</v>
      </c>
      <c r="I9" s="172">
        <v>0.5</v>
      </c>
      <c r="J9" s="120">
        <f>A26</f>
        <v>22.5</v>
      </c>
      <c r="K9" s="120">
        <f>(J9*I9)/A38</f>
        <v>5.625</v>
      </c>
      <c r="L9" s="173">
        <f t="shared" si="0"/>
        <v>0.83199999999999996</v>
      </c>
      <c r="M9" s="120">
        <f>J9*A32</f>
        <v>1080</v>
      </c>
      <c r="N9" s="120">
        <f>(K9*A32)-(E9)</f>
        <v>265.32</v>
      </c>
      <c r="O9" s="174">
        <f t="shared" si="1"/>
        <v>56.692307692307693</v>
      </c>
      <c r="P9" s="175">
        <v>0.5</v>
      </c>
      <c r="Q9" s="177" t="s">
        <v>41</v>
      </c>
      <c r="R9" s="178" t="s">
        <v>26</v>
      </c>
      <c r="S9" s="111" t="s">
        <v>42</v>
      </c>
      <c r="U9" s="201">
        <v>22.799188640973632</v>
      </c>
      <c r="V9" s="201">
        <v>12.321839080459769</v>
      </c>
      <c r="W9" s="202">
        <f>U9-V9</f>
        <v>10.477349560513863</v>
      </c>
      <c r="X9">
        <v>36</v>
      </c>
      <c r="Y9" s="204">
        <f>(W9*X9)-E9</f>
        <v>372.50458417849904</v>
      </c>
    </row>
    <row r="10" spans="1:25" ht="14">
      <c r="A10" s="167" t="s">
        <v>43</v>
      </c>
      <c r="B10" s="72" t="s">
        <v>34</v>
      </c>
      <c r="C10" s="168" t="s">
        <v>30</v>
      </c>
      <c r="D10" s="169">
        <f>14000*A36</f>
        <v>5.46</v>
      </c>
      <c r="E10" s="170">
        <f>16000*A36</f>
        <v>6.24</v>
      </c>
      <c r="F10" s="171">
        <v>1</v>
      </c>
      <c r="G10" s="171"/>
      <c r="H10" s="171" t="s">
        <v>21</v>
      </c>
      <c r="I10" s="172">
        <v>0.5</v>
      </c>
      <c r="J10" s="120">
        <f>A26</f>
        <v>22.5</v>
      </c>
      <c r="K10" s="120">
        <f>(J10*I10)/A38</f>
        <v>5.625</v>
      </c>
      <c r="L10" s="173">
        <f t="shared" si="0"/>
        <v>1.1093333333333333</v>
      </c>
      <c r="M10" s="120">
        <f>J10*A32</f>
        <v>1080</v>
      </c>
      <c r="N10" s="120">
        <f>(K10*A32)-(E10)</f>
        <v>263.76</v>
      </c>
      <c r="O10" s="174">
        <f t="shared" si="1"/>
        <v>42.269230769230766</v>
      </c>
      <c r="P10" s="175">
        <v>0.5</v>
      </c>
      <c r="Q10" s="177" t="s">
        <v>41</v>
      </c>
      <c r="R10" s="178" t="s">
        <v>26</v>
      </c>
      <c r="S10" s="111" t="s">
        <v>42</v>
      </c>
      <c r="U10" s="201">
        <v>22.799188640973632</v>
      </c>
      <c r="V10" s="201">
        <v>12.321839080459769</v>
      </c>
      <c r="W10" s="202">
        <f t="shared" ref="W10:W11" si="4">U10-V10</f>
        <v>10.477349560513863</v>
      </c>
      <c r="X10">
        <v>36</v>
      </c>
      <c r="Y10" s="204">
        <f t="shared" ref="Y10:Y11" si="5">(W10*X10)-E10</f>
        <v>370.94458417849904</v>
      </c>
    </row>
    <row r="11" spans="1:25" ht="14">
      <c r="A11" s="167" t="s">
        <v>44</v>
      </c>
      <c r="B11" s="72" t="s">
        <v>34</v>
      </c>
      <c r="C11" s="168" t="s">
        <v>30</v>
      </c>
      <c r="D11" s="169">
        <f>18000*A36</f>
        <v>7.02</v>
      </c>
      <c r="E11" s="170">
        <f>21000*A36</f>
        <v>8.19</v>
      </c>
      <c r="F11" s="171">
        <v>1</v>
      </c>
      <c r="G11" s="171"/>
      <c r="H11" s="171" t="s">
        <v>21</v>
      </c>
      <c r="I11" s="172">
        <v>0.5</v>
      </c>
      <c r="J11" s="120">
        <f>A26</f>
        <v>22.5</v>
      </c>
      <c r="K11" s="120">
        <f>(J11*I11)/A38</f>
        <v>5.625</v>
      </c>
      <c r="L11" s="173">
        <f t="shared" si="0"/>
        <v>1.456</v>
      </c>
      <c r="M11" s="120">
        <f>J11*A32</f>
        <v>1080</v>
      </c>
      <c r="N11" s="120">
        <f>(K11*A32)-(E11)</f>
        <v>261.81</v>
      </c>
      <c r="O11" s="174">
        <f t="shared" si="1"/>
        <v>31.967032967032971</v>
      </c>
      <c r="P11" s="175">
        <v>0.5</v>
      </c>
      <c r="Q11" s="177" t="s">
        <v>41</v>
      </c>
      <c r="R11" s="178" t="s">
        <v>26</v>
      </c>
      <c r="S11" s="111" t="s">
        <v>42</v>
      </c>
      <c r="U11" s="201">
        <v>22.799188640973632</v>
      </c>
      <c r="V11" s="201">
        <v>12.321839080459769</v>
      </c>
      <c r="W11" s="202">
        <f t="shared" si="4"/>
        <v>10.477349560513863</v>
      </c>
      <c r="X11">
        <v>36</v>
      </c>
      <c r="Y11" s="204">
        <f t="shared" si="5"/>
        <v>368.99458417849905</v>
      </c>
    </row>
    <row r="12" spans="1:25" ht="27.75" customHeight="1">
      <c r="A12" s="167" t="s">
        <v>45</v>
      </c>
      <c r="B12" s="72" t="s">
        <v>34</v>
      </c>
      <c r="C12" s="168" t="s">
        <v>46</v>
      </c>
      <c r="D12" s="169">
        <f>39000*A36</f>
        <v>15.209999999999999</v>
      </c>
      <c r="E12" s="170">
        <f>45000*A36</f>
        <v>17.55</v>
      </c>
      <c r="F12" s="171">
        <v>0.21</v>
      </c>
      <c r="G12" s="171"/>
      <c r="H12" s="171" t="s">
        <v>47</v>
      </c>
      <c r="I12" s="172">
        <v>0.6</v>
      </c>
      <c r="J12" s="120">
        <f>A26</f>
        <v>22.5</v>
      </c>
      <c r="K12" s="120">
        <f>(J12*I12)/A38</f>
        <v>6.75</v>
      </c>
      <c r="L12" s="173">
        <f t="shared" si="0"/>
        <v>2.6</v>
      </c>
      <c r="M12" s="120">
        <f>J12*A31</f>
        <v>810</v>
      </c>
      <c r="N12" s="120">
        <f>(K12*A31)-(E12)</f>
        <v>225.45</v>
      </c>
      <c r="O12" s="174">
        <f t="shared" si="1"/>
        <v>12.846153846153845</v>
      </c>
      <c r="P12" s="175">
        <v>0.8</v>
      </c>
      <c r="Q12" s="168" t="s">
        <v>48</v>
      </c>
      <c r="R12" s="176" t="s">
        <v>26</v>
      </c>
      <c r="S12" s="111" t="s">
        <v>49</v>
      </c>
      <c r="U12" s="206">
        <v>22.799188640973632</v>
      </c>
      <c r="V12" s="206" t="s">
        <v>163</v>
      </c>
      <c r="W12" s="207" t="e">
        <f t="shared" ref="W12:W13" si="6">U12-V12</f>
        <v>#VALUE!</v>
      </c>
      <c r="X12" s="208">
        <v>36</v>
      </c>
      <c r="Y12" s="231" t="s">
        <v>162</v>
      </c>
    </row>
    <row r="13" spans="1:25" ht="15" customHeight="1" thickBot="1">
      <c r="A13" s="179" t="s">
        <v>50</v>
      </c>
      <c r="B13" s="116" t="s">
        <v>34</v>
      </c>
      <c r="C13" s="180" t="s">
        <v>51</v>
      </c>
      <c r="D13" s="181">
        <f>26000*A36</f>
        <v>10.14</v>
      </c>
      <c r="E13" s="182">
        <f>29000*A36</f>
        <v>11.31</v>
      </c>
      <c r="F13" s="113">
        <v>0.23</v>
      </c>
      <c r="G13" s="113"/>
      <c r="H13" s="113" t="s">
        <v>47</v>
      </c>
      <c r="I13" s="183"/>
      <c r="J13" s="184">
        <f>A26</f>
        <v>22.5</v>
      </c>
      <c r="K13" s="121"/>
      <c r="L13" s="185"/>
      <c r="M13" s="184">
        <f>J13*A31</f>
        <v>810</v>
      </c>
      <c r="N13" s="121"/>
      <c r="O13" s="186"/>
      <c r="P13" s="187">
        <v>0.52600000000000002</v>
      </c>
      <c r="Q13" s="180" t="s">
        <v>48</v>
      </c>
      <c r="R13" s="115" t="s">
        <v>26</v>
      </c>
      <c r="S13" s="38" t="s">
        <v>52</v>
      </c>
      <c r="U13" s="206">
        <v>22.799188640973632</v>
      </c>
      <c r="V13" s="206">
        <v>12.321839080459769</v>
      </c>
      <c r="W13" s="207">
        <f t="shared" si="6"/>
        <v>10.477349560513863</v>
      </c>
      <c r="X13" s="208">
        <v>36</v>
      </c>
      <c r="Y13" s="205">
        <f t="shared" ref="Y13" si="7">(W13*X13)-E13</f>
        <v>365.87458417849905</v>
      </c>
    </row>
    <row r="14" spans="1:25" ht="14">
      <c r="A14" s="123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</row>
    <row r="15" spans="1:25" ht="14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</row>
    <row r="16" spans="1:25" ht="12">
      <c r="A16" s="276" t="s">
        <v>53</v>
      </c>
      <c r="B16" s="276"/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276"/>
    </row>
    <row r="17" spans="1:21" ht="13" thickBot="1">
      <c r="A17" s="276"/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</row>
    <row r="18" spans="1:21" ht="15" customHeight="1" thickBot="1">
      <c r="A18" s="279" t="s">
        <v>54</v>
      </c>
      <c r="B18" s="279"/>
      <c r="C18" s="279"/>
      <c r="D18" s="279"/>
      <c r="E18" s="279"/>
      <c r="F18" s="279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279"/>
      <c r="R18" s="279"/>
      <c r="S18" s="279"/>
      <c r="U18" s="228" t="s">
        <v>152</v>
      </c>
    </row>
    <row r="19" spans="1:21" ht="14">
      <c r="A19" s="107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U19" s="223" t="s">
        <v>142</v>
      </c>
    </row>
    <row r="20" spans="1:21" ht="14">
      <c r="A20" s="280" t="s">
        <v>55</v>
      </c>
      <c r="B20" s="280"/>
      <c r="C20" s="280"/>
      <c r="D20" s="280"/>
      <c r="E20" s="280"/>
      <c r="F20" s="280"/>
      <c r="G20" s="280"/>
      <c r="H20" s="280"/>
      <c r="I20" s="280"/>
      <c r="J20" s="280"/>
      <c r="K20" s="107"/>
      <c r="L20" s="107"/>
      <c r="M20" s="107"/>
      <c r="N20" s="107"/>
      <c r="O20" s="107"/>
      <c r="P20" s="107"/>
      <c r="Q20" s="107"/>
      <c r="R20" s="107"/>
      <c r="S20" s="107"/>
      <c r="U20" s="224" t="s">
        <v>143</v>
      </c>
    </row>
    <row r="21" spans="1:21" ht="14">
      <c r="A21" s="106"/>
      <c r="B21" s="106"/>
      <c r="C21" s="106"/>
      <c r="D21" s="106"/>
      <c r="E21" s="106"/>
      <c r="F21" s="106"/>
      <c r="G21" s="106"/>
      <c r="H21" s="106"/>
      <c r="I21" s="106"/>
      <c r="J21" s="106"/>
      <c r="K21" s="107"/>
      <c r="L21" s="107"/>
      <c r="M21" s="107"/>
      <c r="N21" s="107"/>
      <c r="O21" s="107"/>
      <c r="P21" s="107"/>
      <c r="Q21" s="107"/>
      <c r="R21" s="107"/>
      <c r="S21" s="107"/>
      <c r="U21" s="224" t="s">
        <v>144</v>
      </c>
    </row>
    <row r="22" spans="1:21" ht="15" customHeight="1">
      <c r="A22" s="11">
        <v>150</v>
      </c>
      <c r="B22" s="281" t="s">
        <v>56</v>
      </c>
      <c r="C22" s="281"/>
      <c r="D22" s="281"/>
      <c r="E22" s="282" t="s">
        <v>57</v>
      </c>
      <c r="F22" s="282"/>
      <c r="G22" s="282"/>
      <c r="H22" s="282"/>
      <c r="I22" s="282"/>
      <c r="J22" s="282"/>
      <c r="K22" s="283" t="s">
        <v>58</v>
      </c>
      <c r="L22" s="283"/>
      <c r="M22" s="107"/>
      <c r="N22" s="107"/>
      <c r="O22" s="107"/>
      <c r="P22" s="107"/>
      <c r="Q22" s="107"/>
      <c r="R22" s="107"/>
      <c r="S22" s="107"/>
      <c r="U22" s="224" t="s">
        <v>145</v>
      </c>
    </row>
    <row r="23" spans="1:21" ht="15" customHeight="1">
      <c r="A23" s="11">
        <v>200</v>
      </c>
      <c r="B23" s="281" t="s">
        <v>59</v>
      </c>
      <c r="C23" s="281"/>
      <c r="D23" s="281"/>
      <c r="E23" s="281" t="s">
        <v>57</v>
      </c>
      <c r="F23" s="281"/>
      <c r="G23" s="281"/>
      <c r="H23" s="281"/>
      <c r="I23" s="281"/>
      <c r="J23" s="281"/>
      <c r="K23" s="283"/>
      <c r="L23" s="283"/>
      <c r="M23" s="107"/>
      <c r="N23" s="107"/>
      <c r="O23" s="107"/>
      <c r="P23" s="107"/>
      <c r="Q23" s="107"/>
      <c r="R23" s="107"/>
      <c r="S23" s="107"/>
      <c r="U23" s="226" t="s">
        <v>150</v>
      </c>
    </row>
    <row r="24" spans="1:21" ht="15" customHeight="1">
      <c r="A24" s="4">
        <v>0.15</v>
      </c>
      <c r="B24" s="281" t="s">
        <v>60</v>
      </c>
      <c r="C24" s="281"/>
      <c r="D24" s="281"/>
      <c r="E24" s="281" t="s">
        <v>61</v>
      </c>
      <c r="F24" s="281"/>
      <c r="G24" s="281"/>
      <c r="H24" s="281"/>
      <c r="I24" s="281"/>
      <c r="J24" s="281"/>
      <c r="K24" s="283"/>
      <c r="L24" s="283"/>
      <c r="M24" s="107"/>
      <c r="N24" s="107"/>
      <c r="O24" s="107"/>
      <c r="P24" s="107"/>
      <c r="Q24" s="107"/>
      <c r="R24" s="107"/>
      <c r="S24" s="107"/>
      <c r="U24" s="227">
        <v>250</v>
      </c>
    </row>
    <row r="25" spans="1:21" ht="14">
      <c r="A25" s="4">
        <v>0.15</v>
      </c>
      <c r="B25" s="281" t="s">
        <v>62</v>
      </c>
      <c r="C25" s="281"/>
      <c r="D25" s="281"/>
      <c r="E25" s="281" t="s">
        <v>61</v>
      </c>
      <c r="F25" s="281"/>
      <c r="G25" s="281"/>
      <c r="H25" s="281"/>
      <c r="I25" s="281"/>
      <c r="J25" s="281"/>
      <c r="K25" s="283"/>
      <c r="L25" s="283"/>
      <c r="M25" s="107"/>
      <c r="N25" s="107"/>
      <c r="O25" s="107"/>
      <c r="P25" s="107"/>
      <c r="Q25" s="107"/>
      <c r="R25" s="107"/>
      <c r="S25" s="107"/>
    </row>
    <row r="26" spans="1:21" ht="14">
      <c r="A26" s="6">
        <f>A22*A24</f>
        <v>22.5</v>
      </c>
      <c r="B26" s="276" t="s">
        <v>63</v>
      </c>
      <c r="C26" s="276"/>
      <c r="D26" s="276"/>
      <c r="E26" s="276" t="s">
        <v>64</v>
      </c>
      <c r="F26" s="276"/>
      <c r="G26" s="276"/>
      <c r="H26" s="276"/>
      <c r="I26" s="276"/>
      <c r="J26" s="276"/>
      <c r="K26" s="107"/>
      <c r="L26" s="107"/>
      <c r="M26" s="107"/>
      <c r="N26" s="107"/>
      <c r="O26" s="107"/>
      <c r="P26" s="107"/>
      <c r="Q26" s="107"/>
      <c r="R26" s="107"/>
      <c r="S26" s="107"/>
    </row>
    <row r="27" spans="1:21" ht="14">
      <c r="A27" s="6">
        <f>A23*A25</f>
        <v>30</v>
      </c>
      <c r="B27" s="276" t="s">
        <v>65</v>
      </c>
      <c r="C27" s="276"/>
      <c r="D27" s="276"/>
      <c r="E27" s="276" t="s">
        <v>64</v>
      </c>
      <c r="F27" s="276"/>
      <c r="G27" s="276"/>
      <c r="H27" s="276"/>
      <c r="I27" s="276"/>
      <c r="J27" s="276"/>
      <c r="K27" s="107"/>
      <c r="L27" s="107"/>
      <c r="M27" s="107"/>
      <c r="N27" s="107"/>
      <c r="O27" s="107"/>
      <c r="P27" s="107"/>
      <c r="Q27" s="107"/>
      <c r="R27" s="107"/>
      <c r="S27" s="107"/>
      <c r="U27" s="223" t="s">
        <v>146</v>
      </c>
    </row>
    <row r="28" spans="1:21" ht="14">
      <c r="K28" s="107"/>
      <c r="L28" s="107"/>
      <c r="M28" s="107"/>
      <c r="N28" s="107"/>
      <c r="O28" s="107"/>
      <c r="P28" s="107"/>
      <c r="Q28" s="107"/>
      <c r="R28" s="107"/>
      <c r="S28" s="107"/>
      <c r="U28" s="224" t="s">
        <v>147</v>
      </c>
    </row>
    <row r="29" spans="1:21" ht="14">
      <c r="A29" s="102">
        <v>12</v>
      </c>
      <c r="B29" s="276" t="s">
        <v>66</v>
      </c>
      <c r="C29" s="276"/>
      <c r="D29" s="276"/>
      <c r="K29" s="107"/>
      <c r="L29" s="107"/>
      <c r="M29" s="107"/>
      <c r="N29" s="107"/>
      <c r="O29" s="107"/>
      <c r="P29" s="107"/>
      <c r="Q29" s="107"/>
      <c r="R29" s="107"/>
      <c r="S29" s="107"/>
      <c r="U29" s="225" t="s">
        <v>148</v>
      </c>
    </row>
    <row r="30" spans="1:21" ht="14">
      <c r="A30" s="102">
        <v>24</v>
      </c>
      <c r="B30" s="276" t="s">
        <v>67</v>
      </c>
      <c r="C30" s="276"/>
      <c r="D30" s="276"/>
      <c r="K30" s="107"/>
      <c r="L30" s="107"/>
      <c r="M30" s="107"/>
      <c r="N30" s="107"/>
      <c r="O30" s="107"/>
      <c r="P30" s="107"/>
      <c r="Q30" s="107"/>
      <c r="R30" s="107"/>
      <c r="S30" s="107"/>
      <c r="U30" s="224" t="s">
        <v>149</v>
      </c>
    </row>
    <row r="31" spans="1:21" ht="14">
      <c r="A31" s="102">
        <v>36</v>
      </c>
      <c r="B31" s="276" t="s">
        <v>68</v>
      </c>
      <c r="C31" s="276"/>
      <c r="D31" s="276"/>
      <c r="K31" s="107"/>
      <c r="L31" s="107"/>
      <c r="M31" s="107"/>
      <c r="N31" s="107"/>
      <c r="O31" s="107"/>
      <c r="P31" s="107"/>
      <c r="Q31" s="107"/>
      <c r="R31" s="107"/>
      <c r="S31" s="107"/>
      <c r="U31" s="226" t="s">
        <v>151</v>
      </c>
    </row>
    <row r="32" spans="1:21" ht="14">
      <c r="A32" s="102">
        <v>48</v>
      </c>
      <c r="B32" s="276" t="s">
        <v>69</v>
      </c>
      <c r="C32" s="276"/>
      <c r="D32" s="276"/>
      <c r="K32" s="107"/>
      <c r="L32" s="107"/>
      <c r="M32" s="107"/>
      <c r="N32" s="107"/>
      <c r="O32" s="107"/>
      <c r="P32" s="107"/>
      <c r="Q32" s="107"/>
      <c r="R32" s="107"/>
      <c r="S32" s="107"/>
      <c r="U32" s="227">
        <f>(150*0.8)+(300*0.2)</f>
        <v>180</v>
      </c>
    </row>
    <row r="33" spans="1:19" ht="14">
      <c r="A33" s="102">
        <v>60</v>
      </c>
      <c r="B33" s="276" t="s">
        <v>70</v>
      </c>
      <c r="C33" s="276"/>
      <c r="D33" s="276"/>
      <c r="K33" s="107"/>
      <c r="L33" s="107"/>
      <c r="M33" s="107"/>
      <c r="N33" s="107"/>
      <c r="O33" s="107"/>
      <c r="P33" s="107"/>
      <c r="Q33" s="107"/>
      <c r="R33" s="107"/>
      <c r="S33" s="107"/>
    </row>
    <row r="34" spans="1:19" ht="14">
      <c r="A34" s="107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</row>
    <row r="35" spans="1:19" ht="14">
      <c r="A35" s="102">
        <v>1.14E-2</v>
      </c>
      <c r="B35" s="276" t="s">
        <v>71</v>
      </c>
      <c r="C35" s="276"/>
      <c r="D35" s="276"/>
      <c r="E35" s="102" t="s">
        <v>72</v>
      </c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</row>
    <row r="36" spans="1:19" ht="14">
      <c r="A36" s="102">
        <v>3.8999999999999999E-4</v>
      </c>
      <c r="B36" s="276" t="s">
        <v>73</v>
      </c>
      <c r="C36" s="276"/>
      <c r="D36" s="107"/>
      <c r="E36" s="102" t="s">
        <v>72</v>
      </c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</row>
    <row r="37" spans="1:19" ht="14">
      <c r="A37" s="107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</row>
    <row r="38" spans="1:19" ht="14">
      <c r="A38" s="188">
        <v>2</v>
      </c>
      <c r="B38" s="277" t="s">
        <v>131</v>
      </c>
      <c r="C38" s="278"/>
      <c r="D38" s="278"/>
      <c r="E38" s="188"/>
      <c r="F38" s="188"/>
      <c r="G38" s="188"/>
      <c r="H38" s="188"/>
      <c r="I38" s="188"/>
      <c r="J38" s="188"/>
      <c r="K38" s="275" t="s">
        <v>133</v>
      </c>
      <c r="L38" s="275"/>
      <c r="M38" s="107"/>
      <c r="N38" s="107"/>
      <c r="O38" s="107"/>
      <c r="P38" s="107"/>
      <c r="Q38" s="107"/>
      <c r="R38" s="107"/>
      <c r="S38" s="107"/>
    </row>
    <row r="39" spans="1:19" ht="14">
      <c r="A39" s="107"/>
      <c r="B39" s="276"/>
      <c r="C39" s="276"/>
      <c r="D39" s="276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</row>
    <row r="40" spans="1:19" ht="14">
      <c r="A40" s="107"/>
      <c r="B40" s="276"/>
      <c r="C40" s="276"/>
      <c r="D40" s="276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</row>
    <row r="41" spans="1:19" ht="14">
      <c r="A41" s="107"/>
      <c r="B41" s="276"/>
      <c r="C41" s="276"/>
      <c r="D41" s="276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</row>
  </sheetData>
  <mergeCells count="28">
    <mergeCell ref="A16:S17"/>
    <mergeCell ref="A18:S18"/>
    <mergeCell ref="A20:J20"/>
    <mergeCell ref="B22:D22"/>
    <mergeCell ref="E22:J22"/>
    <mergeCell ref="K22:L25"/>
    <mergeCell ref="B23:D23"/>
    <mergeCell ref="E23:J23"/>
    <mergeCell ref="B24:D24"/>
    <mergeCell ref="E24:J24"/>
    <mergeCell ref="B25:D25"/>
    <mergeCell ref="E25:J25"/>
    <mergeCell ref="B26:D26"/>
    <mergeCell ref="E26:J26"/>
    <mergeCell ref="B27:D27"/>
    <mergeCell ref="E27:J27"/>
    <mergeCell ref="B29:D29"/>
    <mergeCell ref="B30:D30"/>
    <mergeCell ref="B31:D31"/>
    <mergeCell ref="B32:D32"/>
    <mergeCell ref="B33:D33"/>
    <mergeCell ref="B35:D35"/>
    <mergeCell ref="K38:L38"/>
    <mergeCell ref="B36:C36"/>
    <mergeCell ref="B39:D39"/>
    <mergeCell ref="B40:D40"/>
    <mergeCell ref="B41:D41"/>
    <mergeCell ref="B38:D38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workbookViewId="0">
      <pane xSplit="2" ySplit="1" topLeftCell="S2" activePane="bottomRight" state="frozen"/>
      <selection pane="topRight" activeCell="C1" sqref="C1"/>
      <selection pane="bottomLeft" activeCell="A2" sqref="A2"/>
      <selection pane="bottomRight" activeCell="T34" sqref="T20:T34"/>
    </sheetView>
  </sheetViews>
  <sheetFormatPr baseColWidth="10" defaultColWidth="10.1640625" defaultRowHeight="13.5" customHeight="1" x14ac:dyDescent="0"/>
  <cols>
    <col min="1" max="1" width="29.33203125" style="102" customWidth="1"/>
    <col min="2" max="17" width="17.83203125" style="102" customWidth="1"/>
    <col min="18" max="18" width="86.6640625" style="102" customWidth="1"/>
    <col min="20" max="20" width="22.1640625" customWidth="1"/>
    <col min="21" max="23" width="15.5" customWidth="1"/>
    <col min="24" max="24" width="28.5" customWidth="1"/>
    <col min="25" max="25" width="28.6640625" customWidth="1"/>
  </cols>
  <sheetData>
    <row r="1" spans="1:25" ht="28.5" customHeight="1" thickBot="1">
      <c r="A1" s="104"/>
      <c r="B1" s="84" t="s">
        <v>0</v>
      </c>
      <c r="C1" s="2" t="s">
        <v>1</v>
      </c>
      <c r="D1" s="2" t="s">
        <v>2</v>
      </c>
      <c r="E1" s="15" t="s">
        <v>3</v>
      </c>
      <c r="F1" s="2" t="s">
        <v>4</v>
      </c>
      <c r="G1" s="2" t="s">
        <v>5</v>
      </c>
      <c r="H1" s="2" t="s">
        <v>83</v>
      </c>
      <c r="I1" s="2" t="s">
        <v>84</v>
      </c>
      <c r="J1" s="57" t="s">
        <v>7</v>
      </c>
      <c r="K1" s="22" t="s">
        <v>8</v>
      </c>
      <c r="L1" s="193" t="s">
        <v>132</v>
      </c>
      <c r="M1" s="22" t="s">
        <v>10</v>
      </c>
      <c r="N1" s="22" t="s">
        <v>11</v>
      </c>
      <c r="O1" s="22" t="s">
        <v>12</v>
      </c>
      <c r="P1" s="53" t="s">
        <v>13</v>
      </c>
      <c r="Q1" s="25" t="s">
        <v>16</v>
      </c>
      <c r="R1" s="108" t="s">
        <v>17</v>
      </c>
      <c r="T1" s="200" t="s">
        <v>137</v>
      </c>
      <c r="U1" s="200" t="s">
        <v>138</v>
      </c>
      <c r="V1" s="200" t="s">
        <v>154</v>
      </c>
      <c r="W1" s="200" t="s">
        <v>140</v>
      </c>
      <c r="X1" s="203" t="s">
        <v>141</v>
      </c>
    </row>
    <row r="2" spans="1:25" ht="42" customHeight="1">
      <c r="A2" s="29" t="s">
        <v>85</v>
      </c>
      <c r="B2" s="26" t="s">
        <v>19</v>
      </c>
      <c r="C2" s="85" t="s">
        <v>20</v>
      </c>
      <c r="D2" s="101">
        <f>2095*A37</f>
        <v>23.882999999999999</v>
      </c>
      <c r="E2" s="105">
        <f>2450*A37</f>
        <v>27.93</v>
      </c>
      <c r="F2" s="17"/>
      <c r="G2" s="17"/>
      <c r="H2" s="85" t="s">
        <v>86</v>
      </c>
      <c r="I2" s="85" t="s">
        <v>30</v>
      </c>
      <c r="J2" s="23">
        <v>0.5</v>
      </c>
      <c r="K2" s="62">
        <f>A31</f>
        <v>13.3</v>
      </c>
      <c r="L2" s="62">
        <f t="shared" ref="L2:L7" si="0">K2*J2</f>
        <v>6.65</v>
      </c>
      <c r="M2" s="117">
        <f t="shared" ref="M2:M7" si="1">E2/K2</f>
        <v>2.0999999999999996</v>
      </c>
      <c r="N2" s="62">
        <f>K2*A44</f>
        <v>798</v>
      </c>
      <c r="O2" s="62">
        <f>((L2*A44)+(A27*A44))-(E2)</f>
        <v>599.07000000000005</v>
      </c>
      <c r="P2" s="1">
        <f t="shared" ref="P2:P7" si="2">O2/E2</f>
        <v>21.448979591836736</v>
      </c>
      <c r="Q2" s="31" t="s">
        <v>26</v>
      </c>
      <c r="R2" s="46" t="s">
        <v>87</v>
      </c>
      <c r="T2" s="215">
        <v>11.83</v>
      </c>
      <c r="U2" s="215">
        <v>7.58</v>
      </c>
      <c r="V2" s="216">
        <f t="shared" ref="V2" si="3">T2-U2</f>
        <v>4.25</v>
      </c>
      <c r="W2" s="217">
        <v>60</v>
      </c>
      <c r="X2" s="204">
        <f>((V2+$A$27)*W2)-E2</f>
        <v>455.07000000000005</v>
      </c>
      <c r="Y2" t="s">
        <v>159</v>
      </c>
    </row>
    <row r="3" spans="1:25" ht="14">
      <c r="A3" s="28" t="s">
        <v>88</v>
      </c>
      <c r="B3" s="72" t="s">
        <v>19</v>
      </c>
      <c r="C3" s="89" t="s">
        <v>20</v>
      </c>
      <c r="D3" s="79">
        <f>1025*A37</f>
        <v>11.685</v>
      </c>
      <c r="E3" s="93">
        <f>1200*A37</f>
        <v>13.68</v>
      </c>
      <c r="F3" s="61"/>
      <c r="G3" s="61"/>
      <c r="H3" s="89" t="s">
        <v>86</v>
      </c>
      <c r="I3" s="89" t="s">
        <v>20</v>
      </c>
      <c r="J3" s="20">
        <v>0.5</v>
      </c>
      <c r="K3" s="27">
        <f>A31</f>
        <v>13.3</v>
      </c>
      <c r="L3" s="27">
        <f t="shared" si="0"/>
        <v>6.65</v>
      </c>
      <c r="M3" s="19">
        <f t="shared" si="1"/>
        <v>1.0285714285714285</v>
      </c>
      <c r="N3" s="27">
        <f>K3*A44</f>
        <v>798</v>
      </c>
      <c r="O3" s="27">
        <f>(L3*A44)-(E3)</f>
        <v>385.32</v>
      </c>
      <c r="P3" s="58">
        <f t="shared" si="2"/>
        <v>28.166666666666668</v>
      </c>
      <c r="Q3" s="63" t="s">
        <v>36</v>
      </c>
      <c r="R3" s="111" t="s">
        <v>89</v>
      </c>
      <c r="T3" s="215">
        <v>11.83</v>
      </c>
      <c r="U3" s="215">
        <v>7.58</v>
      </c>
      <c r="V3" s="216">
        <f t="shared" ref="V3:V5" si="4">T3-U3</f>
        <v>4.25</v>
      </c>
      <c r="W3" s="217">
        <v>60</v>
      </c>
      <c r="X3" s="204">
        <f t="shared" ref="X3" si="5">(V3*W3)-E3</f>
        <v>241.32</v>
      </c>
    </row>
    <row r="4" spans="1:25" ht="14">
      <c r="A4" s="229" t="s">
        <v>153</v>
      </c>
      <c r="B4" s="230" t="s">
        <v>19</v>
      </c>
      <c r="C4" s="89" t="s">
        <v>20</v>
      </c>
      <c r="D4" s="79">
        <f>100000*A32</f>
        <v>0</v>
      </c>
      <c r="E4" s="93">
        <f>110000*A32</f>
        <v>0</v>
      </c>
      <c r="F4" s="61">
        <v>0.12</v>
      </c>
      <c r="G4" s="61"/>
      <c r="H4" s="89" t="s">
        <v>86</v>
      </c>
      <c r="I4" s="89" t="s">
        <v>30</v>
      </c>
      <c r="J4" s="20">
        <v>0.5</v>
      </c>
      <c r="K4" s="27">
        <f>A29</f>
        <v>159.6</v>
      </c>
      <c r="L4" s="27">
        <f t="shared" si="0"/>
        <v>79.8</v>
      </c>
      <c r="M4" s="19">
        <f t="shared" si="1"/>
        <v>0</v>
      </c>
      <c r="N4" s="27">
        <f>K4*A38</f>
        <v>6.2243999999999994E-2</v>
      </c>
      <c r="O4" s="27">
        <f>(L4*A38)-(E4)</f>
        <v>3.1121999999999997E-2</v>
      </c>
      <c r="P4" s="58" t="e">
        <f t="shared" si="2"/>
        <v>#DIV/0!</v>
      </c>
      <c r="Q4" s="63" t="s">
        <v>36</v>
      </c>
      <c r="R4" s="111" t="s">
        <v>98</v>
      </c>
      <c r="T4" s="215">
        <v>11.83</v>
      </c>
      <c r="U4" s="215">
        <v>7.58</v>
      </c>
      <c r="V4" s="216">
        <f t="shared" ref="V4" si="6">T4-U4</f>
        <v>4.25</v>
      </c>
      <c r="W4" s="217">
        <v>60</v>
      </c>
      <c r="X4" s="204">
        <f>((V4+$A$27)*W4)-E4</f>
        <v>483.00000000000006</v>
      </c>
      <c r="Y4" t="s">
        <v>159</v>
      </c>
    </row>
    <row r="5" spans="1:25" ht="42.75" customHeight="1" thickBot="1">
      <c r="A5" s="21" t="s">
        <v>90</v>
      </c>
      <c r="B5" s="116" t="s">
        <v>19</v>
      </c>
      <c r="C5" s="86" t="s">
        <v>20</v>
      </c>
      <c r="D5" s="13">
        <f>3350*A37</f>
        <v>38.190000000000005</v>
      </c>
      <c r="E5" s="14">
        <f>3700*A37</f>
        <v>42.18</v>
      </c>
      <c r="F5" s="113"/>
      <c r="G5" s="113"/>
      <c r="H5" s="86" t="s">
        <v>86</v>
      </c>
      <c r="I5" s="86" t="s">
        <v>30</v>
      </c>
      <c r="J5" s="74">
        <v>0.5</v>
      </c>
      <c r="K5" s="70">
        <f>A31</f>
        <v>13.3</v>
      </c>
      <c r="L5" s="70">
        <f t="shared" si="0"/>
        <v>6.65</v>
      </c>
      <c r="M5" s="77">
        <f t="shared" si="1"/>
        <v>3.1714285714285713</v>
      </c>
      <c r="N5" s="70">
        <f>K5*A44</f>
        <v>798</v>
      </c>
      <c r="O5" s="70">
        <f>((L5*A44)+(A27*A44))-(E5)</f>
        <v>584.82000000000005</v>
      </c>
      <c r="P5" s="18">
        <f t="shared" si="2"/>
        <v>13.864864864864867</v>
      </c>
      <c r="Q5" s="115" t="s">
        <v>36</v>
      </c>
      <c r="R5" s="38" t="s">
        <v>91</v>
      </c>
      <c r="S5" s="222"/>
      <c r="T5" s="219">
        <v>11.83</v>
      </c>
      <c r="U5" s="219">
        <v>7.58</v>
      </c>
      <c r="V5" s="220">
        <f t="shared" si="4"/>
        <v>4.25</v>
      </c>
      <c r="W5" s="221">
        <v>60</v>
      </c>
      <c r="X5" s="205">
        <f>((V5+$A$27)*W5)-E5</f>
        <v>440.82000000000005</v>
      </c>
      <c r="Y5" t="s">
        <v>159</v>
      </c>
    </row>
    <row r="6" spans="1:25" ht="27.75" customHeight="1">
      <c r="A6" s="29" t="s">
        <v>92</v>
      </c>
      <c r="B6" s="26" t="s">
        <v>34</v>
      </c>
      <c r="C6" s="85" t="s">
        <v>20</v>
      </c>
      <c r="D6" s="101">
        <f>38000*A38</f>
        <v>14.82</v>
      </c>
      <c r="E6" s="105">
        <f>42000*A38</f>
        <v>16.38</v>
      </c>
      <c r="F6" s="17">
        <v>0.11</v>
      </c>
      <c r="G6" s="17"/>
      <c r="H6" s="85" t="s">
        <v>93</v>
      </c>
      <c r="I6" s="85" t="s">
        <v>20</v>
      </c>
      <c r="J6" s="23">
        <v>0.5</v>
      </c>
      <c r="K6" s="62">
        <f>A35</f>
        <v>10.53</v>
      </c>
      <c r="L6" s="62">
        <f t="shared" si="0"/>
        <v>5.2649999999999997</v>
      </c>
      <c r="M6" s="117">
        <f t="shared" si="1"/>
        <v>1.5555555555555556</v>
      </c>
      <c r="N6" s="62">
        <f>K6*A42</f>
        <v>379.08</v>
      </c>
      <c r="O6" s="62">
        <f>(L6*A42)-(E6)</f>
        <v>173.16</v>
      </c>
      <c r="P6" s="1">
        <f t="shared" si="2"/>
        <v>10.571428571428571</v>
      </c>
      <c r="Q6" s="31" t="s">
        <v>26</v>
      </c>
      <c r="R6" s="46" t="s">
        <v>94</v>
      </c>
      <c r="T6" s="215">
        <v>4.3899999999999997</v>
      </c>
      <c r="U6" s="215">
        <v>2.76</v>
      </c>
      <c r="V6" s="216">
        <f t="shared" ref="V6" si="7">T6-U6</f>
        <v>1.63</v>
      </c>
      <c r="W6" s="217">
        <v>36</v>
      </c>
      <c r="X6" s="209">
        <f>(V6*W6)-E6</f>
        <v>42.3</v>
      </c>
    </row>
    <row r="7" spans="1:25" ht="27.75" customHeight="1">
      <c r="A7" s="28" t="s">
        <v>85</v>
      </c>
      <c r="B7" s="72" t="s">
        <v>34</v>
      </c>
      <c r="C7" s="89" t="s">
        <v>20</v>
      </c>
      <c r="D7" s="79">
        <f>50000*A38</f>
        <v>19.5</v>
      </c>
      <c r="E7" s="93">
        <f>56000*A38</f>
        <v>21.84</v>
      </c>
      <c r="F7" s="61">
        <v>0.16</v>
      </c>
      <c r="G7" s="61"/>
      <c r="H7" s="89" t="s">
        <v>86</v>
      </c>
      <c r="I7" s="89" t="s">
        <v>30</v>
      </c>
      <c r="J7" s="20">
        <v>0.5</v>
      </c>
      <c r="K7" s="27">
        <f>A35</f>
        <v>10.53</v>
      </c>
      <c r="L7" s="27">
        <f t="shared" si="0"/>
        <v>5.2649999999999997</v>
      </c>
      <c r="M7" s="19">
        <f t="shared" si="1"/>
        <v>2.0740740740740744</v>
      </c>
      <c r="N7" s="27">
        <f>17*60</f>
        <v>1020</v>
      </c>
      <c r="O7" s="27">
        <f>(L7*A44)-(E7)</f>
        <v>294.06</v>
      </c>
      <c r="P7" s="58">
        <f t="shared" si="2"/>
        <v>13.464285714285715</v>
      </c>
      <c r="Q7" s="63" t="s">
        <v>26</v>
      </c>
      <c r="R7" s="111" t="s">
        <v>94</v>
      </c>
      <c r="T7" s="215">
        <v>4.3899999999999997</v>
      </c>
      <c r="U7" s="215">
        <v>2.76</v>
      </c>
      <c r="V7" s="216">
        <f t="shared" ref="V7:V13" si="8">T7-U7</f>
        <v>1.63</v>
      </c>
      <c r="W7" s="217">
        <v>60</v>
      </c>
      <c r="X7" s="204">
        <f t="shared" ref="X7:X8" si="9">((V7+$A$27)*W7)-E7</f>
        <v>303.95999999999998</v>
      </c>
      <c r="Y7" t="s">
        <v>159</v>
      </c>
    </row>
    <row r="8" spans="1:25" ht="14">
      <c r="A8" s="28" t="s">
        <v>95</v>
      </c>
      <c r="B8" s="72" t="s">
        <v>34</v>
      </c>
      <c r="C8" s="89" t="s">
        <v>20</v>
      </c>
      <c r="D8" s="79">
        <f>62000*A38</f>
        <v>24.18</v>
      </c>
      <c r="E8" s="93">
        <f>68000*A38</f>
        <v>26.52</v>
      </c>
      <c r="F8" s="61">
        <v>0.18</v>
      </c>
      <c r="G8" s="61"/>
      <c r="H8" s="87"/>
      <c r="I8" s="87"/>
      <c r="J8" s="24"/>
      <c r="K8" s="59"/>
      <c r="L8" s="59"/>
      <c r="M8" s="83"/>
      <c r="N8" s="59"/>
      <c r="O8" s="59"/>
      <c r="P8" s="114"/>
      <c r="Q8" s="37"/>
      <c r="R8" s="32"/>
      <c r="T8" s="215">
        <v>4.3899999999999997</v>
      </c>
      <c r="U8" s="215">
        <v>2.76</v>
      </c>
      <c r="V8" s="216">
        <f t="shared" si="8"/>
        <v>1.63</v>
      </c>
      <c r="W8" s="217">
        <v>60</v>
      </c>
      <c r="X8" s="204">
        <f t="shared" si="9"/>
        <v>299.27999999999997</v>
      </c>
      <c r="Y8" t="s">
        <v>159</v>
      </c>
    </row>
    <row r="9" spans="1:25" ht="14">
      <c r="A9" s="28" t="s">
        <v>88</v>
      </c>
      <c r="B9" s="72" t="s">
        <v>34</v>
      </c>
      <c r="C9" s="89" t="s">
        <v>20</v>
      </c>
      <c r="D9" s="79">
        <f>25000*A38</f>
        <v>9.75</v>
      </c>
      <c r="E9" s="93">
        <f>30000*A38</f>
        <v>11.7</v>
      </c>
      <c r="F9" s="61">
        <v>-0.2</v>
      </c>
      <c r="G9" s="61"/>
      <c r="H9" s="89" t="s">
        <v>86</v>
      </c>
      <c r="I9" s="89" t="s">
        <v>20</v>
      </c>
      <c r="J9" s="20">
        <v>0.5</v>
      </c>
      <c r="K9" s="27">
        <f>A35</f>
        <v>10.53</v>
      </c>
      <c r="L9" s="27">
        <f>K9*J9</f>
        <v>5.2649999999999997</v>
      </c>
      <c r="M9" s="19">
        <f>E9/K9</f>
        <v>1.1111111111111112</v>
      </c>
      <c r="N9" s="27">
        <f>K9*A44</f>
        <v>631.79999999999995</v>
      </c>
      <c r="O9" s="27">
        <f>(L9*A44)-(E9)</f>
        <v>304.2</v>
      </c>
      <c r="P9" s="58">
        <f>O9/E9</f>
        <v>26</v>
      </c>
      <c r="Q9" s="63" t="s">
        <v>36</v>
      </c>
      <c r="R9" s="111" t="s">
        <v>96</v>
      </c>
      <c r="T9" s="215">
        <v>4.3899999999999997</v>
      </c>
      <c r="U9" s="215">
        <v>2.76</v>
      </c>
      <c r="V9" s="216">
        <f t="shared" si="8"/>
        <v>1.63</v>
      </c>
      <c r="W9" s="217">
        <v>60</v>
      </c>
      <c r="X9" s="204">
        <f t="shared" ref="X9:X12" si="10">(V9*W9)-E9</f>
        <v>86.1</v>
      </c>
    </row>
    <row r="10" spans="1:25" ht="14">
      <c r="A10" s="28" t="s">
        <v>97</v>
      </c>
      <c r="B10" s="72" t="s">
        <v>34</v>
      </c>
      <c r="C10" s="89" t="s">
        <v>20</v>
      </c>
      <c r="D10" s="79">
        <f>100000*A38</f>
        <v>39</v>
      </c>
      <c r="E10" s="93">
        <f>110000*A38</f>
        <v>42.9</v>
      </c>
      <c r="F10" s="61">
        <v>0.12</v>
      </c>
      <c r="G10" s="61"/>
      <c r="H10" s="89" t="s">
        <v>86</v>
      </c>
      <c r="I10" s="89" t="s">
        <v>30</v>
      </c>
      <c r="J10" s="20">
        <v>0.5</v>
      </c>
      <c r="K10" s="27">
        <f>A35</f>
        <v>10.53</v>
      </c>
      <c r="L10" s="27">
        <f>K10*J10</f>
        <v>5.2649999999999997</v>
      </c>
      <c r="M10" s="19">
        <f>E10/K10</f>
        <v>4.0740740740740744</v>
      </c>
      <c r="N10" s="27">
        <f>K10*A44</f>
        <v>631.79999999999995</v>
      </c>
      <c r="O10" s="27">
        <f>(L10*A44)-(E10)</f>
        <v>273</v>
      </c>
      <c r="P10" s="58">
        <f>O10/E10</f>
        <v>6.3636363636363642</v>
      </c>
      <c r="Q10" s="63" t="s">
        <v>36</v>
      </c>
      <c r="R10" s="111" t="s">
        <v>98</v>
      </c>
      <c r="T10" s="215">
        <v>4.3899999999999997</v>
      </c>
      <c r="U10" s="215">
        <v>2.76</v>
      </c>
      <c r="V10" s="216">
        <f t="shared" si="8"/>
        <v>1.63</v>
      </c>
      <c r="W10" s="217">
        <v>60</v>
      </c>
      <c r="X10" s="204">
        <f>((V10+$A$27)*W10)-E10</f>
        <v>282.89999999999998</v>
      </c>
      <c r="Y10" t="s">
        <v>159</v>
      </c>
    </row>
    <row r="11" spans="1:25" ht="27.75" customHeight="1">
      <c r="A11" s="28" t="s">
        <v>99</v>
      </c>
      <c r="B11" s="72" t="s">
        <v>34</v>
      </c>
      <c r="C11" s="89" t="s">
        <v>20</v>
      </c>
      <c r="D11" s="79">
        <f>30000*A38</f>
        <v>11.7</v>
      </c>
      <c r="E11" s="93">
        <f>33500*A38</f>
        <v>13.065</v>
      </c>
      <c r="F11" s="61">
        <v>0.22</v>
      </c>
      <c r="G11" s="61"/>
      <c r="H11" s="191" t="s">
        <v>36</v>
      </c>
      <c r="I11" s="192" t="s">
        <v>20</v>
      </c>
      <c r="J11" s="20">
        <v>0.5</v>
      </c>
      <c r="K11" s="27">
        <f>A35</f>
        <v>10.53</v>
      </c>
      <c r="L11" s="27">
        <f>K11*J11</f>
        <v>5.2649999999999997</v>
      </c>
      <c r="M11" s="19">
        <f>E11/K11</f>
        <v>1.2407407407407407</v>
      </c>
      <c r="N11" s="189">
        <f>K11*A41</f>
        <v>252.71999999999997</v>
      </c>
      <c r="O11" s="189">
        <f>(L11*A41)-(E11)</f>
        <v>113.29499999999999</v>
      </c>
      <c r="P11" s="190">
        <f>O11/E11</f>
        <v>8.6716417910447756</v>
      </c>
      <c r="Q11" s="37"/>
      <c r="R11" s="111" t="s">
        <v>100</v>
      </c>
      <c r="T11" s="215">
        <v>4.3899999999999997</v>
      </c>
      <c r="U11" s="215">
        <v>2.76</v>
      </c>
      <c r="V11" s="216">
        <f t="shared" si="8"/>
        <v>1.63</v>
      </c>
      <c r="W11" s="217">
        <v>24</v>
      </c>
      <c r="X11" s="204">
        <f t="shared" si="10"/>
        <v>26.055</v>
      </c>
    </row>
    <row r="12" spans="1:25" ht="27.75" customHeight="1">
      <c r="A12" s="28" t="s">
        <v>101</v>
      </c>
      <c r="B12" s="72" t="s">
        <v>34</v>
      </c>
      <c r="C12" s="89" t="s">
        <v>20</v>
      </c>
      <c r="D12" s="79">
        <f>55000*A38</f>
        <v>21.45</v>
      </c>
      <c r="E12" s="93">
        <f>60000*A38</f>
        <v>23.4</v>
      </c>
      <c r="F12" s="61">
        <v>0.18</v>
      </c>
      <c r="G12" s="61"/>
      <c r="H12" s="89" t="s">
        <v>86</v>
      </c>
      <c r="I12" s="89" t="s">
        <v>20</v>
      </c>
      <c r="J12" s="20">
        <v>0.5</v>
      </c>
      <c r="K12" s="27">
        <f>A35</f>
        <v>10.53</v>
      </c>
      <c r="L12" s="27">
        <f>K12*J12</f>
        <v>5.2649999999999997</v>
      </c>
      <c r="M12" s="19">
        <f>E12/K12</f>
        <v>2.2222222222222223</v>
      </c>
      <c r="N12" s="27">
        <f>K12*A44</f>
        <v>631.79999999999995</v>
      </c>
      <c r="O12" s="27">
        <f>(L12*A44)-(E12)</f>
        <v>292.5</v>
      </c>
      <c r="P12" s="58">
        <f>O12/E12</f>
        <v>12.5</v>
      </c>
      <c r="Q12" s="63" t="s">
        <v>36</v>
      </c>
      <c r="R12" s="111" t="s">
        <v>102</v>
      </c>
      <c r="T12" s="215">
        <v>4.3899999999999997</v>
      </c>
      <c r="U12" s="215">
        <v>2.76</v>
      </c>
      <c r="V12" s="216">
        <f t="shared" si="8"/>
        <v>1.63</v>
      </c>
      <c r="W12" s="217">
        <v>60</v>
      </c>
      <c r="X12" s="204">
        <f t="shared" si="10"/>
        <v>74.400000000000006</v>
      </c>
    </row>
    <row r="13" spans="1:25" ht="28.5" customHeight="1" thickBot="1">
      <c r="A13" s="21" t="s">
        <v>90</v>
      </c>
      <c r="B13" s="116" t="s">
        <v>34</v>
      </c>
      <c r="C13" s="86" t="s">
        <v>20</v>
      </c>
      <c r="D13" s="13">
        <f>120000*A38</f>
        <v>46.8</v>
      </c>
      <c r="E13" s="14">
        <f>130000*A38</f>
        <v>50.699999999999996</v>
      </c>
      <c r="F13" s="113">
        <v>0.21</v>
      </c>
      <c r="G13" s="113"/>
      <c r="H13" s="86" t="s">
        <v>86</v>
      </c>
      <c r="I13" s="86" t="s">
        <v>30</v>
      </c>
      <c r="J13" s="74">
        <v>0.5</v>
      </c>
      <c r="K13" s="70">
        <f>A35</f>
        <v>10.53</v>
      </c>
      <c r="L13" s="70">
        <f>K13*J13</f>
        <v>5.2649999999999997</v>
      </c>
      <c r="M13" s="77">
        <f>E13/K13</f>
        <v>4.8148148148148149</v>
      </c>
      <c r="N13" s="70">
        <f>K13*A44</f>
        <v>631.79999999999995</v>
      </c>
      <c r="O13" s="70">
        <f>(L13*A44)-(E13)</f>
        <v>265.2</v>
      </c>
      <c r="P13" s="18">
        <f>O13/E13</f>
        <v>5.2307692307692308</v>
      </c>
      <c r="Q13" s="115" t="s">
        <v>36</v>
      </c>
      <c r="R13" s="38" t="s">
        <v>103</v>
      </c>
      <c r="T13" s="215">
        <v>4.3899999999999997</v>
      </c>
      <c r="U13" s="215">
        <v>2.76</v>
      </c>
      <c r="V13" s="216">
        <f t="shared" si="8"/>
        <v>1.63</v>
      </c>
      <c r="W13" s="217">
        <v>60</v>
      </c>
      <c r="X13" s="205">
        <f>((V13+$A$27)*W13)-E13</f>
        <v>275.09999999999997</v>
      </c>
      <c r="Y13" t="s">
        <v>159</v>
      </c>
    </row>
    <row r="14" spans="1:25" ht="14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T14" s="215"/>
      <c r="U14" s="215"/>
      <c r="V14" s="216"/>
      <c r="W14" s="217"/>
      <c r="X14" s="218"/>
    </row>
    <row r="15" spans="1:25" ht="15" customHeight="1" thickBot="1">
      <c r="A15" s="285" t="s">
        <v>104</v>
      </c>
      <c r="B15" s="285"/>
      <c r="C15" s="285"/>
      <c r="D15" s="285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285"/>
      <c r="Q15" s="285"/>
      <c r="R15" s="285"/>
      <c r="T15" s="215"/>
      <c r="U15" s="215"/>
      <c r="V15" s="216"/>
      <c r="W15" s="217"/>
      <c r="X15" s="218"/>
    </row>
    <row r="16" spans="1:25" ht="27.75" customHeight="1">
      <c r="A16" s="29" t="s">
        <v>105</v>
      </c>
      <c r="B16" s="26" t="s">
        <v>34</v>
      </c>
      <c r="C16" s="85" t="s">
        <v>20</v>
      </c>
      <c r="D16" s="101">
        <f>850000*0.00039</f>
        <v>331.5</v>
      </c>
      <c r="E16" s="90" t="s">
        <v>35</v>
      </c>
      <c r="F16" s="17">
        <v>0.14000000000000001</v>
      </c>
      <c r="G16" s="17"/>
      <c r="H16" s="85" t="s">
        <v>93</v>
      </c>
      <c r="I16" s="85" t="s">
        <v>30</v>
      </c>
      <c r="J16" s="23">
        <v>1</v>
      </c>
      <c r="K16" s="62">
        <f>A35</f>
        <v>10.53</v>
      </c>
      <c r="L16" s="62">
        <f>K16*J16</f>
        <v>10.53</v>
      </c>
      <c r="M16" s="68"/>
      <c r="N16" s="62">
        <f>K16*A42</f>
        <v>379.08</v>
      </c>
      <c r="O16" s="40"/>
      <c r="P16" s="80"/>
      <c r="Q16" s="31"/>
      <c r="R16" s="46" t="s">
        <v>106</v>
      </c>
      <c r="T16" s="215"/>
      <c r="U16" s="215"/>
      <c r="V16" s="216"/>
      <c r="W16" s="217"/>
      <c r="X16" s="218"/>
    </row>
    <row r="17" spans="1:24" ht="27.75" customHeight="1">
      <c r="A17" s="28" t="s">
        <v>107</v>
      </c>
      <c r="B17" s="72" t="s">
        <v>34</v>
      </c>
      <c r="C17" s="89" t="s">
        <v>20</v>
      </c>
      <c r="D17" s="79">
        <f>320000*0.00039</f>
        <v>124.8</v>
      </c>
      <c r="E17" s="93">
        <f>325000*0.00039</f>
        <v>126.75</v>
      </c>
      <c r="F17" s="61">
        <v>0.17</v>
      </c>
      <c r="G17" s="61"/>
      <c r="H17" s="89" t="s">
        <v>93</v>
      </c>
      <c r="I17" s="89" t="s">
        <v>30</v>
      </c>
      <c r="J17" s="20">
        <v>1</v>
      </c>
      <c r="K17" s="27">
        <f>A35</f>
        <v>10.53</v>
      </c>
      <c r="L17" s="27">
        <f>K17*J17</f>
        <v>10.53</v>
      </c>
      <c r="M17" s="19">
        <f>E17/K17</f>
        <v>12.037037037037038</v>
      </c>
      <c r="N17" s="27">
        <f>K17*A42</f>
        <v>379.08</v>
      </c>
      <c r="O17" s="27">
        <f>(L17*A42)-(E17)</f>
        <v>252.32999999999998</v>
      </c>
      <c r="P17" s="64">
        <f>O17/E17</f>
        <v>1.9907692307692306</v>
      </c>
      <c r="Q17" s="63"/>
      <c r="R17" s="111" t="s">
        <v>108</v>
      </c>
      <c r="T17" s="215"/>
      <c r="U17" s="215"/>
      <c r="V17" s="216"/>
      <c r="W17" s="217"/>
      <c r="X17" s="218"/>
    </row>
    <row r="18" spans="1:24" ht="28.5" customHeight="1" thickBot="1">
      <c r="A18" s="21" t="s">
        <v>109</v>
      </c>
      <c r="B18" s="116" t="s">
        <v>34</v>
      </c>
      <c r="C18" s="86" t="s">
        <v>20</v>
      </c>
      <c r="D18" s="13">
        <f>195000*0.00039</f>
        <v>76.05</v>
      </c>
      <c r="E18" s="14">
        <f>200000*0.00039</f>
        <v>78</v>
      </c>
      <c r="F18" s="113">
        <v>0.17</v>
      </c>
      <c r="G18" s="113"/>
      <c r="H18" s="86" t="s">
        <v>110</v>
      </c>
      <c r="I18" s="86" t="s">
        <v>30</v>
      </c>
      <c r="J18" s="74">
        <v>1</v>
      </c>
      <c r="K18" s="70">
        <f>A35</f>
        <v>10.53</v>
      </c>
      <c r="L18" s="70">
        <f>K18*J18</f>
        <v>10.53</v>
      </c>
      <c r="M18" s="77">
        <f>E18/K18</f>
        <v>7.4074074074074074</v>
      </c>
      <c r="N18" s="70">
        <f>K18*A43</f>
        <v>505.43999999999994</v>
      </c>
      <c r="O18" s="70">
        <f>(L18*A43)-(E18)</f>
        <v>427.43999999999994</v>
      </c>
      <c r="P18" s="8">
        <f>O18/E18</f>
        <v>5.4799999999999995</v>
      </c>
      <c r="Q18" s="115"/>
      <c r="R18" s="38" t="s">
        <v>111</v>
      </c>
      <c r="T18" s="215"/>
      <c r="U18" s="215"/>
      <c r="V18" s="216"/>
      <c r="W18" s="217"/>
      <c r="X18" s="218"/>
    </row>
    <row r="19" spans="1:24" ht="15" thickBot="1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T19" s="217"/>
      <c r="U19" s="217"/>
      <c r="V19" s="217"/>
      <c r="W19" s="217"/>
    </row>
    <row r="20" spans="1:24" ht="15" thickBot="1">
      <c r="A20" s="107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T20" s="228" t="s">
        <v>152</v>
      </c>
    </row>
    <row r="21" spans="1:24" ht="14">
      <c r="A21" s="276" t="s">
        <v>112</v>
      </c>
      <c r="B21" s="276"/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276"/>
      <c r="T21" s="223" t="s">
        <v>142</v>
      </c>
    </row>
    <row r="22" spans="1:24" ht="14">
      <c r="A22" s="276" t="s">
        <v>113</v>
      </c>
      <c r="B22" s="276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T22" s="224" t="s">
        <v>160</v>
      </c>
    </row>
    <row r="23" spans="1:24" ht="14">
      <c r="T23" s="224" t="s">
        <v>157</v>
      </c>
    </row>
    <row r="24" spans="1:24" ht="14.25" customHeight="1">
      <c r="A24" s="280" t="s">
        <v>55</v>
      </c>
      <c r="B24" s="280"/>
      <c r="C24" s="280"/>
      <c r="D24" s="280"/>
      <c r="E24" s="280"/>
      <c r="F24" s="280"/>
      <c r="G24" s="280"/>
      <c r="H24" s="280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T24" s="224" t="s">
        <v>158</v>
      </c>
    </row>
    <row r="25" spans="1:24" ht="14">
      <c r="A25" s="6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T25" s="226" t="s">
        <v>150</v>
      </c>
    </row>
    <row r="26" spans="1:24" ht="14">
      <c r="A26" s="6">
        <f>4000*A37</f>
        <v>45.6</v>
      </c>
      <c r="B26" s="284" t="s">
        <v>114</v>
      </c>
      <c r="C26" s="284"/>
      <c r="D26" s="284"/>
      <c r="E26" s="276" t="s">
        <v>115</v>
      </c>
      <c r="F26" s="276"/>
      <c r="G26" s="276"/>
      <c r="H26" s="276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T26" s="227">
        <f>(50*0.5)+(300*0.5)</f>
        <v>175</v>
      </c>
    </row>
    <row r="27" spans="1:24" ht="14">
      <c r="A27" s="6">
        <f>A26/12</f>
        <v>3.8000000000000003</v>
      </c>
      <c r="B27" s="284" t="s">
        <v>116</v>
      </c>
      <c r="C27" s="284"/>
      <c r="D27" s="284"/>
      <c r="E27" s="276" t="s">
        <v>115</v>
      </c>
      <c r="F27" s="276"/>
      <c r="G27" s="276"/>
      <c r="H27" s="276"/>
      <c r="I27" s="107"/>
      <c r="J27" s="107"/>
      <c r="K27" s="107"/>
      <c r="L27" s="107"/>
      <c r="M27" s="107"/>
      <c r="N27" s="107"/>
      <c r="O27" s="107"/>
      <c r="P27" s="107"/>
      <c r="Q27" s="107"/>
      <c r="R27" s="107"/>
    </row>
    <row r="28" spans="1:24" ht="14">
      <c r="A28" s="107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</row>
    <row r="29" spans="1:24" ht="14">
      <c r="A29" s="6">
        <f>14000*A37</f>
        <v>159.6</v>
      </c>
      <c r="B29" s="284" t="s">
        <v>117</v>
      </c>
      <c r="C29" s="284"/>
      <c r="D29" s="284"/>
      <c r="E29" s="276" t="s">
        <v>115</v>
      </c>
      <c r="F29" s="276"/>
      <c r="G29" s="276"/>
      <c r="H29" s="276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T29" s="223" t="s">
        <v>146</v>
      </c>
    </row>
    <row r="30" spans="1:24" ht="14">
      <c r="A30" s="5">
        <f>14000/12</f>
        <v>1166.6666666666667</v>
      </c>
      <c r="B30" s="284" t="s">
        <v>118</v>
      </c>
      <c r="C30" s="284"/>
      <c r="D30" s="284"/>
      <c r="E30" s="276" t="s">
        <v>115</v>
      </c>
      <c r="F30" s="276"/>
      <c r="G30" s="276"/>
      <c r="H30" s="276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T30" s="224" t="s">
        <v>161</v>
      </c>
    </row>
    <row r="31" spans="1:24" ht="14">
      <c r="A31" s="6">
        <f>A30*A37</f>
        <v>13.3</v>
      </c>
      <c r="B31" s="284" t="s">
        <v>119</v>
      </c>
      <c r="C31" s="284"/>
      <c r="D31" s="284"/>
      <c r="E31" s="276" t="s">
        <v>115</v>
      </c>
      <c r="F31" s="276"/>
      <c r="G31" s="276"/>
      <c r="H31" s="276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T31" s="224" t="s">
        <v>155</v>
      </c>
    </row>
    <row r="32" spans="1:24" ht="14">
      <c r="A32" s="6"/>
      <c r="B32" s="107"/>
      <c r="C32" s="107"/>
      <c r="D32" s="107"/>
      <c r="E32" s="109"/>
      <c r="F32" s="109"/>
      <c r="G32" s="109"/>
      <c r="H32" s="109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T32" s="224" t="s">
        <v>156</v>
      </c>
    </row>
    <row r="33" spans="1:20" ht="14">
      <c r="A33" s="67">
        <v>900</v>
      </c>
      <c r="B33" s="284" t="s">
        <v>120</v>
      </c>
      <c r="C33" s="284"/>
      <c r="D33" s="284"/>
      <c r="E33" s="276" t="s">
        <v>121</v>
      </c>
      <c r="F33" s="276"/>
      <c r="G33" s="276"/>
      <c r="H33" s="276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T33" s="226" t="s">
        <v>150</v>
      </c>
    </row>
    <row r="34" spans="1:20" ht="14">
      <c r="A34" s="6">
        <f>A33*A38</f>
        <v>0.35099999999999998</v>
      </c>
      <c r="B34" s="276" t="s">
        <v>122</v>
      </c>
      <c r="C34" s="276"/>
      <c r="D34" s="276"/>
      <c r="E34" s="276" t="s">
        <v>121</v>
      </c>
      <c r="F34" s="276"/>
      <c r="G34" s="276"/>
      <c r="H34" s="276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T34" s="227">
        <f>(200*0.7)+(400*0.3)</f>
        <v>260</v>
      </c>
    </row>
    <row r="35" spans="1:20" ht="14">
      <c r="A35" s="6">
        <f>A34*30</f>
        <v>10.53</v>
      </c>
      <c r="B35" s="276" t="s">
        <v>119</v>
      </c>
      <c r="C35" s="276"/>
      <c r="D35" s="276"/>
      <c r="E35" s="276" t="s">
        <v>121</v>
      </c>
      <c r="F35" s="276"/>
      <c r="G35" s="276"/>
      <c r="H35" s="276"/>
      <c r="I35" s="107"/>
      <c r="J35" s="107"/>
      <c r="K35" s="107"/>
      <c r="L35" s="107"/>
      <c r="M35" s="107"/>
      <c r="N35" s="107"/>
      <c r="O35" s="107"/>
      <c r="P35" s="107"/>
      <c r="Q35" s="107"/>
      <c r="R35" s="107"/>
    </row>
    <row r="36" spans="1:20" ht="14">
      <c r="A36" s="6"/>
      <c r="B36" s="107"/>
      <c r="C36" s="107"/>
      <c r="D36" s="107"/>
      <c r="E36" s="276"/>
      <c r="F36" s="276"/>
      <c r="G36" s="276"/>
      <c r="H36" s="276"/>
      <c r="I36" s="107"/>
      <c r="J36" s="107"/>
      <c r="K36" s="107"/>
      <c r="L36" s="107"/>
      <c r="M36" s="107"/>
      <c r="N36" s="107"/>
      <c r="O36" s="107"/>
      <c r="P36" s="107"/>
      <c r="Q36" s="107"/>
      <c r="R36" s="107"/>
    </row>
    <row r="37" spans="1:20" ht="15" customHeight="1">
      <c r="A37" s="66">
        <v>1.14E-2</v>
      </c>
      <c r="B37" s="276" t="s">
        <v>71</v>
      </c>
      <c r="C37" s="276"/>
      <c r="D37" s="276"/>
      <c r="E37" s="276" t="s">
        <v>72</v>
      </c>
      <c r="F37" s="276"/>
      <c r="G37" s="276"/>
      <c r="H37" s="276"/>
      <c r="I37" s="107"/>
      <c r="J37" s="107"/>
      <c r="K37" s="107"/>
      <c r="L37" s="107"/>
      <c r="M37" s="107"/>
      <c r="N37" s="107"/>
      <c r="O37" s="107"/>
      <c r="P37" s="107"/>
      <c r="Q37" s="107"/>
      <c r="R37" s="107"/>
    </row>
    <row r="38" spans="1:20" ht="15" customHeight="1">
      <c r="A38" s="66">
        <v>3.8999999999999999E-4</v>
      </c>
      <c r="B38" s="276" t="s">
        <v>73</v>
      </c>
      <c r="C38" s="276"/>
      <c r="D38" s="107"/>
      <c r="E38" s="276" t="s">
        <v>72</v>
      </c>
      <c r="F38" s="276"/>
      <c r="G38" s="276"/>
      <c r="H38" s="276"/>
      <c r="I38" s="107"/>
      <c r="J38" s="107"/>
      <c r="K38" s="107"/>
      <c r="L38" s="107"/>
      <c r="M38" s="107"/>
      <c r="N38" s="107"/>
      <c r="O38" s="107"/>
      <c r="P38" s="107"/>
      <c r="Q38" s="107"/>
      <c r="R38" s="107"/>
    </row>
    <row r="39" spans="1:20" ht="14">
      <c r="A39" s="107"/>
      <c r="B39" s="107"/>
      <c r="C39" s="107"/>
      <c r="D39" s="107"/>
      <c r="E39" s="276"/>
      <c r="F39" s="276"/>
      <c r="G39" s="276"/>
      <c r="H39" s="276"/>
      <c r="I39" s="107"/>
      <c r="J39" s="107"/>
      <c r="K39" s="107"/>
      <c r="L39" s="107"/>
      <c r="M39" s="107"/>
      <c r="N39" s="107"/>
      <c r="O39" s="107"/>
      <c r="P39" s="107"/>
      <c r="Q39" s="107"/>
      <c r="R39" s="107"/>
    </row>
    <row r="40" spans="1:20" ht="14">
      <c r="A40" s="102">
        <v>12</v>
      </c>
      <c r="B40" s="276" t="s">
        <v>123</v>
      </c>
      <c r="C40" s="276"/>
      <c r="D40" s="276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</row>
    <row r="41" spans="1:20" ht="14">
      <c r="A41" s="102">
        <v>24</v>
      </c>
      <c r="B41" s="276" t="s">
        <v>124</v>
      </c>
      <c r="C41" s="276"/>
      <c r="D41" s="276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</row>
    <row r="42" spans="1:20" ht="14">
      <c r="A42" s="102">
        <v>36</v>
      </c>
      <c r="B42" s="276" t="s">
        <v>125</v>
      </c>
      <c r="C42" s="276"/>
      <c r="D42" s="276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</row>
    <row r="43" spans="1:20" ht="14">
      <c r="A43" s="102">
        <v>48</v>
      </c>
      <c r="B43" s="276" t="s">
        <v>126</v>
      </c>
      <c r="C43" s="276"/>
      <c r="D43" s="276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</row>
    <row r="44" spans="1:20" ht="14">
      <c r="A44" s="102">
        <v>60</v>
      </c>
      <c r="B44" s="276" t="s">
        <v>127</v>
      </c>
      <c r="C44" s="276"/>
      <c r="D44" s="276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</row>
    <row r="45" spans="1:20" ht="14">
      <c r="A45" s="107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</row>
    <row r="46" spans="1:20" ht="15" customHeight="1">
      <c r="A46" s="107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</row>
  </sheetData>
  <mergeCells count="31">
    <mergeCell ref="A15:R15"/>
    <mergeCell ref="A21:R21"/>
    <mergeCell ref="A22:R22"/>
    <mergeCell ref="A24:H24"/>
    <mergeCell ref="B26:D26"/>
    <mergeCell ref="E26:H26"/>
    <mergeCell ref="B27:D27"/>
    <mergeCell ref="E27:H27"/>
    <mergeCell ref="B29:D29"/>
    <mergeCell ref="E29:H29"/>
    <mergeCell ref="B30:D30"/>
    <mergeCell ref="E30:H30"/>
    <mergeCell ref="B31:D31"/>
    <mergeCell ref="E31:H31"/>
    <mergeCell ref="B33:D33"/>
    <mergeCell ref="E33:H33"/>
    <mergeCell ref="B34:D34"/>
    <mergeCell ref="E34:H34"/>
    <mergeCell ref="B35:D35"/>
    <mergeCell ref="E35:H35"/>
    <mergeCell ref="E36:H36"/>
    <mergeCell ref="B37:D37"/>
    <mergeCell ref="E37:H37"/>
    <mergeCell ref="B42:D42"/>
    <mergeCell ref="B43:D43"/>
    <mergeCell ref="B44:D44"/>
    <mergeCell ref="B38:C38"/>
    <mergeCell ref="E38:H38"/>
    <mergeCell ref="E39:H39"/>
    <mergeCell ref="B40:D40"/>
    <mergeCell ref="B41:D41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="80" zoomScaleNormal="80" zoomScalePageLayoutView="80" workbookViewId="0">
      <selection activeCell="J3" sqref="J3"/>
    </sheetView>
  </sheetViews>
  <sheetFormatPr baseColWidth="10" defaultColWidth="10.1640625" defaultRowHeight="13.5" customHeight="1" x14ac:dyDescent="0"/>
  <cols>
    <col min="1" max="1" width="29.33203125" style="102" customWidth="1"/>
    <col min="2" max="12" width="17.83203125" style="102" customWidth="1"/>
    <col min="13" max="13" width="86.6640625" style="102" customWidth="1"/>
  </cols>
  <sheetData>
    <row r="1" spans="1:13" ht="28.5" customHeight="1">
      <c r="A1" s="104"/>
      <c r="B1" s="84" t="s">
        <v>0</v>
      </c>
      <c r="C1" s="2" t="s">
        <v>1</v>
      </c>
      <c r="D1" s="2" t="s">
        <v>2</v>
      </c>
      <c r="E1" s="15" t="s">
        <v>3</v>
      </c>
      <c r="F1" s="2" t="s">
        <v>4</v>
      </c>
      <c r="G1" s="2" t="s">
        <v>5</v>
      </c>
      <c r="H1" s="22" t="s">
        <v>7</v>
      </c>
      <c r="I1" s="22" t="s">
        <v>74</v>
      </c>
      <c r="J1" s="22" t="s">
        <v>8</v>
      </c>
      <c r="K1" s="22" t="s">
        <v>75</v>
      </c>
      <c r="L1" s="42" t="s">
        <v>14</v>
      </c>
      <c r="M1" s="108" t="s">
        <v>17</v>
      </c>
    </row>
    <row r="2" spans="1:13" ht="14">
      <c r="A2" s="29" t="s">
        <v>76</v>
      </c>
      <c r="B2" s="26" t="s">
        <v>19</v>
      </c>
      <c r="C2" s="85" t="s">
        <v>30</v>
      </c>
      <c r="D2" s="101">
        <f>35*A16</f>
        <v>0.39900000000000002</v>
      </c>
      <c r="E2" s="105">
        <f>45*A16</f>
        <v>0.51300000000000001</v>
      </c>
      <c r="F2" s="17"/>
      <c r="G2" s="17"/>
      <c r="H2" s="23">
        <v>0.3</v>
      </c>
      <c r="I2" s="62">
        <f>A14</f>
        <v>1</v>
      </c>
      <c r="J2" s="62">
        <f>A12</f>
        <v>30</v>
      </c>
      <c r="K2" s="62">
        <f>J2*H2</f>
        <v>9</v>
      </c>
      <c r="L2" s="34">
        <v>0.9</v>
      </c>
      <c r="M2" s="46" t="s">
        <v>77</v>
      </c>
    </row>
    <row r="3" spans="1:13" ht="28.5" customHeight="1">
      <c r="A3" s="21" t="s">
        <v>78</v>
      </c>
      <c r="B3" s="116" t="s">
        <v>34</v>
      </c>
      <c r="C3" s="86" t="s">
        <v>30</v>
      </c>
      <c r="D3" s="13">
        <f>1000*A17</f>
        <v>0.39</v>
      </c>
      <c r="E3" s="14">
        <f>1200*A17</f>
        <v>0.46799999999999997</v>
      </c>
      <c r="F3" s="113">
        <v>0.27</v>
      </c>
      <c r="G3" s="113"/>
      <c r="H3" s="194">
        <v>0.2</v>
      </c>
      <c r="I3" s="70">
        <f>A13</f>
        <v>0.75</v>
      </c>
      <c r="J3" s="70">
        <f>A11</f>
        <v>22.5</v>
      </c>
      <c r="K3" s="70">
        <f>J3*H3</f>
        <v>4.5</v>
      </c>
      <c r="L3" s="76">
        <v>0.9</v>
      </c>
      <c r="M3" s="38" t="s">
        <v>79</v>
      </c>
    </row>
    <row r="4" spans="1:13" ht="14">
      <c r="A4" s="94"/>
      <c r="B4" s="50"/>
      <c r="C4" s="50"/>
      <c r="D4" s="52"/>
      <c r="E4" s="52"/>
      <c r="F4" s="73"/>
      <c r="G4" s="73"/>
      <c r="H4" s="73"/>
      <c r="I4" s="52"/>
      <c r="J4" s="52"/>
      <c r="K4" s="52"/>
      <c r="L4" s="73"/>
      <c r="M4" s="50"/>
    </row>
    <row r="5" spans="1:13" ht="14">
      <c r="A5" s="280" t="s">
        <v>55</v>
      </c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</row>
    <row r="6" spans="1:13" ht="14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</row>
    <row r="7" spans="1:13" ht="15" customHeight="1">
      <c r="A7" s="11">
        <v>150</v>
      </c>
      <c r="B7" s="281" t="s">
        <v>56</v>
      </c>
      <c r="C7" s="281"/>
      <c r="D7" s="281"/>
      <c r="E7" s="282" t="s">
        <v>57</v>
      </c>
      <c r="F7" s="282"/>
      <c r="G7" s="282"/>
      <c r="H7" s="282"/>
      <c r="I7" s="282"/>
      <c r="J7" s="282"/>
      <c r="K7" s="282"/>
      <c r="L7" s="283" t="s">
        <v>58</v>
      </c>
      <c r="M7" s="45"/>
    </row>
    <row r="8" spans="1:13" ht="14">
      <c r="A8" s="11">
        <v>200</v>
      </c>
      <c r="B8" s="281" t="s">
        <v>59</v>
      </c>
      <c r="C8" s="281"/>
      <c r="D8" s="281"/>
      <c r="E8" s="281" t="s">
        <v>57</v>
      </c>
      <c r="F8" s="281"/>
      <c r="G8" s="281"/>
      <c r="H8" s="281"/>
      <c r="I8" s="281"/>
      <c r="J8" s="281"/>
      <c r="K8" s="281"/>
      <c r="L8" s="283"/>
      <c r="M8" s="45"/>
    </row>
    <row r="9" spans="1:13" ht="14">
      <c r="A9" s="4">
        <v>0.15</v>
      </c>
      <c r="B9" s="281" t="s">
        <v>60</v>
      </c>
      <c r="C9" s="281"/>
      <c r="D9" s="281"/>
      <c r="E9" s="281" t="s">
        <v>61</v>
      </c>
      <c r="F9" s="281"/>
      <c r="G9" s="281"/>
      <c r="H9" s="281"/>
      <c r="I9" s="281"/>
      <c r="J9" s="281"/>
      <c r="K9" s="281"/>
      <c r="L9" s="283"/>
      <c r="M9" s="45"/>
    </row>
    <row r="10" spans="1:13" ht="14">
      <c r="A10" s="4">
        <v>0.15</v>
      </c>
      <c r="B10" s="281" t="s">
        <v>62</v>
      </c>
      <c r="C10" s="281"/>
      <c r="D10" s="281"/>
      <c r="E10" s="281" t="s">
        <v>61</v>
      </c>
      <c r="F10" s="281"/>
      <c r="G10" s="281"/>
      <c r="H10" s="281"/>
      <c r="I10" s="281"/>
      <c r="J10" s="281"/>
      <c r="K10" s="281"/>
      <c r="L10" s="283"/>
      <c r="M10" s="45"/>
    </row>
    <row r="11" spans="1:13" ht="14">
      <c r="A11" s="6">
        <f>A7*A9</f>
        <v>22.5</v>
      </c>
      <c r="B11" s="276" t="s">
        <v>63</v>
      </c>
      <c r="C11" s="276"/>
      <c r="D11" s="276"/>
      <c r="E11" s="276" t="s">
        <v>64</v>
      </c>
      <c r="F11" s="276"/>
      <c r="G11" s="276"/>
      <c r="H11" s="276"/>
      <c r="I11" s="276"/>
      <c r="J11" s="276"/>
      <c r="K11" s="276"/>
      <c r="L11" s="107"/>
      <c r="M11" s="107"/>
    </row>
    <row r="12" spans="1:13" ht="14">
      <c r="A12" s="6">
        <f>A8*A10</f>
        <v>30</v>
      </c>
      <c r="B12" s="276" t="s">
        <v>65</v>
      </c>
      <c r="C12" s="276"/>
      <c r="D12" s="276"/>
      <c r="E12" s="276" t="s">
        <v>64</v>
      </c>
      <c r="F12" s="276"/>
      <c r="G12" s="276"/>
      <c r="H12" s="276"/>
      <c r="I12" s="276"/>
      <c r="J12" s="276"/>
      <c r="K12" s="276"/>
      <c r="L12" s="107"/>
      <c r="M12" s="107"/>
    </row>
    <row r="13" spans="1:13" ht="14">
      <c r="A13" s="6">
        <f>A11/30</f>
        <v>0.75</v>
      </c>
      <c r="B13" s="276" t="s">
        <v>80</v>
      </c>
      <c r="C13" s="276"/>
      <c r="D13" s="276"/>
      <c r="E13" s="276" t="s">
        <v>81</v>
      </c>
      <c r="F13" s="276"/>
      <c r="G13" s="276"/>
      <c r="H13" s="276"/>
      <c r="I13" s="276"/>
      <c r="J13" s="276"/>
      <c r="K13" s="276"/>
      <c r="L13" s="107"/>
      <c r="M13" s="107"/>
    </row>
    <row r="14" spans="1:13" ht="14">
      <c r="A14" s="6">
        <f>A12/30</f>
        <v>1</v>
      </c>
      <c r="B14" s="276" t="s">
        <v>82</v>
      </c>
      <c r="C14" s="276"/>
      <c r="D14" s="276"/>
      <c r="E14" s="276" t="s">
        <v>81</v>
      </c>
      <c r="F14" s="276"/>
      <c r="G14" s="276"/>
      <c r="H14" s="276"/>
      <c r="I14" s="276"/>
      <c r="J14" s="276"/>
      <c r="K14" s="276"/>
      <c r="L14" s="107"/>
      <c r="M14" s="107"/>
    </row>
    <row r="15" spans="1:13" ht="14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</row>
    <row r="16" spans="1:13" ht="14">
      <c r="A16" s="102">
        <v>1.14E-2</v>
      </c>
      <c r="B16" s="276" t="s">
        <v>71</v>
      </c>
      <c r="C16" s="276"/>
      <c r="D16" s="276"/>
      <c r="E16" s="102" t="s">
        <v>72</v>
      </c>
      <c r="F16" s="107"/>
      <c r="G16" s="107"/>
      <c r="H16" s="107"/>
      <c r="I16" s="107"/>
      <c r="J16" s="107"/>
      <c r="K16" s="107"/>
      <c r="L16" s="107"/>
      <c r="M16" s="107"/>
    </row>
    <row r="17" spans="1:13" ht="14">
      <c r="A17" s="102">
        <v>3.8999999999999999E-4</v>
      </c>
      <c r="B17" s="276" t="s">
        <v>73</v>
      </c>
      <c r="C17" s="276"/>
      <c r="D17" s="107"/>
      <c r="E17" s="102" t="s">
        <v>72</v>
      </c>
      <c r="F17" s="107"/>
      <c r="G17" s="107"/>
      <c r="H17" s="107"/>
      <c r="I17" s="107"/>
      <c r="J17" s="107"/>
      <c r="K17" s="107"/>
      <c r="L17" s="107"/>
      <c r="M17" s="107"/>
    </row>
    <row r="18" spans="1:13" ht="14">
      <c r="A18" s="107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</row>
    <row r="19" spans="1:13" ht="14">
      <c r="A19" s="107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</row>
    <row r="20" spans="1:13" ht="14">
      <c r="A20" s="196">
        <v>0.12</v>
      </c>
      <c r="B20" s="289" t="s">
        <v>134</v>
      </c>
      <c r="C20" s="278"/>
      <c r="D20" s="278"/>
      <c r="E20" s="188"/>
      <c r="F20" s="188"/>
      <c r="G20" s="188"/>
      <c r="H20" s="188"/>
      <c r="I20" s="188"/>
      <c r="J20" s="188"/>
      <c r="K20" s="188"/>
      <c r="L20" s="288" t="s">
        <v>133</v>
      </c>
      <c r="M20" s="107"/>
    </row>
    <row r="21" spans="1:13" ht="14">
      <c r="A21" s="196">
        <f>A20*2</f>
        <v>0.24</v>
      </c>
      <c r="B21" s="197" t="s">
        <v>135</v>
      </c>
      <c r="C21" s="188"/>
      <c r="D21" s="188"/>
      <c r="E21" s="188"/>
      <c r="F21" s="188"/>
      <c r="G21" s="188"/>
      <c r="H21" s="188"/>
      <c r="I21" s="188"/>
      <c r="J21" s="188"/>
      <c r="K21" s="188"/>
      <c r="L21" s="288"/>
      <c r="M21" s="107"/>
    </row>
    <row r="22" spans="1:13" ht="13.5" customHeight="1">
      <c r="A22" s="198">
        <f>A21*30</f>
        <v>7.1999999999999993</v>
      </c>
      <c r="B22" s="286" t="s">
        <v>136</v>
      </c>
      <c r="C22" s="287"/>
      <c r="D22" s="287"/>
      <c r="E22" s="199"/>
      <c r="F22" s="199"/>
      <c r="G22" s="199"/>
      <c r="H22" s="199"/>
      <c r="I22" s="199"/>
      <c r="J22" s="199"/>
      <c r="K22" s="199"/>
      <c r="L22" s="288"/>
    </row>
    <row r="24" spans="1:13" ht="13.5" customHeight="1">
      <c r="A24" s="195"/>
    </row>
  </sheetData>
  <mergeCells count="23">
    <mergeCell ref="A5:L5"/>
    <mergeCell ref="B7:D7"/>
    <mergeCell ref="E7:K7"/>
    <mergeCell ref="L7:L10"/>
    <mergeCell ref="B8:D8"/>
    <mergeCell ref="E8:K8"/>
    <mergeCell ref="B9:D9"/>
    <mergeCell ref="E9:K9"/>
    <mergeCell ref="B10:D10"/>
    <mergeCell ref="E10:K10"/>
    <mergeCell ref="B11:D11"/>
    <mergeCell ref="E11:K11"/>
    <mergeCell ref="B12:D12"/>
    <mergeCell ref="E12:K12"/>
    <mergeCell ref="B13:D13"/>
    <mergeCell ref="E13:K13"/>
    <mergeCell ref="B22:D22"/>
    <mergeCell ref="L20:L22"/>
    <mergeCell ref="B14:D14"/>
    <mergeCell ref="E14:K14"/>
    <mergeCell ref="B16:D16"/>
    <mergeCell ref="B17:C17"/>
    <mergeCell ref="B20:D2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="80" zoomScaleNormal="80" zoomScalePageLayoutView="80" workbookViewId="0"/>
  </sheetViews>
  <sheetFormatPr baseColWidth="10" defaultColWidth="12.1640625" defaultRowHeight="13.5" customHeight="1" x14ac:dyDescent="0"/>
  <cols>
    <col min="1" max="1" width="29.5" customWidth="1"/>
    <col min="2" max="2" width="12.5" customWidth="1"/>
  </cols>
  <sheetData>
    <row r="1" spans="1:7" ht="15" customHeight="1">
      <c r="A1" s="48"/>
      <c r="B1" s="48"/>
      <c r="C1" s="48"/>
      <c r="D1" s="48"/>
      <c r="E1" s="48"/>
      <c r="F1" s="48"/>
      <c r="G1" s="88"/>
    </row>
    <row r="2" spans="1:7" ht="15" customHeight="1">
      <c r="A2" s="290" t="s">
        <v>128</v>
      </c>
      <c r="B2" s="291"/>
      <c r="C2" s="291"/>
      <c r="D2" s="291"/>
      <c r="E2" s="291"/>
      <c r="F2" s="292"/>
      <c r="G2" s="60"/>
    </row>
    <row r="3" spans="1:7" ht="42.75" customHeight="1">
      <c r="A3" s="96"/>
      <c r="B3" s="7" t="s">
        <v>0</v>
      </c>
      <c r="C3" s="33" t="s">
        <v>7</v>
      </c>
      <c r="D3" s="33" t="s">
        <v>74</v>
      </c>
      <c r="E3" s="33" t="s">
        <v>8</v>
      </c>
      <c r="F3" s="47" t="s">
        <v>75</v>
      </c>
      <c r="G3" s="9"/>
    </row>
    <row r="4" spans="1:7" ht="15" customHeight="1">
      <c r="A4" s="30" t="s">
        <v>76</v>
      </c>
      <c r="B4" s="91" t="s">
        <v>19</v>
      </c>
      <c r="C4" s="82">
        <v>0.3</v>
      </c>
      <c r="D4" s="56">
        <v>1</v>
      </c>
      <c r="E4" s="56">
        <v>30</v>
      </c>
      <c r="F4" s="39">
        <v>9</v>
      </c>
      <c r="G4" s="9"/>
    </row>
    <row r="5" spans="1:7" ht="15" customHeight="1">
      <c r="A5" s="30" t="s">
        <v>78</v>
      </c>
      <c r="B5" s="91" t="s">
        <v>34</v>
      </c>
      <c r="C5" s="82">
        <v>0.2</v>
      </c>
      <c r="D5" s="56">
        <v>0.75</v>
      </c>
      <c r="E5" s="56">
        <v>22.5</v>
      </c>
      <c r="F5" s="39">
        <v>4.5</v>
      </c>
      <c r="G5" s="9"/>
    </row>
    <row r="6" spans="1:7" ht="15" customHeight="1">
      <c r="A6" s="51"/>
      <c r="B6" s="51"/>
      <c r="C6" s="51"/>
      <c r="D6" s="51"/>
      <c r="E6" s="51"/>
      <c r="F6" s="51"/>
      <c r="G6" s="48"/>
    </row>
    <row r="7" spans="1:7" ht="15" customHeight="1">
      <c r="A7" s="290" t="s">
        <v>129</v>
      </c>
      <c r="B7" s="291"/>
      <c r="C7" s="291"/>
      <c r="D7" s="291"/>
      <c r="E7" s="291"/>
      <c r="F7" s="291"/>
      <c r="G7" s="292"/>
    </row>
    <row r="8" spans="1:7" ht="42.75" customHeight="1">
      <c r="A8" s="104"/>
      <c r="B8" s="84" t="s">
        <v>0</v>
      </c>
      <c r="C8" s="41" t="s">
        <v>7</v>
      </c>
      <c r="D8" s="33" t="s">
        <v>8</v>
      </c>
      <c r="E8" s="33" t="s">
        <v>9</v>
      </c>
      <c r="F8" s="33" t="s">
        <v>11</v>
      </c>
      <c r="G8" s="47" t="s">
        <v>12</v>
      </c>
    </row>
    <row r="9" spans="1:7" ht="27.75" customHeight="1">
      <c r="A9" s="10" t="s">
        <v>85</v>
      </c>
      <c r="B9" s="85" t="s">
        <v>19</v>
      </c>
      <c r="C9" s="99">
        <v>0.5</v>
      </c>
      <c r="D9" s="69">
        <v>13.3</v>
      </c>
      <c r="E9" s="69">
        <v>6.65</v>
      </c>
      <c r="F9" s="69">
        <v>798</v>
      </c>
      <c r="G9" s="71">
        <v>599.07000000000005</v>
      </c>
    </row>
    <row r="10" spans="1:7" ht="14">
      <c r="A10" s="3" t="s">
        <v>88</v>
      </c>
      <c r="B10" s="89" t="s">
        <v>19</v>
      </c>
      <c r="C10" s="49">
        <v>0.5</v>
      </c>
      <c r="D10" s="78">
        <v>13.3</v>
      </c>
      <c r="E10" s="78">
        <v>6.65</v>
      </c>
      <c r="F10" s="78">
        <v>798</v>
      </c>
      <c r="G10" s="95">
        <v>385.32</v>
      </c>
    </row>
    <row r="11" spans="1:7" ht="15" customHeight="1">
      <c r="A11" s="112" t="s">
        <v>90</v>
      </c>
      <c r="B11" s="86" t="s">
        <v>19</v>
      </c>
      <c r="C11" s="44">
        <v>0.5</v>
      </c>
      <c r="D11" s="81">
        <v>13.3</v>
      </c>
      <c r="E11" s="81">
        <v>6.65</v>
      </c>
      <c r="F11" s="81">
        <v>798</v>
      </c>
      <c r="G11" s="98">
        <v>584.82000000000005</v>
      </c>
    </row>
    <row r="12" spans="1:7" ht="14">
      <c r="A12" s="10" t="s">
        <v>92</v>
      </c>
      <c r="B12" s="85" t="s">
        <v>34</v>
      </c>
      <c r="C12" s="99">
        <v>0.5</v>
      </c>
      <c r="D12" s="69">
        <v>10.53</v>
      </c>
      <c r="E12" s="69">
        <v>5.2649999999999997</v>
      </c>
      <c r="F12" s="69">
        <v>379.08</v>
      </c>
      <c r="G12" s="71">
        <v>173.16</v>
      </c>
    </row>
    <row r="13" spans="1:7" ht="27.75" customHeight="1">
      <c r="A13" s="3" t="s">
        <v>85</v>
      </c>
      <c r="B13" s="89" t="s">
        <v>34</v>
      </c>
      <c r="C13" s="49">
        <v>0.5</v>
      </c>
      <c r="D13" s="78">
        <v>10.53</v>
      </c>
      <c r="E13" s="78">
        <v>5.2649999999999997</v>
      </c>
      <c r="F13" s="78">
        <v>1020</v>
      </c>
      <c r="G13" s="95">
        <v>294.06</v>
      </c>
    </row>
    <row r="14" spans="1:7" ht="14">
      <c r="A14" s="3" t="s">
        <v>88</v>
      </c>
      <c r="B14" s="89" t="s">
        <v>34</v>
      </c>
      <c r="C14" s="49">
        <v>0.5</v>
      </c>
      <c r="D14" s="78">
        <v>10.53</v>
      </c>
      <c r="E14" s="78">
        <v>5.2649999999999997</v>
      </c>
      <c r="F14" s="78">
        <v>631.79999999999995</v>
      </c>
      <c r="G14" s="95">
        <v>304.2</v>
      </c>
    </row>
    <row r="15" spans="1:7" ht="14">
      <c r="A15" s="3" t="s">
        <v>97</v>
      </c>
      <c r="B15" s="89" t="s">
        <v>34</v>
      </c>
      <c r="C15" s="49">
        <v>0.5</v>
      </c>
      <c r="D15" s="78">
        <v>10.53</v>
      </c>
      <c r="E15" s="78">
        <v>5.2649999999999997</v>
      </c>
      <c r="F15" s="78">
        <v>631.79999999999995</v>
      </c>
      <c r="G15" s="95">
        <v>273</v>
      </c>
    </row>
    <row r="16" spans="1:7" ht="14">
      <c r="A16" s="3" t="s">
        <v>101</v>
      </c>
      <c r="B16" s="89" t="s">
        <v>34</v>
      </c>
      <c r="C16" s="49">
        <v>0.5</v>
      </c>
      <c r="D16" s="78">
        <v>10.53</v>
      </c>
      <c r="E16" s="78">
        <v>5.2649999999999997</v>
      </c>
      <c r="F16" s="78">
        <v>631.79999999999995</v>
      </c>
      <c r="G16" s="95">
        <v>292.5</v>
      </c>
    </row>
    <row r="17" spans="1:7" ht="14">
      <c r="A17" s="3" t="s">
        <v>90</v>
      </c>
      <c r="B17" s="89" t="s">
        <v>34</v>
      </c>
      <c r="C17" s="49">
        <v>0.5</v>
      </c>
      <c r="D17" s="78">
        <v>10.53</v>
      </c>
      <c r="E17" s="78">
        <v>5.2649999999999997</v>
      </c>
      <c r="F17" s="78">
        <v>631.79999999999995</v>
      </c>
      <c r="G17" s="95">
        <v>265.2</v>
      </c>
    </row>
    <row r="18" spans="1:7" ht="27.75" customHeight="1">
      <c r="A18" s="54" t="s">
        <v>105</v>
      </c>
      <c r="B18" s="55" t="s">
        <v>34</v>
      </c>
      <c r="C18" s="49">
        <v>1</v>
      </c>
      <c r="D18" s="78">
        <v>10.53</v>
      </c>
      <c r="E18" s="78">
        <v>10.53</v>
      </c>
      <c r="F18" s="78">
        <v>379.08</v>
      </c>
      <c r="G18" s="37"/>
    </row>
    <row r="19" spans="1:7" ht="14">
      <c r="A19" s="54" t="s">
        <v>107</v>
      </c>
      <c r="B19" s="55" t="s">
        <v>34</v>
      </c>
      <c r="C19" s="49">
        <v>1</v>
      </c>
      <c r="D19" s="78">
        <v>10.53</v>
      </c>
      <c r="E19" s="78">
        <v>10.53</v>
      </c>
      <c r="F19" s="78">
        <v>379.08</v>
      </c>
      <c r="G19" s="95">
        <v>252.33</v>
      </c>
    </row>
    <row r="20" spans="1:7" ht="15" customHeight="1">
      <c r="A20" s="103" t="s">
        <v>109</v>
      </c>
      <c r="B20" s="97" t="s">
        <v>34</v>
      </c>
      <c r="C20" s="44">
        <v>1</v>
      </c>
      <c r="D20" s="81">
        <v>10.53</v>
      </c>
      <c r="E20" s="81">
        <v>10.53</v>
      </c>
      <c r="F20" s="81">
        <v>505.44</v>
      </c>
      <c r="G20" s="98">
        <v>427.44</v>
      </c>
    </row>
    <row r="21" spans="1:7" ht="15" customHeight="1">
      <c r="A21" s="51"/>
      <c r="B21" s="51"/>
      <c r="C21" s="51"/>
      <c r="D21" s="51"/>
      <c r="E21" s="51"/>
      <c r="F21" s="51"/>
      <c r="G21" s="51"/>
    </row>
    <row r="22" spans="1:7" ht="15" customHeight="1">
      <c r="A22" s="290" t="s">
        <v>130</v>
      </c>
      <c r="B22" s="291"/>
      <c r="C22" s="291"/>
      <c r="D22" s="291"/>
      <c r="E22" s="291"/>
      <c r="F22" s="291"/>
      <c r="G22" s="292"/>
    </row>
    <row r="23" spans="1:7" ht="42.75" customHeight="1">
      <c r="A23" s="75"/>
      <c r="B23" s="33" t="s">
        <v>0</v>
      </c>
      <c r="C23" s="33" t="s">
        <v>7</v>
      </c>
      <c r="D23" s="33" t="s">
        <v>8</v>
      </c>
      <c r="E23" s="33" t="s">
        <v>9</v>
      </c>
      <c r="F23" s="33" t="s">
        <v>11</v>
      </c>
      <c r="G23" s="47" t="s">
        <v>12</v>
      </c>
    </row>
    <row r="24" spans="1:7" ht="14">
      <c r="A24" s="36" t="s">
        <v>18</v>
      </c>
      <c r="B24" s="16" t="s">
        <v>19</v>
      </c>
      <c r="C24" s="99">
        <v>0.43</v>
      </c>
      <c r="D24" s="69">
        <v>30</v>
      </c>
      <c r="E24" s="69">
        <v>12.9</v>
      </c>
      <c r="F24" s="69">
        <v>1080</v>
      </c>
      <c r="G24" s="71">
        <v>423.41699999999997</v>
      </c>
    </row>
    <row r="25" spans="1:7" ht="14">
      <c r="A25" s="54" t="s">
        <v>25</v>
      </c>
      <c r="B25" s="55" t="s">
        <v>19</v>
      </c>
      <c r="C25" s="49">
        <v>0.54</v>
      </c>
      <c r="D25" s="78">
        <v>30</v>
      </c>
      <c r="E25" s="78">
        <v>16.2</v>
      </c>
      <c r="F25" s="78">
        <v>1080</v>
      </c>
      <c r="G25" s="95">
        <v>537.57719999999995</v>
      </c>
    </row>
    <row r="26" spans="1:7" ht="14">
      <c r="A26" s="54" t="s">
        <v>28</v>
      </c>
      <c r="B26" s="55" t="s">
        <v>19</v>
      </c>
      <c r="C26" s="49">
        <v>0.54</v>
      </c>
      <c r="D26" s="78">
        <v>30</v>
      </c>
      <c r="E26" s="78">
        <v>16.2</v>
      </c>
      <c r="F26" s="78">
        <v>1080</v>
      </c>
      <c r="G26" s="95">
        <v>533.64419999999996</v>
      </c>
    </row>
    <row r="27" spans="1:7" ht="14">
      <c r="A27" s="54" t="s">
        <v>29</v>
      </c>
      <c r="B27" s="55" t="s">
        <v>19</v>
      </c>
      <c r="C27" s="24"/>
      <c r="D27" s="59">
        <v>30</v>
      </c>
      <c r="E27" s="59"/>
      <c r="F27" s="59">
        <v>1080</v>
      </c>
      <c r="G27" s="43"/>
    </row>
    <row r="28" spans="1:7" ht="15" customHeight="1">
      <c r="A28" s="103" t="s">
        <v>32</v>
      </c>
      <c r="B28" s="97" t="s">
        <v>19</v>
      </c>
      <c r="C28" s="12"/>
      <c r="D28" s="65">
        <v>30</v>
      </c>
      <c r="E28" s="65"/>
      <c r="F28" s="65">
        <v>1080</v>
      </c>
      <c r="G28" s="100"/>
    </row>
    <row r="29" spans="1:7" ht="14">
      <c r="A29" s="36" t="s">
        <v>33</v>
      </c>
      <c r="B29" s="16" t="s">
        <v>34</v>
      </c>
      <c r="C29" s="99">
        <v>0.35</v>
      </c>
      <c r="D29" s="69">
        <v>22.5</v>
      </c>
      <c r="E29" s="69">
        <v>7.875</v>
      </c>
      <c r="F29" s="69">
        <v>540</v>
      </c>
      <c r="G29" s="71">
        <v>184.32</v>
      </c>
    </row>
    <row r="30" spans="1:7" ht="14">
      <c r="A30" s="54" t="s">
        <v>39</v>
      </c>
      <c r="B30" s="55" t="s">
        <v>34</v>
      </c>
      <c r="C30" s="49">
        <v>0.35</v>
      </c>
      <c r="D30" s="78">
        <v>22.5</v>
      </c>
      <c r="E30" s="78">
        <v>7.875</v>
      </c>
      <c r="F30" s="78">
        <v>540</v>
      </c>
      <c r="G30" s="95">
        <v>182.76</v>
      </c>
    </row>
    <row r="31" spans="1:7" ht="14">
      <c r="A31" s="54" t="s">
        <v>40</v>
      </c>
      <c r="B31" s="55" t="s">
        <v>34</v>
      </c>
      <c r="C31" s="49">
        <v>0.5</v>
      </c>
      <c r="D31" s="78">
        <v>22.5</v>
      </c>
      <c r="E31" s="78">
        <v>11.25</v>
      </c>
      <c r="F31" s="78">
        <v>1080</v>
      </c>
      <c r="G31" s="95">
        <v>535.32000000000005</v>
      </c>
    </row>
    <row r="32" spans="1:7" ht="14">
      <c r="A32" s="54" t="s">
        <v>43</v>
      </c>
      <c r="B32" s="55" t="s">
        <v>34</v>
      </c>
      <c r="C32" s="49">
        <v>0.5</v>
      </c>
      <c r="D32" s="78">
        <v>22.5</v>
      </c>
      <c r="E32" s="78">
        <v>11.25</v>
      </c>
      <c r="F32" s="78">
        <v>1080</v>
      </c>
      <c r="G32" s="95">
        <v>533.76</v>
      </c>
    </row>
    <row r="33" spans="1:7" ht="14">
      <c r="A33" s="54" t="s">
        <v>44</v>
      </c>
      <c r="B33" s="55" t="s">
        <v>34</v>
      </c>
      <c r="C33" s="49">
        <v>0.5</v>
      </c>
      <c r="D33" s="78">
        <v>22.5</v>
      </c>
      <c r="E33" s="78">
        <v>11.25</v>
      </c>
      <c r="F33" s="78">
        <v>1080</v>
      </c>
      <c r="G33" s="95">
        <v>531.80999999999995</v>
      </c>
    </row>
    <row r="34" spans="1:7" ht="14">
      <c r="A34" s="54" t="s">
        <v>45</v>
      </c>
      <c r="B34" s="55" t="s">
        <v>34</v>
      </c>
      <c r="C34" s="49">
        <v>0.6</v>
      </c>
      <c r="D34" s="78">
        <v>22.5</v>
      </c>
      <c r="E34" s="78">
        <v>13.5</v>
      </c>
      <c r="F34" s="78">
        <v>810</v>
      </c>
      <c r="G34" s="95">
        <v>468.45</v>
      </c>
    </row>
    <row r="35" spans="1:7" ht="15" customHeight="1">
      <c r="A35" s="103" t="s">
        <v>50</v>
      </c>
      <c r="B35" s="97" t="s">
        <v>34</v>
      </c>
      <c r="C35" s="12"/>
      <c r="D35" s="65">
        <v>22.5</v>
      </c>
      <c r="E35" s="65"/>
      <c r="F35" s="65">
        <v>810</v>
      </c>
      <c r="G35" s="100"/>
    </row>
  </sheetData>
  <mergeCells count="3">
    <mergeCell ref="A2:F2"/>
    <mergeCell ref="A7:G7"/>
    <mergeCell ref="A22:G2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Cookstoves</vt:lpstr>
      <vt:lpstr>Solar</vt:lpstr>
      <vt:lpstr>Briquettes</vt:lpstr>
      <vt:lpstr>Snapshot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2014-02-03T20:05:30Z</dcterms:created>
  <dcterms:modified xsi:type="dcterms:W3CDTF">2014-12-01T02:40:01Z</dcterms:modified>
</cp:coreProperties>
</file>