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416"/>
  <workbookPr filterPrivacy="1" showInkAnnotation="0" autoCompressPictures="0"/>
  <bookViews>
    <workbookView xWindow="0" yWindow="0" windowWidth="25600" windowHeight="16060" tabRatio="500"/>
  </bookViews>
  <sheets>
    <sheet name="Jake's assumptions" sheetId="2" r:id="rId1"/>
    <sheet name="Natalie's assumptions" sheetId="5" r:id="rId2"/>
    <sheet name="U5MR (Jake's assumptions)" sheetId="8" r:id="rId3"/>
    <sheet name="Contamination adjustment (Jake)" sheetId="11" r:id="rId4"/>
    <sheet name="Uganda costs only - Jake" sheetId="4" r:id="rId5"/>
    <sheet name="Uganda costs only - Natalie" sheetId="6" r:id="rId6"/>
    <sheet name="Mortality decline" sheetId="9" r:id="rId7"/>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9" i="11" l="1"/>
  <c r="F9" i="11"/>
  <c r="B9" i="11"/>
  <c r="D8" i="11"/>
  <c r="F8" i="11"/>
  <c r="B8" i="11"/>
  <c r="F35" i="11"/>
  <c r="F28" i="11"/>
  <c r="F37" i="11"/>
  <c r="F39" i="11"/>
  <c r="F7" i="11"/>
  <c r="F38" i="11"/>
  <c r="F40" i="11"/>
  <c r="F41" i="11"/>
  <c r="F42" i="11"/>
  <c r="F44" i="11"/>
  <c r="F45" i="11"/>
  <c r="F47" i="11"/>
  <c r="D35" i="11"/>
  <c r="D28" i="11"/>
  <c r="D37" i="11"/>
  <c r="D39" i="11"/>
  <c r="D38" i="11"/>
  <c r="D40" i="11"/>
  <c r="D41" i="11"/>
  <c r="D42" i="11"/>
  <c r="D44" i="11"/>
  <c r="D45" i="11"/>
  <c r="D47" i="11"/>
  <c r="B35" i="11"/>
  <c r="B28" i="11"/>
  <c r="B37" i="11"/>
  <c r="B39" i="11"/>
  <c r="B38" i="11"/>
  <c r="B40" i="11"/>
  <c r="B41" i="11"/>
  <c r="B42" i="11"/>
  <c r="B44" i="11"/>
  <c r="B45" i="11"/>
  <c r="B47" i="11"/>
  <c r="D46" i="8"/>
  <c r="F46" i="8"/>
  <c r="B46" i="8"/>
  <c r="D45" i="8"/>
  <c r="F45" i="8"/>
  <c r="B45" i="8"/>
  <c r="D15" i="8"/>
  <c r="F15" i="8"/>
  <c r="F14" i="8"/>
  <c r="B17" i="8"/>
  <c r="B15" i="8"/>
  <c r="B14" i="8"/>
  <c r="I4" i="9"/>
  <c r="L3" i="9"/>
  <c r="L4" i="9"/>
  <c r="L5" i="9"/>
  <c r="L6" i="9"/>
  <c r="L7" i="9"/>
  <c r="L8" i="9"/>
  <c r="L9" i="9"/>
  <c r="L10" i="9"/>
  <c r="B5" i="9"/>
  <c r="B6" i="9"/>
  <c r="B7" i="9"/>
  <c r="B8" i="9"/>
  <c r="B9" i="9"/>
  <c r="B10" i="9"/>
  <c r="I3" i="9"/>
  <c r="I2" i="9"/>
  <c r="F6" i="8"/>
  <c r="F7" i="8"/>
  <c r="D7" i="8"/>
  <c r="B7" i="8"/>
  <c r="B12" i="8"/>
  <c r="D12" i="8"/>
  <c r="F12" i="8"/>
  <c r="B16" i="8"/>
  <c r="D16" i="8"/>
  <c r="F16" i="8"/>
  <c r="D17" i="8"/>
  <c r="F17" i="8"/>
  <c r="B20" i="8"/>
  <c r="D20" i="8"/>
  <c r="F20" i="8"/>
  <c r="B33" i="8"/>
  <c r="D33" i="8"/>
  <c r="F33" i="8"/>
  <c r="B40" i="8"/>
  <c r="D40" i="8"/>
  <c r="F40" i="8"/>
  <c r="B42" i="8"/>
  <c r="D42" i="8"/>
  <c r="F42" i="8"/>
  <c r="B44" i="8"/>
  <c r="D44" i="8"/>
  <c r="F44" i="8"/>
  <c r="F33" i="6"/>
  <c r="F26" i="6"/>
  <c r="F35" i="6"/>
  <c r="F37" i="6"/>
  <c r="F6" i="6"/>
  <c r="F7" i="6"/>
  <c r="F36" i="6"/>
  <c r="F38" i="6"/>
  <c r="F39" i="6"/>
  <c r="F40" i="6"/>
  <c r="F42" i="6"/>
  <c r="F43" i="6"/>
  <c r="F45" i="6"/>
  <c r="D33" i="6"/>
  <c r="D26" i="6"/>
  <c r="D35" i="6"/>
  <c r="D37" i="6"/>
  <c r="D7" i="6"/>
  <c r="D36" i="6"/>
  <c r="D38" i="6"/>
  <c r="D39" i="6"/>
  <c r="D40" i="6"/>
  <c r="D42" i="6"/>
  <c r="D43" i="6"/>
  <c r="D45" i="6"/>
  <c r="B33" i="6"/>
  <c r="B26" i="6"/>
  <c r="B35" i="6"/>
  <c r="B37" i="6"/>
  <c r="B7" i="6"/>
  <c r="B36" i="6"/>
  <c r="B38" i="6"/>
  <c r="B39" i="6"/>
  <c r="B40" i="6"/>
  <c r="B42" i="6"/>
  <c r="B43" i="6"/>
  <c r="B45" i="6"/>
  <c r="F6" i="5"/>
  <c r="F33" i="5"/>
  <c r="F26" i="5"/>
  <c r="F35" i="5"/>
  <c r="F37" i="5"/>
  <c r="F7" i="5"/>
  <c r="F36" i="5"/>
  <c r="F38" i="5"/>
  <c r="F39" i="5"/>
  <c r="F40" i="5"/>
  <c r="F42" i="5"/>
  <c r="F43" i="5"/>
  <c r="F45" i="5"/>
  <c r="D33" i="5"/>
  <c r="D26" i="5"/>
  <c r="D35" i="5"/>
  <c r="D37" i="5"/>
  <c r="D7" i="5"/>
  <c r="D36" i="5"/>
  <c r="D38" i="5"/>
  <c r="D39" i="5"/>
  <c r="D40" i="5"/>
  <c r="D42" i="5"/>
  <c r="D43" i="5"/>
  <c r="D45" i="5"/>
  <c r="B33" i="5"/>
  <c r="B26" i="5"/>
  <c r="B35" i="5"/>
  <c r="B37" i="5"/>
  <c r="B7" i="5"/>
  <c r="B36" i="5"/>
  <c r="B38" i="5"/>
  <c r="B39" i="5"/>
  <c r="B40" i="5"/>
  <c r="B42" i="5"/>
  <c r="B43" i="5"/>
  <c r="B45" i="5"/>
  <c r="F33" i="4"/>
  <c r="F26" i="4"/>
  <c r="F35" i="4"/>
  <c r="F37" i="4"/>
  <c r="F6" i="4"/>
  <c r="F7" i="4"/>
  <c r="F36" i="4"/>
  <c r="F38" i="4"/>
  <c r="F39" i="4"/>
  <c r="F40" i="4"/>
  <c r="F42" i="4"/>
  <c r="F43" i="4"/>
  <c r="F45" i="4"/>
  <c r="D33" i="4"/>
  <c r="D26" i="4"/>
  <c r="D35" i="4"/>
  <c r="D37" i="4"/>
  <c r="D7" i="4"/>
  <c r="D36" i="4"/>
  <c r="D38" i="4"/>
  <c r="D39" i="4"/>
  <c r="D40" i="4"/>
  <c r="D42" i="4"/>
  <c r="D43" i="4"/>
  <c r="D45" i="4"/>
  <c r="B33" i="4"/>
  <c r="B26" i="4"/>
  <c r="B35" i="4"/>
  <c r="B37" i="4"/>
  <c r="B7" i="4"/>
  <c r="B36" i="4"/>
  <c r="B38" i="4"/>
  <c r="B39" i="4"/>
  <c r="B40" i="4"/>
  <c r="B42" i="4"/>
  <c r="B43" i="4"/>
  <c r="B45" i="4"/>
  <c r="D7" i="2"/>
  <c r="F7" i="2"/>
  <c r="B7" i="2"/>
  <c r="F6" i="2"/>
  <c r="B26" i="2"/>
  <c r="D26" i="2"/>
  <c r="F26" i="2"/>
  <c r="B33" i="2"/>
  <c r="D33" i="2"/>
  <c r="F33" i="2"/>
  <c r="B35" i="2"/>
  <c r="D35" i="2"/>
  <c r="F35" i="2"/>
  <c r="B36" i="2"/>
  <c r="D36" i="2"/>
  <c r="F36" i="2"/>
  <c r="B37" i="2"/>
  <c r="D37" i="2"/>
  <c r="F37" i="2"/>
  <c r="B38" i="2"/>
  <c r="D38" i="2"/>
  <c r="F38" i="2"/>
  <c r="B39" i="2"/>
  <c r="D39" i="2"/>
  <c r="F39" i="2"/>
  <c r="B40" i="2"/>
  <c r="D40" i="2"/>
  <c r="F40" i="2"/>
  <c r="B42" i="2"/>
  <c r="D42" i="2"/>
  <c r="F42" i="2"/>
  <c r="B43" i="2"/>
  <c r="D43" i="2"/>
  <c r="F43" i="2"/>
  <c r="B45" i="2"/>
  <c r="D45" i="2"/>
  <c r="F45" i="2"/>
</calcChain>
</file>

<file path=xl/sharedStrings.xml><?xml version="1.0" encoding="utf-8"?>
<sst xmlns="http://schemas.openxmlformats.org/spreadsheetml/2006/main" count="620" uniqueCount="86">
  <si>
    <t>Cost per life saved</t>
  </si>
  <si>
    <t>Lives saved</t>
  </si>
  <si>
    <t>Deaths averted per CHP per year</t>
  </si>
  <si>
    <t>Deaths averted under 5 per year</t>
  </si>
  <si>
    <t>Deaths averted under 5 over 5 year period</t>
  </si>
  <si>
    <t>Endline deaths under 5</t>
  </si>
  <si>
    <t>Baseline deaths under 5</t>
  </si>
  <si>
    <t>Endline 5q0 (deaths per 1000 live births)</t>
  </si>
  <si>
    <t>Under-5 children in treatment clusters</t>
  </si>
  <si>
    <t>Cost from 2014-2018</t>
  </si>
  <si>
    <t>Cost in 2018</t>
  </si>
  <si>
    <t>Cost in 2017</t>
  </si>
  <si>
    <t>Cost in 2016</t>
  </si>
  <si>
    <t>Cost in 2015</t>
  </si>
  <si>
    <t>Cost in 2014</t>
  </si>
  <si>
    <t># of CHP-Years 2014-2018</t>
  </si>
  <si>
    <t>"Agents", Living Goods draft budget (2015-2018)</t>
  </si>
  <si>
    <t># of CHPs in 2018</t>
  </si>
  <si>
    <t># of CHPs in 2017</t>
  </si>
  <si>
    <t># of CHPs in 2016</t>
  </si>
  <si>
    <t># of CHPs in 2015</t>
  </si>
  <si>
    <t># of CHPs in 2014</t>
  </si>
  <si>
    <t>Include 2018</t>
  </si>
  <si>
    <t>Include 2017</t>
  </si>
  <si>
    <t>Include 2016</t>
  </si>
  <si>
    <t>Include 2015</t>
  </si>
  <si>
    <t>Include 2014</t>
  </si>
  <si>
    <t># of CHPs covering the treatment villages</t>
  </si>
  <si>
    <t>Baseline 5q0 (deaths per 1000 live births)</t>
  </si>
  <si>
    <t># of children under 5 per household</t>
  </si>
  <si>
    <t>Households with a child under 5 per village</t>
  </si>
  <si>
    <t>Treatment villages</t>
  </si>
  <si>
    <t>Mortality reduction adjusted for contamination, replicability, and external validity</t>
  </si>
  <si>
    <t>Mortality reduction adjusted for contamination</t>
  </si>
  <si>
    <t>Replicability adjustment</t>
  </si>
  <si>
    <t>External validity adjustment</t>
  </si>
  <si>
    <t>Mortality reduction in the RCT</t>
  </si>
  <si>
    <t>Source</t>
  </si>
  <si>
    <t>Pessimistic</t>
  </si>
  <si>
    <t>Optimistic</t>
  </si>
  <si>
    <t>Base case</t>
  </si>
  <si>
    <t>Full Living Goods review: http://www.givewell.org/international/charities/living-goods</t>
  </si>
  <si>
    <t xml:space="preserve">NOTE: This version of the Living Goods CEA uses the 5q0 metric in its calculation. It may be conceptually easier to understand this CEA when using under-5 mortality rates instead (see Sheet "U5MR (Jake's Assumptions)"). Both versions estimate a very similar cost-effectiveness for Living Goods. </t>
  </si>
  <si>
    <t>Mortality reduction adjusted for replicability and external validity</t>
  </si>
  <si>
    <t>LG branches only (RCT data cited in "Living Goods Draft Cost per Life Saved Methodology")</t>
  </si>
  <si>
    <t>Though the published preliminary abstract (Bjorkman-Nykvist et al. 2014 abstract) says that the program reduced under-five mortality by 25%, the more up-to-date unpublished report that Living Goods shared with us shows the under-five mortality reduction to be 27%. Living Goods told us that 27% is the more accurate number (Email from Chuck Slaughter, Founder and President, Brad Presner, Director of Analytics, and Lisa McCandless, Director of Development, Living Goods, November 24, 2014)</t>
  </si>
  <si>
    <t>Living Goods plans to scale up its program within Uganda to areas that it expects to be similar to the areas in which it implemented its RCT, so we do not apply an external validity adjustment in most of these cost-effectiveness scenarios.</t>
  </si>
  <si>
    <t>Living Goods plans to scale up its program within Uganda to areas that it expects to be similar to the areas in which it implemented its RCT, so we do not apply an external validity adjustment in most of these cost-effectiveness scenarios. (We apply a slight adjustment in this "Pessimistic" scenario because of the possibility that scale-up villages differ from RCT villages in ways that may reduce the effectiveness of Living Goods' program.)</t>
  </si>
  <si>
    <t>This adjustment represents our subjective guess about whether the RCT results would be replicated if another RCT were done on the scale up program. This adjustment aims to capture both the strength of our belief in the accuracy of the RCT results as well as in the likelihood that Living Goods and BRAC will be able to replicate the results at a greater scale.</t>
  </si>
  <si>
    <t>This adjustment represents our subjective guess about whether the RCT results would be replicated if another RCT were done on the scale up program. This adjustment aims to capture both the strength of our belief in the accuracy of the RCT results as well as in the likelihood that Living Goods and BRAC will be able to replicate the results at a greater scale. It is arbitrarily low in this "Pessimistic" scenario, based on the resulting mortality reduction around the lower bound of the 95% confidence interval estimated by the RCT.</t>
  </si>
  <si>
    <t>Average assuming decline from 2011 to 2013 projected forward for 2014-2016: 59. 59 is also the predicted rate in 2015. See "Mortality decline" tab.</t>
  </si>
  <si>
    <t>Observed 5q0 in 2013. See "Mortality decline" tab.</t>
  </si>
  <si>
    <t>Average assuming decline from 2011 to 2013 projected forward from 2014 to 2018: 56. See "Mortality decline" tab.</t>
  </si>
  <si>
    <t>This adjustment represents our subjective guess about whether the RCT results would be replicated if another RCT were done on the scale up program. This adjustment aims to capture both the strength of our belief in the accuracy of the RCT results as well as in the likelihood that Living Goods and BRAC will be able to replicate the results at a greater scale. It is arbitrarily low in this "Pessimistic" scenario.</t>
  </si>
  <si>
    <t>"Funding Need", Living Goods draft budget (2015-2018). Note that this "funding need" estimate already excludes projected program revenue.</t>
  </si>
  <si>
    <t>"Funding Need", sum of "Living Goods Uganda" and "BRAC Uganda", Living Goods draft budget (2015-2018). Note that this "funding need" estimate already excludes projected program revenue.</t>
  </si>
  <si>
    <t xml:space="preserve">NOTE: 1) This version of the Living Goods CEA uses an approach that Living Goods favors relative to the approach taken in the main "Jake's assumptions" and "Natalie's assumptions" sheets. It attempts to calculate an average cost per life saved for Living Goods’ Uganda program only. This excludes many costs that Living Goods expects to incur regardless of the number of CHPs it supports, namely, U.S. headquarters costs and the costs of supporting the partnership team. This estimate is not directly comparable with cost effectiveness estimates we have created for other charities. 2) This version of the Living Goods CEA uses the 5q0 metric in its calculation. It may be conceptually easier to understand this CEA when using under-5 mortality rates instead (see Sheet "U5MR (Jake's Assumptions)"). Both versions estimate a very similar cost-effectiveness for Living Goods. </t>
  </si>
  <si>
    <t>Compare to: Natalie's Assumptions "Cost per life saved"</t>
  </si>
  <si>
    <t>Compare to: Jake's Assumptions "Cost per life saved"</t>
  </si>
  <si>
    <t>Under 5 deaths averted per CHP per year</t>
  </si>
  <si>
    <t>Deaths averted per 100,000 children under 5 per year</t>
  </si>
  <si>
    <t>Under 5 mortality rate for children served by CHPs (deaths per 100,000 children under 5 per year)</t>
  </si>
  <si>
    <t>Under 5 mortality rate for children not served by CHPs (deaths per 100,000 children under 5 per year)</t>
  </si>
  <si>
    <t>Under-5 children served by CHPs</t>
  </si>
  <si>
    <t>Year</t>
  </si>
  <si>
    <t>5q0</t>
  </si>
  <si>
    <t>Year interval</t>
  </si>
  <si>
    <t>Decline</t>
  </si>
  <si>
    <t>Mortality rate</t>
  </si>
  <si>
    <t>World Bank (http://data.worldbank.org/indicator/SH.DYN.MORT)</t>
  </si>
  <si>
    <t>2011 to 2012</t>
  </si>
  <si>
    <t>http://vizhub.healthdata.org/gbd-compare/ (note: from 2010)</t>
  </si>
  <si>
    <t>2012 to 2013</t>
  </si>
  <si>
    <t>avg (2011 to 2013)</t>
  </si>
  <si>
    <t>Average from 2014-2018</t>
  </si>
  <si>
    <t>Projected under 5 deaths averted per year for children served by CHPs</t>
  </si>
  <si>
    <t>Projected cost per CHP per year</t>
  </si>
  <si>
    <t>Average mortality for 2014-2016 assuming reduction rates for 5q0 from 2011 to 2013 projected forward for under-5 mortality. See "Mortality decline" tab.</t>
  </si>
  <si>
    <t>Last observed mortality rate (from 2010). See "Mortality decline" tab.</t>
  </si>
  <si>
    <t>Average mortality for 2014-2018 assuming reduction rates for 5q0 from 2011 to 2013 projected forward for under-5 mortality. See "Mortality decline" tab.</t>
  </si>
  <si>
    <t>Households in control group visited by CHPs, as a percentage of treatment group households visited by CHPs</t>
  </si>
  <si>
    <t>RCT data cited in report to CIFF: % of households visited by CHP in control group / % of households visited by CHP in treatment group. Unpublished source.</t>
  </si>
  <si>
    <t>This adjustment represents our subjective guess about whether the RCT results would be replicated if another RCT were done on the scale up program (assuming that the contamination in the control group should be adjusted for). This adjustment aims to capture both the strength of our belief in the accuracy of the RCT results (assuming that the contamination in the control group should be adjusted for) as well as in the likelihood that Living Goods and BRAC will be able to replicate the results at a greater scale.</t>
  </si>
  <si>
    <t>This adjustment represents our subjective guess about whether the RCT results would be replicated if another RCT were done on the scale up program (assuming that the contamination in the control group should be adjusted for). This adjustment aims to capture both the strength of our belief in the accuracy of the RCT results (assuming that the contamination in the control group should be adjusted for) as well as in the likelihood that Living Goods and BRAC will be able to replicate the results at a greater scale. It is arbitrarily low in this "Pessimistic" scenario, based on the resulting mortality reduction around the lower bound of the 95% confidence interval estimated by the RCT.</t>
  </si>
  <si>
    <t>Though the published preliminary abstract (Bjorkman-Nykvist et al. 2014 abstract) says that the program reduced under-five mortality by 25%, the more up-to-date unpublished report that Living Goods shared with us shows the under-five mortality reduction to be 27%. Living Goods told us that 27% is the more accurate number (Email from Chuck Slaughter, Founder and President, Brad Presner, Director of Analytics, and Lisa McCandless, Director of Development, Living Goods, November 24, 2014).</t>
  </si>
  <si>
    <t>We have varied, across scenarios, the number of years we include in the estimate. Since Living Goods expects its cost per CHP to decline as it scales, it is more conservative to only include costs and benefits for the next 1-3 years than it is to include all 5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</si>
</sst>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_);_(&quot;$&quot;* \(#,##0\);_(&quot;$&quot;* &quot;-&quot;_);_(@_)"/>
    <numFmt numFmtId="165" formatCode="_(&quot;$&quot;* #,##0.00_);_(&quot;$&quot;* \(#,##0.00\);_(&quot;$&quot;* &quot;-&quot;??_);_(@_)"/>
    <numFmt numFmtId="166" formatCode="_(* #,##0.00_);_(* \(#,##0.00\);_(* &quot;-&quot;??_);_(@_)"/>
    <numFmt numFmtId="167" formatCode="_(&quot;$&quot;* #,##0_);_(&quot;$&quot;* \(#,##0\);_(&quot;$&quot;* &quot;-&quot;??_);_(@_)"/>
    <numFmt numFmtId="168" formatCode="0.0"/>
    <numFmt numFmtId="169" formatCode="_(* #,##0_);_(* \(#,##0\);_(* &quot;-&quot;??_);_(@_)"/>
    <numFmt numFmtId="170" formatCode="0.000000000000000%"/>
  </numFmts>
  <fonts count="9" x14ac:knownFonts="1">
    <font>
      <sz val="12"/>
      <color theme="1"/>
      <name val="Calibri"/>
      <family val="2"/>
      <scheme val="minor"/>
    </font>
    <font>
      <sz val="12"/>
      <color theme="1"/>
      <name val="Calibri"/>
      <family val="2"/>
      <scheme val="minor"/>
    </font>
    <font>
      <sz val="12"/>
      <color rgb="FF3F3F76"/>
      <name val="Calibri"/>
      <family val="2"/>
      <scheme val="minor"/>
    </font>
    <font>
      <b/>
      <sz val="12"/>
      <color rgb="FF3F3F3F"/>
      <name val="Calibri"/>
      <family val="2"/>
      <scheme val="minor"/>
    </font>
    <font>
      <b/>
      <sz val="12"/>
      <color theme="1"/>
      <name val="Calibri"/>
      <family val="2"/>
      <scheme val="minor"/>
    </font>
    <font>
      <sz val="12"/>
      <name val="Calibri"/>
      <scheme val="minor"/>
    </font>
    <font>
      <u/>
      <sz val="12"/>
      <color theme="10"/>
      <name val="Calibri"/>
      <family val="2"/>
      <scheme val="minor"/>
    </font>
    <font>
      <u/>
      <sz val="12"/>
      <color theme="11"/>
      <name val="Calibri"/>
      <family val="2"/>
      <scheme val="minor"/>
    </font>
    <font>
      <sz val="12"/>
      <color rgb="FF000000"/>
      <name val="Calibri"/>
      <scheme val="minor"/>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theme="9" tint="0.39997558519241921"/>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rgb="FF3F3F3F"/>
      </top>
      <bottom style="thin">
        <color auto="1"/>
      </bottom>
      <diagonal/>
    </border>
    <border>
      <left style="thin">
        <color auto="1"/>
      </left>
      <right style="thin">
        <color auto="1"/>
      </right>
      <top/>
      <bottom/>
      <diagonal/>
    </border>
    <border>
      <left style="thin">
        <color auto="1"/>
      </left>
      <right style="thin">
        <color auto="1"/>
      </right>
      <top style="thin">
        <color rgb="FF7F7F7F"/>
      </top>
      <bottom style="thin">
        <color rgb="FF7F7F7F"/>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83">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166" fontId="1" fillId="0" borderId="0" applyFont="0" applyFill="0" applyBorder="0" applyAlignment="0" applyProtection="0"/>
    <xf numFmtId="165"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46">
    <xf numFmtId="0" fontId="0" fillId="0" borderId="0" xfId="0"/>
    <xf numFmtId="0" fontId="0" fillId="0" borderId="0" xfId="0" applyFill="1"/>
    <xf numFmtId="167" fontId="3" fillId="3" borderId="3" xfId="4" applyNumberFormat="1" applyBorder="1"/>
    <xf numFmtId="0" fontId="0" fillId="0" borderId="4" xfId="0" applyBorder="1"/>
    <xf numFmtId="1" fontId="0" fillId="0" borderId="4" xfId="0" applyNumberFormat="1" applyBorder="1"/>
    <xf numFmtId="2" fontId="0" fillId="0" borderId="4" xfId="0" applyNumberFormat="1" applyBorder="1"/>
    <xf numFmtId="1" fontId="0" fillId="0" borderId="4" xfId="0" applyNumberFormat="1" applyFont="1" applyBorder="1"/>
    <xf numFmtId="0" fontId="0" fillId="0" borderId="0" xfId="0" applyFont="1" applyFill="1"/>
    <xf numFmtId="168" fontId="0" fillId="0" borderId="4" xfId="0" applyNumberFormat="1" applyFont="1" applyBorder="1"/>
    <xf numFmtId="169" fontId="0" fillId="0" borderId="4" xfId="5" applyNumberFormat="1" applyFont="1" applyBorder="1"/>
    <xf numFmtId="167" fontId="0" fillId="0" borderId="4" xfId="0" applyNumberFormat="1" applyBorder="1"/>
    <xf numFmtId="167" fontId="2" fillId="2" borderId="5" xfId="3" applyNumberFormat="1" applyBorder="1"/>
    <xf numFmtId="3" fontId="0" fillId="0" borderId="4" xfId="0" applyNumberFormat="1" applyBorder="1"/>
    <xf numFmtId="169" fontId="2" fillId="2" borderId="5" xfId="3" applyNumberFormat="1" applyBorder="1"/>
    <xf numFmtId="3" fontId="2" fillId="2" borderId="5" xfId="3" applyNumberFormat="1" applyBorder="1"/>
    <xf numFmtId="0" fontId="2" fillId="2" borderId="5" xfId="3" applyBorder="1"/>
    <xf numFmtId="170" fontId="0" fillId="0" borderId="0" xfId="0" applyNumberFormat="1"/>
    <xf numFmtId="9" fontId="2" fillId="2" borderId="5" xfId="3" applyNumberFormat="1" applyBorder="1"/>
    <xf numFmtId="9" fontId="2" fillId="2" borderId="5" xfId="2" applyFont="1" applyFill="1" applyBorder="1"/>
    <xf numFmtId="0" fontId="5" fillId="0" borderId="0" xfId="0" applyFont="1" applyFill="1"/>
    <xf numFmtId="0" fontId="4" fillId="0" borderId="6" xfId="0" applyFont="1" applyBorder="1"/>
    <xf numFmtId="0" fontId="4" fillId="0" borderId="0" xfId="0" applyFont="1"/>
    <xf numFmtId="9" fontId="0" fillId="0" borderId="4" xfId="2" applyNumberFormat="1" applyFont="1" applyBorder="1"/>
    <xf numFmtId="0" fontId="8" fillId="0" borderId="0" xfId="0" applyFont="1"/>
    <xf numFmtId="164" fontId="0" fillId="0" borderId="4" xfId="1" applyFont="1" applyFill="1" applyBorder="1"/>
    <xf numFmtId="164" fontId="3" fillId="3" borderId="8" xfId="4" applyNumberFormat="1" applyBorder="1"/>
    <xf numFmtId="164" fontId="0" fillId="0" borderId="4" xfId="1" applyFont="1" applyBorder="1"/>
    <xf numFmtId="164" fontId="2" fillId="2" borderId="5" xfId="3" applyNumberFormat="1" applyBorder="1"/>
    <xf numFmtId="166" fontId="0" fillId="0" borderId="4" xfId="0" applyNumberFormat="1" applyBorder="1"/>
    <xf numFmtId="0" fontId="0" fillId="0" borderId="0" xfId="0" applyFont="1"/>
    <xf numFmtId="9" fontId="4" fillId="0" borderId="0" xfId="2" applyFont="1"/>
    <xf numFmtId="0" fontId="0" fillId="4" borderId="0" xfId="0" applyFont="1" applyFill="1"/>
    <xf numFmtId="9" fontId="0" fillId="0" borderId="0" xfId="2" applyFont="1"/>
    <xf numFmtId="0" fontId="0" fillId="4" borderId="0" xfId="0" applyFill="1"/>
    <xf numFmtId="1" fontId="0" fillId="4" borderId="0" xfId="0" applyNumberFormat="1" applyFill="1"/>
    <xf numFmtId="1" fontId="0" fillId="0" borderId="0" xfId="0" applyNumberFormat="1"/>
    <xf numFmtId="164" fontId="0" fillId="0" borderId="10" xfId="1" applyFont="1" applyFill="1" applyBorder="1"/>
    <xf numFmtId="164" fontId="0" fillId="0" borderId="11" xfId="1" applyFont="1" applyFill="1" applyBorder="1"/>
    <xf numFmtId="164" fontId="0" fillId="0" borderId="12" xfId="1" applyFont="1" applyFill="1" applyBorder="1"/>
    <xf numFmtId="9" fontId="2" fillId="5" borderId="9" xfId="3" applyNumberFormat="1" applyFill="1" applyBorder="1"/>
    <xf numFmtId="9" fontId="2" fillId="2" borderId="9" xfId="3" applyNumberFormat="1" applyBorder="1"/>
    <xf numFmtId="9" fontId="2" fillId="5" borderId="13" xfId="3" applyNumberFormat="1" applyFill="1" applyBorder="1"/>
    <xf numFmtId="9" fontId="2" fillId="5" borderId="14" xfId="3" applyNumberFormat="1" applyFill="1" applyBorder="1"/>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xf>
  </cellXfs>
  <cellStyles count="83">
    <cellStyle name="Comma 2" xfId="5"/>
    <cellStyle name="Comma 2 2" xfId="43"/>
    <cellStyle name="Currency [0]" xfId="1" builtinId="7"/>
    <cellStyle name="Currency [0] 2" xfId="44"/>
    <cellStyle name="Currency 2" xfId="6"/>
    <cellStyle name="Currency 3" xfId="45"/>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Input" xfId="3" builtinId="20"/>
    <cellStyle name="Normal" xfId="0" builtinId="0"/>
    <cellStyle name="Output" xfId="4" builtinId="21"/>
    <cellStyle name="Percent" xfId="2" builtinId="5"/>
    <cellStyle name="Percent 2" xfId="46"/>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tabSelected="1" workbookViewId="0"/>
  </sheetViews>
  <sheetFormatPr baseColWidth="10" defaultRowHeight="15" x14ac:dyDescent="0"/>
  <cols>
    <col min="1" max="1" width="88.6640625" bestFit="1" customWidth="1"/>
    <col min="2" max="2" width="15.33203125" customWidth="1"/>
    <col min="3" max="3" width="13.33203125" customWidth="1"/>
    <col min="4" max="4" width="14.5" customWidth="1"/>
    <col min="5" max="5" width="14.6640625" customWidth="1"/>
    <col min="6" max="6" width="15.33203125" customWidth="1"/>
    <col min="8" max="8" width="12.5" bestFit="1" customWidth="1"/>
    <col min="16" max="16" width="10.83203125" style="1"/>
  </cols>
  <sheetData>
    <row r="1" spans="1:13">
      <c r="A1" t="s">
        <v>41</v>
      </c>
    </row>
    <row r="2" spans="1:13">
      <c r="A2" s="21" t="s">
        <v>42</v>
      </c>
    </row>
    <row r="3" spans="1:13">
      <c r="B3" s="20" t="s">
        <v>40</v>
      </c>
      <c r="C3" t="s">
        <v>37</v>
      </c>
      <c r="D3" s="20" t="s">
        <v>39</v>
      </c>
      <c r="E3" t="s">
        <v>37</v>
      </c>
      <c r="F3" s="20" t="s">
        <v>38</v>
      </c>
      <c r="G3" t="s">
        <v>37</v>
      </c>
    </row>
    <row r="4" spans="1:13">
      <c r="A4" s="19" t="s">
        <v>36</v>
      </c>
      <c r="B4" s="17">
        <v>0.27</v>
      </c>
      <c r="C4" t="s">
        <v>84</v>
      </c>
      <c r="D4" s="17">
        <v>0.27</v>
      </c>
      <c r="E4" t="s">
        <v>45</v>
      </c>
      <c r="F4" s="17">
        <v>0.27</v>
      </c>
      <c r="G4" t="s">
        <v>45</v>
      </c>
    </row>
    <row r="5" spans="1:13">
      <c r="A5" s="1" t="s">
        <v>35</v>
      </c>
      <c r="B5" s="18">
        <v>1</v>
      </c>
      <c r="C5" t="s">
        <v>46</v>
      </c>
      <c r="D5" s="18">
        <v>1</v>
      </c>
      <c r="E5" t="s">
        <v>46</v>
      </c>
      <c r="F5" s="18">
        <v>0.9</v>
      </c>
      <c r="G5" t="s">
        <v>47</v>
      </c>
    </row>
    <row r="6" spans="1:13">
      <c r="A6" s="1" t="s">
        <v>34</v>
      </c>
      <c r="B6" s="17">
        <v>0.5</v>
      </c>
      <c r="C6" s="23" t="s">
        <v>48</v>
      </c>
      <c r="D6" s="17">
        <v>1</v>
      </c>
      <c r="E6" s="23" t="s">
        <v>48</v>
      </c>
      <c r="F6" s="17">
        <f>6%/26%</f>
        <v>0.23076923076923075</v>
      </c>
      <c r="G6" s="16" t="s">
        <v>49</v>
      </c>
    </row>
    <row r="7" spans="1:13">
      <c r="A7" s="1" t="s">
        <v>43</v>
      </c>
      <c r="B7" s="22">
        <f>B4*B6*B5</f>
        <v>0.13500000000000001</v>
      </c>
      <c r="C7" s="22"/>
      <c r="D7" s="22">
        <f t="shared" ref="D7:F7" si="0">D4*D6*D5</f>
        <v>0.27</v>
      </c>
      <c r="E7" s="22"/>
      <c r="F7" s="22">
        <f t="shared" si="0"/>
        <v>5.607692307692308E-2</v>
      </c>
    </row>
    <row r="8" spans="1:13">
      <c r="B8" s="3"/>
      <c r="D8" s="3"/>
      <c r="F8" s="3"/>
    </row>
    <row r="9" spans="1:13">
      <c r="A9" s="1" t="s">
        <v>31</v>
      </c>
      <c r="B9" s="15">
        <v>62</v>
      </c>
      <c r="C9" t="s">
        <v>44</v>
      </c>
      <c r="D9" s="15">
        <v>62</v>
      </c>
      <c r="E9" t="s">
        <v>44</v>
      </c>
      <c r="F9" s="15">
        <v>62</v>
      </c>
      <c r="G9" t="s">
        <v>44</v>
      </c>
    </row>
    <row r="10" spans="1:13">
      <c r="A10" s="1" t="s">
        <v>30</v>
      </c>
      <c r="B10" s="15">
        <v>95</v>
      </c>
      <c r="C10" t="s">
        <v>44</v>
      </c>
      <c r="D10" s="15">
        <v>95</v>
      </c>
      <c r="E10" t="s">
        <v>44</v>
      </c>
      <c r="F10" s="15">
        <v>95</v>
      </c>
      <c r="G10" t="s">
        <v>44</v>
      </c>
    </row>
    <row r="11" spans="1:13">
      <c r="A11" s="1" t="s">
        <v>29</v>
      </c>
      <c r="B11" s="15">
        <v>1.6</v>
      </c>
      <c r="C11" t="s">
        <v>44</v>
      </c>
      <c r="D11" s="15">
        <v>1.6</v>
      </c>
      <c r="E11" t="s">
        <v>44</v>
      </c>
      <c r="F11" s="15">
        <v>1.6</v>
      </c>
      <c r="G11" t="s">
        <v>44</v>
      </c>
    </row>
    <row r="12" spans="1:13">
      <c r="A12" s="1" t="s">
        <v>28</v>
      </c>
      <c r="B12" s="15">
        <v>59</v>
      </c>
      <c r="C12" s="1" t="s">
        <v>50</v>
      </c>
      <c r="D12" s="15">
        <v>66</v>
      </c>
      <c r="E12" s="1" t="s">
        <v>51</v>
      </c>
      <c r="F12" s="15">
        <v>56</v>
      </c>
      <c r="G12" s="1" t="s">
        <v>52</v>
      </c>
    </row>
    <row r="13" spans="1:13">
      <c r="A13" s="1" t="s">
        <v>27</v>
      </c>
      <c r="B13" s="15">
        <v>95</v>
      </c>
      <c r="C13" t="s">
        <v>44</v>
      </c>
      <c r="D13" s="15">
        <v>95</v>
      </c>
      <c r="E13" t="s">
        <v>44</v>
      </c>
      <c r="F13" s="15">
        <v>95</v>
      </c>
      <c r="G13" t="s">
        <v>44</v>
      </c>
    </row>
    <row r="14" spans="1:13">
      <c r="B14" s="3"/>
      <c r="D14" s="3"/>
      <c r="F14" s="3"/>
    </row>
    <row r="15" spans="1:13" ht="15" customHeight="1">
      <c r="A15" s="1" t="s">
        <v>26</v>
      </c>
      <c r="B15" s="14">
        <v>1</v>
      </c>
      <c r="C15" s="45" t="s">
        <v>85</v>
      </c>
      <c r="D15" s="14">
        <v>1</v>
      </c>
      <c r="E15" s="45" t="s">
        <v>85</v>
      </c>
      <c r="F15" s="14">
        <v>1</v>
      </c>
      <c r="G15" s="43" t="s">
        <v>85</v>
      </c>
      <c r="H15" s="44"/>
      <c r="I15" s="44"/>
      <c r="J15" s="44"/>
      <c r="K15" s="44"/>
      <c r="L15" s="44"/>
      <c r="M15" s="44"/>
    </row>
    <row r="16" spans="1:13">
      <c r="A16" s="1" t="s">
        <v>25</v>
      </c>
      <c r="B16" s="14">
        <v>1</v>
      </c>
      <c r="C16" s="45"/>
      <c r="D16" s="14">
        <v>1</v>
      </c>
      <c r="E16" s="45"/>
      <c r="F16" s="14">
        <v>0</v>
      </c>
      <c r="G16" s="43"/>
      <c r="H16" s="44"/>
      <c r="I16" s="44"/>
      <c r="J16" s="44"/>
      <c r="K16" s="44"/>
      <c r="L16" s="44"/>
      <c r="M16" s="44"/>
    </row>
    <row r="17" spans="1:13">
      <c r="A17" s="1" t="s">
        <v>24</v>
      </c>
      <c r="B17" s="14">
        <v>1</v>
      </c>
      <c r="C17" s="45"/>
      <c r="D17" s="14">
        <v>1</v>
      </c>
      <c r="E17" s="45"/>
      <c r="F17" s="14">
        <v>0</v>
      </c>
      <c r="G17" s="43"/>
      <c r="H17" s="44"/>
      <c r="I17" s="44"/>
      <c r="J17" s="44"/>
      <c r="K17" s="44"/>
      <c r="L17" s="44"/>
      <c r="M17" s="44"/>
    </row>
    <row r="18" spans="1:13">
      <c r="A18" s="1" t="s">
        <v>23</v>
      </c>
      <c r="B18" s="14">
        <v>0</v>
      </c>
      <c r="C18" s="45"/>
      <c r="D18" s="14">
        <v>1</v>
      </c>
      <c r="E18" s="45"/>
      <c r="F18" s="14">
        <v>0</v>
      </c>
      <c r="G18" s="43"/>
      <c r="H18" s="44"/>
      <c r="I18" s="44"/>
      <c r="J18" s="44"/>
      <c r="K18" s="44"/>
      <c r="L18" s="44"/>
      <c r="M18" s="44"/>
    </row>
    <row r="19" spans="1:13">
      <c r="A19" s="1" t="s">
        <v>22</v>
      </c>
      <c r="B19" s="14">
        <v>0</v>
      </c>
      <c r="C19" s="45"/>
      <c r="D19" s="14">
        <v>1</v>
      </c>
      <c r="E19" s="45"/>
      <c r="F19" s="14">
        <v>0</v>
      </c>
      <c r="G19" s="43"/>
      <c r="H19" s="44"/>
      <c r="I19" s="44"/>
      <c r="J19" s="44"/>
      <c r="K19" s="44"/>
      <c r="L19" s="44"/>
      <c r="M19" s="44"/>
    </row>
    <row r="20" spans="1:13">
      <c r="B20" s="3"/>
      <c r="D20" s="3"/>
      <c r="F20" s="3"/>
    </row>
    <row r="21" spans="1:13">
      <c r="A21" s="1" t="s">
        <v>21</v>
      </c>
      <c r="B21" s="13">
        <v>1380</v>
      </c>
      <c r="C21" t="s">
        <v>16</v>
      </c>
      <c r="D21" s="13">
        <v>1380</v>
      </c>
      <c r="E21" t="s">
        <v>16</v>
      </c>
      <c r="F21" s="13">
        <v>1380</v>
      </c>
      <c r="G21" t="s">
        <v>16</v>
      </c>
    </row>
    <row r="22" spans="1:13">
      <c r="A22" s="1" t="s">
        <v>20</v>
      </c>
      <c r="B22" s="13">
        <v>3794</v>
      </c>
      <c r="C22" t="s">
        <v>16</v>
      </c>
      <c r="D22" s="13">
        <v>3794</v>
      </c>
      <c r="E22" t="s">
        <v>16</v>
      </c>
      <c r="F22" s="13">
        <v>3794</v>
      </c>
      <c r="G22" t="s">
        <v>16</v>
      </c>
    </row>
    <row r="23" spans="1:13">
      <c r="A23" s="1" t="s">
        <v>19</v>
      </c>
      <c r="B23" s="13">
        <v>5662</v>
      </c>
      <c r="C23" t="s">
        <v>16</v>
      </c>
      <c r="D23" s="13">
        <v>5662</v>
      </c>
      <c r="E23" t="s">
        <v>16</v>
      </c>
      <c r="F23" s="13">
        <v>5662</v>
      </c>
      <c r="G23" t="s">
        <v>16</v>
      </c>
    </row>
    <row r="24" spans="1:13">
      <c r="A24" s="1" t="s">
        <v>18</v>
      </c>
      <c r="B24" s="13">
        <v>6209</v>
      </c>
      <c r="C24" t="s">
        <v>16</v>
      </c>
      <c r="D24" s="13">
        <v>6209</v>
      </c>
      <c r="E24" t="s">
        <v>16</v>
      </c>
      <c r="F24" s="13">
        <v>6209</v>
      </c>
      <c r="G24" t="s">
        <v>16</v>
      </c>
    </row>
    <row r="25" spans="1:13">
      <c r="A25" s="1" t="s">
        <v>17</v>
      </c>
      <c r="B25" s="13">
        <v>6645</v>
      </c>
      <c r="C25" t="s">
        <v>16</v>
      </c>
      <c r="D25" s="13">
        <v>6645</v>
      </c>
      <c r="E25" t="s">
        <v>16</v>
      </c>
      <c r="F25" s="13">
        <v>6645</v>
      </c>
      <c r="G25" t="s">
        <v>16</v>
      </c>
    </row>
    <row r="26" spans="1:13">
      <c r="A26" s="1" t="s">
        <v>15</v>
      </c>
      <c r="B26" s="12">
        <f>SUMPRODUCT(B15:B19,B21:B25)</f>
        <v>10836</v>
      </c>
      <c r="D26" s="12">
        <f>SUMPRODUCT(D15:D19,D21:D25)</f>
        <v>23690</v>
      </c>
      <c r="F26" s="12">
        <f>SUMPRODUCT(F15:F19,F21:F25)</f>
        <v>1380</v>
      </c>
    </row>
    <row r="27" spans="1:13">
      <c r="B27" s="12"/>
      <c r="D27" s="12"/>
      <c r="F27" s="12"/>
    </row>
    <row r="28" spans="1:13">
      <c r="A28" s="1" t="s">
        <v>14</v>
      </c>
      <c r="B28" s="11">
        <v>3937182.0275521101</v>
      </c>
      <c r="C28" t="s">
        <v>54</v>
      </c>
      <c r="D28" s="11">
        <v>3937182.0275521101</v>
      </c>
      <c r="E28" t="s">
        <v>54</v>
      </c>
      <c r="F28" s="11">
        <v>3937182.0275521101</v>
      </c>
      <c r="G28" t="s">
        <v>54</v>
      </c>
    </row>
    <row r="29" spans="1:13">
      <c r="A29" s="1" t="s">
        <v>13</v>
      </c>
      <c r="B29" s="11">
        <v>7099492</v>
      </c>
      <c r="C29" t="s">
        <v>54</v>
      </c>
      <c r="D29" s="11">
        <v>7099492</v>
      </c>
      <c r="E29" t="s">
        <v>54</v>
      </c>
      <c r="F29" s="11">
        <v>7099492</v>
      </c>
      <c r="G29" t="s">
        <v>54</v>
      </c>
    </row>
    <row r="30" spans="1:13">
      <c r="A30" s="1" t="s">
        <v>12</v>
      </c>
      <c r="B30" s="11">
        <v>8573646</v>
      </c>
      <c r="C30" t="s">
        <v>54</v>
      </c>
      <c r="D30" s="11">
        <v>8573646</v>
      </c>
      <c r="E30" t="s">
        <v>54</v>
      </c>
      <c r="F30" s="11">
        <v>8573646</v>
      </c>
      <c r="G30" t="s">
        <v>54</v>
      </c>
    </row>
    <row r="31" spans="1:13">
      <c r="A31" s="1" t="s">
        <v>11</v>
      </c>
      <c r="B31" s="11">
        <v>8610382</v>
      </c>
      <c r="C31" t="s">
        <v>54</v>
      </c>
      <c r="D31" s="11">
        <v>8610382</v>
      </c>
      <c r="E31" t="s">
        <v>54</v>
      </c>
      <c r="F31" s="11">
        <v>8610382</v>
      </c>
      <c r="G31" t="s">
        <v>54</v>
      </c>
    </row>
    <row r="32" spans="1:13">
      <c r="A32" s="1" t="s">
        <v>10</v>
      </c>
      <c r="B32" s="11">
        <v>8985147</v>
      </c>
      <c r="C32" t="s">
        <v>54</v>
      </c>
      <c r="D32" s="11">
        <v>8985147</v>
      </c>
      <c r="E32" t="s">
        <v>54</v>
      </c>
      <c r="F32" s="11">
        <v>8985147</v>
      </c>
      <c r="G32" t="s">
        <v>54</v>
      </c>
    </row>
    <row r="33" spans="1:6">
      <c r="A33" s="1" t="s">
        <v>9</v>
      </c>
      <c r="B33" s="10">
        <f>SUMPRODUCT(B15:B19,B28:B32)</f>
        <v>19610320.027552109</v>
      </c>
      <c r="D33" s="10">
        <f>SUMPRODUCT(D15:D19,D28:D32)</f>
        <v>37205849.027552113</v>
      </c>
      <c r="F33" s="10">
        <f>SUMPRODUCT(F15:F19,F28:F32)</f>
        <v>3937182.0275521101</v>
      </c>
    </row>
    <row r="34" spans="1:6">
      <c r="A34" s="1"/>
      <c r="B34" s="3"/>
      <c r="D34" s="3"/>
      <c r="F34" s="3"/>
    </row>
    <row r="35" spans="1:6">
      <c r="A35" s="7" t="s">
        <v>8</v>
      </c>
      <c r="B35" s="9">
        <f>B9*B10*B11</f>
        <v>9424</v>
      </c>
      <c r="D35" s="9">
        <f>D9*D10*D11</f>
        <v>9424</v>
      </c>
      <c r="F35" s="9">
        <f>F9*F10*F11</f>
        <v>9424</v>
      </c>
    </row>
    <row r="36" spans="1:6">
      <c r="A36" s="7" t="s">
        <v>7</v>
      </c>
      <c r="B36" s="8">
        <f>(1-B7)*B12</f>
        <v>51.034999999999997</v>
      </c>
      <c r="D36" s="8">
        <f>(1-D7)*D12</f>
        <v>48.18</v>
      </c>
      <c r="F36" s="8">
        <f>(1-F7)*F12</f>
        <v>52.859692307692306</v>
      </c>
    </row>
    <row r="37" spans="1:6">
      <c r="A37" s="7" t="s">
        <v>6</v>
      </c>
      <c r="B37" s="6">
        <f>((B12/1000)*B35)</f>
        <v>556.01599999999996</v>
      </c>
      <c r="D37" s="6">
        <f>((D12/1000)*D35)</f>
        <v>621.98400000000004</v>
      </c>
      <c r="F37" s="6">
        <f>((F12/1000)*F35)</f>
        <v>527.74400000000003</v>
      </c>
    </row>
    <row r="38" spans="1:6">
      <c r="A38" s="7" t="s">
        <v>5</v>
      </c>
      <c r="B38" s="6">
        <f>((B36/1000)*B35)</f>
        <v>480.95383999999996</v>
      </c>
      <c r="D38" s="6">
        <f>((D36/1000)*D35)</f>
        <v>454.04831999999999</v>
      </c>
      <c r="F38" s="6">
        <f>((F36/1000)*F35)</f>
        <v>498.1497403076923</v>
      </c>
    </row>
    <row r="39" spans="1:6">
      <c r="A39" s="7" t="s">
        <v>4</v>
      </c>
      <c r="B39" s="6">
        <f>B37-B38</f>
        <v>75.062160000000006</v>
      </c>
      <c r="D39" s="6">
        <f>D37-D38</f>
        <v>167.93568000000005</v>
      </c>
      <c r="F39" s="6">
        <f>F37-F38</f>
        <v>29.59425969230773</v>
      </c>
    </row>
    <row r="40" spans="1:6">
      <c r="A40" s="7" t="s">
        <v>3</v>
      </c>
      <c r="B40" s="6">
        <f>B39/5</f>
        <v>15.012432</v>
      </c>
      <c r="D40" s="6">
        <f>D39/5</f>
        <v>33.587136000000008</v>
      </c>
      <c r="F40" s="6">
        <f>F39/5</f>
        <v>5.9188519384615459</v>
      </c>
    </row>
    <row r="41" spans="1:6">
      <c r="A41" s="7"/>
      <c r="B41" s="6"/>
      <c r="D41" s="6"/>
      <c r="F41" s="6"/>
    </row>
    <row r="42" spans="1:6">
      <c r="A42" s="1" t="s">
        <v>2</v>
      </c>
      <c r="B42" s="5">
        <f>B40/B13</f>
        <v>0.15802560000000002</v>
      </c>
      <c r="D42" s="5">
        <f>D40/D13</f>
        <v>0.35354880000000011</v>
      </c>
      <c r="F42" s="5">
        <f>F40/F13</f>
        <v>6.2303704615384696E-2</v>
      </c>
    </row>
    <row r="43" spans="1:6">
      <c r="A43" s="1" t="s">
        <v>1</v>
      </c>
      <c r="B43" s="4">
        <f>B26*B42</f>
        <v>1712.3654016000003</v>
      </c>
      <c r="D43" s="4">
        <f>D26*D42</f>
        <v>8375.5710720000025</v>
      </c>
      <c r="F43" s="4">
        <f>F26*F42</f>
        <v>85.979112369230876</v>
      </c>
    </row>
    <row r="44" spans="1:6">
      <c r="B44" s="3"/>
      <c r="D44" s="3"/>
      <c r="F44" s="3"/>
    </row>
    <row r="45" spans="1:6">
      <c r="A45" t="s">
        <v>0</v>
      </c>
      <c r="B45" s="2">
        <f>B33/B43</f>
        <v>11452.1818819912</v>
      </c>
      <c r="D45" s="2">
        <f>D33/D43</f>
        <v>4442.1865336362944</v>
      </c>
      <c r="F45" s="2">
        <f>F33/F43</f>
        <v>45792.308376529596</v>
      </c>
    </row>
  </sheetData>
  <mergeCells count="3">
    <mergeCell ref="G15:M19"/>
    <mergeCell ref="C15:C19"/>
    <mergeCell ref="E15:E19"/>
  </mergeCells>
  <pageMargins left="0.75" right="0.75" top="1" bottom="1" header="0.5" footer="0.5"/>
  <pageSetup orientation="portrait" horizontalDpi="4294967292" verticalDpi="4294967292"/>
  <ignoredErrors>
    <ignoredError sqref="D42:D43 F42:F43 F45 D45" evalError="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topLeftCell="A19" workbookViewId="0">
      <selection activeCell="G6" sqref="G6"/>
    </sheetView>
  </sheetViews>
  <sheetFormatPr baseColWidth="10" defaultRowHeight="15" x14ac:dyDescent="0"/>
  <cols>
    <col min="1" max="1" width="88.6640625" bestFit="1" customWidth="1"/>
    <col min="2" max="2" width="15.33203125" customWidth="1"/>
    <col min="3" max="3" width="13.33203125" customWidth="1"/>
    <col min="4" max="4" width="14.5" customWidth="1"/>
    <col min="5" max="5" width="14.6640625" customWidth="1"/>
    <col min="6" max="6" width="15.33203125" customWidth="1"/>
    <col min="8" max="8" width="12.5" bestFit="1" customWidth="1"/>
    <col min="16" max="16" width="10.83203125" style="1"/>
  </cols>
  <sheetData>
    <row r="1" spans="1:13">
      <c r="A1" t="s">
        <v>41</v>
      </c>
    </row>
    <row r="2" spans="1:13">
      <c r="A2" s="21" t="s">
        <v>42</v>
      </c>
    </row>
    <row r="3" spans="1:13">
      <c r="B3" s="20" t="s">
        <v>40</v>
      </c>
      <c r="C3" t="s">
        <v>37</v>
      </c>
      <c r="D3" s="20" t="s">
        <v>39</v>
      </c>
      <c r="E3" t="s">
        <v>37</v>
      </c>
      <c r="F3" s="20" t="s">
        <v>38</v>
      </c>
      <c r="G3" t="s">
        <v>37</v>
      </c>
    </row>
    <row r="4" spans="1:13">
      <c r="A4" s="19" t="s">
        <v>36</v>
      </c>
      <c r="B4" s="17">
        <v>0.27</v>
      </c>
      <c r="C4" t="s">
        <v>45</v>
      </c>
      <c r="D4" s="17">
        <v>0.27</v>
      </c>
      <c r="E4" t="s">
        <v>45</v>
      </c>
      <c r="F4" s="17">
        <v>0.27</v>
      </c>
      <c r="G4" t="s">
        <v>45</v>
      </c>
    </row>
    <row r="5" spans="1:13">
      <c r="A5" s="1" t="s">
        <v>35</v>
      </c>
      <c r="B5" s="18">
        <v>1</v>
      </c>
      <c r="C5" t="s">
        <v>46</v>
      </c>
      <c r="D5" s="18">
        <v>1</v>
      </c>
      <c r="E5" t="s">
        <v>46</v>
      </c>
      <c r="F5" s="18">
        <v>1</v>
      </c>
      <c r="G5" t="s">
        <v>46</v>
      </c>
    </row>
    <row r="6" spans="1:13">
      <c r="A6" s="1" t="s">
        <v>34</v>
      </c>
      <c r="B6" s="17">
        <v>0.65</v>
      </c>
      <c r="C6" s="23" t="s">
        <v>48</v>
      </c>
      <c r="D6" s="17">
        <v>1</v>
      </c>
      <c r="E6" s="23" t="s">
        <v>48</v>
      </c>
      <c r="F6" s="17">
        <f>33%</f>
        <v>0.33</v>
      </c>
      <c r="G6" s="16" t="s">
        <v>53</v>
      </c>
    </row>
    <row r="7" spans="1:13">
      <c r="A7" s="1" t="s">
        <v>43</v>
      </c>
      <c r="B7" s="22">
        <f>B4*B6*B5</f>
        <v>0.17550000000000002</v>
      </c>
      <c r="C7" s="22"/>
      <c r="D7" s="22">
        <f t="shared" ref="D7:F7" si="0">D4*D6*D5</f>
        <v>0.27</v>
      </c>
      <c r="E7" s="22"/>
      <c r="F7" s="22">
        <f t="shared" si="0"/>
        <v>8.9100000000000013E-2</v>
      </c>
    </row>
    <row r="8" spans="1:13">
      <c r="B8" s="3"/>
      <c r="D8" s="3"/>
      <c r="F8" s="3"/>
    </row>
    <row r="9" spans="1:13">
      <c r="A9" s="1" t="s">
        <v>31</v>
      </c>
      <c r="B9" s="15">
        <v>62</v>
      </c>
      <c r="C9" t="s">
        <v>44</v>
      </c>
      <c r="D9" s="15">
        <v>62</v>
      </c>
      <c r="E9" t="s">
        <v>44</v>
      </c>
      <c r="F9" s="15">
        <v>62</v>
      </c>
      <c r="G9" t="s">
        <v>44</v>
      </c>
    </row>
    <row r="10" spans="1:13">
      <c r="A10" s="1" t="s">
        <v>30</v>
      </c>
      <c r="B10" s="15">
        <v>95</v>
      </c>
      <c r="C10" t="s">
        <v>44</v>
      </c>
      <c r="D10" s="15">
        <v>95</v>
      </c>
      <c r="E10" t="s">
        <v>44</v>
      </c>
      <c r="F10" s="15">
        <v>95</v>
      </c>
      <c r="G10" t="s">
        <v>44</v>
      </c>
    </row>
    <row r="11" spans="1:13">
      <c r="A11" s="1" t="s">
        <v>29</v>
      </c>
      <c r="B11" s="15">
        <v>1.6</v>
      </c>
      <c r="C11" t="s">
        <v>44</v>
      </c>
      <c r="D11" s="15">
        <v>1.6</v>
      </c>
      <c r="E11" t="s">
        <v>44</v>
      </c>
      <c r="F11" s="15">
        <v>1.6</v>
      </c>
      <c r="G11" t="s">
        <v>44</v>
      </c>
    </row>
    <row r="12" spans="1:13">
      <c r="A12" s="1" t="s">
        <v>28</v>
      </c>
      <c r="B12" s="15">
        <v>59</v>
      </c>
      <c r="C12" s="1" t="s">
        <v>50</v>
      </c>
      <c r="D12" s="15">
        <v>66</v>
      </c>
      <c r="E12" s="1" t="s">
        <v>51</v>
      </c>
      <c r="F12" s="15">
        <v>56</v>
      </c>
      <c r="G12" s="1" t="s">
        <v>52</v>
      </c>
    </row>
    <row r="13" spans="1:13">
      <c r="A13" s="1" t="s">
        <v>27</v>
      </c>
      <c r="B13" s="15">
        <v>95</v>
      </c>
      <c r="C13" t="s">
        <v>44</v>
      </c>
      <c r="D13" s="15">
        <v>95</v>
      </c>
      <c r="E13" t="s">
        <v>44</v>
      </c>
      <c r="F13" s="15">
        <v>95</v>
      </c>
      <c r="G13" t="s">
        <v>44</v>
      </c>
    </row>
    <row r="14" spans="1:13">
      <c r="B14" s="3"/>
      <c r="D14" s="3"/>
      <c r="F14" s="3"/>
    </row>
    <row r="15" spans="1:13" ht="15" customHeight="1">
      <c r="A15" s="1" t="s">
        <v>26</v>
      </c>
      <c r="B15" s="14">
        <v>1</v>
      </c>
      <c r="C15" s="45" t="s">
        <v>85</v>
      </c>
      <c r="D15" s="14">
        <v>1</v>
      </c>
      <c r="E15" s="45" t="s">
        <v>85</v>
      </c>
      <c r="F15" s="14">
        <v>1</v>
      </c>
      <c r="G15" s="43" t="s">
        <v>85</v>
      </c>
      <c r="H15" s="44"/>
      <c r="I15" s="44"/>
      <c r="J15" s="44"/>
      <c r="K15" s="44"/>
      <c r="L15" s="44"/>
      <c r="M15" s="44"/>
    </row>
    <row r="16" spans="1:13">
      <c r="A16" s="1" t="s">
        <v>25</v>
      </c>
      <c r="B16" s="14">
        <v>1</v>
      </c>
      <c r="C16" s="45"/>
      <c r="D16" s="14">
        <v>1</v>
      </c>
      <c r="E16" s="45"/>
      <c r="F16" s="14">
        <v>0</v>
      </c>
      <c r="G16" s="43"/>
      <c r="H16" s="44"/>
      <c r="I16" s="44"/>
      <c r="J16" s="44"/>
      <c r="K16" s="44"/>
      <c r="L16" s="44"/>
      <c r="M16" s="44"/>
    </row>
    <row r="17" spans="1:13">
      <c r="A17" s="1" t="s">
        <v>24</v>
      </c>
      <c r="B17" s="14">
        <v>1</v>
      </c>
      <c r="C17" s="45"/>
      <c r="D17" s="14">
        <v>1</v>
      </c>
      <c r="E17" s="45"/>
      <c r="F17" s="14">
        <v>0</v>
      </c>
      <c r="G17" s="43"/>
      <c r="H17" s="44"/>
      <c r="I17" s="44"/>
      <c r="J17" s="44"/>
      <c r="K17" s="44"/>
      <c r="L17" s="44"/>
      <c r="M17" s="44"/>
    </row>
    <row r="18" spans="1:13">
      <c r="A18" s="1" t="s">
        <v>23</v>
      </c>
      <c r="B18" s="14">
        <v>0</v>
      </c>
      <c r="C18" s="45"/>
      <c r="D18" s="14">
        <v>1</v>
      </c>
      <c r="E18" s="45"/>
      <c r="F18" s="14">
        <v>0</v>
      </c>
      <c r="G18" s="43"/>
      <c r="H18" s="44"/>
      <c r="I18" s="44"/>
      <c r="J18" s="44"/>
      <c r="K18" s="44"/>
      <c r="L18" s="44"/>
      <c r="M18" s="44"/>
    </row>
    <row r="19" spans="1:13">
      <c r="A19" s="1" t="s">
        <v>22</v>
      </c>
      <c r="B19" s="14">
        <v>0</v>
      </c>
      <c r="C19" s="45"/>
      <c r="D19" s="14">
        <v>1</v>
      </c>
      <c r="E19" s="45"/>
      <c r="F19" s="14">
        <v>0</v>
      </c>
      <c r="G19" s="43"/>
      <c r="H19" s="44"/>
      <c r="I19" s="44"/>
      <c r="J19" s="44"/>
      <c r="K19" s="44"/>
      <c r="L19" s="44"/>
      <c r="M19" s="44"/>
    </row>
    <row r="20" spans="1:13">
      <c r="B20" s="3"/>
      <c r="D20" s="3"/>
      <c r="F20" s="3"/>
    </row>
    <row r="21" spans="1:13">
      <c r="A21" s="1" t="s">
        <v>21</v>
      </c>
      <c r="B21" s="13">
        <v>1380</v>
      </c>
      <c r="C21" t="s">
        <v>16</v>
      </c>
      <c r="D21" s="13">
        <v>1380</v>
      </c>
      <c r="E21" t="s">
        <v>16</v>
      </c>
      <c r="F21" s="13">
        <v>1380</v>
      </c>
      <c r="G21" t="s">
        <v>16</v>
      </c>
    </row>
    <row r="22" spans="1:13">
      <c r="A22" s="1" t="s">
        <v>20</v>
      </c>
      <c r="B22" s="13">
        <v>3794</v>
      </c>
      <c r="C22" t="s">
        <v>16</v>
      </c>
      <c r="D22" s="13">
        <v>3794</v>
      </c>
      <c r="E22" t="s">
        <v>16</v>
      </c>
      <c r="F22" s="13">
        <v>3794</v>
      </c>
      <c r="G22" t="s">
        <v>16</v>
      </c>
    </row>
    <row r="23" spans="1:13">
      <c r="A23" s="1" t="s">
        <v>19</v>
      </c>
      <c r="B23" s="13">
        <v>5662</v>
      </c>
      <c r="C23" t="s">
        <v>16</v>
      </c>
      <c r="D23" s="13">
        <v>5662</v>
      </c>
      <c r="E23" t="s">
        <v>16</v>
      </c>
      <c r="F23" s="13">
        <v>5662</v>
      </c>
      <c r="G23" t="s">
        <v>16</v>
      </c>
    </row>
    <row r="24" spans="1:13">
      <c r="A24" s="1" t="s">
        <v>18</v>
      </c>
      <c r="B24" s="13">
        <v>6209</v>
      </c>
      <c r="C24" t="s">
        <v>16</v>
      </c>
      <c r="D24" s="13">
        <v>6209</v>
      </c>
      <c r="E24" t="s">
        <v>16</v>
      </c>
      <c r="F24" s="13">
        <v>6209</v>
      </c>
      <c r="G24" t="s">
        <v>16</v>
      </c>
    </row>
    <row r="25" spans="1:13">
      <c r="A25" s="1" t="s">
        <v>17</v>
      </c>
      <c r="B25" s="13">
        <v>6645</v>
      </c>
      <c r="C25" t="s">
        <v>16</v>
      </c>
      <c r="D25" s="13">
        <v>6645</v>
      </c>
      <c r="E25" t="s">
        <v>16</v>
      </c>
      <c r="F25" s="13">
        <v>6645</v>
      </c>
      <c r="G25" t="s">
        <v>16</v>
      </c>
    </row>
    <row r="26" spans="1:13">
      <c r="A26" s="1" t="s">
        <v>15</v>
      </c>
      <c r="B26" s="12">
        <f>SUMPRODUCT(B15:B19,B21:B25)</f>
        <v>10836</v>
      </c>
      <c r="D26" s="12">
        <f>SUMPRODUCT(D15:D19,D21:D25)</f>
        <v>23690</v>
      </c>
      <c r="F26" s="12">
        <f>SUMPRODUCT(F15:F19,F21:F25)</f>
        <v>1380</v>
      </c>
    </row>
    <row r="27" spans="1:13">
      <c r="B27" s="12"/>
      <c r="D27" s="12"/>
      <c r="F27" s="12"/>
    </row>
    <row r="28" spans="1:13">
      <c r="A28" s="1" t="s">
        <v>14</v>
      </c>
      <c r="B28" s="11">
        <v>3937182.0275521101</v>
      </c>
      <c r="C28" t="s">
        <v>54</v>
      </c>
      <c r="D28" s="11">
        <v>3937182.0275521101</v>
      </c>
      <c r="E28" t="s">
        <v>54</v>
      </c>
      <c r="F28" s="11">
        <v>3937182.0275521101</v>
      </c>
      <c r="G28" t="s">
        <v>54</v>
      </c>
    </row>
    <row r="29" spans="1:13">
      <c r="A29" s="1" t="s">
        <v>13</v>
      </c>
      <c r="B29" s="11">
        <v>7099492</v>
      </c>
      <c r="C29" t="s">
        <v>54</v>
      </c>
      <c r="D29" s="11">
        <v>7099492</v>
      </c>
      <c r="E29" t="s">
        <v>54</v>
      </c>
      <c r="F29" s="11">
        <v>7099492</v>
      </c>
      <c r="G29" t="s">
        <v>54</v>
      </c>
    </row>
    <row r="30" spans="1:13">
      <c r="A30" s="1" t="s">
        <v>12</v>
      </c>
      <c r="B30" s="11">
        <v>8573646</v>
      </c>
      <c r="C30" t="s">
        <v>54</v>
      </c>
      <c r="D30" s="11">
        <v>8573646</v>
      </c>
      <c r="E30" t="s">
        <v>54</v>
      </c>
      <c r="F30" s="11">
        <v>8573646</v>
      </c>
      <c r="G30" t="s">
        <v>54</v>
      </c>
    </row>
    <row r="31" spans="1:13">
      <c r="A31" s="1" t="s">
        <v>11</v>
      </c>
      <c r="B31" s="11">
        <v>8610382</v>
      </c>
      <c r="C31" t="s">
        <v>54</v>
      </c>
      <c r="D31" s="11">
        <v>8610382</v>
      </c>
      <c r="E31" t="s">
        <v>54</v>
      </c>
      <c r="F31" s="11">
        <v>8610382</v>
      </c>
      <c r="G31" t="s">
        <v>54</v>
      </c>
    </row>
    <row r="32" spans="1:13">
      <c r="A32" s="1" t="s">
        <v>10</v>
      </c>
      <c r="B32" s="11">
        <v>8985147</v>
      </c>
      <c r="C32" t="s">
        <v>54</v>
      </c>
      <c r="D32" s="11">
        <v>8985147</v>
      </c>
      <c r="E32" t="s">
        <v>54</v>
      </c>
      <c r="F32" s="11">
        <v>8985147</v>
      </c>
      <c r="G32" t="s">
        <v>54</v>
      </c>
    </row>
    <row r="33" spans="1:6">
      <c r="A33" s="1" t="s">
        <v>9</v>
      </c>
      <c r="B33" s="10">
        <f>SUMPRODUCT(B15:B19,B28:B32)</f>
        <v>19610320.027552109</v>
      </c>
      <c r="D33" s="10">
        <f>SUMPRODUCT(D15:D19,D28:D32)</f>
        <v>37205849.027552113</v>
      </c>
      <c r="F33" s="10">
        <f>SUMPRODUCT(F15:F19,F28:F32)</f>
        <v>3937182.0275521101</v>
      </c>
    </row>
    <row r="34" spans="1:6">
      <c r="A34" s="1"/>
      <c r="B34" s="3"/>
      <c r="D34" s="3"/>
      <c r="F34" s="3"/>
    </row>
    <row r="35" spans="1:6">
      <c r="A35" s="7" t="s">
        <v>8</v>
      </c>
      <c r="B35" s="9">
        <f>B9*B10*B11</f>
        <v>9424</v>
      </c>
      <c r="D35" s="9">
        <f>D9*D10*D11</f>
        <v>9424</v>
      </c>
      <c r="F35" s="9">
        <f>F9*F10*F11</f>
        <v>9424</v>
      </c>
    </row>
    <row r="36" spans="1:6">
      <c r="A36" s="7" t="s">
        <v>7</v>
      </c>
      <c r="B36" s="8">
        <f>(1-B7)*B12</f>
        <v>48.645499999999998</v>
      </c>
      <c r="D36" s="8">
        <f>(1-D7)*D12</f>
        <v>48.18</v>
      </c>
      <c r="F36" s="8">
        <f>(1-F7)*F12</f>
        <v>51.010400000000004</v>
      </c>
    </row>
    <row r="37" spans="1:6">
      <c r="A37" s="7" t="s">
        <v>6</v>
      </c>
      <c r="B37" s="6">
        <f>((B12/1000)*B35)</f>
        <v>556.01599999999996</v>
      </c>
      <c r="D37" s="6">
        <f>((D12/1000)*D35)</f>
        <v>621.98400000000004</v>
      </c>
      <c r="F37" s="6">
        <f>((F12/1000)*F35)</f>
        <v>527.74400000000003</v>
      </c>
    </row>
    <row r="38" spans="1:6">
      <c r="A38" s="7" t="s">
        <v>5</v>
      </c>
      <c r="B38" s="6">
        <f>((B36/1000)*B35)</f>
        <v>458.43519200000003</v>
      </c>
      <c r="D38" s="6">
        <f>((D36/1000)*D35)</f>
        <v>454.04831999999999</v>
      </c>
      <c r="F38" s="6">
        <f>((F36/1000)*F35)</f>
        <v>480.72200960000004</v>
      </c>
    </row>
    <row r="39" spans="1:6">
      <c r="A39" s="7" t="s">
        <v>4</v>
      </c>
      <c r="B39" s="6">
        <f>B37-B38</f>
        <v>97.580807999999934</v>
      </c>
      <c r="D39" s="6">
        <f>D37-D38</f>
        <v>167.93568000000005</v>
      </c>
      <c r="F39" s="6">
        <f>F37-F38</f>
        <v>47.021990399999993</v>
      </c>
    </row>
    <row r="40" spans="1:6">
      <c r="A40" s="7" t="s">
        <v>3</v>
      </c>
      <c r="B40" s="6">
        <f>B39/5</f>
        <v>19.516161599999986</v>
      </c>
      <c r="D40" s="6">
        <f>D39/5</f>
        <v>33.587136000000008</v>
      </c>
      <c r="F40" s="6">
        <f>F39/5</f>
        <v>9.4043980799999982</v>
      </c>
    </row>
    <row r="41" spans="1:6">
      <c r="A41" s="7"/>
      <c r="B41" s="6"/>
      <c r="D41" s="6"/>
      <c r="F41" s="6"/>
    </row>
    <row r="42" spans="1:6">
      <c r="A42" s="1" t="s">
        <v>2</v>
      </c>
      <c r="B42" s="5">
        <f>B40/B13</f>
        <v>0.20543327999999986</v>
      </c>
      <c r="D42" s="5">
        <f>D40/D13</f>
        <v>0.35354880000000011</v>
      </c>
      <c r="F42" s="5">
        <f>F40/F13</f>
        <v>9.8993663999999981E-2</v>
      </c>
    </row>
    <row r="43" spans="1:6">
      <c r="A43" s="1" t="s">
        <v>1</v>
      </c>
      <c r="B43" s="4">
        <f>B26*B42</f>
        <v>2226.0750220799982</v>
      </c>
      <c r="D43" s="4">
        <f>D26*D42</f>
        <v>8375.5710720000025</v>
      </c>
      <c r="F43" s="4">
        <f>F26*F42</f>
        <v>136.61125631999997</v>
      </c>
    </row>
    <row r="44" spans="1:6">
      <c r="B44" s="3"/>
      <c r="D44" s="3"/>
      <c r="F44" s="3"/>
    </row>
    <row r="45" spans="1:6">
      <c r="A45" t="s">
        <v>0</v>
      </c>
      <c r="B45" s="2">
        <f>B33/B43</f>
        <v>8809.3706784547776</v>
      </c>
      <c r="D45" s="2">
        <f>D33/D43</f>
        <v>4442.1865336362944</v>
      </c>
      <c r="F45" s="2">
        <f>F33/F43</f>
        <v>28820.333943270416</v>
      </c>
    </row>
  </sheetData>
  <mergeCells count="3">
    <mergeCell ref="C15:C19"/>
    <mergeCell ref="E15:E19"/>
    <mergeCell ref="G15:M19"/>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8" workbookViewId="0">
      <selection activeCell="C43" sqref="C43"/>
    </sheetView>
  </sheetViews>
  <sheetFormatPr baseColWidth="10" defaultRowHeight="15" x14ac:dyDescent="0"/>
  <cols>
    <col min="1" max="1" width="85" customWidth="1"/>
    <col min="2" max="2" width="15.1640625" bestFit="1" customWidth="1"/>
    <col min="4" max="4" width="12.5" bestFit="1" customWidth="1"/>
    <col min="6" max="6" width="12.5" bestFit="1" customWidth="1"/>
  </cols>
  <sheetData>
    <row r="1" spans="1:7">
      <c r="A1" t="s">
        <v>41</v>
      </c>
    </row>
    <row r="3" spans="1:7" s="29" customFormat="1">
      <c r="B3" s="20" t="s">
        <v>40</v>
      </c>
      <c r="C3" t="s">
        <v>37</v>
      </c>
      <c r="D3" s="20" t="s">
        <v>39</v>
      </c>
      <c r="E3" t="s">
        <v>37</v>
      </c>
      <c r="F3" s="20" t="s">
        <v>38</v>
      </c>
      <c r="G3" t="s">
        <v>37</v>
      </c>
    </row>
    <row r="4" spans="1:7">
      <c r="A4" s="19" t="s">
        <v>36</v>
      </c>
      <c r="B4" s="17">
        <v>0.27</v>
      </c>
      <c r="C4" t="s">
        <v>45</v>
      </c>
      <c r="D4" s="17">
        <v>0.27</v>
      </c>
      <c r="E4" t="s">
        <v>45</v>
      </c>
      <c r="F4" s="17">
        <v>0.27</v>
      </c>
      <c r="G4" t="s">
        <v>45</v>
      </c>
    </row>
    <row r="5" spans="1:7">
      <c r="A5" s="1" t="s">
        <v>35</v>
      </c>
      <c r="B5" s="18">
        <v>1</v>
      </c>
      <c r="C5" t="s">
        <v>46</v>
      </c>
      <c r="D5" s="18">
        <v>1</v>
      </c>
      <c r="E5" t="s">
        <v>46</v>
      </c>
      <c r="F5" s="18">
        <v>0.9</v>
      </c>
      <c r="G5" t="s">
        <v>47</v>
      </c>
    </row>
    <row r="6" spans="1:7">
      <c r="A6" s="1" t="s">
        <v>34</v>
      </c>
      <c r="B6" s="17">
        <v>0.5</v>
      </c>
      <c r="C6" s="23" t="s">
        <v>48</v>
      </c>
      <c r="D6" s="17">
        <v>1</v>
      </c>
      <c r="E6" s="23" t="s">
        <v>48</v>
      </c>
      <c r="F6" s="17">
        <f>6%/26%</f>
        <v>0.23076923076923075</v>
      </c>
      <c r="G6" s="16" t="s">
        <v>49</v>
      </c>
    </row>
    <row r="7" spans="1:7">
      <c r="A7" s="1" t="s">
        <v>43</v>
      </c>
      <c r="B7" s="22">
        <f>B4*B6*B5</f>
        <v>0.13500000000000001</v>
      </c>
      <c r="C7" s="22"/>
      <c r="D7" s="22">
        <f t="shared" ref="D7:F7" si="0">D4*D6*D5</f>
        <v>0.27</v>
      </c>
      <c r="E7" s="22"/>
      <c r="F7" s="22">
        <f t="shared" si="0"/>
        <v>5.607692307692308E-2</v>
      </c>
    </row>
    <row r="8" spans="1:7">
      <c r="B8" s="3"/>
      <c r="D8" s="3"/>
      <c r="F8" s="3"/>
    </row>
    <row r="9" spans="1:7">
      <c r="A9" t="s">
        <v>31</v>
      </c>
      <c r="B9" s="15">
        <v>62</v>
      </c>
      <c r="C9" t="s">
        <v>44</v>
      </c>
      <c r="D9" s="15">
        <v>62</v>
      </c>
      <c r="E9" t="s">
        <v>44</v>
      </c>
      <c r="F9" s="15">
        <v>62</v>
      </c>
      <c r="G9" t="s">
        <v>44</v>
      </c>
    </row>
    <row r="10" spans="1:7">
      <c r="A10" t="s">
        <v>30</v>
      </c>
      <c r="B10" s="15">
        <v>95</v>
      </c>
      <c r="C10" t="s">
        <v>44</v>
      </c>
      <c r="D10" s="15">
        <v>95</v>
      </c>
      <c r="E10" t="s">
        <v>44</v>
      </c>
      <c r="F10" s="15">
        <v>95</v>
      </c>
      <c r="G10" t="s">
        <v>44</v>
      </c>
    </row>
    <row r="11" spans="1:7">
      <c r="A11" t="s">
        <v>29</v>
      </c>
      <c r="B11" s="15">
        <v>1.6</v>
      </c>
      <c r="C11" t="s">
        <v>44</v>
      </c>
      <c r="D11" s="15">
        <v>1.6</v>
      </c>
      <c r="E11" t="s">
        <v>44</v>
      </c>
      <c r="F11" s="15">
        <v>1.6</v>
      </c>
      <c r="G11" t="s">
        <v>44</v>
      </c>
    </row>
    <row r="12" spans="1:7">
      <c r="A12" s="29" t="s">
        <v>63</v>
      </c>
      <c r="B12" s="9">
        <f>B9*B10*B11</f>
        <v>9424</v>
      </c>
      <c r="D12" s="9">
        <f>D9*D10*D11</f>
        <v>9424</v>
      </c>
      <c r="F12" s="9">
        <f>F9*F10*F11</f>
        <v>9424</v>
      </c>
    </row>
    <row r="13" spans="1:7">
      <c r="B13" s="3"/>
      <c r="D13" s="3"/>
      <c r="F13" s="3"/>
    </row>
    <row r="14" spans="1:7">
      <c r="A14" t="s">
        <v>62</v>
      </c>
      <c r="B14" s="15">
        <f>AVERAGE('Mortality decline'!L6:L8)</f>
        <v>1127.4210749711935</v>
      </c>
      <c r="C14" t="s">
        <v>77</v>
      </c>
      <c r="D14" s="15">
        <v>1494.39</v>
      </c>
      <c r="E14" t="s">
        <v>78</v>
      </c>
      <c r="F14" s="15">
        <f>AVERAGE('Mortality decline'!L6:L10)</f>
        <v>1067.686306006555</v>
      </c>
      <c r="G14" t="s">
        <v>79</v>
      </c>
    </row>
    <row r="15" spans="1:7">
      <c r="A15" t="s">
        <v>61</v>
      </c>
      <c r="B15" s="5">
        <f>(1-B7)*B14</f>
        <v>975.21922985008246</v>
      </c>
      <c r="C15" s="5"/>
      <c r="D15" s="5">
        <f t="shared" ref="D15:F15" si="1">(1-D7)*D14</f>
        <v>1090.9047</v>
      </c>
      <c r="E15" s="5"/>
      <c r="F15" s="5">
        <f t="shared" si="1"/>
        <v>1007.8137431543412</v>
      </c>
    </row>
    <row r="16" spans="1:7">
      <c r="A16" t="s">
        <v>60</v>
      </c>
      <c r="B16" s="5">
        <f>B14-B15</f>
        <v>152.20184512111109</v>
      </c>
      <c r="D16" s="5">
        <f>D14-D15</f>
        <v>403.48530000000005</v>
      </c>
      <c r="F16" s="5">
        <f>F14-F15</f>
        <v>59.872562852213832</v>
      </c>
    </row>
    <row r="17" spans="1:13">
      <c r="A17" t="s">
        <v>75</v>
      </c>
      <c r="B17" s="28">
        <f>(B16/100000)*B12</f>
        <v>14.343501884213509</v>
      </c>
      <c r="D17" s="28">
        <f>(D16/100000)*D12</f>
        <v>38.024454672000005</v>
      </c>
      <c r="F17" s="28">
        <f>(F16/100000)*F12</f>
        <v>5.6423903231926316</v>
      </c>
    </row>
    <row r="18" spans="1:13">
      <c r="B18" s="3"/>
      <c r="D18" s="3"/>
      <c r="F18" s="3"/>
    </row>
    <row r="19" spans="1:13">
      <c r="A19" t="s">
        <v>27</v>
      </c>
      <c r="B19" s="15">
        <v>95</v>
      </c>
      <c r="C19" t="s">
        <v>44</v>
      </c>
      <c r="D19" s="15">
        <v>95</v>
      </c>
      <c r="E19" t="s">
        <v>44</v>
      </c>
      <c r="F19" s="15">
        <v>95</v>
      </c>
      <c r="G19" t="s">
        <v>44</v>
      </c>
    </row>
    <row r="20" spans="1:13">
      <c r="A20" t="s">
        <v>59</v>
      </c>
      <c r="B20" s="28">
        <f>B17/B19</f>
        <v>0.15098423036014219</v>
      </c>
      <c r="D20" s="28">
        <f>D17/D19</f>
        <v>0.40025741760000005</v>
      </c>
      <c r="F20" s="28">
        <f>F17/F19</f>
        <v>5.9393582349396123E-2</v>
      </c>
    </row>
    <row r="21" spans="1:13">
      <c r="B21" s="3"/>
      <c r="D21" s="3"/>
      <c r="F21" s="3"/>
    </row>
    <row r="22" spans="1:13" ht="15" customHeight="1">
      <c r="A22" t="s">
        <v>26</v>
      </c>
      <c r="B22" s="14">
        <v>1</v>
      </c>
      <c r="C22" s="45" t="s">
        <v>85</v>
      </c>
      <c r="D22" s="14">
        <v>1</v>
      </c>
      <c r="E22" s="45" t="s">
        <v>85</v>
      </c>
      <c r="F22" s="14">
        <v>1</v>
      </c>
      <c r="G22" s="43" t="s">
        <v>85</v>
      </c>
      <c r="H22" s="44"/>
      <c r="I22" s="44"/>
      <c r="J22" s="44"/>
      <c r="K22" s="44"/>
      <c r="L22" s="44"/>
      <c r="M22" s="44"/>
    </row>
    <row r="23" spans="1:13">
      <c r="A23" t="s">
        <v>25</v>
      </c>
      <c r="B23" s="14">
        <v>1</v>
      </c>
      <c r="C23" s="45"/>
      <c r="D23" s="14">
        <v>1</v>
      </c>
      <c r="E23" s="45"/>
      <c r="F23" s="14">
        <v>0</v>
      </c>
      <c r="G23" s="43"/>
      <c r="H23" s="44"/>
      <c r="I23" s="44"/>
      <c r="J23" s="44"/>
      <c r="K23" s="44"/>
      <c r="L23" s="44"/>
      <c r="M23" s="44"/>
    </row>
    <row r="24" spans="1:13">
      <c r="A24" t="s">
        <v>24</v>
      </c>
      <c r="B24" s="14">
        <v>1</v>
      </c>
      <c r="C24" s="45"/>
      <c r="D24" s="14">
        <v>1</v>
      </c>
      <c r="E24" s="45"/>
      <c r="F24" s="14">
        <v>0</v>
      </c>
      <c r="G24" s="43"/>
      <c r="H24" s="44"/>
      <c r="I24" s="44"/>
      <c r="J24" s="44"/>
      <c r="K24" s="44"/>
      <c r="L24" s="44"/>
      <c r="M24" s="44"/>
    </row>
    <row r="25" spans="1:13">
      <c r="A25" t="s">
        <v>23</v>
      </c>
      <c r="B25" s="14">
        <v>0</v>
      </c>
      <c r="C25" s="45"/>
      <c r="D25" s="14">
        <v>1</v>
      </c>
      <c r="E25" s="45"/>
      <c r="F25" s="14">
        <v>0</v>
      </c>
      <c r="G25" s="43"/>
      <c r="H25" s="44"/>
      <c r="I25" s="44"/>
      <c r="J25" s="44"/>
      <c r="K25" s="44"/>
      <c r="L25" s="44"/>
      <c r="M25" s="44"/>
    </row>
    <row r="26" spans="1:13">
      <c r="A26" t="s">
        <v>22</v>
      </c>
      <c r="B26" s="14">
        <v>0</v>
      </c>
      <c r="C26" s="45"/>
      <c r="D26" s="14">
        <v>1</v>
      </c>
      <c r="E26" s="45"/>
      <c r="F26" s="14">
        <v>0</v>
      </c>
      <c r="G26" s="43"/>
      <c r="H26" s="44"/>
      <c r="I26" s="44"/>
      <c r="J26" s="44"/>
      <c r="K26" s="44"/>
      <c r="L26" s="44"/>
      <c r="M26" s="44"/>
    </row>
    <row r="27" spans="1:13">
      <c r="B27" s="3"/>
      <c r="D27" s="3"/>
      <c r="F27" s="3"/>
    </row>
    <row r="28" spans="1:13">
      <c r="A28" t="s">
        <v>21</v>
      </c>
      <c r="B28" s="13">
        <v>1380</v>
      </c>
      <c r="C28" t="s">
        <v>16</v>
      </c>
      <c r="D28" s="13">
        <v>1380</v>
      </c>
      <c r="E28" t="s">
        <v>16</v>
      </c>
      <c r="F28" s="13">
        <v>1380</v>
      </c>
      <c r="G28" t="s">
        <v>16</v>
      </c>
    </row>
    <row r="29" spans="1:13">
      <c r="A29" t="s">
        <v>20</v>
      </c>
      <c r="B29" s="13">
        <v>3794</v>
      </c>
      <c r="C29" t="s">
        <v>16</v>
      </c>
      <c r="D29" s="13">
        <v>3794</v>
      </c>
      <c r="E29" t="s">
        <v>16</v>
      </c>
      <c r="F29" s="13">
        <v>3794</v>
      </c>
      <c r="G29" t="s">
        <v>16</v>
      </c>
    </row>
    <row r="30" spans="1:13">
      <c r="A30" t="s">
        <v>19</v>
      </c>
      <c r="B30" s="13">
        <v>5662</v>
      </c>
      <c r="C30" t="s">
        <v>16</v>
      </c>
      <c r="D30" s="13">
        <v>5662</v>
      </c>
      <c r="E30" t="s">
        <v>16</v>
      </c>
      <c r="F30" s="13">
        <v>5662</v>
      </c>
      <c r="G30" t="s">
        <v>16</v>
      </c>
    </row>
    <row r="31" spans="1:13">
      <c r="A31" t="s">
        <v>18</v>
      </c>
      <c r="B31" s="13">
        <v>6209</v>
      </c>
      <c r="C31" t="s">
        <v>16</v>
      </c>
      <c r="D31" s="13">
        <v>6209</v>
      </c>
      <c r="E31" t="s">
        <v>16</v>
      </c>
      <c r="F31" s="13">
        <v>6209</v>
      </c>
      <c r="G31" t="s">
        <v>16</v>
      </c>
    </row>
    <row r="32" spans="1:13">
      <c r="A32" t="s">
        <v>17</v>
      </c>
      <c r="B32" s="13">
        <v>6645</v>
      </c>
      <c r="C32" t="s">
        <v>16</v>
      </c>
      <c r="D32" s="13">
        <v>6645</v>
      </c>
      <c r="E32" t="s">
        <v>16</v>
      </c>
      <c r="F32" s="13">
        <v>6645</v>
      </c>
      <c r="G32" t="s">
        <v>16</v>
      </c>
    </row>
    <row r="33" spans="1:7">
      <c r="A33" t="s">
        <v>15</v>
      </c>
      <c r="B33" s="12">
        <f>SUMPRODUCT(B22:B26,B28:B32)</f>
        <v>10836</v>
      </c>
      <c r="D33" s="12">
        <f>SUMPRODUCT(D22:D26,D28:D32)</f>
        <v>23690</v>
      </c>
      <c r="F33" s="12">
        <f>SUMPRODUCT(F22:F26,F28:F32)</f>
        <v>1380</v>
      </c>
    </row>
    <row r="34" spans="1:7">
      <c r="B34" s="3"/>
      <c r="D34" s="3"/>
      <c r="F34" s="3"/>
    </row>
    <row r="35" spans="1:7">
      <c r="A35" t="s">
        <v>14</v>
      </c>
      <c r="B35" s="27">
        <v>3937182.0275521101</v>
      </c>
      <c r="C35" t="s">
        <v>54</v>
      </c>
      <c r="D35" s="27">
        <v>3937182.0275521101</v>
      </c>
      <c r="E35" t="s">
        <v>54</v>
      </c>
      <c r="F35" s="27">
        <v>3937182.0275521101</v>
      </c>
      <c r="G35" t="s">
        <v>54</v>
      </c>
    </row>
    <row r="36" spans="1:7">
      <c r="A36" t="s">
        <v>13</v>
      </c>
      <c r="B36" s="27">
        <v>7099492</v>
      </c>
      <c r="C36" t="s">
        <v>54</v>
      </c>
      <c r="D36" s="27">
        <v>7099492</v>
      </c>
      <c r="E36" t="s">
        <v>54</v>
      </c>
      <c r="F36" s="27">
        <v>7099492</v>
      </c>
      <c r="G36" t="s">
        <v>54</v>
      </c>
    </row>
    <row r="37" spans="1:7">
      <c r="A37" t="s">
        <v>12</v>
      </c>
      <c r="B37" s="27">
        <v>8573646</v>
      </c>
      <c r="C37" t="s">
        <v>54</v>
      </c>
      <c r="D37" s="27">
        <v>8573646</v>
      </c>
      <c r="E37" t="s">
        <v>54</v>
      </c>
      <c r="F37" s="27">
        <v>8573646</v>
      </c>
      <c r="G37" t="s">
        <v>54</v>
      </c>
    </row>
    <row r="38" spans="1:7">
      <c r="A38" t="s">
        <v>11</v>
      </c>
      <c r="B38" s="27">
        <v>8610382</v>
      </c>
      <c r="C38" t="s">
        <v>54</v>
      </c>
      <c r="D38" s="27">
        <v>8610382</v>
      </c>
      <c r="E38" t="s">
        <v>54</v>
      </c>
      <c r="F38" s="27">
        <v>8610382</v>
      </c>
      <c r="G38" t="s">
        <v>54</v>
      </c>
    </row>
    <row r="39" spans="1:7">
      <c r="A39" t="s">
        <v>10</v>
      </c>
      <c r="B39" s="27">
        <v>8985147</v>
      </c>
      <c r="C39" t="s">
        <v>54</v>
      </c>
      <c r="D39" s="27">
        <v>8985147</v>
      </c>
      <c r="E39" t="s">
        <v>54</v>
      </c>
      <c r="F39" s="27">
        <v>8985147</v>
      </c>
      <c r="G39" t="s">
        <v>54</v>
      </c>
    </row>
    <row r="40" spans="1:7">
      <c r="A40" t="s">
        <v>9</v>
      </c>
      <c r="B40" s="26">
        <f>SUMPRODUCT(B22:B26,B35:B39)</f>
        <v>19610320.027552109</v>
      </c>
      <c r="D40" s="26">
        <f>SUMPRODUCT(D22:D26,D35:D39)</f>
        <v>37205849.027552113</v>
      </c>
      <c r="F40" s="26">
        <f>SUMPRODUCT(F22:F26,F35:F39)</f>
        <v>3937182.0275521101</v>
      </c>
    </row>
    <row r="41" spans="1:7">
      <c r="B41" s="3"/>
      <c r="D41" s="3"/>
      <c r="F41" s="3"/>
    </row>
    <row r="42" spans="1:7">
      <c r="A42" t="s">
        <v>76</v>
      </c>
      <c r="B42" s="26">
        <f>B40/B33</f>
        <v>1809.737913210789</v>
      </c>
      <c r="D42" s="26">
        <f>D40/D33</f>
        <v>1570.529718343272</v>
      </c>
      <c r="F42" s="26">
        <f>F40/F33</f>
        <v>2853.0304547479059</v>
      </c>
    </row>
    <row r="43" spans="1:7">
      <c r="B43" s="3"/>
      <c r="D43" s="3"/>
      <c r="F43" s="3"/>
    </row>
    <row r="44" spans="1:7" s="1" customFormat="1">
      <c r="A44" s="1" t="s">
        <v>0</v>
      </c>
      <c r="B44" s="25">
        <f>B42/B20</f>
        <v>11986.271075423088</v>
      </c>
      <c r="D44" s="25">
        <f>D42/D20</f>
        <v>3923.7991584525521</v>
      </c>
      <c r="F44" s="25">
        <f>F42/F20</f>
        <v>48036.005606873681</v>
      </c>
    </row>
    <row r="45" spans="1:7" s="1" customFormat="1">
      <c r="A45" s="1" t="s">
        <v>58</v>
      </c>
      <c r="B45" s="24">
        <f>'Jake''s assumptions'!B45</f>
        <v>11452.1818819912</v>
      </c>
      <c r="C45" s="24"/>
      <c r="D45" s="24">
        <f>'Jake''s assumptions'!D45</f>
        <v>4442.1865336362944</v>
      </c>
      <c r="E45" s="24"/>
      <c r="F45" s="24">
        <f>'Jake''s assumptions'!F45</f>
        <v>45792.308376529596</v>
      </c>
    </row>
    <row r="46" spans="1:7" s="1" customFormat="1">
      <c r="A46" s="1" t="s">
        <v>57</v>
      </c>
      <c r="B46" s="36">
        <f>'Natalie''s assumptions'!B45</f>
        <v>8809.3706784547776</v>
      </c>
      <c r="C46" s="24"/>
      <c r="D46" s="38">
        <f>'Natalie''s assumptions'!D45</f>
        <v>4442.1865336362944</v>
      </c>
      <c r="E46" s="24"/>
      <c r="F46" s="37">
        <f>'Natalie''s assumptions'!F45</f>
        <v>28820.333943270416</v>
      </c>
    </row>
  </sheetData>
  <mergeCells count="3">
    <mergeCell ref="G22:M26"/>
    <mergeCell ref="C22:C26"/>
    <mergeCell ref="E22:E26"/>
  </mergeCells>
  <pageMargins left="0.75" right="0.75" top="1" bottom="1" header="0.5" footer="0.5"/>
  <pageSetup orientation="portrait" horizontalDpi="4294967292" verticalDpi="4294967292"/>
  <ignoredErrors>
    <ignoredError sqref="B44 D44 F44" evalError="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workbookViewId="0"/>
  </sheetViews>
  <sheetFormatPr baseColWidth="10" defaultRowHeight="15" x14ac:dyDescent="0"/>
  <cols>
    <col min="1" max="1" width="88.6640625" bestFit="1" customWidth="1"/>
    <col min="2" max="2" width="15.33203125" customWidth="1"/>
    <col min="3" max="3" width="13.33203125" customWidth="1"/>
    <col min="4" max="4" width="14.5" customWidth="1"/>
    <col min="5" max="5" width="14.6640625" customWidth="1"/>
    <col min="6" max="6" width="15.33203125" customWidth="1"/>
    <col min="8" max="8" width="12.5" bestFit="1" customWidth="1"/>
    <col min="16" max="16" width="10.83203125" style="1"/>
  </cols>
  <sheetData>
    <row r="1" spans="1:7">
      <c r="A1" t="s">
        <v>41</v>
      </c>
    </row>
    <row r="2" spans="1:7">
      <c r="A2" s="21" t="s">
        <v>42</v>
      </c>
    </row>
    <row r="3" spans="1:7">
      <c r="B3" s="20" t="s">
        <v>40</v>
      </c>
      <c r="C3" t="s">
        <v>37</v>
      </c>
      <c r="D3" s="20" t="s">
        <v>39</v>
      </c>
      <c r="E3" t="s">
        <v>37</v>
      </c>
      <c r="F3" s="20" t="s">
        <v>38</v>
      </c>
      <c r="G3" t="s">
        <v>37</v>
      </c>
    </row>
    <row r="4" spans="1:7">
      <c r="A4" s="19" t="s">
        <v>36</v>
      </c>
      <c r="B4" s="17">
        <v>0.27</v>
      </c>
      <c r="C4" t="s">
        <v>45</v>
      </c>
      <c r="D4" s="17">
        <v>0.27</v>
      </c>
      <c r="E4" t="s">
        <v>45</v>
      </c>
      <c r="F4" s="17">
        <v>0.27</v>
      </c>
      <c r="G4" t="s">
        <v>45</v>
      </c>
    </row>
    <row r="5" spans="1:7">
      <c r="A5" s="19" t="s">
        <v>80</v>
      </c>
      <c r="B5" s="40">
        <v>0.31</v>
      </c>
      <c r="C5" t="s">
        <v>81</v>
      </c>
      <c r="D5" s="17">
        <v>0.31</v>
      </c>
      <c r="E5" t="s">
        <v>81</v>
      </c>
      <c r="F5" s="17">
        <v>0.31</v>
      </c>
      <c r="G5" t="s">
        <v>81</v>
      </c>
    </row>
    <row r="6" spans="1:7">
      <c r="A6" s="1" t="s">
        <v>35</v>
      </c>
      <c r="B6" s="18">
        <v>1</v>
      </c>
      <c r="C6" t="s">
        <v>46</v>
      </c>
      <c r="D6" s="18">
        <v>1</v>
      </c>
      <c r="E6" t="s">
        <v>46</v>
      </c>
      <c r="F6" s="18">
        <v>0.9</v>
      </c>
      <c r="G6" t="s">
        <v>47</v>
      </c>
    </row>
    <row r="7" spans="1:7">
      <c r="A7" s="1" t="s">
        <v>34</v>
      </c>
      <c r="B7" s="17">
        <v>0.4</v>
      </c>
      <c r="C7" s="23" t="s">
        <v>82</v>
      </c>
      <c r="D7" s="17">
        <v>1</v>
      </c>
      <c r="E7" s="23" t="s">
        <v>82</v>
      </c>
      <c r="F7" s="17">
        <f>6%/26%</f>
        <v>0.23076923076923075</v>
      </c>
      <c r="G7" s="16" t="s">
        <v>83</v>
      </c>
    </row>
    <row r="8" spans="1:7">
      <c r="A8" s="1" t="s">
        <v>33</v>
      </c>
      <c r="B8" s="41">
        <f>(1/(1-B5))*B4</f>
        <v>0.39130434782608703</v>
      </c>
      <c r="C8" s="39"/>
      <c r="D8" s="42">
        <f t="shared" ref="D8:F8" si="0">(1/(1-D5))*D4</f>
        <v>0.39130434782608703</v>
      </c>
      <c r="E8" s="39"/>
      <c r="F8" s="41">
        <f t="shared" si="0"/>
        <v>0.39130434782608703</v>
      </c>
      <c r="G8" s="41"/>
    </row>
    <row r="9" spans="1:7">
      <c r="A9" s="1" t="s">
        <v>32</v>
      </c>
      <c r="B9" s="22">
        <f>B8*B7*B6</f>
        <v>0.15652173913043482</v>
      </c>
      <c r="C9" s="22"/>
      <c r="D9" s="22">
        <f t="shared" ref="D9:F9" si="1">D8*D7*D6</f>
        <v>0.39130434782608703</v>
      </c>
      <c r="E9" s="22"/>
      <c r="F9" s="22">
        <f t="shared" si="1"/>
        <v>8.1270903010033452E-2</v>
      </c>
    </row>
    <row r="10" spans="1:7">
      <c r="B10" s="3"/>
      <c r="D10" s="3"/>
      <c r="F10" s="3"/>
    </row>
    <row r="11" spans="1:7">
      <c r="A11" s="1" t="s">
        <v>31</v>
      </c>
      <c r="B11" s="15">
        <v>62</v>
      </c>
      <c r="C11" t="s">
        <v>44</v>
      </c>
      <c r="D11" s="15">
        <v>62</v>
      </c>
      <c r="E11" t="s">
        <v>44</v>
      </c>
      <c r="F11" s="15">
        <v>62</v>
      </c>
      <c r="G11" t="s">
        <v>44</v>
      </c>
    </row>
    <row r="12" spans="1:7">
      <c r="A12" s="1" t="s">
        <v>30</v>
      </c>
      <c r="B12" s="15">
        <v>95</v>
      </c>
      <c r="C12" t="s">
        <v>44</v>
      </c>
      <c r="D12" s="15">
        <v>95</v>
      </c>
      <c r="E12" t="s">
        <v>44</v>
      </c>
      <c r="F12" s="15">
        <v>95</v>
      </c>
      <c r="G12" t="s">
        <v>44</v>
      </c>
    </row>
    <row r="13" spans="1:7">
      <c r="A13" s="1" t="s">
        <v>29</v>
      </c>
      <c r="B13" s="15">
        <v>1.6</v>
      </c>
      <c r="C13" t="s">
        <v>44</v>
      </c>
      <c r="D13" s="15">
        <v>1.6</v>
      </c>
      <c r="E13" t="s">
        <v>44</v>
      </c>
      <c r="F13" s="15">
        <v>1.6</v>
      </c>
      <c r="G13" t="s">
        <v>44</v>
      </c>
    </row>
    <row r="14" spans="1:7">
      <c r="A14" s="1" t="s">
        <v>28</v>
      </c>
      <c r="B14" s="15">
        <v>59</v>
      </c>
      <c r="C14" s="1" t="s">
        <v>50</v>
      </c>
      <c r="D14" s="15">
        <v>66</v>
      </c>
      <c r="E14" s="1" t="s">
        <v>51</v>
      </c>
      <c r="F14" s="15">
        <v>56</v>
      </c>
      <c r="G14" s="1" t="s">
        <v>52</v>
      </c>
    </row>
    <row r="15" spans="1:7">
      <c r="A15" s="1" t="s">
        <v>27</v>
      </c>
      <c r="B15" s="15">
        <v>95</v>
      </c>
      <c r="C15" t="s">
        <v>44</v>
      </c>
      <c r="D15" s="15">
        <v>95</v>
      </c>
      <c r="E15" t="s">
        <v>44</v>
      </c>
      <c r="F15" s="15">
        <v>95</v>
      </c>
      <c r="G15" t="s">
        <v>44</v>
      </c>
    </row>
    <row r="16" spans="1:7">
      <c r="B16" s="3"/>
      <c r="D16" s="3"/>
      <c r="F16" s="3"/>
    </row>
    <row r="17" spans="1:13" ht="15" customHeight="1">
      <c r="A17" s="1" t="s">
        <v>26</v>
      </c>
      <c r="B17" s="14">
        <v>1</v>
      </c>
      <c r="C17" s="45" t="s">
        <v>85</v>
      </c>
      <c r="D17" s="14">
        <v>1</v>
      </c>
      <c r="E17" s="45" t="s">
        <v>85</v>
      </c>
      <c r="F17" s="14">
        <v>1</v>
      </c>
      <c r="G17" s="43" t="s">
        <v>85</v>
      </c>
      <c r="H17" s="44"/>
      <c r="I17" s="44"/>
      <c r="J17" s="44"/>
      <c r="K17" s="44"/>
      <c r="L17" s="44"/>
      <c r="M17" s="44"/>
    </row>
    <row r="18" spans="1:13">
      <c r="A18" s="1" t="s">
        <v>25</v>
      </c>
      <c r="B18" s="14">
        <v>1</v>
      </c>
      <c r="C18" s="45"/>
      <c r="D18" s="14">
        <v>1</v>
      </c>
      <c r="E18" s="45"/>
      <c r="F18" s="14">
        <v>0</v>
      </c>
      <c r="G18" s="43"/>
      <c r="H18" s="44"/>
      <c r="I18" s="44"/>
      <c r="J18" s="44"/>
      <c r="K18" s="44"/>
      <c r="L18" s="44"/>
      <c r="M18" s="44"/>
    </row>
    <row r="19" spans="1:13">
      <c r="A19" s="1" t="s">
        <v>24</v>
      </c>
      <c r="B19" s="14">
        <v>1</v>
      </c>
      <c r="C19" s="45"/>
      <c r="D19" s="14">
        <v>1</v>
      </c>
      <c r="E19" s="45"/>
      <c r="F19" s="14">
        <v>0</v>
      </c>
      <c r="G19" s="43"/>
      <c r="H19" s="44"/>
      <c r="I19" s="44"/>
      <c r="J19" s="44"/>
      <c r="K19" s="44"/>
      <c r="L19" s="44"/>
      <c r="M19" s="44"/>
    </row>
    <row r="20" spans="1:13">
      <c r="A20" s="1" t="s">
        <v>23</v>
      </c>
      <c r="B20" s="14">
        <v>0</v>
      </c>
      <c r="C20" s="45"/>
      <c r="D20" s="14">
        <v>1</v>
      </c>
      <c r="E20" s="45"/>
      <c r="F20" s="14">
        <v>0</v>
      </c>
      <c r="G20" s="43"/>
      <c r="H20" s="44"/>
      <c r="I20" s="44"/>
      <c r="J20" s="44"/>
      <c r="K20" s="44"/>
      <c r="L20" s="44"/>
      <c r="M20" s="44"/>
    </row>
    <row r="21" spans="1:13">
      <c r="A21" s="1" t="s">
        <v>22</v>
      </c>
      <c r="B21" s="14">
        <v>0</v>
      </c>
      <c r="C21" s="45"/>
      <c r="D21" s="14">
        <v>1</v>
      </c>
      <c r="E21" s="45"/>
      <c r="F21" s="14">
        <v>0</v>
      </c>
      <c r="G21" s="43"/>
      <c r="H21" s="44"/>
      <c r="I21" s="44"/>
      <c r="J21" s="44"/>
      <c r="K21" s="44"/>
      <c r="L21" s="44"/>
      <c r="M21" s="44"/>
    </row>
    <row r="22" spans="1:13">
      <c r="B22" s="3"/>
      <c r="D22" s="3"/>
      <c r="F22" s="3"/>
    </row>
    <row r="23" spans="1:13">
      <c r="A23" s="1" t="s">
        <v>21</v>
      </c>
      <c r="B23" s="13">
        <v>1380</v>
      </c>
      <c r="C23" t="s">
        <v>16</v>
      </c>
      <c r="D23" s="13">
        <v>1380</v>
      </c>
      <c r="E23" t="s">
        <v>16</v>
      </c>
      <c r="F23" s="13">
        <v>1380</v>
      </c>
      <c r="G23" t="s">
        <v>16</v>
      </c>
    </row>
    <row r="24" spans="1:13">
      <c r="A24" s="1" t="s">
        <v>20</v>
      </c>
      <c r="B24" s="13">
        <v>3794</v>
      </c>
      <c r="C24" t="s">
        <v>16</v>
      </c>
      <c r="D24" s="13">
        <v>3794</v>
      </c>
      <c r="E24" t="s">
        <v>16</v>
      </c>
      <c r="F24" s="13">
        <v>3794</v>
      </c>
      <c r="G24" t="s">
        <v>16</v>
      </c>
    </row>
    <row r="25" spans="1:13">
      <c r="A25" s="1" t="s">
        <v>19</v>
      </c>
      <c r="B25" s="13">
        <v>5662</v>
      </c>
      <c r="C25" t="s">
        <v>16</v>
      </c>
      <c r="D25" s="13">
        <v>5662</v>
      </c>
      <c r="E25" t="s">
        <v>16</v>
      </c>
      <c r="F25" s="13">
        <v>5662</v>
      </c>
      <c r="G25" t="s">
        <v>16</v>
      </c>
    </row>
    <row r="26" spans="1:13">
      <c r="A26" s="1" t="s">
        <v>18</v>
      </c>
      <c r="B26" s="13">
        <v>6209</v>
      </c>
      <c r="C26" t="s">
        <v>16</v>
      </c>
      <c r="D26" s="13">
        <v>6209</v>
      </c>
      <c r="E26" t="s">
        <v>16</v>
      </c>
      <c r="F26" s="13">
        <v>6209</v>
      </c>
      <c r="G26" t="s">
        <v>16</v>
      </c>
    </row>
    <row r="27" spans="1:13">
      <c r="A27" s="1" t="s">
        <v>17</v>
      </c>
      <c r="B27" s="13">
        <v>6645</v>
      </c>
      <c r="C27" t="s">
        <v>16</v>
      </c>
      <c r="D27" s="13">
        <v>6645</v>
      </c>
      <c r="E27" t="s">
        <v>16</v>
      </c>
      <c r="F27" s="13">
        <v>6645</v>
      </c>
      <c r="G27" t="s">
        <v>16</v>
      </c>
    </row>
    <row r="28" spans="1:13">
      <c r="A28" s="1" t="s">
        <v>15</v>
      </c>
      <c r="B28" s="12">
        <f>SUMPRODUCT(B17:B21,B23:B27)</f>
        <v>10836</v>
      </c>
      <c r="D28" s="12">
        <f>SUMPRODUCT(D17:D21,D23:D27)</f>
        <v>23690</v>
      </c>
      <c r="F28" s="12">
        <f>SUMPRODUCT(F17:F21,F23:F27)</f>
        <v>1380</v>
      </c>
    </row>
    <row r="29" spans="1:13">
      <c r="B29" s="12"/>
      <c r="D29" s="12"/>
      <c r="F29" s="12"/>
    </row>
    <row r="30" spans="1:13">
      <c r="A30" s="1" t="s">
        <v>14</v>
      </c>
      <c r="B30" s="11">
        <v>3937182.0275521101</v>
      </c>
      <c r="C30" t="s">
        <v>54</v>
      </c>
      <c r="D30" s="11">
        <v>3937182.0275521101</v>
      </c>
      <c r="E30" t="s">
        <v>54</v>
      </c>
      <c r="F30" s="11">
        <v>3937182.0275521101</v>
      </c>
      <c r="G30" t="s">
        <v>54</v>
      </c>
    </row>
    <row r="31" spans="1:13">
      <c r="A31" s="1" t="s">
        <v>13</v>
      </c>
      <c r="B31" s="11">
        <v>7099492</v>
      </c>
      <c r="C31" t="s">
        <v>54</v>
      </c>
      <c r="D31" s="11">
        <v>7099492</v>
      </c>
      <c r="E31" t="s">
        <v>54</v>
      </c>
      <c r="F31" s="11">
        <v>7099492</v>
      </c>
      <c r="G31" t="s">
        <v>54</v>
      </c>
    </row>
    <row r="32" spans="1:13">
      <c r="A32" s="1" t="s">
        <v>12</v>
      </c>
      <c r="B32" s="11">
        <v>8573646</v>
      </c>
      <c r="C32" t="s">
        <v>54</v>
      </c>
      <c r="D32" s="11">
        <v>8573646</v>
      </c>
      <c r="E32" t="s">
        <v>54</v>
      </c>
      <c r="F32" s="11">
        <v>8573646</v>
      </c>
      <c r="G32" t="s">
        <v>54</v>
      </c>
    </row>
    <row r="33" spans="1:7">
      <c r="A33" s="1" t="s">
        <v>11</v>
      </c>
      <c r="B33" s="11">
        <v>8610382</v>
      </c>
      <c r="C33" t="s">
        <v>54</v>
      </c>
      <c r="D33" s="11">
        <v>8610382</v>
      </c>
      <c r="E33" t="s">
        <v>54</v>
      </c>
      <c r="F33" s="11">
        <v>8610382</v>
      </c>
      <c r="G33" t="s">
        <v>54</v>
      </c>
    </row>
    <row r="34" spans="1:7">
      <c r="A34" s="1" t="s">
        <v>10</v>
      </c>
      <c r="B34" s="11">
        <v>8985147</v>
      </c>
      <c r="C34" t="s">
        <v>54</v>
      </c>
      <c r="D34" s="11">
        <v>8985147</v>
      </c>
      <c r="E34" t="s">
        <v>54</v>
      </c>
      <c r="F34" s="11">
        <v>8985147</v>
      </c>
      <c r="G34" t="s">
        <v>54</v>
      </c>
    </row>
    <row r="35" spans="1:7">
      <c r="A35" s="1" t="s">
        <v>9</v>
      </c>
      <c r="B35" s="10">
        <f>SUMPRODUCT(B17:B21,B30:B34)</f>
        <v>19610320.027552109</v>
      </c>
      <c r="D35" s="10">
        <f>SUMPRODUCT(D17:D21,D30:D34)</f>
        <v>37205849.027552113</v>
      </c>
      <c r="F35" s="10">
        <f>SUMPRODUCT(F17:F21,F30:F34)</f>
        <v>3937182.0275521101</v>
      </c>
    </row>
    <row r="36" spans="1:7">
      <c r="A36" s="1"/>
      <c r="B36" s="3"/>
      <c r="D36" s="3"/>
      <c r="F36" s="3"/>
    </row>
    <row r="37" spans="1:7">
      <c r="A37" s="7" t="s">
        <v>8</v>
      </c>
      <c r="B37" s="9">
        <f>B11*B12*B13</f>
        <v>9424</v>
      </c>
      <c r="D37" s="9">
        <f>D11*D12*D13</f>
        <v>9424</v>
      </c>
      <c r="F37" s="9">
        <f>F11*F12*F13</f>
        <v>9424</v>
      </c>
    </row>
    <row r="38" spans="1:7">
      <c r="A38" s="7" t="s">
        <v>7</v>
      </c>
      <c r="B38" s="8">
        <f>(1-B9)*B14</f>
        <v>49.765217391304347</v>
      </c>
      <c r="D38" s="8">
        <f>(1-D9)*D14</f>
        <v>40.173913043478258</v>
      </c>
      <c r="F38" s="8">
        <f>(1-F9)*F14</f>
        <v>51.448829431438128</v>
      </c>
    </row>
    <row r="39" spans="1:7">
      <c r="A39" s="7" t="s">
        <v>6</v>
      </c>
      <c r="B39" s="6">
        <f>((B14/1000)*B37)</f>
        <v>556.01599999999996</v>
      </c>
      <c r="D39" s="6">
        <f>((D14/1000)*D37)</f>
        <v>621.98400000000004</v>
      </c>
      <c r="F39" s="6">
        <f>((F14/1000)*F37)</f>
        <v>527.74400000000003</v>
      </c>
    </row>
    <row r="40" spans="1:7">
      <c r="A40" s="7" t="s">
        <v>5</v>
      </c>
      <c r="B40" s="6">
        <f>((B38/1000)*B37)</f>
        <v>468.98740869565211</v>
      </c>
      <c r="D40" s="6">
        <f>((D38/1000)*D37)</f>
        <v>378.59895652173913</v>
      </c>
      <c r="F40" s="6">
        <f>((F38/1000)*F37)</f>
        <v>484.85376856187293</v>
      </c>
    </row>
    <row r="41" spans="1:7">
      <c r="A41" s="7" t="s">
        <v>4</v>
      </c>
      <c r="B41" s="6">
        <f>B39-B40</f>
        <v>87.028591304347856</v>
      </c>
      <c r="D41" s="6">
        <f>D39-D40</f>
        <v>243.38504347826091</v>
      </c>
      <c r="F41" s="6">
        <f>F39-F40</f>
        <v>42.890231438127103</v>
      </c>
    </row>
    <row r="42" spans="1:7">
      <c r="A42" s="7" t="s">
        <v>3</v>
      </c>
      <c r="B42" s="6">
        <f>B41/5</f>
        <v>17.40571826086957</v>
      </c>
      <c r="D42" s="6">
        <f>D41/5</f>
        <v>48.677008695652184</v>
      </c>
      <c r="F42" s="6">
        <f>F41/5</f>
        <v>8.5780462876254209</v>
      </c>
    </row>
    <row r="43" spans="1:7">
      <c r="A43" s="7"/>
      <c r="B43" s="6"/>
      <c r="D43" s="6"/>
      <c r="F43" s="6"/>
    </row>
    <row r="44" spans="1:7">
      <c r="A44" s="1" t="s">
        <v>2</v>
      </c>
      <c r="B44" s="5">
        <f>B42/B15</f>
        <v>0.18321808695652178</v>
      </c>
      <c r="D44" s="5">
        <f>D42/D15</f>
        <v>0.51238956521739143</v>
      </c>
      <c r="F44" s="5">
        <f>F42/F15</f>
        <v>9.0295224080267592E-2</v>
      </c>
    </row>
    <row r="45" spans="1:7">
      <c r="A45" s="1" t="s">
        <v>1</v>
      </c>
      <c r="B45" s="4">
        <f>B28*B44</f>
        <v>1985.35119026087</v>
      </c>
      <c r="D45" s="4">
        <f>D28*D44</f>
        <v>12138.508800000003</v>
      </c>
      <c r="F45" s="4">
        <f>F28*F44</f>
        <v>124.60740923076928</v>
      </c>
    </row>
    <row r="46" spans="1:7">
      <c r="B46" s="3"/>
      <c r="D46" s="3"/>
      <c r="F46" s="3"/>
    </row>
    <row r="47" spans="1:7">
      <c r="A47" t="s">
        <v>0</v>
      </c>
      <c r="B47" s="2">
        <f>B35/B45</f>
        <v>9877.5068732174095</v>
      </c>
      <c r="D47" s="2">
        <f>D35/D45</f>
        <v>3065.108708209043</v>
      </c>
      <c r="F47" s="2">
        <f>F35/F45</f>
        <v>31596.692779805446</v>
      </c>
    </row>
  </sheetData>
  <mergeCells count="3">
    <mergeCell ref="C17:C21"/>
    <mergeCell ref="E17:E21"/>
    <mergeCell ref="G17:M2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topLeftCell="A8" workbookViewId="0">
      <selection activeCell="A2" sqref="A2"/>
    </sheetView>
  </sheetViews>
  <sheetFormatPr baseColWidth="10" defaultRowHeight="15" x14ac:dyDescent="0"/>
  <cols>
    <col min="1" max="1" width="88.6640625" bestFit="1" customWidth="1"/>
    <col min="2" max="2" width="15.33203125" customWidth="1"/>
    <col min="3" max="3" width="13.33203125" customWidth="1"/>
    <col min="4" max="4" width="14.5" customWidth="1"/>
    <col min="5" max="5" width="14.6640625" customWidth="1"/>
    <col min="6" max="6" width="15.33203125" customWidth="1"/>
    <col min="8" max="8" width="12.5" bestFit="1" customWidth="1"/>
    <col min="16" max="16" width="10.83203125" style="1"/>
  </cols>
  <sheetData>
    <row r="1" spans="1:13">
      <c r="A1" t="s">
        <v>41</v>
      </c>
    </row>
    <row r="2" spans="1:13">
      <c r="A2" s="21" t="s">
        <v>56</v>
      </c>
    </row>
    <row r="3" spans="1:13">
      <c r="B3" s="20" t="s">
        <v>40</v>
      </c>
      <c r="C3" t="s">
        <v>37</v>
      </c>
      <c r="D3" s="20" t="s">
        <v>39</v>
      </c>
      <c r="E3" t="s">
        <v>37</v>
      </c>
      <c r="F3" s="20" t="s">
        <v>38</v>
      </c>
      <c r="G3" t="s">
        <v>37</v>
      </c>
    </row>
    <row r="4" spans="1:13">
      <c r="A4" s="19" t="s">
        <v>36</v>
      </c>
      <c r="B4" s="17">
        <v>0.27</v>
      </c>
      <c r="C4" t="s">
        <v>45</v>
      </c>
      <c r="D4" s="17">
        <v>0.27</v>
      </c>
      <c r="E4" t="s">
        <v>45</v>
      </c>
      <c r="F4" s="17">
        <v>0.27</v>
      </c>
      <c r="G4" t="s">
        <v>45</v>
      </c>
    </row>
    <row r="5" spans="1:13">
      <c r="A5" s="1" t="s">
        <v>35</v>
      </c>
      <c r="B5" s="18">
        <v>1</v>
      </c>
      <c r="C5" t="s">
        <v>46</v>
      </c>
      <c r="D5" s="18">
        <v>1</v>
      </c>
      <c r="E5" t="s">
        <v>46</v>
      </c>
      <c r="F5" s="18">
        <v>0.9</v>
      </c>
      <c r="G5" t="s">
        <v>47</v>
      </c>
    </row>
    <row r="6" spans="1:13">
      <c r="A6" s="1" t="s">
        <v>34</v>
      </c>
      <c r="B6" s="17">
        <v>0.5</v>
      </c>
      <c r="C6" s="23" t="s">
        <v>48</v>
      </c>
      <c r="D6" s="17">
        <v>1</v>
      </c>
      <c r="E6" s="23" t="s">
        <v>48</v>
      </c>
      <c r="F6" s="17">
        <f>6%/26%</f>
        <v>0.23076923076923075</v>
      </c>
      <c r="G6" s="16" t="s">
        <v>49</v>
      </c>
    </row>
    <row r="7" spans="1:13">
      <c r="A7" s="1" t="s">
        <v>43</v>
      </c>
      <c r="B7" s="22">
        <f>B4*B6*B5</f>
        <v>0.13500000000000001</v>
      </c>
      <c r="C7" s="22"/>
      <c r="D7" s="22">
        <f t="shared" ref="D7:F7" si="0">D4*D6*D5</f>
        <v>0.27</v>
      </c>
      <c r="E7" s="22"/>
      <c r="F7" s="22">
        <f t="shared" si="0"/>
        <v>5.607692307692308E-2</v>
      </c>
    </row>
    <row r="8" spans="1:13">
      <c r="B8" s="3"/>
      <c r="D8" s="3"/>
      <c r="F8" s="3"/>
    </row>
    <row r="9" spans="1:13">
      <c r="A9" s="1" t="s">
        <v>31</v>
      </c>
      <c r="B9" s="15">
        <v>62</v>
      </c>
      <c r="C9" t="s">
        <v>44</v>
      </c>
      <c r="D9" s="15">
        <v>62</v>
      </c>
      <c r="E9" t="s">
        <v>44</v>
      </c>
      <c r="F9" s="15">
        <v>62</v>
      </c>
      <c r="G9" t="s">
        <v>44</v>
      </c>
    </row>
    <row r="10" spans="1:13">
      <c r="A10" s="1" t="s">
        <v>30</v>
      </c>
      <c r="B10" s="15">
        <v>95</v>
      </c>
      <c r="C10" t="s">
        <v>44</v>
      </c>
      <c r="D10" s="15">
        <v>95</v>
      </c>
      <c r="E10" t="s">
        <v>44</v>
      </c>
      <c r="F10" s="15">
        <v>95</v>
      </c>
      <c r="G10" t="s">
        <v>44</v>
      </c>
    </row>
    <row r="11" spans="1:13">
      <c r="A11" s="1" t="s">
        <v>29</v>
      </c>
      <c r="B11" s="15">
        <v>1.6</v>
      </c>
      <c r="C11" t="s">
        <v>44</v>
      </c>
      <c r="D11" s="15">
        <v>1.6</v>
      </c>
      <c r="E11" t="s">
        <v>44</v>
      </c>
      <c r="F11" s="15">
        <v>1.6</v>
      </c>
      <c r="G11" t="s">
        <v>44</v>
      </c>
    </row>
    <row r="12" spans="1:13">
      <c r="A12" s="1" t="s">
        <v>28</v>
      </c>
      <c r="B12" s="15">
        <v>59</v>
      </c>
      <c r="C12" s="1" t="s">
        <v>50</v>
      </c>
      <c r="D12" s="15">
        <v>66</v>
      </c>
      <c r="E12" s="1" t="s">
        <v>51</v>
      </c>
      <c r="F12" s="15">
        <v>56</v>
      </c>
      <c r="G12" s="1" t="s">
        <v>52</v>
      </c>
    </row>
    <row r="13" spans="1:13">
      <c r="A13" s="1" t="s">
        <v>27</v>
      </c>
      <c r="B13" s="15">
        <v>95</v>
      </c>
      <c r="C13" t="s">
        <v>44</v>
      </c>
      <c r="D13" s="15">
        <v>95</v>
      </c>
      <c r="E13" t="s">
        <v>44</v>
      </c>
      <c r="F13" s="15">
        <v>95</v>
      </c>
      <c r="G13" t="s">
        <v>44</v>
      </c>
    </row>
    <row r="14" spans="1:13">
      <c r="B14" s="3"/>
      <c r="D14" s="3"/>
      <c r="F14" s="3"/>
    </row>
    <row r="15" spans="1:13" ht="15" customHeight="1">
      <c r="A15" s="1" t="s">
        <v>26</v>
      </c>
      <c r="B15" s="14">
        <v>1</v>
      </c>
      <c r="C15" s="45" t="s">
        <v>85</v>
      </c>
      <c r="D15" s="14">
        <v>1</v>
      </c>
      <c r="E15" s="45" t="s">
        <v>85</v>
      </c>
      <c r="F15" s="14">
        <v>1</v>
      </c>
      <c r="G15" s="43" t="s">
        <v>85</v>
      </c>
      <c r="H15" s="44"/>
      <c r="I15" s="44"/>
      <c r="J15" s="44"/>
      <c r="K15" s="44"/>
      <c r="L15" s="44"/>
      <c r="M15" s="44"/>
    </row>
    <row r="16" spans="1:13">
      <c r="A16" s="1" t="s">
        <v>25</v>
      </c>
      <c r="B16" s="14">
        <v>1</v>
      </c>
      <c r="C16" s="45"/>
      <c r="D16" s="14">
        <v>1</v>
      </c>
      <c r="E16" s="45"/>
      <c r="F16" s="14">
        <v>0</v>
      </c>
      <c r="G16" s="43"/>
      <c r="H16" s="44"/>
      <c r="I16" s="44"/>
      <c r="J16" s="44"/>
      <c r="K16" s="44"/>
      <c r="L16" s="44"/>
      <c r="M16" s="44"/>
    </row>
    <row r="17" spans="1:13">
      <c r="A17" s="1" t="s">
        <v>24</v>
      </c>
      <c r="B17" s="14">
        <v>1</v>
      </c>
      <c r="C17" s="45"/>
      <c r="D17" s="14">
        <v>1</v>
      </c>
      <c r="E17" s="45"/>
      <c r="F17" s="14">
        <v>0</v>
      </c>
      <c r="G17" s="43"/>
      <c r="H17" s="44"/>
      <c r="I17" s="44"/>
      <c r="J17" s="44"/>
      <c r="K17" s="44"/>
      <c r="L17" s="44"/>
      <c r="M17" s="44"/>
    </row>
    <row r="18" spans="1:13">
      <c r="A18" s="1" t="s">
        <v>23</v>
      </c>
      <c r="B18" s="14">
        <v>0</v>
      </c>
      <c r="C18" s="45"/>
      <c r="D18" s="14">
        <v>1</v>
      </c>
      <c r="E18" s="45"/>
      <c r="F18" s="14">
        <v>0</v>
      </c>
      <c r="G18" s="43"/>
      <c r="H18" s="44"/>
      <c r="I18" s="44"/>
      <c r="J18" s="44"/>
      <c r="K18" s="44"/>
      <c r="L18" s="44"/>
      <c r="M18" s="44"/>
    </row>
    <row r="19" spans="1:13">
      <c r="A19" s="1" t="s">
        <v>22</v>
      </c>
      <c r="B19" s="14">
        <v>0</v>
      </c>
      <c r="C19" s="45"/>
      <c r="D19" s="14">
        <v>1</v>
      </c>
      <c r="E19" s="45"/>
      <c r="F19" s="14">
        <v>0</v>
      </c>
      <c r="G19" s="43"/>
      <c r="H19" s="44"/>
      <c r="I19" s="44"/>
      <c r="J19" s="44"/>
      <c r="K19" s="44"/>
      <c r="L19" s="44"/>
      <c r="M19" s="44"/>
    </row>
    <row r="20" spans="1:13">
      <c r="B20" s="3"/>
      <c r="D20" s="3"/>
      <c r="F20" s="3"/>
    </row>
    <row r="21" spans="1:13">
      <c r="A21" s="1" t="s">
        <v>21</v>
      </c>
      <c r="B21" s="13">
        <v>1380</v>
      </c>
      <c r="C21" t="s">
        <v>16</v>
      </c>
      <c r="D21" s="13">
        <v>1380</v>
      </c>
      <c r="E21" t="s">
        <v>16</v>
      </c>
      <c r="F21" s="13">
        <v>1380</v>
      </c>
      <c r="G21" t="s">
        <v>16</v>
      </c>
    </row>
    <row r="22" spans="1:13">
      <c r="A22" s="1" t="s">
        <v>20</v>
      </c>
      <c r="B22" s="13">
        <v>3794</v>
      </c>
      <c r="C22" t="s">
        <v>16</v>
      </c>
      <c r="D22" s="13">
        <v>3794</v>
      </c>
      <c r="E22" t="s">
        <v>16</v>
      </c>
      <c r="F22" s="13">
        <v>3794</v>
      </c>
      <c r="G22" t="s">
        <v>16</v>
      </c>
    </row>
    <row r="23" spans="1:13">
      <c r="A23" s="1" t="s">
        <v>19</v>
      </c>
      <c r="B23" s="13">
        <v>5662</v>
      </c>
      <c r="C23" t="s">
        <v>16</v>
      </c>
      <c r="D23" s="13">
        <v>5662</v>
      </c>
      <c r="E23" t="s">
        <v>16</v>
      </c>
      <c r="F23" s="13">
        <v>5662</v>
      </c>
      <c r="G23" t="s">
        <v>16</v>
      </c>
    </row>
    <row r="24" spans="1:13">
      <c r="A24" s="1" t="s">
        <v>18</v>
      </c>
      <c r="B24" s="13">
        <v>6209</v>
      </c>
      <c r="C24" t="s">
        <v>16</v>
      </c>
      <c r="D24" s="13">
        <v>6209</v>
      </c>
      <c r="E24" t="s">
        <v>16</v>
      </c>
      <c r="F24" s="13">
        <v>6209</v>
      </c>
      <c r="G24" t="s">
        <v>16</v>
      </c>
    </row>
    <row r="25" spans="1:13">
      <c r="A25" s="1" t="s">
        <v>17</v>
      </c>
      <c r="B25" s="13">
        <v>6645</v>
      </c>
      <c r="C25" t="s">
        <v>16</v>
      </c>
      <c r="D25" s="13">
        <v>6645</v>
      </c>
      <c r="E25" t="s">
        <v>16</v>
      </c>
      <c r="F25" s="13">
        <v>6645</v>
      </c>
      <c r="G25" t="s">
        <v>16</v>
      </c>
    </row>
    <row r="26" spans="1:13">
      <c r="A26" s="1" t="s">
        <v>15</v>
      </c>
      <c r="B26" s="12">
        <f>SUMPRODUCT(B15:B19,B21:B25)</f>
        <v>10836</v>
      </c>
      <c r="D26" s="12">
        <f>SUMPRODUCT(D15:D19,D21:D25)</f>
        <v>23690</v>
      </c>
      <c r="F26" s="12">
        <f>SUMPRODUCT(F15:F19,F21:F25)</f>
        <v>1380</v>
      </c>
    </row>
    <row r="27" spans="1:13">
      <c r="B27" s="12"/>
      <c r="D27" s="12"/>
      <c r="F27" s="12"/>
    </row>
    <row r="28" spans="1:13">
      <c r="A28" s="1" t="s">
        <v>14</v>
      </c>
      <c r="B28" s="11">
        <v>1841386.7547642319</v>
      </c>
      <c r="C28" t="s">
        <v>55</v>
      </c>
      <c r="D28" s="11">
        <v>1841386.7547642319</v>
      </c>
      <c r="E28" t="s">
        <v>55</v>
      </c>
      <c r="F28" s="11">
        <v>1841386.7547642319</v>
      </c>
      <c r="G28" t="s">
        <v>55</v>
      </c>
    </row>
    <row r="29" spans="1:13">
      <c r="A29" s="1" t="s">
        <v>13</v>
      </c>
      <c r="B29" s="11">
        <v>5097930.4725310709</v>
      </c>
      <c r="C29" t="s">
        <v>55</v>
      </c>
      <c r="D29" s="11">
        <v>5097930.4725310709</v>
      </c>
      <c r="E29" t="s">
        <v>55</v>
      </c>
      <c r="F29" s="11">
        <v>5097930.4725310709</v>
      </c>
      <c r="G29" t="s">
        <v>55</v>
      </c>
    </row>
    <row r="30" spans="1:13">
      <c r="A30" s="1" t="s">
        <v>12</v>
      </c>
      <c r="B30" s="11">
        <v>6277001.8010593737</v>
      </c>
      <c r="C30" t="s">
        <v>55</v>
      </c>
      <c r="D30" s="11">
        <v>6277001.8010593737</v>
      </c>
      <c r="E30" t="s">
        <v>55</v>
      </c>
      <c r="F30" s="11">
        <v>6277001.8010593737</v>
      </c>
      <c r="G30" t="s">
        <v>55</v>
      </c>
    </row>
    <row r="31" spans="1:13">
      <c r="A31" s="1" t="s">
        <v>11</v>
      </c>
      <c r="B31" s="11">
        <v>6247886.4277497698</v>
      </c>
      <c r="C31" t="s">
        <v>55</v>
      </c>
      <c r="D31" s="11">
        <v>6247886.4277497698</v>
      </c>
      <c r="E31" t="s">
        <v>55</v>
      </c>
      <c r="F31" s="11">
        <v>6247886.4277497698</v>
      </c>
      <c r="G31" t="s">
        <v>55</v>
      </c>
    </row>
    <row r="32" spans="1:13">
      <c r="A32" s="1" t="s">
        <v>10</v>
      </c>
      <c r="B32" s="11">
        <v>6691371.2622996923</v>
      </c>
      <c r="C32" t="s">
        <v>55</v>
      </c>
      <c r="D32" s="11">
        <v>6691371.2622996923</v>
      </c>
      <c r="E32" t="s">
        <v>55</v>
      </c>
      <c r="F32" s="11">
        <v>6691371.2622996923</v>
      </c>
      <c r="G32" t="s">
        <v>55</v>
      </c>
    </row>
    <row r="33" spans="1:6">
      <c r="A33" s="1" t="s">
        <v>9</v>
      </c>
      <c r="B33" s="10">
        <f>SUMPRODUCT(B15:B19,B28:B32)</f>
        <v>13216319.028354676</v>
      </c>
      <c r="D33" s="10">
        <f>SUMPRODUCT(D15:D19,D28:D32)</f>
        <v>26155576.718404137</v>
      </c>
      <c r="F33" s="10">
        <f>SUMPRODUCT(F15:F19,F28:F32)</f>
        <v>1841386.7547642319</v>
      </c>
    </row>
    <row r="34" spans="1:6">
      <c r="A34" s="1"/>
      <c r="B34" s="3"/>
      <c r="D34" s="3"/>
      <c r="F34" s="3"/>
    </row>
    <row r="35" spans="1:6">
      <c r="A35" s="7" t="s">
        <v>8</v>
      </c>
      <c r="B35" s="9">
        <f>B9*B10*B11</f>
        <v>9424</v>
      </c>
      <c r="D35" s="9">
        <f>D9*D10*D11</f>
        <v>9424</v>
      </c>
      <c r="F35" s="9">
        <f>F9*F10*F11</f>
        <v>9424</v>
      </c>
    </row>
    <row r="36" spans="1:6">
      <c r="A36" s="7" t="s">
        <v>7</v>
      </c>
      <c r="B36" s="8">
        <f>(1-B7)*B12</f>
        <v>51.034999999999997</v>
      </c>
      <c r="D36" s="8">
        <f>(1-D7)*D12</f>
        <v>48.18</v>
      </c>
      <c r="F36" s="8">
        <f>(1-F7)*F12</f>
        <v>52.859692307692306</v>
      </c>
    </row>
    <row r="37" spans="1:6">
      <c r="A37" s="7" t="s">
        <v>6</v>
      </c>
      <c r="B37" s="6">
        <f>((B12/1000)*B35)</f>
        <v>556.01599999999996</v>
      </c>
      <c r="D37" s="6">
        <f>((D12/1000)*D35)</f>
        <v>621.98400000000004</v>
      </c>
      <c r="F37" s="6">
        <f>((F12/1000)*F35)</f>
        <v>527.74400000000003</v>
      </c>
    </row>
    <row r="38" spans="1:6">
      <c r="A38" s="7" t="s">
        <v>5</v>
      </c>
      <c r="B38" s="6">
        <f>((B36/1000)*B35)</f>
        <v>480.95383999999996</v>
      </c>
      <c r="D38" s="6">
        <f>((D36/1000)*D35)</f>
        <v>454.04831999999999</v>
      </c>
      <c r="F38" s="6">
        <f>((F36/1000)*F35)</f>
        <v>498.1497403076923</v>
      </c>
    </row>
    <row r="39" spans="1:6">
      <c r="A39" s="7" t="s">
        <v>4</v>
      </c>
      <c r="B39" s="6">
        <f>B37-B38</f>
        <v>75.062160000000006</v>
      </c>
      <c r="D39" s="6">
        <f>D37-D38</f>
        <v>167.93568000000005</v>
      </c>
      <c r="F39" s="6">
        <f>F37-F38</f>
        <v>29.59425969230773</v>
      </c>
    </row>
    <row r="40" spans="1:6">
      <c r="A40" s="7" t="s">
        <v>3</v>
      </c>
      <c r="B40" s="6">
        <f>B39/5</f>
        <v>15.012432</v>
      </c>
      <c r="D40" s="6">
        <f>D39/5</f>
        <v>33.587136000000008</v>
      </c>
      <c r="F40" s="6">
        <f>F39/5</f>
        <v>5.9188519384615459</v>
      </c>
    </row>
    <row r="41" spans="1:6">
      <c r="A41" s="7"/>
      <c r="B41" s="6"/>
      <c r="D41" s="6"/>
      <c r="F41" s="6"/>
    </row>
    <row r="42" spans="1:6">
      <c r="A42" s="1" t="s">
        <v>2</v>
      </c>
      <c r="B42" s="5">
        <f>B40/B13</f>
        <v>0.15802560000000002</v>
      </c>
      <c r="D42" s="5">
        <f>D40/D13</f>
        <v>0.35354880000000011</v>
      </c>
      <c r="F42" s="5">
        <f>F40/F13</f>
        <v>6.2303704615384696E-2</v>
      </c>
    </row>
    <row r="43" spans="1:6">
      <c r="A43" s="1" t="s">
        <v>1</v>
      </c>
      <c r="B43" s="4">
        <f>B26*B42</f>
        <v>1712.3654016000003</v>
      </c>
      <c r="D43" s="4">
        <f>D26*D42</f>
        <v>8375.5710720000025</v>
      </c>
      <c r="F43" s="4">
        <f>F26*F42</f>
        <v>85.979112369230876</v>
      </c>
    </row>
    <row r="44" spans="1:6">
      <c r="B44" s="3"/>
      <c r="D44" s="3"/>
      <c r="F44" s="3"/>
    </row>
    <row r="45" spans="1:6">
      <c r="A45" t="s">
        <v>0</v>
      </c>
      <c r="B45" s="2">
        <f>B33/B43</f>
        <v>7718.1651860085531</v>
      </c>
      <c r="D45" s="2">
        <f>D33/D43</f>
        <v>3122.8409971761421</v>
      </c>
      <c r="F45" s="2">
        <f>F33/F43</f>
        <v>21416.67556250795</v>
      </c>
    </row>
  </sheetData>
  <mergeCells count="3">
    <mergeCell ref="C15:C19"/>
    <mergeCell ref="E15:E19"/>
    <mergeCell ref="G15:M19"/>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workbookViewId="0">
      <selection activeCell="C9" sqref="C9"/>
    </sheetView>
  </sheetViews>
  <sheetFormatPr baseColWidth="10" defaultRowHeight="15" x14ac:dyDescent="0"/>
  <cols>
    <col min="1" max="1" width="88.6640625" bestFit="1" customWidth="1"/>
    <col min="2" max="2" width="15.33203125" customWidth="1"/>
    <col min="3" max="3" width="13.33203125" customWidth="1"/>
    <col min="4" max="4" width="14.5" customWidth="1"/>
    <col min="5" max="5" width="14.6640625" customWidth="1"/>
    <col min="6" max="6" width="15.33203125" customWidth="1"/>
    <col min="8" max="8" width="12.5" bestFit="1" customWidth="1"/>
    <col min="16" max="16" width="10.83203125" style="1"/>
  </cols>
  <sheetData>
    <row r="1" spans="1:13">
      <c r="A1" t="s">
        <v>41</v>
      </c>
    </row>
    <row r="2" spans="1:13">
      <c r="A2" s="21" t="s">
        <v>56</v>
      </c>
    </row>
    <row r="3" spans="1:13">
      <c r="B3" s="20" t="s">
        <v>40</v>
      </c>
      <c r="C3" t="s">
        <v>37</v>
      </c>
      <c r="D3" s="20" t="s">
        <v>39</v>
      </c>
      <c r="E3" t="s">
        <v>37</v>
      </c>
      <c r="F3" s="20" t="s">
        <v>38</v>
      </c>
      <c r="G3" t="s">
        <v>37</v>
      </c>
    </row>
    <row r="4" spans="1:13">
      <c r="A4" s="19" t="s">
        <v>36</v>
      </c>
      <c r="B4" s="17">
        <v>0.27</v>
      </c>
      <c r="C4" t="s">
        <v>45</v>
      </c>
      <c r="D4" s="17">
        <v>0.27</v>
      </c>
      <c r="E4" t="s">
        <v>45</v>
      </c>
      <c r="F4" s="17">
        <v>0.27</v>
      </c>
      <c r="G4" t="s">
        <v>45</v>
      </c>
    </row>
    <row r="5" spans="1:13">
      <c r="A5" s="1" t="s">
        <v>35</v>
      </c>
      <c r="B5" s="18">
        <v>1</v>
      </c>
      <c r="C5" t="s">
        <v>46</v>
      </c>
      <c r="D5" s="18">
        <v>1</v>
      </c>
      <c r="E5" t="s">
        <v>46</v>
      </c>
      <c r="F5" s="18">
        <v>1</v>
      </c>
      <c r="G5" t="s">
        <v>46</v>
      </c>
    </row>
    <row r="6" spans="1:13">
      <c r="A6" s="1" t="s">
        <v>34</v>
      </c>
      <c r="B6" s="17">
        <v>0.65</v>
      </c>
      <c r="C6" s="23" t="s">
        <v>48</v>
      </c>
      <c r="D6" s="17">
        <v>1</v>
      </c>
      <c r="E6" s="23" t="s">
        <v>48</v>
      </c>
      <c r="F6" s="17">
        <f>33%</f>
        <v>0.33</v>
      </c>
      <c r="G6" s="16" t="s">
        <v>53</v>
      </c>
    </row>
    <row r="7" spans="1:13">
      <c r="A7" s="1" t="s">
        <v>43</v>
      </c>
      <c r="B7" s="22">
        <f>B4*B6*B5</f>
        <v>0.17550000000000002</v>
      </c>
      <c r="C7" s="22"/>
      <c r="D7" s="22">
        <f t="shared" ref="D7:F7" si="0">D4*D6*D5</f>
        <v>0.27</v>
      </c>
      <c r="E7" s="22"/>
      <c r="F7" s="22">
        <f t="shared" si="0"/>
        <v>8.9100000000000013E-2</v>
      </c>
    </row>
    <row r="8" spans="1:13">
      <c r="B8" s="3"/>
      <c r="D8" s="3"/>
      <c r="F8" s="3"/>
    </row>
    <row r="9" spans="1:13">
      <c r="A9" s="1" t="s">
        <v>31</v>
      </c>
      <c r="B9" s="15">
        <v>62</v>
      </c>
      <c r="C9" t="s">
        <v>44</v>
      </c>
      <c r="D9" s="15">
        <v>62</v>
      </c>
      <c r="E9" t="s">
        <v>44</v>
      </c>
      <c r="F9" s="15">
        <v>62</v>
      </c>
      <c r="G9" t="s">
        <v>44</v>
      </c>
    </row>
    <row r="10" spans="1:13">
      <c r="A10" s="1" t="s">
        <v>30</v>
      </c>
      <c r="B10" s="15">
        <v>95</v>
      </c>
      <c r="C10" t="s">
        <v>44</v>
      </c>
      <c r="D10" s="15">
        <v>95</v>
      </c>
      <c r="E10" t="s">
        <v>44</v>
      </c>
      <c r="F10" s="15">
        <v>95</v>
      </c>
      <c r="G10" t="s">
        <v>44</v>
      </c>
    </row>
    <row r="11" spans="1:13">
      <c r="A11" s="1" t="s">
        <v>29</v>
      </c>
      <c r="B11" s="15">
        <v>1.6</v>
      </c>
      <c r="C11" t="s">
        <v>44</v>
      </c>
      <c r="D11" s="15">
        <v>1.6</v>
      </c>
      <c r="E11" t="s">
        <v>44</v>
      </c>
      <c r="F11" s="15">
        <v>1.6</v>
      </c>
      <c r="G11" t="s">
        <v>44</v>
      </c>
    </row>
    <row r="12" spans="1:13">
      <c r="A12" s="1" t="s">
        <v>28</v>
      </c>
      <c r="B12" s="15">
        <v>59</v>
      </c>
      <c r="C12" s="1" t="s">
        <v>50</v>
      </c>
      <c r="D12" s="15">
        <v>66</v>
      </c>
      <c r="E12" s="1" t="s">
        <v>51</v>
      </c>
      <c r="F12" s="15">
        <v>56</v>
      </c>
      <c r="G12" s="1" t="s">
        <v>52</v>
      </c>
    </row>
    <row r="13" spans="1:13">
      <c r="A13" s="1" t="s">
        <v>27</v>
      </c>
      <c r="B13" s="15">
        <v>95</v>
      </c>
      <c r="C13" t="s">
        <v>44</v>
      </c>
      <c r="D13" s="15">
        <v>95</v>
      </c>
      <c r="E13" t="s">
        <v>44</v>
      </c>
      <c r="F13" s="15">
        <v>95</v>
      </c>
      <c r="G13" t="s">
        <v>44</v>
      </c>
    </row>
    <row r="14" spans="1:13">
      <c r="B14" s="3"/>
      <c r="D14" s="3"/>
      <c r="F14" s="3"/>
    </row>
    <row r="15" spans="1:13" ht="15" customHeight="1">
      <c r="A15" s="1" t="s">
        <v>26</v>
      </c>
      <c r="B15" s="14">
        <v>1</v>
      </c>
      <c r="C15" s="45" t="s">
        <v>85</v>
      </c>
      <c r="D15" s="14">
        <v>1</v>
      </c>
      <c r="E15" s="45" t="s">
        <v>85</v>
      </c>
      <c r="F15" s="14">
        <v>1</v>
      </c>
      <c r="G15" s="43" t="s">
        <v>85</v>
      </c>
      <c r="H15" s="44"/>
      <c r="I15" s="44"/>
      <c r="J15" s="44"/>
      <c r="K15" s="44"/>
      <c r="L15" s="44"/>
      <c r="M15" s="44"/>
    </row>
    <row r="16" spans="1:13">
      <c r="A16" s="1" t="s">
        <v>25</v>
      </c>
      <c r="B16" s="14">
        <v>1</v>
      </c>
      <c r="C16" s="45"/>
      <c r="D16" s="14">
        <v>1</v>
      </c>
      <c r="E16" s="45"/>
      <c r="F16" s="14">
        <v>0</v>
      </c>
      <c r="G16" s="43"/>
      <c r="H16" s="44"/>
      <c r="I16" s="44"/>
      <c r="J16" s="44"/>
      <c r="K16" s="44"/>
      <c r="L16" s="44"/>
      <c r="M16" s="44"/>
    </row>
    <row r="17" spans="1:13">
      <c r="A17" s="1" t="s">
        <v>24</v>
      </c>
      <c r="B17" s="14">
        <v>1</v>
      </c>
      <c r="C17" s="45"/>
      <c r="D17" s="14">
        <v>1</v>
      </c>
      <c r="E17" s="45"/>
      <c r="F17" s="14">
        <v>0</v>
      </c>
      <c r="G17" s="43"/>
      <c r="H17" s="44"/>
      <c r="I17" s="44"/>
      <c r="J17" s="44"/>
      <c r="K17" s="44"/>
      <c r="L17" s="44"/>
      <c r="M17" s="44"/>
    </row>
    <row r="18" spans="1:13">
      <c r="A18" s="1" t="s">
        <v>23</v>
      </c>
      <c r="B18" s="14">
        <v>0</v>
      </c>
      <c r="C18" s="45"/>
      <c r="D18" s="14">
        <v>1</v>
      </c>
      <c r="E18" s="45"/>
      <c r="F18" s="14">
        <v>0</v>
      </c>
      <c r="G18" s="43"/>
      <c r="H18" s="44"/>
      <c r="I18" s="44"/>
      <c r="J18" s="44"/>
      <c r="K18" s="44"/>
      <c r="L18" s="44"/>
      <c r="M18" s="44"/>
    </row>
    <row r="19" spans="1:13">
      <c r="A19" s="1" t="s">
        <v>22</v>
      </c>
      <c r="B19" s="14">
        <v>0</v>
      </c>
      <c r="C19" s="45"/>
      <c r="D19" s="14">
        <v>1</v>
      </c>
      <c r="E19" s="45"/>
      <c r="F19" s="14">
        <v>0</v>
      </c>
      <c r="G19" s="43"/>
      <c r="H19" s="44"/>
      <c r="I19" s="44"/>
      <c r="J19" s="44"/>
      <c r="K19" s="44"/>
      <c r="L19" s="44"/>
      <c r="M19" s="44"/>
    </row>
    <row r="20" spans="1:13">
      <c r="B20" s="3"/>
      <c r="D20" s="3"/>
      <c r="F20" s="3"/>
    </row>
    <row r="21" spans="1:13">
      <c r="A21" s="1" t="s">
        <v>21</v>
      </c>
      <c r="B21" s="13">
        <v>1380</v>
      </c>
      <c r="C21" t="s">
        <v>16</v>
      </c>
      <c r="D21" s="13">
        <v>1380</v>
      </c>
      <c r="E21" t="s">
        <v>16</v>
      </c>
      <c r="F21" s="13">
        <v>1380</v>
      </c>
      <c r="G21" t="s">
        <v>16</v>
      </c>
    </row>
    <row r="22" spans="1:13">
      <c r="A22" s="1" t="s">
        <v>20</v>
      </c>
      <c r="B22" s="13">
        <v>3794</v>
      </c>
      <c r="C22" t="s">
        <v>16</v>
      </c>
      <c r="D22" s="13">
        <v>3794</v>
      </c>
      <c r="E22" t="s">
        <v>16</v>
      </c>
      <c r="F22" s="13">
        <v>3794</v>
      </c>
      <c r="G22" t="s">
        <v>16</v>
      </c>
    </row>
    <row r="23" spans="1:13">
      <c r="A23" s="1" t="s">
        <v>19</v>
      </c>
      <c r="B23" s="13">
        <v>5662</v>
      </c>
      <c r="C23" t="s">
        <v>16</v>
      </c>
      <c r="D23" s="13">
        <v>5662</v>
      </c>
      <c r="E23" t="s">
        <v>16</v>
      </c>
      <c r="F23" s="13">
        <v>5662</v>
      </c>
      <c r="G23" t="s">
        <v>16</v>
      </c>
    </row>
    <row r="24" spans="1:13">
      <c r="A24" s="1" t="s">
        <v>18</v>
      </c>
      <c r="B24" s="13">
        <v>6209</v>
      </c>
      <c r="C24" t="s">
        <v>16</v>
      </c>
      <c r="D24" s="13">
        <v>6209</v>
      </c>
      <c r="E24" t="s">
        <v>16</v>
      </c>
      <c r="F24" s="13">
        <v>6209</v>
      </c>
      <c r="G24" t="s">
        <v>16</v>
      </c>
    </row>
    <row r="25" spans="1:13">
      <c r="A25" s="1" t="s">
        <v>17</v>
      </c>
      <c r="B25" s="13">
        <v>6645</v>
      </c>
      <c r="C25" t="s">
        <v>16</v>
      </c>
      <c r="D25" s="13">
        <v>6645</v>
      </c>
      <c r="E25" t="s">
        <v>16</v>
      </c>
      <c r="F25" s="13">
        <v>6645</v>
      </c>
      <c r="G25" t="s">
        <v>16</v>
      </c>
    </row>
    <row r="26" spans="1:13">
      <c r="A26" s="1" t="s">
        <v>15</v>
      </c>
      <c r="B26" s="12">
        <f>SUMPRODUCT(B15:B19,B21:B25)</f>
        <v>10836</v>
      </c>
      <c r="D26" s="12">
        <f>SUMPRODUCT(D15:D19,D21:D25)</f>
        <v>23690</v>
      </c>
      <c r="F26" s="12">
        <f>SUMPRODUCT(F15:F19,F21:F25)</f>
        <v>1380</v>
      </c>
    </row>
    <row r="27" spans="1:13">
      <c r="B27" s="12"/>
      <c r="D27" s="12"/>
      <c r="F27" s="12"/>
    </row>
    <row r="28" spans="1:13">
      <c r="A28" s="1" t="s">
        <v>14</v>
      </c>
      <c r="B28" s="11">
        <v>1841386.7547642319</v>
      </c>
      <c r="C28" t="s">
        <v>55</v>
      </c>
      <c r="D28" s="11">
        <v>1841386.7547642319</v>
      </c>
      <c r="E28" t="s">
        <v>55</v>
      </c>
      <c r="F28" s="11">
        <v>1841386.7547642319</v>
      </c>
      <c r="G28" t="s">
        <v>55</v>
      </c>
    </row>
    <row r="29" spans="1:13">
      <c r="A29" s="1" t="s">
        <v>13</v>
      </c>
      <c r="B29" s="11">
        <v>5097930.4725310709</v>
      </c>
      <c r="C29" t="s">
        <v>55</v>
      </c>
      <c r="D29" s="11">
        <v>5097930.4725310709</v>
      </c>
      <c r="E29" t="s">
        <v>55</v>
      </c>
      <c r="F29" s="11">
        <v>5097930.4725310709</v>
      </c>
      <c r="G29" t="s">
        <v>55</v>
      </c>
    </row>
    <row r="30" spans="1:13">
      <c r="A30" s="1" t="s">
        <v>12</v>
      </c>
      <c r="B30" s="11">
        <v>6277001.8010593737</v>
      </c>
      <c r="C30" t="s">
        <v>55</v>
      </c>
      <c r="D30" s="11">
        <v>6277001.8010593737</v>
      </c>
      <c r="E30" t="s">
        <v>55</v>
      </c>
      <c r="F30" s="11">
        <v>6277001.8010593737</v>
      </c>
      <c r="G30" t="s">
        <v>55</v>
      </c>
    </row>
    <row r="31" spans="1:13">
      <c r="A31" s="1" t="s">
        <v>11</v>
      </c>
      <c r="B31" s="11">
        <v>6247886.4277497698</v>
      </c>
      <c r="C31" t="s">
        <v>55</v>
      </c>
      <c r="D31" s="11">
        <v>6247886.4277497698</v>
      </c>
      <c r="E31" t="s">
        <v>55</v>
      </c>
      <c r="F31" s="11">
        <v>6247886.4277497698</v>
      </c>
      <c r="G31" t="s">
        <v>55</v>
      </c>
    </row>
    <row r="32" spans="1:13">
      <c r="A32" s="1" t="s">
        <v>10</v>
      </c>
      <c r="B32" s="11">
        <v>6691371.2622996923</v>
      </c>
      <c r="C32" t="s">
        <v>55</v>
      </c>
      <c r="D32" s="11">
        <v>6691371.2622996923</v>
      </c>
      <c r="E32" t="s">
        <v>55</v>
      </c>
      <c r="F32" s="11">
        <v>6691371.2622996923</v>
      </c>
      <c r="G32" t="s">
        <v>55</v>
      </c>
    </row>
    <row r="33" spans="1:6">
      <c r="A33" s="1" t="s">
        <v>9</v>
      </c>
      <c r="B33" s="10">
        <f>SUMPRODUCT(B15:B19,B28:B32)</f>
        <v>13216319.028354676</v>
      </c>
      <c r="D33" s="10">
        <f>SUMPRODUCT(D15:D19,D28:D32)</f>
        <v>26155576.718404137</v>
      </c>
      <c r="F33" s="10">
        <f>SUMPRODUCT(F15:F19,F28:F32)</f>
        <v>1841386.7547642319</v>
      </c>
    </row>
    <row r="34" spans="1:6">
      <c r="A34" s="1"/>
      <c r="B34" s="3"/>
      <c r="D34" s="3"/>
      <c r="F34" s="3"/>
    </row>
    <row r="35" spans="1:6">
      <c r="A35" s="7" t="s">
        <v>8</v>
      </c>
      <c r="B35" s="9">
        <f>B9*B10*B11</f>
        <v>9424</v>
      </c>
      <c r="D35" s="9">
        <f>D9*D10*D11</f>
        <v>9424</v>
      </c>
      <c r="F35" s="9">
        <f>F9*F10*F11</f>
        <v>9424</v>
      </c>
    </row>
    <row r="36" spans="1:6">
      <c r="A36" s="7" t="s">
        <v>7</v>
      </c>
      <c r="B36" s="8">
        <f>(1-B7)*B12</f>
        <v>48.645499999999998</v>
      </c>
      <c r="D36" s="8">
        <f>(1-D7)*D12</f>
        <v>48.18</v>
      </c>
      <c r="F36" s="8">
        <f>(1-F7)*F12</f>
        <v>51.010400000000004</v>
      </c>
    </row>
    <row r="37" spans="1:6">
      <c r="A37" s="7" t="s">
        <v>6</v>
      </c>
      <c r="B37" s="6">
        <f>((B12/1000)*B35)</f>
        <v>556.01599999999996</v>
      </c>
      <c r="D37" s="6">
        <f>((D12/1000)*D35)</f>
        <v>621.98400000000004</v>
      </c>
      <c r="F37" s="6">
        <f>((F12/1000)*F35)</f>
        <v>527.74400000000003</v>
      </c>
    </row>
    <row r="38" spans="1:6">
      <c r="A38" s="7" t="s">
        <v>5</v>
      </c>
      <c r="B38" s="6">
        <f>((B36/1000)*B35)</f>
        <v>458.43519200000003</v>
      </c>
      <c r="D38" s="6">
        <f>((D36/1000)*D35)</f>
        <v>454.04831999999999</v>
      </c>
      <c r="F38" s="6">
        <f>((F36/1000)*F35)</f>
        <v>480.72200960000004</v>
      </c>
    </row>
    <row r="39" spans="1:6">
      <c r="A39" s="7" t="s">
        <v>4</v>
      </c>
      <c r="B39" s="6">
        <f>B37-B38</f>
        <v>97.580807999999934</v>
      </c>
      <c r="D39" s="6">
        <f>D37-D38</f>
        <v>167.93568000000005</v>
      </c>
      <c r="F39" s="6">
        <f>F37-F38</f>
        <v>47.021990399999993</v>
      </c>
    </row>
    <row r="40" spans="1:6">
      <c r="A40" s="7" t="s">
        <v>3</v>
      </c>
      <c r="B40" s="6">
        <f>B39/5</f>
        <v>19.516161599999986</v>
      </c>
      <c r="D40" s="6">
        <f>D39/5</f>
        <v>33.587136000000008</v>
      </c>
      <c r="F40" s="6">
        <f>F39/5</f>
        <v>9.4043980799999982</v>
      </c>
    </row>
    <row r="41" spans="1:6">
      <c r="A41" s="7"/>
      <c r="B41" s="6"/>
      <c r="D41" s="6"/>
      <c r="F41" s="6"/>
    </row>
    <row r="42" spans="1:6">
      <c r="A42" s="1" t="s">
        <v>2</v>
      </c>
      <c r="B42" s="5">
        <f>B40/B13</f>
        <v>0.20543327999999986</v>
      </c>
      <c r="D42" s="5">
        <f>D40/D13</f>
        <v>0.35354880000000011</v>
      </c>
      <c r="F42" s="5">
        <f>F40/F13</f>
        <v>9.8993663999999981E-2</v>
      </c>
    </row>
    <row r="43" spans="1:6">
      <c r="A43" s="1" t="s">
        <v>1</v>
      </c>
      <c r="B43" s="4">
        <f>B26*B42</f>
        <v>2226.0750220799982</v>
      </c>
      <c r="D43" s="4">
        <f>D26*D42</f>
        <v>8375.5710720000025</v>
      </c>
      <c r="F43" s="4">
        <f>F26*F42</f>
        <v>136.61125631999997</v>
      </c>
    </row>
    <row r="44" spans="1:6">
      <c r="B44" s="3"/>
      <c r="D44" s="3"/>
      <c r="F44" s="3"/>
    </row>
    <row r="45" spans="1:6">
      <c r="A45" t="s">
        <v>0</v>
      </c>
      <c r="B45" s="2">
        <f>B33/B43</f>
        <v>5937.0501430835075</v>
      </c>
      <c r="D45" s="2">
        <f>D33/D43</f>
        <v>3122.8409971761421</v>
      </c>
      <c r="F45" s="2">
        <f>F33/F43</f>
        <v>13479.026577802226</v>
      </c>
    </row>
  </sheetData>
  <mergeCells count="3">
    <mergeCell ref="C15:C19"/>
    <mergeCell ref="E15:E19"/>
    <mergeCell ref="G15:M19"/>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N12" sqref="N12"/>
    </sheetView>
  </sheetViews>
  <sheetFormatPr baseColWidth="10" defaultRowHeight="15" x14ac:dyDescent="0"/>
  <cols>
    <col min="1" max="1" width="21.5" bestFit="1" customWidth="1"/>
    <col min="5" max="5" width="22.83203125" bestFit="1" customWidth="1"/>
    <col min="7" max="7" width="11.83203125" customWidth="1"/>
    <col min="8" max="8" width="17.1640625" style="32" customWidth="1"/>
    <col min="12" max="12" width="15" customWidth="1"/>
  </cols>
  <sheetData>
    <row r="1" spans="1:13" s="21" customFormat="1">
      <c r="A1" s="21" t="s">
        <v>64</v>
      </c>
      <c r="B1" s="21" t="s">
        <v>65</v>
      </c>
      <c r="C1" s="21" t="s">
        <v>37</v>
      </c>
      <c r="H1" s="21" t="s">
        <v>66</v>
      </c>
      <c r="I1" s="30" t="s">
        <v>67</v>
      </c>
      <c r="K1" s="21" t="s">
        <v>64</v>
      </c>
      <c r="L1" s="21" t="s">
        <v>68</v>
      </c>
      <c r="M1" s="21" t="s">
        <v>37</v>
      </c>
    </row>
    <row r="2" spans="1:13">
      <c r="A2" s="29">
        <v>2011</v>
      </c>
      <c r="B2" s="31">
        <v>74</v>
      </c>
      <c r="C2" t="s">
        <v>69</v>
      </c>
      <c r="E2" s="32"/>
      <c r="H2" t="s">
        <v>70</v>
      </c>
      <c r="I2" s="32">
        <f>(B2-B3)/B2</f>
        <v>6.7567567567567571E-2</v>
      </c>
      <c r="K2">
        <v>2010</v>
      </c>
      <c r="L2" s="33">
        <v>1494.39</v>
      </c>
      <c r="M2" t="s">
        <v>71</v>
      </c>
    </row>
    <row r="3" spans="1:13">
      <c r="A3" s="29">
        <v>2012</v>
      </c>
      <c r="B3" s="31">
        <v>69</v>
      </c>
      <c r="C3" t="s">
        <v>69</v>
      </c>
      <c r="H3" t="s">
        <v>72</v>
      </c>
      <c r="I3" s="32">
        <f>(B3-B4)/B3</f>
        <v>4.3478260869565216E-2</v>
      </c>
      <c r="K3">
        <v>2011</v>
      </c>
      <c r="L3">
        <f>L2-PRODUCT(L2,$I$4)</f>
        <v>1412.1985500000001</v>
      </c>
    </row>
    <row r="4" spans="1:13">
      <c r="A4">
        <v>2013</v>
      </c>
      <c r="B4" s="34">
        <v>66</v>
      </c>
      <c r="C4" t="s">
        <v>69</v>
      </c>
      <c r="H4" t="s">
        <v>73</v>
      </c>
      <c r="I4" s="32">
        <f>5.5%</f>
        <v>5.5E-2</v>
      </c>
      <c r="K4">
        <v>2012</v>
      </c>
      <c r="L4">
        <f t="shared" ref="L4:L10" si="0">L3-PRODUCT(L3,$I$4)</f>
        <v>1334.52762975</v>
      </c>
    </row>
    <row r="5" spans="1:13">
      <c r="A5">
        <v>2014</v>
      </c>
      <c r="B5" s="35">
        <f>B4-B4*$I$4</f>
        <v>62.37</v>
      </c>
      <c r="D5" s="35"/>
      <c r="K5">
        <v>2013</v>
      </c>
      <c r="L5">
        <f t="shared" si="0"/>
        <v>1261.12861011375</v>
      </c>
    </row>
    <row r="6" spans="1:13">
      <c r="A6">
        <v>2015</v>
      </c>
      <c r="B6" s="35">
        <f>B5-B5*$I$4</f>
        <v>58.93965</v>
      </c>
      <c r="K6">
        <v>2014</v>
      </c>
      <c r="L6">
        <f t="shared" si="0"/>
        <v>1191.7665365574937</v>
      </c>
    </row>
    <row r="7" spans="1:13">
      <c r="A7">
        <v>2016</v>
      </c>
      <c r="B7" s="35">
        <f>B6-B6*$I$4</f>
        <v>55.69796925</v>
      </c>
      <c r="K7">
        <v>2015</v>
      </c>
      <c r="L7">
        <f t="shared" si="0"/>
        <v>1126.2193770468316</v>
      </c>
    </row>
    <row r="8" spans="1:13">
      <c r="A8">
        <v>2017</v>
      </c>
      <c r="B8" s="35">
        <f>B7-B7*$I$4</f>
        <v>52.63458094125</v>
      </c>
      <c r="K8">
        <v>2016</v>
      </c>
      <c r="L8">
        <f t="shared" si="0"/>
        <v>1064.2773113092558</v>
      </c>
    </row>
    <row r="9" spans="1:13">
      <c r="A9">
        <v>2018</v>
      </c>
      <c r="B9" s="35">
        <f>B8-B8*$I$4</f>
        <v>49.739678989481249</v>
      </c>
      <c r="K9">
        <v>2017</v>
      </c>
      <c r="L9">
        <f t="shared" si="0"/>
        <v>1005.7420591872467</v>
      </c>
    </row>
    <row r="10" spans="1:13">
      <c r="A10" t="s">
        <v>74</v>
      </c>
      <c r="B10" s="35">
        <f>AVERAGE(B5:B9)</f>
        <v>55.876375836146245</v>
      </c>
      <c r="K10">
        <v>2018</v>
      </c>
      <c r="L10">
        <f t="shared" si="0"/>
        <v>950.42624593194807</v>
      </c>
    </row>
    <row r="16" spans="1:13">
      <c r="D16" s="35"/>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Jake's assumptions</vt:lpstr>
      <vt:lpstr>Natalie's assumptions</vt:lpstr>
      <vt:lpstr>U5MR (Jake's assumptions)</vt:lpstr>
      <vt:lpstr>Contamination adjustment (Jake)</vt:lpstr>
      <vt:lpstr>Uganda costs only - Jake</vt:lpstr>
      <vt:lpstr>Uganda costs only - Natalie</vt:lpstr>
      <vt:lpstr>Mortality decline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2014-11-30T20:39:42Z</dcterms:created>
  <dcterms:modified xsi:type="dcterms:W3CDTF">2014-12-01T01:19:07Z</dcterms:modified>
</cp:coreProperties>
</file>