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6500" yWindow="40" windowWidth="29960" windowHeight="19820" tabRatio="500" activeTab="3"/>
  </bookViews>
  <sheets>
    <sheet name="Rate ratio" sheetId="8" r:id="rId1"/>
    <sheet name="Risk ratio" sheetId="9" r:id="rId2"/>
    <sheet name="LPR" sheetId="6" r:id="rId3"/>
    <sheet name="Odds ratio" sheetId="10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0" l="1"/>
  <c r="E5" i="10"/>
  <c r="F5" i="10"/>
  <c r="G5" i="10"/>
  <c r="H5" i="10"/>
  <c r="I5" i="10"/>
  <c r="G13" i="10"/>
  <c r="F13" i="10"/>
  <c r="E13" i="10"/>
  <c r="H17" i="10"/>
  <c r="H19" i="10"/>
  <c r="H13" i="10"/>
  <c r="H20" i="10"/>
  <c r="H21" i="10"/>
  <c r="J5" i="10"/>
  <c r="K5" i="10"/>
  <c r="L5" i="10"/>
  <c r="M5" i="10"/>
  <c r="C5" i="10"/>
  <c r="B5" i="10"/>
  <c r="M7" i="8"/>
  <c r="L7" i="8"/>
  <c r="F7" i="8"/>
  <c r="G7" i="8"/>
  <c r="H7" i="8"/>
  <c r="E7" i="8"/>
  <c r="D6" i="8"/>
  <c r="E6" i="8"/>
  <c r="F6" i="8"/>
  <c r="G6" i="8"/>
  <c r="H6" i="8"/>
  <c r="I6" i="8"/>
  <c r="H11" i="8"/>
  <c r="H13" i="8"/>
  <c r="H14" i="8"/>
  <c r="H15" i="8"/>
  <c r="J6" i="8"/>
  <c r="K6" i="8"/>
  <c r="L6" i="8"/>
  <c r="M6" i="8"/>
  <c r="C6" i="8"/>
  <c r="B6" i="8"/>
  <c r="C12" i="10"/>
  <c r="C11" i="10"/>
  <c r="C10" i="10"/>
  <c r="C9" i="10"/>
  <c r="C8" i="10"/>
  <c r="C7" i="10"/>
  <c r="C6" i="10"/>
  <c r="C4" i="10"/>
  <c r="C3" i="10"/>
  <c r="B9" i="10"/>
  <c r="I3" i="10"/>
  <c r="D3" i="10"/>
  <c r="E3" i="10"/>
  <c r="G3" i="10"/>
  <c r="D4" i="10"/>
  <c r="E4" i="10"/>
  <c r="G4" i="10"/>
  <c r="D6" i="10"/>
  <c r="E6" i="10"/>
  <c r="G6" i="10"/>
  <c r="D7" i="10"/>
  <c r="E7" i="10"/>
  <c r="G7" i="10"/>
  <c r="D8" i="10"/>
  <c r="E8" i="10"/>
  <c r="G8" i="10"/>
  <c r="D9" i="10"/>
  <c r="E9" i="10"/>
  <c r="G9" i="10"/>
  <c r="D10" i="10"/>
  <c r="E10" i="10"/>
  <c r="G10" i="10"/>
  <c r="D11" i="10"/>
  <c r="E11" i="10"/>
  <c r="G11" i="10"/>
  <c r="D12" i="10"/>
  <c r="E12" i="10"/>
  <c r="G12" i="10"/>
  <c r="F3" i="10"/>
  <c r="F4" i="10"/>
  <c r="F6" i="10"/>
  <c r="F7" i="10"/>
  <c r="F8" i="10"/>
  <c r="F9" i="10"/>
  <c r="F10" i="10"/>
  <c r="F11" i="10"/>
  <c r="F12" i="10"/>
  <c r="H18" i="10"/>
  <c r="H3" i="10"/>
  <c r="H4" i="10"/>
  <c r="H6" i="10"/>
  <c r="H7" i="10"/>
  <c r="H8" i="10"/>
  <c r="H9" i="10"/>
  <c r="H10" i="10"/>
  <c r="H11" i="10"/>
  <c r="H12" i="10"/>
  <c r="J3" i="10"/>
  <c r="K3" i="10"/>
  <c r="L3" i="10"/>
  <c r="M3" i="10"/>
  <c r="I4" i="10"/>
  <c r="J4" i="10"/>
  <c r="K4" i="10"/>
  <c r="L4" i="10"/>
  <c r="M4" i="10"/>
  <c r="I6" i="10"/>
  <c r="J6" i="10"/>
  <c r="K6" i="10"/>
  <c r="L6" i="10"/>
  <c r="M6" i="10"/>
  <c r="I7" i="10"/>
  <c r="J7" i="10"/>
  <c r="K7" i="10"/>
  <c r="L7" i="10"/>
  <c r="M7" i="10"/>
  <c r="I8" i="10"/>
  <c r="J8" i="10"/>
  <c r="K8" i="10"/>
  <c r="L8" i="10"/>
  <c r="M8" i="10"/>
  <c r="I9" i="10"/>
  <c r="J9" i="10"/>
  <c r="K9" i="10"/>
  <c r="L9" i="10"/>
  <c r="M9" i="10"/>
  <c r="I10" i="10"/>
  <c r="J10" i="10"/>
  <c r="K10" i="10"/>
  <c r="L10" i="10"/>
  <c r="M10" i="10"/>
  <c r="I11" i="10"/>
  <c r="J11" i="10"/>
  <c r="K11" i="10"/>
  <c r="L11" i="10"/>
  <c r="M11" i="10"/>
  <c r="I12" i="10"/>
  <c r="J12" i="10"/>
  <c r="K12" i="10"/>
  <c r="L12" i="10"/>
  <c r="M12" i="10"/>
  <c r="M13" i="10"/>
  <c r="L13" i="10"/>
  <c r="M17" i="10"/>
  <c r="M18" i="10"/>
  <c r="M19" i="10"/>
  <c r="M22" i="10"/>
  <c r="M24" i="10"/>
  <c r="F17" i="10"/>
  <c r="F18" i="10"/>
  <c r="F19" i="10"/>
  <c r="F22" i="10"/>
  <c r="F24" i="10"/>
  <c r="M23" i="10"/>
  <c r="F23" i="10"/>
  <c r="M21" i="10"/>
  <c r="N21" i="10"/>
  <c r="F21" i="10"/>
  <c r="M20" i="10"/>
  <c r="N20" i="10"/>
  <c r="F20" i="10"/>
  <c r="N17" i="10"/>
  <c r="C3" i="9"/>
  <c r="I3" i="9"/>
  <c r="D3" i="9"/>
  <c r="E3" i="9"/>
  <c r="G3" i="9"/>
  <c r="C4" i="9"/>
  <c r="D4" i="9"/>
  <c r="E4" i="9"/>
  <c r="G4" i="9"/>
  <c r="C5" i="9"/>
  <c r="D5" i="9"/>
  <c r="E5" i="9"/>
  <c r="G5" i="9"/>
  <c r="C6" i="9"/>
  <c r="D6" i="9"/>
  <c r="E6" i="9"/>
  <c r="G6" i="9"/>
  <c r="G7" i="9"/>
  <c r="F3" i="9"/>
  <c r="F4" i="9"/>
  <c r="F5" i="9"/>
  <c r="F6" i="9"/>
  <c r="F7" i="9"/>
  <c r="E7" i="9"/>
  <c r="H11" i="9"/>
  <c r="H12" i="9"/>
  <c r="H13" i="9"/>
  <c r="H3" i="9"/>
  <c r="H4" i="9"/>
  <c r="H5" i="9"/>
  <c r="H6" i="9"/>
  <c r="H7" i="9"/>
  <c r="H14" i="9"/>
  <c r="H15" i="9"/>
  <c r="J3" i="9"/>
  <c r="K3" i="9"/>
  <c r="L3" i="9"/>
  <c r="M3" i="9"/>
  <c r="I4" i="9"/>
  <c r="J4" i="9"/>
  <c r="K4" i="9"/>
  <c r="L4" i="9"/>
  <c r="M4" i="9"/>
  <c r="I5" i="9"/>
  <c r="J5" i="9"/>
  <c r="K5" i="9"/>
  <c r="L5" i="9"/>
  <c r="M5" i="9"/>
  <c r="I6" i="9"/>
  <c r="J6" i="9"/>
  <c r="K6" i="9"/>
  <c r="L6" i="9"/>
  <c r="M6" i="9"/>
  <c r="M7" i="9"/>
  <c r="L7" i="9"/>
  <c r="M11" i="9"/>
  <c r="M12" i="9"/>
  <c r="M13" i="9"/>
  <c r="M16" i="9"/>
  <c r="M18" i="9"/>
  <c r="F11" i="9"/>
  <c r="F12" i="9"/>
  <c r="F13" i="9"/>
  <c r="F16" i="9"/>
  <c r="F18" i="9"/>
  <c r="M17" i="9"/>
  <c r="F17" i="9"/>
  <c r="M15" i="9"/>
  <c r="N15" i="9"/>
  <c r="F15" i="9"/>
  <c r="M14" i="9"/>
  <c r="N14" i="9"/>
  <c r="F14" i="9"/>
  <c r="N11" i="9"/>
  <c r="C5" i="8"/>
  <c r="C4" i="8"/>
  <c r="C3" i="8"/>
  <c r="I3" i="8"/>
  <c r="D3" i="8"/>
  <c r="E3" i="8"/>
  <c r="G3" i="8"/>
  <c r="D4" i="8"/>
  <c r="E4" i="8"/>
  <c r="G4" i="8"/>
  <c r="D5" i="8"/>
  <c r="E5" i="8"/>
  <c r="G5" i="8"/>
  <c r="F3" i="8"/>
  <c r="F4" i="8"/>
  <c r="F5" i="8"/>
  <c r="H12" i="8"/>
  <c r="H3" i="8"/>
  <c r="H4" i="8"/>
  <c r="H5" i="8"/>
  <c r="J3" i="8"/>
  <c r="K3" i="8"/>
  <c r="L3" i="8"/>
  <c r="M3" i="8"/>
  <c r="I4" i="8"/>
  <c r="J4" i="8"/>
  <c r="K4" i="8"/>
  <c r="L4" i="8"/>
  <c r="M4" i="8"/>
  <c r="I5" i="8"/>
  <c r="J5" i="8"/>
  <c r="K5" i="8"/>
  <c r="L5" i="8"/>
  <c r="M5" i="8"/>
  <c r="M11" i="8"/>
  <c r="M12" i="8"/>
  <c r="M13" i="8"/>
  <c r="M16" i="8"/>
  <c r="M18" i="8"/>
  <c r="F11" i="8"/>
  <c r="F12" i="8"/>
  <c r="F13" i="8"/>
  <c r="F16" i="8"/>
  <c r="F18" i="8"/>
  <c r="M17" i="8"/>
  <c r="F17" i="8"/>
  <c r="M15" i="8"/>
  <c r="N15" i="8"/>
  <c r="F15" i="8"/>
  <c r="M14" i="8"/>
  <c r="N14" i="8"/>
  <c r="F14" i="8"/>
  <c r="N11" i="8"/>
  <c r="C3" i="6"/>
  <c r="D3" i="6"/>
  <c r="E3" i="6"/>
  <c r="F3" i="6"/>
  <c r="C4" i="6"/>
  <c r="D4" i="6"/>
  <c r="E4" i="6"/>
  <c r="F4" i="6"/>
  <c r="C5" i="6"/>
  <c r="D5" i="6"/>
  <c r="E5" i="6"/>
  <c r="F5" i="6"/>
  <c r="C6" i="6"/>
  <c r="D6" i="6"/>
  <c r="E6" i="6"/>
  <c r="F6" i="6"/>
  <c r="C7" i="6"/>
  <c r="D7" i="6"/>
  <c r="E7" i="6"/>
  <c r="F7" i="6"/>
  <c r="C8" i="6"/>
  <c r="D8" i="6"/>
  <c r="E8" i="6"/>
  <c r="F8" i="6"/>
  <c r="C9" i="6"/>
  <c r="D9" i="6"/>
  <c r="E9" i="6"/>
  <c r="F9" i="6"/>
  <c r="C10" i="6"/>
  <c r="D10" i="6"/>
  <c r="E10" i="6"/>
  <c r="F10" i="6"/>
  <c r="C11" i="6"/>
  <c r="D11" i="6"/>
  <c r="E11" i="6"/>
  <c r="F11" i="6"/>
  <c r="C12" i="6"/>
  <c r="D12" i="6"/>
  <c r="E12" i="6"/>
  <c r="F12" i="6"/>
  <c r="F13" i="6"/>
  <c r="G3" i="6"/>
  <c r="G4" i="6"/>
  <c r="G5" i="6"/>
  <c r="G6" i="6"/>
  <c r="G7" i="6"/>
  <c r="G8" i="6"/>
  <c r="G9" i="6"/>
  <c r="G10" i="6"/>
  <c r="G11" i="6"/>
  <c r="G12" i="6"/>
  <c r="G13" i="6"/>
  <c r="H3" i="6"/>
  <c r="H4" i="6"/>
  <c r="H5" i="6"/>
  <c r="H6" i="6"/>
  <c r="H7" i="6"/>
  <c r="H8" i="6"/>
  <c r="H9" i="6"/>
  <c r="H10" i="6"/>
  <c r="H11" i="6"/>
  <c r="H12" i="6"/>
  <c r="H13" i="6"/>
  <c r="E13" i="6"/>
  <c r="H17" i="6"/>
  <c r="H18" i="6"/>
  <c r="H19" i="6"/>
  <c r="H20" i="6"/>
  <c r="H21" i="6"/>
  <c r="J5" i="6"/>
  <c r="I5" i="6"/>
  <c r="K5" i="6"/>
  <c r="L5" i="6"/>
  <c r="M5" i="6"/>
  <c r="J6" i="6"/>
  <c r="I6" i="6"/>
  <c r="K6" i="6"/>
  <c r="L6" i="6"/>
  <c r="M6" i="6"/>
  <c r="J7" i="6"/>
  <c r="I7" i="6"/>
  <c r="K7" i="6"/>
  <c r="L7" i="6"/>
  <c r="M7" i="6"/>
  <c r="J8" i="6"/>
  <c r="I8" i="6"/>
  <c r="K8" i="6"/>
  <c r="L8" i="6"/>
  <c r="M8" i="6"/>
  <c r="J9" i="6"/>
  <c r="I9" i="6"/>
  <c r="K9" i="6"/>
  <c r="L9" i="6"/>
  <c r="M9" i="6"/>
  <c r="J10" i="6"/>
  <c r="I10" i="6"/>
  <c r="K10" i="6"/>
  <c r="L10" i="6"/>
  <c r="M10" i="6"/>
  <c r="J11" i="6"/>
  <c r="I11" i="6"/>
  <c r="K11" i="6"/>
  <c r="L11" i="6"/>
  <c r="M11" i="6"/>
  <c r="J12" i="6"/>
  <c r="I12" i="6"/>
  <c r="K12" i="6"/>
  <c r="L12" i="6"/>
  <c r="M12" i="6"/>
  <c r="I4" i="6"/>
  <c r="J4" i="6"/>
  <c r="K4" i="6"/>
  <c r="L4" i="6"/>
  <c r="M4" i="6"/>
  <c r="I3" i="6"/>
  <c r="J3" i="6"/>
  <c r="K3" i="6"/>
  <c r="L3" i="6"/>
  <c r="M3" i="6"/>
  <c r="M13" i="6"/>
  <c r="L13" i="6"/>
  <c r="M17" i="6"/>
  <c r="M18" i="6"/>
  <c r="M19" i="6"/>
  <c r="M22" i="6"/>
  <c r="M24" i="6"/>
  <c r="F17" i="6"/>
  <c r="F18" i="6"/>
  <c r="F19" i="6"/>
  <c r="F22" i="6"/>
  <c r="F24" i="6"/>
  <c r="M23" i="6"/>
  <c r="F23" i="6"/>
  <c r="M21" i="6"/>
  <c r="N21" i="6"/>
  <c r="F21" i="6"/>
  <c r="M20" i="6"/>
  <c r="N20" i="6"/>
  <c r="F20" i="6"/>
  <c r="N17" i="6"/>
</calcChain>
</file>

<file path=xl/sharedStrings.xml><?xml version="1.0" encoding="utf-8"?>
<sst xmlns="http://schemas.openxmlformats.org/spreadsheetml/2006/main" count="196" uniqueCount="59">
  <si>
    <t>Study</t>
  </si>
  <si>
    <t>Austin 1993-i</t>
  </si>
  <si>
    <t>Kirchhoff 1985</t>
  </si>
  <si>
    <t>(1) Data</t>
  </si>
  <si>
    <t>(2) Fixed Effects</t>
  </si>
  <si>
    <t>(4) Compute Tau^2</t>
  </si>
  <si>
    <t>(6) Random effects</t>
  </si>
  <si>
    <t>ES</t>
  </si>
  <si>
    <t>Variance</t>
  </si>
  <si>
    <t>Variance Within</t>
  </si>
  <si>
    <t>Weight</t>
  </si>
  <si>
    <t>ES*WT</t>
  </si>
  <si>
    <t>ES^2*WT</t>
  </si>
  <si>
    <t>WT^2</t>
  </si>
  <si>
    <t>Variance Between</t>
  </si>
  <si>
    <t>Variance Total</t>
  </si>
  <si>
    <t>WT</t>
  </si>
  <si>
    <t>Sum</t>
  </si>
  <si>
    <t>(3) Fixed Effect</t>
  </si>
  <si>
    <t>(5) Compute Tau^2</t>
  </si>
  <si>
    <t>(7) Random Effects</t>
  </si>
  <si>
    <t>Effect size</t>
  </si>
  <si>
    <t>Q</t>
  </si>
  <si>
    <t>df</t>
  </si>
  <si>
    <t>Standard error</t>
  </si>
  <si>
    <t>Numerator</t>
  </si>
  <si>
    <t>95% Lower limit</t>
  </si>
  <si>
    <t>C</t>
  </si>
  <si>
    <t>95% Upper limit</t>
  </si>
  <si>
    <t>Tau-sq</t>
  </si>
  <si>
    <t>Z-value</t>
  </si>
  <si>
    <t>p-value (1-tailed)</t>
  </si>
  <si>
    <t>p-value (2-tailed)</t>
  </si>
  <si>
    <t>Austin 1993-ii</t>
  </si>
  <si>
    <t>Chiller 2004</t>
  </si>
  <si>
    <t>Crump 2004-i</t>
  </si>
  <si>
    <t>Crump 2004-ii</t>
  </si>
  <si>
    <t>Doocy 2004</t>
  </si>
  <si>
    <t>Luby 2004b-i</t>
  </si>
  <si>
    <t>Luby 2004b-ii</t>
  </si>
  <si>
    <t>Luby 2004b-iii</t>
  </si>
  <si>
    <t>Handzel 1998</t>
  </si>
  <si>
    <t>du Preez 2004</t>
  </si>
  <si>
    <t>Lule 2005</t>
  </si>
  <si>
    <t>Roberts 2001</t>
  </si>
  <si>
    <t>Semenza 1998</t>
  </si>
  <si>
    <t>URL 1995-i</t>
  </si>
  <si>
    <t>URL 1995-ii</t>
  </si>
  <si>
    <t>Clasen 2004b</t>
  </si>
  <si>
    <t>Clasen 2004c</t>
  </si>
  <si>
    <t>Conroy 1996</t>
  </si>
  <si>
    <t>Conroy 1999</t>
  </si>
  <si>
    <t>Quick 2002</t>
  </si>
  <si>
    <t>Reller 2003-i</t>
  </si>
  <si>
    <t>Reller 2003-ii</t>
  </si>
  <si>
    <t>Reller 2003-iii</t>
  </si>
  <si>
    <t>Reller 2003-iv</t>
  </si>
  <si>
    <t>Rose 2006</t>
  </si>
  <si>
    <t>Clasen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</si>
</sst>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C6" sqref="C6"/>
    </sheetView>
  </sheetViews>
  <sheetFormatPr baseColWidth="10" defaultRowHeight="15" x14ac:dyDescent="0"/>
  <cols>
    <col min="1" max="1" width="23.33203125" customWidth="1"/>
    <col min="2" max="2" width="12.5" bestFit="1" customWidth="1"/>
    <col min="5" max="5" width="11.83203125" bestFit="1" customWidth="1"/>
    <col min="13" max="13" width="12.5" bestFit="1" customWidth="1"/>
  </cols>
  <sheetData>
    <row r="1" spans="1:14" ht="37">
      <c r="A1" s="4" t="s">
        <v>3</v>
      </c>
      <c r="B1" s="3"/>
      <c r="C1" s="3"/>
      <c r="D1" s="4" t="s">
        <v>4</v>
      </c>
      <c r="E1" s="3"/>
      <c r="F1" s="3"/>
      <c r="G1" s="4" t="s">
        <v>5</v>
      </c>
      <c r="H1" s="3"/>
      <c r="I1" s="4" t="s">
        <v>6</v>
      </c>
      <c r="J1" s="3"/>
      <c r="K1" s="3"/>
      <c r="L1" s="3"/>
      <c r="M1" s="3"/>
      <c r="N1" s="3"/>
    </row>
    <row r="2" spans="1:14" ht="30">
      <c r="A2" s="3" t="s">
        <v>0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9</v>
      </c>
      <c r="J2" s="3" t="s">
        <v>14</v>
      </c>
      <c r="K2" s="3" t="s">
        <v>15</v>
      </c>
      <c r="L2" s="3" t="s">
        <v>16</v>
      </c>
      <c r="M2" s="3" t="s">
        <v>11</v>
      </c>
      <c r="N2" s="3"/>
    </row>
    <row r="3" spans="1:14">
      <c r="A3" t="s">
        <v>42</v>
      </c>
      <c r="B3" s="3">
        <v>-1.5606</v>
      </c>
      <c r="C3" s="3">
        <f>0.5441^2</f>
        <v>0.29604481000000005</v>
      </c>
      <c r="D3" s="3">
        <f t="shared" ref="D3:D6" si="0">$C3</f>
        <v>0.29604481000000005</v>
      </c>
      <c r="E3" s="3">
        <f t="shared" ref="E3:E5" si="1">1/D3</f>
        <v>3.3778670195231588</v>
      </c>
      <c r="F3" s="3">
        <f t="shared" ref="F3:F5" si="2">$B3*E3</f>
        <v>-5.2714992706678414</v>
      </c>
      <c r="G3" s="3">
        <f t="shared" ref="G3:G5" si="3">(B3^2)*E3</f>
        <v>8.2267017618042342</v>
      </c>
      <c r="H3" s="3">
        <f t="shared" ref="H3:H5" si="4">E3^2</f>
        <v>11.409985601582267</v>
      </c>
      <c r="I3" s="3">
        <f t="shared" ref="I3:I6" si="5">$C3</f>
        <v>0.29604481000000005</v>
      </c>
      <c r="J3" s="3">
        <f>$H$15</f>
        <v>4.1347884866555801E-2</v>
      </c>
      <c r="K3" s="3">
        <f t="shared" ref="K3:K5" si="6">I3+J3</f>
        <v>0.33739269486655588</v>
      </c>
      <c r="L3" s="3">
        <f t="shared" ref="L3:L5" si="7">1/K3</f>
        <v>2.9639053103847308</v>
      </c>
      <c r="M3" s="3">
        <f t="shared" ref="M3:M5" si="8">$B3*L3</f>
        <v>-4.6254706273864112</v>
      </c>
      <c r="N3" s="3"/>
    </row>
    <row r="4" spans="1:14">
      <c r="A4" s="3" t="s">
        <v>41</v>
      </c>
      <c r="B4" s="3">
        <v>-0.40050000000000002</v>
      </c>
      <c r="C4" s="3">
        <f>0.1093^2</f>
        <v>1.1946489999999999E-2</v>
      </c>
      <c r="D4" s="3">
        <f t="shared" si="0"/>
        <v>1.1946489999999999E-2</v>
      </c>
      <c r="E4" s="3">
        <f t="shared" si="1"/>
        <v>83.7065949914996</v>
      </c>
      <c r="F4" s="3">
        <f t="shared" si="2"/>
        <v>-33.52449129409559</v>
      </c>
      <c r="G4" s="3">
        <f t="shared" si="3"/>
        <v>13.426558763285286</v>
      </c>
      <c r="H4" s="3">
        <f t="shared" si="4"/>
        <v>7006.7940450709457</v>
      </c>
      <c r="I4" s="3">
        <f t="shared" si="5"/>
        <v>1.1946489999999999E-2</v>
      </c>
      <c r="J4" s="3">
        <f>$H$15</f>
        <v>4.1347884866555801E-2</v>
      </c>
      <c r="K4" s="3">
        <f t="shared" si="6"/>
        <v>5.3294374866555798E-2</v>
      </c>
      <c r="L4" s="3">
        <f t="shared" si="7"/>
        <v>18.763706348069714</v>
      </c>
      <c r="M4" s="3">
        <f t="shared" si="8"/>
        <v>-7.5148643924019209</v>
      </c>
      <c r="N4" s="3"/>
    </row>
    <row r="5" spans="1:14">
      <c r="A5" s="3" t="s">
        <v>43</v>
      </c>
      <c r="B5" s="3">
        <v>-0.22309999999999999</v>
      </c>
      <c r="C5" s="3">
        <f>0.1138^2</f>
        <v>1.2950439999999999E-2</v>
      </c>
      <c r="D5" s="3">
        <f t="shared" si="0"/>
        <v>1.2950439999999999E-2</v>
      </c>
      <c r="E5" s="3">
        <f t="shared" si="1"/>
        <v>77.21745361547562</v>
      </c>
      <c r="F5" s="3">
        <f t="shared" si="2"/>
        <v>-17.227213901612611</v>
      </c>
      <c r="G5" s="3">
        <f t="shared" si="3"/>
        <v>3.8433914214497733</v>
      </c>
      <c r="H5" s="3">
        <f t="shared" si="4"/>
        <v>5962.5351428581289</v>
      </c>
      <c r="I5" s="3">
        <f t="shared" si="5"/>
        <v>1.2950439999999999E-2</v>
      </c>
      <c r="J5" s="3">
        <f>$H$15</f>
        <v>4.1347884866555801E-2</v>
      </c>
      <c r="K5" s="3">
        <f t="shared" si="6"/>
        <v>5.4298324866555801E-2</v>
      </c>
      <c r="L5" s="3">
        <f t="shared" si="7"/>
        <v>18.416774411689712</v>
      </c>
      <c r="M5" s="3">
        <f t="shared" si="8"/>
        <v>-4.1087823712479743</v>
      </c>
      <c r="N5" s="3"/>
    </row>
    <row r="6" spans="1:14">
      <c r="A6" s="7" t="s">
        <v>57</v>
      </c>
      <c r="B6" s="7">
        <f>LN(0.64)</f>
        <v>-0.44628710262841947</v>
      </c>
      <c r="C6">
        <f>(AVERAGE(LN(1)-LN(0.64), LN(0.64)-LN(0.41))/1.96)^2</f>
        <v>5.1732820069136556E-2</v>
      </c>
      <c r="D6" s="7">
        <f t="shared" si="0"/>
        <v>5.1732820069136556E-2</v>
      </c>
      <c r="E6" s="7">
        <f t="shared" ref="E6" si="9">1/D6</f>
        <v>19.330088687676106</v>
      </c>
      <c r="F6" s="7">
        <f t="shared" ref="F6" si="10">$B6*E6</f>
        <v>-8.6267692739733572</v>
      </c>
      <c r="G6" s="7">
        <f t="shared" ref="G6" si="11">(B6^2)*E6</f>
        <v>3.8500158643254432</v>
      </c>
      <c r="H6" s="7">
        <f t="shared" ref="H6" si="12">E6^2</f>
        <v>373.65232867342377</v>
      </c>
      <c r="I6" s="7">
        <f t="shared" si="5"/>
        <v>5.1732820069136556E-2</v>
      </c>
      <c r="J6" s="7">
        <f>$H$15</f>
        <v>4.1347884866555801E-2</v>
      </c>
      <c r="K6" s="7">
        <f t="shared" ref="K6" si="13">I6+J6</f>
        <v>9.3080704935692357E-2</v>
      </c>
      <c r="L6" s="7">
        <f t="shared" ref="L6" si="14">1/K6</f>
        <v>10.743365133417075</v>
      </c>
      <c r="M6" s="7">
        <f t="shared" ref="M6" si="15">$B6*L6</f>
        <v>-4.7946252978718897</v>
      </c>
      <c r="N6" s="7"/>
    </row>
    <row r="7" spans="1:14">
      <c r="A7" s="3" t="s">
        <v>17</v>
      </c>
      <c r="B7" s="3"/>
      <c r="C7" s="3"/>
      <c r="D7" s="3"/>
      <c r="E7" s="3">
        <f>SUM(E3:E6)</f>
        <v>183.63200431417448</v>
      </c>
      <c r="F7" s="7">
        <f t="shared" ref="F7:H7" si="16">SUM(F3:F6)</f>
        <v>-64.649973740349395</v>
      </c>
      <c r="G7" s="7">
        <f t="shared" si="16"/>
        <v>29.346667810864737</v>
      </c>
      <c r="H7" s="7">
        <f t="shared" si="16"/>
        <v>13354.39150220408</v>
      </c>
      <c r="I7" s="3"/>
      <c r="J7" s="3"/>
      <c r="K7" s="3"/>
      <c r="L7" s="3">
        <f>SUM(L3:L6)</f>
        <v>50.887751203561237</v>
      </c>
      <c r="M7" s="3">
        <f>SUM(M3:M6)</f>
        <v>-21.043742688908196</v>
      </c>
      <c r="N7" s="3"/>
    </row>
    <row r="8" spans="1: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3"/>
      <c r="B10" s="3"/>
      <c r="C10" s="3"/>
      <c r="D10" s="9" t="s">
        <v>18</v>
      </c>
      <c r="E10" s="8"/>
      <c r="F10" s="3"/>
      <c r="G10" s="9" t="s">
        <v>19</v>
      </c>
      <c r="H10" s="8"/>
      <c r="I10" s="3"/>
      <c r="J10" s="3"/>
      <c r="K10" s="9" t="s">
        <v>20</v>
      </c>
      <c r="L10" s="8"/>
      <c r="M10" s="3"/>
      <c r="N10" s="3"/>
    </row>
    <row r="11" spans="1:14">
      <c r="A11" s="3"/>
      <c r="B11" s="3"/>
      <c r="C11" s="3"/>
      <c r="D11" s="8" t="s">
        <v>21</v>
      </c>
      <c r="E11" s="8"/>
      <c r="F11" s="3">
        <f>F7/E7</f>
        <v>-0.35206267002205283</v>
      </c>
      <c r="G11" s="3" t="s">
        <v>22</v>
      </c>
      <c r="H11" s="3">
        <f>G7-((F7^2)/E7)</f>
        <v>6.5858254389817255</v>
      </c>
      <c r="I11" s="3"/>
      <c r="J11" s="3"/>
      <c r="K11" s="8" t="s">
        <v>21</v>
      </c>
      <c r="L11" s="8"/>
      <c r="M11" s="3">
        <f>M7/L7</f>
        <v>-0.41353257299048241</v>
      </c>
      <c r="N11" s="3">
        <f>EXP(M11)</f>
        <v>0.66130999318549433</v>
      </c>
    </row>
    <row r="12" spans="1:14">
      <c r="A12" s="3"/>
      <c r="B12" s="3"/>
      <c r="C12" s="3"/>
      <c r="D12" s="8" t="s">
        <v>8</v>
      </c>
      <c r="E12" s="8"/>
      <c r="F12" s="3">
        <f>1/E7</f>
        <v>5.445673828670455E-3</v>
      </c>
      <c r="G12" s="3" t="s">
        <v>23</v>
      </c>
      <c r="H12" s="3">
        <f>COUNT(B3:B5)-1</f>
        <v>2</v>
      </c>
      <c r="I12" s="3"/>
      <c r="J12" s="3"/>
      <c r="K12" s="8" t="s">
        <v>8</v>
      </c>
      <c r="L12" s="8"/>
      <c r="M12" s="3">
        <f>1/L7</f>
        <v>1.9651094346845845E-2</v>
      </c>
      <c r="N12" s="3"/>
    </row>
    <row r="13" spans="1:14">
      <c r="A13" s="3"/>
      <c r="B13" s="3"/>
      <c r="C13" s="3"/>
      <c r="D13" s="8" t="s">
        <v>24</v>
      </c>
      <c r="E13" s="8"/>
      <c r="F13" s="3">
        <f>SQRT(F12)</f>
        <v>7.3794808954766283E-2</v>
      </c>
      <c r="G13" s="3" t="s">
        <v>25</v>
      </c>
      <c r="H13" s="3">
        <f>MAX((H11-H12),0)</f>
        <v>4.5858254389817255</v>
      </c>
      <c r="I13" s="3"/>
      <c r="J13" s="3"/>
      <c r="K13" s="8" t="s">
        <v>24</v>
      </c>
      <c r="L13" s="8"/>
      <c r="M13" s="3">
        <f>SQRT(M12)</f>
        <v>0.14018236104034573</v>
      </c>
      <c r="N13" s="3"/>
    </row>
    <row r="14" spans="1:14">
      <c r="A14" s="3"/>
      <c r="B14" s="3"/>
      <c r="C14" s="3"/>
      <c r="D14" s="8" t="s">
        <v>26</v>
      </c>
      <c r="E14" s="8"/>
      <c r="F14" s="3">
        <f>F11-(1.96*F13)</f>
        <v>-0.49670049557339474</v>
      </c>
      <c r="G14" s="3" t="s">
        <v>27</v>
      </c>
      <c r="H14" s="3">
        <f>E7-(H7/E7)</f>
        <v>110.9083440128026</v>
      </c>
      <c r="I14" s="3"/>
      <c r="J14" s="3"/>
      <c r="K14" s="8" t="s">
        <v>26</v>
      </c>
      <c r="L14" s="8"/>
      <c r="M14" s="3">
        <f>M11-(1.96*M13)</f>
        <v>-0.68829000062956003</v>
      </c>
      <c r="N14" s="3">
        <f>EXP(M14)</f>
        <v>0.502434497575314</v>
      </c>
    </row>
    <row r="15" spans="1:14">
      <c r="A15" s="3"/>
      <c r="B15" s="3"/>
      <c r="C15" s="3"/>
      <c r="D15" s="8" t="s">
        <v>28</v>
      </c>
      <c r="E15" s="8"/>
      <c r="F15" s="3">
        <f>F11+(1.96*F13)</f>
        <v>-0.20742484447071091</v>
      </c>
      <c r="G15" s="3" t="s">
        <v>29</v>
      </c>
      <c r="H15" s="3">
        <f>H13/H14</f>
        <v>4.1347884866555801E-2</v>
      </c>
      <c r="I15" s="3"/>
      <c r="J15" s="3"/>
      <c r="K15" s="8" t="s">
        <v>28</v>
      </c>
      <c r="L15" s="8"/>
      <c r="M15" s="3">
        <f>M11+(1.96*M13)</f>
        <v>-0.13877514535140478</v>
      </c>
      <c r="N15" s="3">
        <f>EXP(M15)</f>
        <v>0.87042372527663336</v>
      </c>
    </row>
    <row r="16" spans="1:14">
      <c r="A16" s="3"/>
      <c r="B16" s="3"/>
      <c r="C16" s="3"/>
      <c r="D16" s="8" t="s">
        <v>30</v>
      </c>
      <c r="E16" s="8"/>
      <c r="F16" s="3">
        <f>F11/F13</f>
        <v>-4.770832461099741</v>
      </c>
      <c r="G16" s="3"/>
      <c r="H16" s="3"/>
      <c r="I16" s="3"/>
      <c r="J16" s="3"/>
      <c r="K16" s="8" t="s">
        <v>30</v>
      </c>
      <c r="L16" s="8"/>
      <c r="M16" s="3">
        <f>M11/M13</f>
        <v>-2.9499615352566653</v>
      </c>
      <c r="N16" s="3"/>
    </row>
    <row r="17" spans="1:14">
      <c r="A17" s="3"/>
      <c r="B17" s="3"/>
      <c r="C17" s="3"/>
      <c r="D17" s="8" t="s">
        <v>31</v>
      </c>
      <c r="E17" s="8"/>
      <c r="F17" s="3">
        <f>(1-(NORMDIST(ABS(F16),0,1,TRUE)))</f>
        <v>9.173304803544724E-7</v>
      </c>
      <c r="G17" s="3"/>
      <c r="H17" s="3"/>
      <c r="I17" s="3"/>
      <c r="J17" s="3"/>
      <c r="K17" s="8" t="s">
        <v>31</v>
      </c>
      <c r="L17" s="8"/>
      <c r="M17" s="3">
        <f>(1-(NORMDIST(ABS(M16),0,1,TRUE)))</f>
        <v>1.5890674689512663E-3</v>
      </c>
      <c r="N17" s="3"/>
    </row>
    <row r="18" spans="1:14">
      <c r="A18" s="3"/>
      <c r="B18" s="3"/>
      <c r="C18" s="3"/>
      <c r="D18" s="8" t="s">
        <v>32</v>
      </c>
      <c r="E18" s="8"/>
      <c r="F18" s="3">
        <f>(1-(NORMDIST(ABS(F16),0,1,TRUE)))*2</f>
        <v>1.8346609607089448E-6</v>
      </c>
      <c r="G18" s="3"/>
      <c r="H18" s="3"/>
      <c r="I18" s="3"/>
      <c r="J18" s="3"/>
      <c r="K18" s="8" t="s">
        <v>32</v>
      </c>
      <c r="L18" s="8"/>
      <c r="M18" s="3">
        <f>(1-(NORMDIST(ABS(M16),0,1,TRUE)))*2</f>
        <v>3.1781349379025325E-3</v>
      </c>
      <c r="N18" s="3"/>
    </row>
  </sheetData>
  <mergeCells count="19">
    <mergeCell ref="D16:E16"/>
    <mergeCell ref="K16:L16"/>
    <mergeCell ref="D17:E17"/>
    <mergeCell ref="K17:L17"/>
    <mergeCell ref="D18:E18"/>
    <mergeCell ref="K18:L18"/>
    <mergeCell ref="D13:E13"/>
    <mergeCell ref="K13:L13"/>
    <mergeCell ref="D14:E14"/>
    <mergeCell ref="K14:L14"/>
    <mergeCell ref="D15:E15"/>
    <mergeCell ref="K15:L15"/>
    <mergeCell ref="D12:E12"/>
    <mergeCell ref="K12:L12"/>
    <mergeCell ref="D10:E10"/>
    <mergeCell ref="G10:H10"/>
    <mergeCell ref="K10:L10"/>
    <mergeCell ref="D11:E11"/>
    <mergeCell ref="K11:L1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3" sqref="A3:XFD3"/>
    </sheetView>
  </sheetViews>
  <sheetFormatPr baseColWidth="10" defaultRowHeight="15" x14ac:dyDescent="0"/>
  <cols>
    <col min="1" max="1" width="21.83203125" customWidth="1"/>
    <col min="5" max="5" width="11.83203125" bestFit="1" customWidth="1"/>
    <col min="12" max="12" width="11.83203125" bestFit="1" customWidth="1"/>
  </cols>
  <sheetData>
    <row r="1" spans="1:14" ht="37">
      <c r="A1" s="4" t="s">
        <v>3</v>
      </c>
      <c r="B1" s="3"/>
      <c r="C1" s="3"/>
      <c r="D1" s="4" t="s">
        <v>4</v>
      </c>
      <c r="E1" s="3"/>
      <c r="F1" s="3"/>
      <c r="G1" s="4" t="s">
        <v>5</v>
      </c>
      <c r="H1" s="3"/>
      <c r="I1" s="4" t="s">
        <v>6</v>
      </c>
      <c r="J1" s="3"/>
      <c r="K1" s="3"/>
      <c r="L1" s="3"/>
      <c r="M1" s="3"/>
      <c r="N1" s="3"/>
    </row>
    <row r="2" spans="1:14" ht="30">
      <c r="A2" s="3" t="s">
        <v>0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9</v>
      </c>
      <c r="J2" s="3" t="s">
        <v>14</v>
      </c>
      <c r="K2" s="3" t="s">
        <v>15</v>
      </c>
      <c r="L2" s="3" t="s">
        <v>16</v>
      </c>
      <c r="M2" s="3" t="s">
        <v>11</v>
      </c>
      <c r="N2" s="3"/>
    </row>
    <row r="3" spans="1:14">
      <c r="A3" t="s">
        <v>44</v>
      </c>
      <c r="B3" s="3">
        <v>-0.23569999999999999</v>
      </c>
      <c r="C3" s="3">
        <f>0.1353^2</f>
        <v>1.8306090000000001E-2</v>
      </c>
      <c r="D3" s="3">
        <f>$C3</f>
        <v>1.8306090000000001E-2</v>
      </c>
      <c r="E3" s="3">
        <f>1/D3</f>
        <v>54.626629717214321</v>
      </c>
      <c r="F3" s="3">
        <f>$B3*E3</f>
        <v>-12.875496624347415</v>
      </c>
      <c r="G3" s="3">
        <f>(B3^2)*E3</f>
        <v>3.0347545543586856</v>
      </c>
      <c r="H3" s="3">
        <f>E3^2</f>
        <v>2984.0686742616426</v>
      </c>
      <c r="I3" s="3">
        <f>$C3</f>
        <v>1.8306090000000001E-2</v>
      </c>
      <c r="J3" s="3">
        <f>$H$15</f>
        <v>0.63630476691551008</v>
      </c>
      <c r="K3" s="3">
        <f>I3+J3</f>
        <v>0.65461085691551013</v>
      </c>
      <c r="L3" s="3">
        <f>1/K3</f>
        <v>1.5276251370347633</v>
      </c>
      <c r="M3" s="3">
        <f>$B3*L3</f>
        <v>-0.36006124479909368</v>
      </c>
      <c r="N3" s="3"/>
    </row>
    <row r="4" spans="1:14">
      <c r="A4" s="3" t="s">
        <v>45</v>
      </c>
      <c r="B4" s="3">
        <v>-1.8971</v>
      </c>
      <c r="C4" s="3">
        <f>0.3704^2</f>
        <v>0.13719616000000001</v>
      </c>
      <c r="D4" s="3">
        <f t="shared" ref="D3:D6" si="0">$C4</f>
        <v>0.13719616000000001</v>
      </c>
      <c r="E4" s="3">
        <f t="shared" ref="E3:E5" si="1">1/D4</f>
        <v>7.2888337399530707</v>
      </c>
      <c r="F4" s="3">
        <f t="shared" ref="F3:F5" si="2">$B4*E4</f>
        <v>-13.827646488064971</v>
      </c>
      <c r="G4" s="3">
        <f t="shared" ref="G3:G5" si="3">(B4^2)*E4</f>
        <v>26.232428152508056</v>
      </c>
      <c r="H4" s="3">
        <f t="shared" ref="H3:H5" si="4">E4^2</f>
        <v>53.127097288678272</v>
      </c>
      <c r="I4" s="3">
        <f t="shared" ref="I3:I6" si="5">$C4</f>
        <v>0.13719616000000001</v>
      </c>
      <c r="J4" s="3">
        <f>$H$15</f>
        <v>0.63630476691551008</v>
      </c>
      <c r="K4" s="3">
        <f t="shared" ref="K3:K5" si="6">I4+J4</f>
        <v>0.77350092691551009</v>
      </c>
      <c r="L4" s="3">
        <f t="shared" ref="L3:L5" si="7">1/K4</f>
        <v>1.292823272995548</v>
      </c>
      <c r="M4" s="3">
        <f t="shared" ref="M3:M5" si="8">$B4*L4</f>
        <v>-2.452615031199854</v>
      </c>
      <c r="N4" s="3"/>
    </row>
    <row r="5" spans="1:14">
      <c r="A5" s="3" t="s">
        <v>46</v>
      </c>
      <c r="B5" s="3">
        <v>-0.755</v>
      </c>
      <c r="C5" s="3">
        <f>0.4476^2</f>
        <v>0.20034576000000001</v>
      </c>
      <c r="D5" s="3">
        <f t="shared" si="0"/>
        <v>0.20034576000000001</v>
      </c>
      <c r="E5" s="3">
        <f t="shared" si="1"/>
        <v>4.9913709179570356</v>
      </c>
      <c r="F5" s="3">
        <f t="shared" si="2"/>
        <v>-3.768485043057562</v>
      </c>
      <c r="G5" s="3">
        <f t="shared" si="3"/>
        <v>2.8452062075084594</v>
      </c>
      <c r="H5" s="3">
        <f t="shared" si="4"/>
        <v>24.913783640627258</v>
      </c>
      <c r="I5" s="3">
        <f t="shared" si="5"/>
        <v>0.20034576000000001</v>
      </c>
      <c r="J5" s="3">
        <f>$H$15</f>
        <v>0.63630476691551008</v>
      </c>
      <c r="K5" s="3">
        <f t="shared" si="6"/>
        <v>0.83665052691551012</v>
      </c>
      <c r="L5" s="3">
        <f t="shared" si="7"/>
        <v>1.1952421803721471</v>
      </c>
      <c r="M5" s="3">
        <f t="shared" si="8"/>
        <v>-0.90240784618097114</v>
      </c>
      <c r="N5" s="3"/>
    </row>
    <row r="6" spans="1:14">
      <c r="A6" s="3" t="s">
        <v>47</v>
      </c>
      <c r="B6" s="3">
        <v>-1.0498000000000001</v>
      </c>
      <c r="C6" s="3">
        <f>0.4931^2</f>
        <v>0.24314760999999999</v>
      </c>
      <c r="D6" s="3">
        <f t="shared" si="0"/>
        <v>0.24314760999999999</v>
      </c>
      <c r="E6" s="3">
        <f t="shared" ref="E6" si="9">1/D6</f>
        <v>4.1127280667081205</v>
      </c>
      <c r="F6" s="3">
        <f t="shared" ref="F6" si="10">$B6*E6</f>
        <v>-4.3175419244301851</v>
      </c>
      <c r="G6" s="3">
        <f t="shared" ref="G6" si="11">(B6^2)*E6</f>
        <v>4.5325555122668089</v>
      </c>
      <c r="H6" s="3">
        <f t="shared" ref="H6" si="12">E6^2</f>
        <v>16.914532150688714</v>
      </c>
      <c r="I6" s="3">
        <f t="shared" si="5"/>
        <v>0.24314760999999999</v>
      </c>
      <c r="J6" s="3">
        <f>$H$15</f>
        <v>0.63630476691551008</v>
      </c>
      <c r="K6" s="3">
        <f t="shared" ref="K6" si="13">I6+J6</f>
        <v>0.87945237691551004</v>
      </c>
      <c r="L6" s="3">
        <f t="shared" ref="L6" si="14">1/K6</f>
        <v>1.1370712346099794</v>
      </c>
      <c r="M6" s="3">
        <f t="shared" ref="M6" si="15">$B6*L6</f>
        <v>-1.1936973820935564</v>
      </c>
      <c r="N6" s="3"/>
    </row>
    <row r="7" spans="1:14">
      <c r="A7" s="3" t="s">
        <v>17</v>
      </c>
      <c r="B7" s="3"/>
      <c r="C7" s="3"/>
      <c r="D7" s="3"/>
      <c r="E7" s="3">
        <f>SUM(E3:E6)</f>
        <v>71.019562441832548</v>
      </c>
      <c r="F7" s="3">
        <f>SUM(F3:F6)</f>
        <v>-34.789170079900131</v>
      </c>
      <c r="G7" s="3">
        <f>SUM(G3:G6)</f>
        <v>36.644944426642013</v>
      </c>
      <c r="H7" s="3">
        <f>SUM(H3:H6)</f>
        <v>3079.0240873416365</v>
      </c>
      <c r="I7" s="3"/>
      <c r="J7" s="3"/>
      <c r="K7" s="3"/>
      <c r="L7" s="3">
        <f>SUM(L3:L6)</f>
        <v>5.1527618250124378</v>
      </c>
      <c r="M7" s="3">
        <f>SUM(M3:M6)</f>
        <v>-4.9087815042734757</v>
      </c>
      <c r="N7" s="3"/>
    </row>
    <row r="8" spans="1: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3"/>
      <c r="B10" s="3"/>
      <c r="C10" s="3"/>
      <c r="D10" s="9" t="s">
        <v>18</v>
      </c>
      <c r="E10" s="8"/>
      <c r="F10" s="3"/>
      <c r="G10" s="9" t="s">
        <v>19</v>
      </c>
      <c r="H10" s="8"/>
      <c r="I10" s="3"/>
      <c r="J10" s="3"/>
      <c r="K10" s="9" t="s">
        <v>20</v>
      </c>
      <c r="L10" s="8"/>
      <c r="M10" s="3"/>
      <c r="N10" s="3"/>
    </row>
    <row r="11" spans="1:14">
      <c r="A11" s="3"/>
      <c r="B11" s="3"/>
      <c r="C11" s="3"/>
      <c r="D11" s="8" t="s">
        <v>21</v>
      </c>
      <c r="E11" s="8"/>
      <c r="F11" s="3">
        <f>F7/E7</f>
        <v>-0.4898533429911463</v>
      </c>
      <c r="G11" s="3" t="s">
        <v>22</v>
      </c>
      <c r="H11" s="3">
        <f>G7-((F7^2)/E7)</f>
        <v>19.603353163115369</v>
      </c>
      <c r="I11" s="3"/>
      <c r="J11" s="3"/>
      <c r="K11" s="8" t="s">
        <v>21</v>
      </c>
      <c r="L11" s="8"/>
      <c r="M11" s="3">
        <f>M7/L7</f>
        <v>-0.95265057283365251</v>
      </c>
      <c r="N11" s="3">
        <f>EXP(M11)</f>
        <v>0.38571729553613154</v>
      </c>
    </row>
    <row r="12" spans="1:14">
      <c r="A12" s="3"/>
      <c r="B12" s="3"/>
      <c r="C12" s="3"/>
      <c r="D12" s="8" t="s">
        <v>8</v>
      </c>
      <c r="E12" s="8"/>
      <c r="F12" s="3">
        <f>1/E7</f>
        <v>1.408062744429092E-2</v>
      </c>
      <c r="G12" s="3" t="s">
        <v>23</v>
      </c>
      <c r="H12" s="3">
        <f>COUNT(B3:B5)-1</f>
        <v>2</v>
      </c>
      <c r="I12" s="3"/>
      <c r="J12" s="3"/>
      <c r="K12" s="8" t="s">
        <v>8</v>
      </c>
      <c r="L12" s="8"/>
      <c r="M12" s="3">
        <f>1/L7</f>
        <v>0.19407068169652614</v>
      </c>
      <c r="N12" s="3"/>
    </row>
    <row r="13" spans="1:14">
      <c r="A13" s="3"/>
      <c r="B13" s="3"/>
      <c r="C13" s="3"/>
      <c r="D13" s="8" t="s">
        <v>24</v>
      </c>
      <c r="E13" s="8"/>
      <c r="F13" s="3">
        <f>SQRT(F12)</f>
        <v>0.11866181965691795</v>
      </c>
      <c r="G13" s="3" t="s">
        <v>25</v>
      </c>
      <c r="H13" s="3">
        <f>MAX((H11-H12),0)</f>
        <v>17.603353163115369</v>
      </c>
      <c r="I13" s="3"/>
      <c r="J13" s="3"/>
      <c r="K13" s="8" t="s">
        <v>24</v>
      </c>
      <c r="L13" s="8"/>
      <c r="M13" s="3">
        <f>SQRT(M12)</f>
        <v>0.4405345408665774</v>
      </c>
      <c r="N13" s="3"/>
    </row>
    <row r="14" spans="1:14">
      <c r="A14" s="3"/>
      <c r="B14" s="3"/>
      <c r="C14" s="3"/>
      <c r="D14" s="8" t="s">
        <v>26</v>
      </c>
      <c r="E14" s="8"/>
      <c r="F14" s="3">
        <f>F11-(1.96*F13)</f>
        <v>-0.72243050951870547</v>
      </c>
      <c r="G14" s="3" t="s">
        <v>27</v>
      </c>
      <c r="H14" s="3">
        <f>E7-(H7/E7)</f>
        <v>27.664971375977103</v>
      </c>
      <c r="I14" s="3"/>
      <c r="J14" s="3"/>
      <c r="K14" s="8" t="s">
        <v>26</v>
      </c>
      <c r="L14" s="8"/>
      <c r="M14" s="3">
        <f>M11-(1.96*M13)</f>
        <v>-1.8160982729321442</v>
      </c>
      <c r="N14" s="3">
        <f>EXP(M14)</f>
        <v>0.162659166094964</v>
      </c>
    </row>
    <row r="15" spans="1:14">
      <c r="A15" s="3"/>
      <c r="B15" s="3"/>
      <c r="C15" s="3"/>
      <c r="D15" s="8" t="s">
        <v>28</v>
      </c>
      <c r="E15" s="8"/>
      <c r="F15" s="3">
        <f>F11+(1.96*F13)</f>
        <v>-0.25727617646358714</v>
      </c>
      <c r="G15" s="3" t="s">
        <v>29</v>
      </c>
      <c r="H15" s="3">
        <f>H13/H14</f>
        <v>0.63630476691551008</v>
      </c>
      <c r="I15" s="3"/>
      <c r="J15" s="3"/>
      <c r="K15" s="8" t="s">
        <v>28</v>
      </c>
      <c r="L15" s="8"/>
      <c r="M15" s="3">
        <f>M11+(1.96*M13)</f>
        <v>-8.920287273516081E-2</v>
      </c>
      <c r="N15" s="3">
        <f>EXP(M15)</f>
        <v>0.91465999517572638</v>
      </c>
    </row>
    <row r="16" spans="1:14">
      <c r="A16" s="3"/>
      <c r="B16" s="3"/>
      <c r="C16" s="3"/>
      <c r="D16" s="8" t="s">
        <v>30</v>
      </c>
      <c r="E16" s="8"/>
      <c r="F16" s="3">
        <f>F11/F13</f>
        <v>-4.1281462260349553</v>
      </c>
      <c r="G16" s="3"/>
      <c r="H16" s="3"/>
      <c r="I16" s="3"/>
      <c r="J16" s="3"/>
      <c r="K16" s="8" t="s">
        <v>30</v>
      </c>
      <c r="L16" s="8"/>
      <c r="M16" s="3">
        <f>M11/M13</f>
        <v>-2.1624878061994628</v>
      </c>
      <c r="N16" s="3"/>
    </row>
    <row r="17" spans="1:14">
      <c r="A17" s="3"/>
      <c r="B17" s="3"/>
      <c r="C17" s="3"/>
      <c r="D17" s="8" t="s">
        <v>31</v>
      </c>
      <c r="E17" s="8"/>
      <c r="F17" s="3">
        <f>(1-(NORMDIST(ABS(F16),0,1,TRUE)))</f>
        <v>1.8284977039373373E-5</v>
      </c>
      <c r="G17" s="3"/>
      <c r="H17" s="3"/>
      <c r="I17" s="3"/>
      <c r="J17" s="3"/>
      <c r="K17" s="8" t="s">
        <v>31</v>
      </c>
      <c r="L17" s="8"/>
      <c r="M17" s="3">
        <f>(1-(NORMDIST(ABS(M16),0,1,TRUE)))</f>
        <v>1.5290297992136326E-2</v>
      </c>
      <c r="N17" s="3"/>
    </row>
    <row r="18" spans="1:14">
      <c r="A18" s="3"/>
      <c r="B18" s="3"/>
      <c r="C18" s="3"/>
      <c r="D18" s="8" t="s">
        <v>32</v>
      </c>
      <c r="E18" s="8"/>
      <c r="F18" s="3">
        <f>(1-(NORMDIST(ABS(F16),0,1,TRUE)))*2</f>
        <v>3.6569954078746747E-5</v>
      </c>
      <c r="G18" s="3"/>
      <c r="H18" s="3"/>
      <c r="I18" s="3"/>
      <c r="J18" s="3"/>
      <c r="K18" s="8" t="s">
        <v>32</v>
      </c>
      <c r="L18" s="8"/>
      <c r="M18" s="3">
        <f>(1-(NORMDIST(ABS(M16),0,1,TRUE)))*2</f>
        <v>3.0580595984272652E-2</v>
      </c>
      <c r="N18" s="3"/>
    </row>
  </sheetData>
  <mergeCells count="19">
    <mergeCell ref="D16:E16"/>
    <mergeCell ref="K16:L16"/>
    <mergeCell ref="D17:E17"/>
    <mergeCell ref="K17:L17"/>
    <mergeCell ref="D18:E18"/>
    <mergeCell ref="K18:L18"/>
    <mergeCell ref="D13:E13"/>
    <mergeCell ref="K13:L13"/>
    <mergeCell ref="D14:E14"/>
    <mergeCell ref="K14:L14"/>
    <mergeCell ref="D15:E15"/>
    <mergeCell ref="K15:L15"/>
    <mergeCell ref="D12:E12"/>
    <mergeCell ref="K12:L12"/>
    <mergeCell ref="D10:E10"/>
    <mergeCell ref="G10:H10"/>
    <mergeCell ref="K10:L10"/>
    <mergeCell ref="D11:E11"/>
    <mergeCell ref="K11:L1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sqref="A1:N24"/>
    </sheetView>
  </sheetViews>
  <sheetFormatPr baseColWidth="10" defaultRowHeight="15" x14ac:dyDescent="0"/>
  <cols>
    <col min="1" max="1" width="18.1640625" customWidth="1"/>
    <col min="2" max="2" width="12.5" bestFit="1" customWidth="1"/>
  </cols>
  <sheetData>
    <row r="1" spans="1:15" ht="37">
      <c r="A1" s="2" t="s">
        <v>3</v>
      </c>
      <c r="B1" s="1"/>
      <c r="C1" s="1"/>
      <c r="D1" s="2" t="s">
        <v>4</v>
      </c>
      <c r="E1" s="1"/>
      <c r="F1" s="1"/>
      <c r="G1" s="2" t="s">
        <v>5</v>
      </c>
      <c r="H1" s="1"/>
      <c r="I1" s="2" t="s">
        <v>6</v>
      </c>
      <c r="J1" s="1"/>
      <c r="K1" s="1"/>
      <c r="L1" s="1"/>
      <c r="M1" s="1"/>
      <c r="N1" s="1"/>
      <c r="O1" s="1"/>
    </row>
    <row r="2" spans="1:15" ht="30">
      <c r="A2" s="1" t="s">
        <v>0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9</v>
      </c>
      <c r="J2" s="1" t="s">
        <v>14</v>
      </c>
      <c r="K2" s="1" t="s">
        <v>15</v>
      </c>
      <c r="L2" s="1" t="s">
        <v>16</v>
      </c>
      <c r="M2" s="1" t="s">
        <v>11</v>
      </c>
      <c r="N2" s="1"/>
      <c r="O2" s="1"/>
    </row>
    <row r="3" spans="1:15">
      <c r="A3" s="1" t="s">
        <v>1</v>
      </c>
      <c r="B3" s="1">
        <v>5.1299999999999998E-2</v>
      </c>
      <c r="C3" s="1">
        <f>0.7245^2</f>
        <v>0.52490025000000007</v>
      </c>
      <c r="D3" s="1">
        <f t="shared" ref="D3:D12" si="0">$C3</f>
        <v>0.52490025000000007</v>
      </c>
      <c r="E3" s="1">
        <f t="shared" ref="E3:E11" si="1">1/D3</f>
        <v>1.9051238782987814</v>
      </c>
      <c r="F3" s="1">
        <f t="shared" ref="F3" si="2">$B3*E3</f>
        <v>9.7732854956727483E-2</v>
      </c>
      <c r="G3" s="1">
        <f t="shared" ref="G3" si="3">(B3^2)*E3</f>
        <v>5.0136954592801194E-3</v>
      </c>
      <c r="H3" s="1">
        <f t="shared" ref="H3" si="4">E3^2</f>
        <v>3.6294969916641899</v>
      </c>
      <c r="I3" s="1">
        <f t="shared" ref="I3:I12" si="5">$C3</f>
        <v>0.52490025000000007</v>
      </c>
      <c r="J3" s="1">
        <f>$H$21</f>
        <v>1.4915039966083075</v>
      </c>
      <c r="K3" s="1">
        <f t="shared" ref="K3" si="6">I3+J3</f>
        <v>2.0164042466083076</v>
      </c>
      <c r="L3" s="1">
        <f t="shared" ref="L3" si="7">1/K3</f>
        <v>0.49593230210760059</v>
      </c>
      <c r="M3" s="1">
        <f t="shared" ref="M3" si="8">$B3*L3</f>
        <v>2.5441327098119908E-2</v>
      </c>
      <c r="N3" s="1"/>
      <c r="O3" s="1"/>
    </row>
    <row r="4" spans="1:15">
      <c r="A4" s="1" t="s">
        <v>33</v>
      </c>
      <c r="B4" s="1">
        <v>0.01</v>
      </c>
      <c r="C4" s="1">
        <f>0.8544^2</f>
        <v>0.7299993600000001</v>
      </c>
      <c r="D4" s="1">
        <f t="shared" si="0"/>
        <v>0.7299993600000001</v>
      </c>
      <c r="E4" s="1">
        <f t="shared" ref="E4:E12" si="9">1/D4</f>
        <v>1.3698642146754756</v>
      </c>
      <c r="F4" s="1">
        <f t="shared" ref="F4:F5" si="10">$B4*E4</f>
        <v>1.3698642146754756E-2</v>
      </c>
      <c r="G4" s="1">
        <f t="shared" ref="G4:G5" si="11">(B4^2)*E4</f>
        <v>1.3698642146754757E-4</v>
      </c>
      <c r="H4" s="1">
        <f t="shared" ref="H4:H5" si="12">E4^2</f>
        <v>1.8765279666484576</v>
      </c>
      <c r="I4" s="1">
        <f t="shared" si="5"/>
        <v>0.7299993600000001</v>
      </c>
      <c r="J4" s="1">
        <f>$H$21</f>
        <v>1.4915039966083075</v>
      </c>
      <c r="K4" s="1">
        <f t="shared" ref="K4:K5" si="13">I4+J4</f>
        <v>2.2215033566083076</v>
      </c>
      <c r="L4" s="1">
        <f t="shared" ref="L4:L5" si="14">1/K4</f>
        <v>0.45014561739251902</v>
      </c>
      <c r="M4" s="1">
        <f t="shared" ref="M4:M5" si="15">$B4*L4</f>
        <v>4.5014561739251903E-3</v>
      </c>
      <c r="N4" s="1"/>
      <c r="O4" s="1"/>
    </row>
    <row r="5" spans="1:15">
      <c r="A5" s="3" t="s">
        <v>34</v>
      </c>
      <c r="B5" s="3">
        <v>-0.47799999999999998</v>
      </c>
      <c r="C5" s="3">
        <f>0.1426^2</f>
        <v>2.033476E-2</v>
      </c>
      <c r="D5" s="3">
        <f t="shared" si="0"/>
        <v>2.033476E-2</v>
      </c>
      <c r="E5" s="3">
        <f t="shared" si="1"/>
        <v>49.176877425649479</v>
      </c>
      <c r="F5" s="3">
        <f t="shared" si="10"/>
        <v>-23.506547409460449</v>
      </c>
      <c r="G5" s="3">
        <f t="shared" si="11"/>
        <v>11.236129661722096</v>
      </c>
      <c r="H5" s="3">
        <f t="shared" si="12"/>
        <v>2418.3652733373533</v>
      </c>
      <c r="I5" s="3">
        <f t="shared" si="5"/>
        <v>2.033476E-2</v>
      </c>
      <c r="J5" s="3">
        <f t="shared" ref="J5:J12" si="16">$H$21</f>
        <v>1.4915039966083075</v>
      </c>
      <c r="K5" s="3">
        <f t="shared" si="13"/>
        <v>1.5118387566083074</v>
      </c>
      <c r="L5" s="3">
        <f t="shared" si="14"/>
        <v>0.66144619962212259</v>
      </c>
      <c r="M5" s="3">
        <f t="shared" si="15"/>
        <v>-0.31617128341937456</v>
      </c>
      <c r="N5" s="3"/>
      <c r="O5" s="3"/>
    </row>
    <row r="6" spans="1:15">
      <c r="A6" s="3" t="s">
        <v>35</v>
      </c>
      <c r="B6" s="3">
        <v>-0.26140000000000002</v>
      </c>
      <c r="C6" s="3">
        <f>0.1072^2</f>
        <v>1.1491840000000001E-2</v>
      </c>
      <c r="D6" s="3">
        <f t="shared" si="0"/>
        <v>1.1491840000000001E-2</v>
      </c>
      <c r="E6" s="3">
        <f t="shared" si="9"/>
        <v>87.018266874582295</v>
      </c>
      <c r="F6" s="3">
        <f t="shared" ref="F6:F12" si="17">$B6*E6</f>
        <v>-22.746574961015813</v>
      </c>
      <c r="G6" s="3">
        <f t="shared" ref="G6:G12" si="18">(B6^2)*E6</f>
        <v>5.9459546948095339</v>
      </c>
      <c r="H6" s="3">
        <f t="shared" ref="H6:H12" si="19">E6^2</f>
        <v>7572.1787698560265</v>
      </c>
      <c r="I6" s="3">
        <f t="shared" si="5"/>
        <v>1.1491840000000001E-2</v>
      </c>
      <c r="J6" s="3">
        <f t="shared" si="16"/>
        <v>1.4915039966083075</v>
      </c>
      <c r="K6" s="3">
        <f t="shared" ref="K6:K12" si="20">I6+J6</f>
        <v>1.5029958366083074</v>
      </c>
      <c r="L6" s="3">
        <f t="shared" ref="L6:L12" si="21">1/K6</f>
        <v>0.66533783769928556</v>
      </c>
      <c r="M6" s="3">
        <f t="shared" ref="M6:M12" si="22">$B6*L6</f>
        <v>-0.17391931077459327</v>
      </c>
      <c r="N6" s="3"/>
      <c r="O6" s="3"/>
    </row>
    <row r="7" spans="1:15">
      <c r="A7" s="3" t="s">
        <v>36</v>
      </c>
      <c r="B7" s="3">
        <v>-0.18629999999999999</v>
      </c>
      <c r="C7" s="3">
        <f>0.1101^2</f>
        <v>1.2122010000000001E-2</v>
      </c>
      <c r="D7" s="3">
        <f t="shared" si="0"/>
        <v>1.2122010000000001E-2</v>
      </c>
      <c r="E7" s="3">
        <f t="shared" si="1"/>
        <v>82.494569794943246</v>
      </c>
      <c r="F7" s="3">
        <f t="shared" si="17"/>
        <v>-15.368738352797926</v>
      </c>
      <c r="G7" s="3">
        <f t="shared" si="18"/>
        <v>2.8631959551262538</v>
      </c>
      <c r="H7" s="3">
        <f t="shared" si="19"/>
        <v>6805.3540456527626</v>
      </c>
      <c r="I7" s="3">
        <f t="shared" si="5"/>
        <v>1.2122010000000001E-2</v>
      </c>
      <c r="J7" s="3">
        <f t="shared" si="16"/>
        <v>1.4915039966083075</v>
      </c>
      <c r="K7" s="3">
        <f t="shared" si="20"/>
        <v>1.5036260066083074</v>
      </c>
      <c r="L7" s="3">
        <f t="shared" si="21"/>
        <v>0.66505899446078065</v>
      </c>
      <c r="M7" s="3">
        <f t="shared" si="22"/>
        <v>-0.12390049066804343</v>
      </c>
      <c r="N7" s="3"/>
      <c r="O7" s="3"/>
    </row>
    <row r="8" spans="1:15">
      <c r="A8" s="3" t="s">
        <v>37</v>
      </c>
      <c r="B8" s="3">
        <v>-2.1202999999999999</v>
      </c>
      <c r="C8" s="3">
        <f>0.0408^2</f>
        <v>1.6646400000000002E-3</v>
      </c>
      <c r="D8" s="3">
        <f t="shared" si="0"/>
        <v>1.6646400000000002E-3</v>
      </c>
      <c r="E8" s="3">
        <f t="shared" si="9"/>
        <v>600.73048827374078</v>
      </c>
      <c r="F8" s="3">
        <f t="shared" si="17"/>
        <v>-1273.7288542868125</v>
      </c>
      <c r="G8" s="3">
        <f t="shared" si="18"/>
        <v>2700.6872897443282</v>
      </c>
      <c r="H8" s="3">
        <f t="shared" si="19"/>
        <v>360877.11954160698</v>
      </c>
      <c r="I8" s="3">
        <f t="shared" si="5"/>
        <v>1.6646400000000002E-3</v>
      </c>
      <c r="J8" s="3">
        <f t="shared" si="16"/>
        <v>1.4915039966083075</v>
      </c>
      <c r="K8" s="3">
        <f t="shared" si="20"/>
        <v>1.4931686366083075</v>
      </c>
      <c r="L8" s="3">
        <f t="shared" si="21"/>
        <v>0.66971671885064044</v>
      </c>
      <c r="M8" s="3">
        <f t="shared" si="22"/>
        <v>-1.4200003589790129</v>
      </c>
      <c r="N8" s="3"/>
      <c r="O8" s="3"/>
    </row>
    <row r="9" spans="1:15">
      <c r="A9" s="3" t="s">
        <v>2</v>
      </c>
      <c r="B9" s="3">
        <v>6.7699999999999996E-2</v>
      </c>
      <c r="C9" s="3">
        <f>0.0993^2</f>
        <v>9.8604899999999995E-3</v>
      </c>
      <c r="D9" s="3">
        <f t="shared" si="0"/>
        <v>9.8604899999999995E-3</v>
      </c>
      <c r="E9" s="3">
        <f t="shared" si="1"/>
        <v>101.41483841066723</v>
      </c>
      <c r="F9" s="3">
        <f t="shared" si="17"/>
        <v>6.8657845604021714</v>
      </c>
      <c r="G9" s="3">
        <f t="shared" si="18"/>
        <v>0.46481361473922694</v>
      </c>
      <c r="H9" s="3">
        <f t="shared" si="19"/>
        <v>10284.969449861745</v>
      </c>
      <c r="I9" s="3">
        <f t="shared" si="5"/>
        <v>9.8604899999999995E-3</v>
      </c>
      <c r="J9" s="3">
        <f t="shared" si="16"/>
        <v>1.4915039966083075</v>
      </c>
      <c r="K9" s="3">
        <f t="shared" si="20"/>
        <v>1.5013644866083076</v>
      </c>
      <c r="L9" s="3">
        <f t="shared" si="21"/>
        <v>0.6660607793241955</v>
      </c>
      <c r="M9" s="3">
        <f t="shared" si="22"/>
        <v>4.5092314760248033E-2</v>
      </c>
      <c r="N9" s="3"/>
      <c r="O9" s="3"/>
    </row>
    <row r="10" spans="1:15">
      <c r="A10" s="3" t="s">
        <v>38</v>
      </c>
      <c r="B10" s="3">
        <v>-0.79849999999999999</v>
      </c>
      <c r="C10" s="3">
        <f>0.3123^2</f>
        <v>9.753129000000002E-2</v>
      </c>
      <c r="D10" s="3">
        <f t="shared" si="0"/>
        <v>9.753129000000002E-2</v>
      </c>
      <c r="E10" s="3">
        <f t="shared" si="9"/>
        <v>10.253119793658012</v>
      </c>
      <c r="F10" s="3">
        <f t="shared" si="17"/>
        <v>-8.1871161552359233</v>
      </c>
      <c r="G10" s="3">
        <f t="shared" si="18"/>
        <v>6.5374122499558833</v>
      </c>
      <c r="H10" s="3">
        <f t="shared" si="19"/>
        <v>105.12646550310171</v>
      </c>
      <c r="I10" s="3">
        <f t="shared" si="5"/>
        <v>9.753129000000002E-2</v>
      </c>
      <c r="J10" s="3">
        <f t="shared" si="16"/>
        <v>1.4915039966083075</v>
      </c>
      <c r="K10" s="3">
        <f t="shared" si="20"/>
        <v>1.5890352866083075</v>
      </c>
      <c r="L10" s="3">
        <f t="shared" si="21"/>
        <v>0.62931264549476118</v>
      </c>
      <c r="M10" s="3">
        <f t="shared" si="22"/>
        <v>-0.50250614742756683</v>
      </c>
      <c r="N10" s="3"/>
      <c r="O10" s="3"/>
    </row>
    <row r="11" spans="1:15">
      <c r="A11" s="3" t="s">
        <v>39</v>
      </c>
      <c r="B11" s="3">
        <v>-1.0217000000000001</v>
      </c>
      <c r="C11" s="3">
        <f>0.3062^2</f>
        <v>9.3758440000000012E-2</v>
      </c>
      <c r="D11" s="3">
        <f t="shared" si="0"/>
        <v>9.3758440000000012E-2</v>
      </c>
      <c r="E11" s="3">
        <f t="shared" si="1"/>
        <v>10.665706468665647</v>
      </c>
      <c r="F11" s="3">
        <f t="shared" si="17"/>
        <v>-10.897152299035692</v>
      </c>
      <c r="G11" s="3">
        <f t="shared" si="18"/>
        <v>11.133620503924769</v>
      </c>
      <c r="H11" s="3">
        <f t="shared" si="19"/>
        <v>113.75729447573622</v>
      </c>
      <c r="I11" s="3">
        <f t="shared" si="5"/>
        <v>9.3758440000000012E-2</v>
      </c>
      <c r="J11" s="3">
        <f t="shared" si="16"/>
        <v>1.4915039966083075</v>
      </c>
      <c r="K11" s="3">
        <f t="shared" si="20"/>
        <v>1.5852624366083075</v>
      </c>
      <c r="L11" s="3">
        <f t="shared" si="21"/>
        <v>0.63081037997690459</v>
      </c>
      <c r="M11" s="3">
        <f t="shared" si="22"/>
        <v>-0.64449896522240346</v>
      </c>
      <c r="N11" s="3"/>
      <c r="O11" s="3"/>
    </row>
    <row r="12" spans="1:15">
      <c r="A12" s="3" t="s">
        <v>40</v>
      </c>
      <c r="B12" s="3">
        <v>-0.57979999999999998</v>
      </c>
      <c r="C12" s="3">
        <f>0.3465^2</f>
        <v>0.12006224999999998</v>
      </c>
      <c r="D12" s="3">
        <f t="shared" si="0"/>
        <v>0.12006224999999998</v>
      </c>
      <c r="E12" s="3">
        <f t="shared" si="9"/>
        <v>8.329012658016989</v>
      </c>
      <c r="F12" s="3">
        <f t="shared" si="17"/>
        <v>-4.8291615391182496</v>
      </c>
      <c r="G12" s="3">
        <f t="shared" si="18"/>
        <v>2.7999478603807613</v>
      </c>
      <c r="H12" s="3">
        <f t="shared" si="19"/>
        <v>69.372451857407228</v>
      </c>
      <c r="I12" s="3">
        <f t="shared" si="5"/>
        <v>0.12006224999999998</v>
      </c>
      <c r="J12" s="3">
        <f t="shared" si="16"/>
        <v>1.4915039966083075</v>
      </c>
      <c r="K12" s="3">
        <f t="shared" si="20"/>
        <v>1.6115662466083074</v>
      </c>
      <c r="L12" s="3">
        <f t="shared" si="21"/>
        <v>0.62051436117168246</v>
      </c>
      <c r="M12" s="3">
        <f t="shared" si="22"/>
        <v>-0.35977422660734149</v>
      </c>
      <c r="N12" s="3"/>
      <c r="O12" s="3"/>
    </row>
    <row r="13" spans="1:15">
      <c r="A13" s="1" t="s">
        <v>17</v>
      </c>
      <c r="B13" s="1"/>
      <c r="C13" s="1"/>
      <c r="D13" s="1"/>
      <c r="E13" s="1">
        <f>SUM(E3:E12)</f>
        <v>953.35786779289788</v>
      </c>
      <c r="F13" s="3">
        <f t="shared" ref="F13:H13" si="23">SUM(F3:F12)</f>
        <v>-1352.2869289459713</v>
      </c>
      <c r="G13" s="3">
        <f t="shared" si="23"/>
        <v>2741.6735149668675</v>
      </c>
      <c r="H13" s="3">
        <f t="shared" si="23"/>
        <v>388251.74931710947</v>
      </c>
      <c r="I13" s="1"/>
      <c r="J13" s="1"/>
      <c r="K13" s="1"/>
      <c r="L13" s="1">
        <f>SUM(L3:L12)</f>
        <v>6.1543358361004925</v>
      </c>
      <c r="M13" s="1">
        <f>SUM(M3:M12)</f>
        <v>-3.465735685066043</v>
      </c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9" t="s">
        <v>18</v>
      </c>
      <c r="E16" s="8"/>
      <c r="F16" s="1"/>
      <c r="G16" s="9" t="s">
        <v>19</v>
      </c>
      <c r="H16" s="8"/>
      <c r="I16" s="1"/>
      <c r="J16" s="1"/>
      <c r="K16" s="9" t="s">
        <v>20</v>
      </c>
      <c r="L16" s="8"/>
      <c r="M16" s="1"/>
      <c r="N16" s="1"/>
      <c r="O16" s="1"/>
    </row>
    <row r="17" spans="1:15">
      <c r="A17" s="1"/>
      <c r="B17" s="1"/>
      <c r="C17" s="1"/>
      <c r="D17" s="8" t="s">
        <v>21</v>
      </c>
      <c r="E17" s="8"/>
      <c r="F17" s="1">
        <f>F13/E13</f>
        <v>-1.4184462882512598</v>
      </c>
      <c r="G17" s="1" t="s">
        <v>22</v>
      </c>
      <c r="H17" s="1">
        <f>G13-((F13^2)/E13)</f>
        <v>823.52713995275917</v>
      </c>
      <c r="I17" s="1"/>
      <c r="J17" s="1"/>
      <c r="K17" s="8" t="s">
        <v>21</v>
      </c>
      <c r="L17" s="8"/>
      <c r="M17" s="1">
        <f>M13/L13</f>
        <v>-0.56313723809749072</v>
      </c>
      <c r="N17" s="1">
        <f>EXP(M17)</f>
        <v>0.5694198530696768</v>
      </c>
      <c r="O17" s="1"/>
    </row>
    <row r="18" spans="1:15">
      <c r="A18" s="1"/>
      <c r="B18" s="1"/>
      <c r="C18" s="1"/>
      <c r="D18" s="8" t="s">
        <v>8</v>
      </c>
      <c r="E18" s="8"/>
      <c r="F18" s="1">
        <f>1/E13</f>
        <v>1.048924054421539E-3</v>
      </c>
      <c r="G18" s="1" t="s">
        <v>23</v>
      </c>
      <c r="H18" s="1">
        <f>COUNT(B3:B12)-1</f>
        <v>9</v>
      </c>
      <c r="I18" s="1"/>
      <c r="J18" s="1"/>
      <c r="K18" s="8" t="s">
        <v>8</v>
      </c>
      <c r="L18" s="8"/>
      <c r="M18" s="1">
        <f>1/L13</f>
        <v>0.16248707035682661</v>
      </c>
      <c r="N18" s="1"/>
      <c r="O18" s="1"/>
    </row>
    <row r="19" spans="1:15">
      <c r="A19" s="1"/>
      <c r="B19" s="1"/>
      <c r="C19" s="1"/>
      <c r="D19" s="8" t="s">
        <v>24</v>
      </c>
      <c r="E19" s="8"/>
      <c r="F19" s="1">
        <f>SQRT(F18)</f>
        <v>3.2387097036034873E-2</v>
      </c>
      <c r="G19" s="1" t="s">
        <v>25</v>
      </c>
      <c r="H19" s="1">
        <f>MAX((H17-H18),0)</f>
        <v>814.52713995275917</v>
      </c>
      <c r="I19" s="1"/>
      <c r="J19" s="1"/>
      <c r="K19" s="8" t="s">
        <v>24</v>
      </c>
      <c r="L19" s="8"/>
      <c r="M19" s="1">
        <f>SQRT(M18)</f>
        <v>0.40309684984731226</v>
      </c>
      <c r="N19" s="1"/>
      <c r="O19" s="1"/>
    </row>
    <row r="20" spans="1:15">
      <c r="A20" s="1"/>
      <c r="B20" s="1"/>
      <c r="C20" s="1"/>
      <c r="D20" s="8" t="s">
        <v>26</v>
      </c>
      <c r="E20" s="8"/>
      <c r="F20" s="1">
        <f>F17-(1.96*F19)</f>
        <v>-1.4819249984418883</v>
      </c>
      <c r="G20" s="1" t="s">
        <v>27</v>
      </c>
      <c r="H20" s="1">
        <f>E13-(H13/E13)</f>
        <v>546.11126876294043</v>
      </c>
      <c r="I20" s="1"/>
      <c r="J20" s="1"/>
      <c r="K20" s="8" t="s">
        <v>26</v>
      </c>
      <c r="L20" s="8"/>
      <c r="M20" s="1">
        <f>M17-(1.96*M19)</f>
        <v>-1.3532070637982228</v>
      </c>
      <c r="N20" s="1">
        <f>EXP(M20)</f>
        <v>0.25841019234338919</v>
      </c>
      <c r="O20" s="1"/>
    </row>
    <row r="21" spans="1:15">
      <c r="A21" s="1"/>
      <c r="B21" s="1"/>
      <c r="C21" s="1"/>
      <c r="D21" s="8" t="s">
        <v>28</v>
      </c>
      <c r="E21" s="8"/>
      <c r="F21" s="1">
        <f>F17+(1.96*F19)</f>
        <v>-1.3549675780606314</v>
      </c>
      <c r="G21" s="1" t="s">
        <v>29</v>
      </c>
      <c r="H21" s="1">
        <f>H19/H20</f>
        <v>1.4915039966083075</v>
      </c>
      <c r="I21" s="1"/>
      <c r="J21" s="1"/>
      <c r="K21" s="8" t="s">
        <v>28</v>
      </c>
      <c r="L21" s="8"/>
      <c r="M21" s="1">
        <f>M17+(1.96*M19)</f>
        <v>0.22693258760324131</v>
      </c>
      <c r="N21" s="1">
        <f>EXP(M21)</f>
        <v>1.2547452797025369</v>
      </c>
      <c r="O21" s="1"/>
    </row>
    <row r="22" spans="1:15">
      <c r="A22" s="1"/>
      <c r="B22" s="1"/>
      <c r="C22" s="1"/>
      <c r="D22" s="8" t="s">
        <v>30</v>
      </c>
      <c r="E22" s="8"/>
      <c r="F22" s="1">
        <f>F17/F19</f>
        <v>-43.796647988334776</v>
      </c>
      <c r="G22" s="1"/>
      <c r="H22" s="1"/>
      <c r="I22" s="1"/>
      <c r="J22" s="1"/>
      <c r="K22" s="8" t="s">
        <v>30</v>
      </c>
      <c r="L22" s="8"/>
      <c r="M22" s="1">
        <f>M17/M19</f>
        <v>-1.3970271370535385</v>
      </c>
      <c r="N22" s="1"/>
      <c r="O22" s="1"/>
    </row>
    <row r="23" spans="1:15">
      <c r="A23" s="1"/>
      <c r="B23" s="1"/>
      <c r="C23" s="1"/>
      <c r="D23" s="8" t="s">
        <v>31</v>
      </c>
      <c r="E23" s="8"/>
      <c r="F23" s="1">
        <f>(1-(NORMDIST(ABS(F22),0,1,TRUE)))</f>
        <v>0</v>
      </c>
      <c r="G23" s="1"/>
      <c r="H23" s="1"/>
      <c r="I23" s="1"/>
      <c r="J23" s="1"/>
      <c r="K23" s="8" t="s">
        <v>31</v>
      </c>
      <c r="L23" s="8"/>
      <c r="M23" s="1">
        <f>(1-(NORMDIST(ABS(M22),0,1,TRUE)))</f>
        <v>8.1202705392079966E-2</v>
      </c>
      <c r="N23" s="1"/>
      <c r="O23" s="1"/>
    </row>
    <row r="24" spans="1:15">
      <c r="A24" s="1"/>
      <c r="B24" s="1"/>
      <c r="C24" s="1"/>
      <c r="D24" s="8" t="s">
        <v>32</v>
      </c>
      <c r="E24" s="8"/>
      <c r="F24" s="1">
        <f>(1-(NORMDIST(ABS(F22),0,1,TRUE)))*2</f>
        <v>0</v>
      </c>
      <c r="G24" s="1"/>
      <c r="H24" s="1"/>
      <c r="I24" s="1"/>
      <c r="J24" s="1"/>
      <c r="K24" s="8" t="s">
        <v>32</v>
      </c>
      <c r="L24" s="8"/>
      <c r="M24" s="1">
        <f>(1-(NORMDIST(ABS(M22),0,1,TRUE)))*2</f>
        <v>0.16240541078415993</v>
      </c>
      <c r="N24" s="1"/>
      <c r="O24" s="1"/>
    </row>
  </sheetData>
  <mergeCells count="19">
    <mergeCell ref="D18:E18"/>
    <mergeCell ref="K18:L18"/>
    <mergeCell ref="D16:E16"/>
    <mergeCell ref="G16:H16"/>
    <mergeCell ref="K16:L16"/>
    <mergeCell ref="D17:E17"/>
    <mergeCell ref="K17:L17"/>
    <mergeCell ref="D19:E19"/>
    <mergeCell ref="K19:L19"/>
    <mergeCell ref="D20:E20"/>
    <mergeCell ref="K20:L20"/>
    <mergeCell ref="D21:E21"/>
    <mergeCell ref="K21:L21"/>
    <mergeCell ref="D22:E22"/>
    <mergeCell ref="K22:L22"/>
    <mergeCell ref="D23:E23"/>
    <mergeCell ref="K23:L23"/>
    <mergeCell ref="D24:E24"/>
    <mergeCell ref="K24:L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B5" sqref="B5"/>
    </sheetView>
  </sheetViews>
  <sheetFormatPr baseColWidth="10" defaultRowHeight="15" x14ac:dyDescent="0"/>
  <cols>
    <col min="1" max="1" width="20.6640625" customWidth="1"/>
  </cols>
  <sheetData>
    <row r="1" spans="1:14" ht="37">
      <c r="A1" s="6" t="s">
        <v>3</v>
      </c>
      <c r="B1" s="5"/>
      <c r="C1" s="5"/>
      <c r="D1" s="6" t="s">
        <v>4</v>
      </c>
      <c r="E1" s="5"/>
      <c r="F1" s="5"/>
      <c r="G1" s="6" t="s">
        <v>5</v>
      </c>
      <c r="H1" s="5"/>
      <c r="I1" s="6" t="s">
        <v>6</v>
      </c>
      <c r="J1" s="5"/>
      <c r="K1" s="5"/>
      <c r="L1" s="5"/>
      <c r="M1" s="5"/>
      <c r="N1" s="5"/>
    </row>
    <row r="2" spans="1:14" ht="30">
      <c r="A2" s="5" t="s">
        <v>0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9</v>
      </c>
      <c r="J2" s="5" t="s">
        <v>14</v>
      </c>
      <c r="K2" s="5" t="s">
        <v>15</v>
      </c>
      <c r="L2" s="5" t="s">
        <v>16</v>
      </c>
      <c r="M2" s="5" t="s">
        <v>11</v>
      </c>
      <c r="N2" s="5"/>
    </row>
    <row r="3" spans="1:14">
      <c r="A3" t="s">
        <v>48</v>
      </c>
      <c r="B3">
        <v>-0.755</v>
      </c>
      <c r="C3">
        <f>0.3427^2</f>
        <v>0.11744329000000001</v>
      </c>
      <c r="D3" s="5">
        <f t="shared" ref="D3:D12" si="0">$C3</f>
        <v>0.11744329000000001</v>
      </c>
      <c r="E3" s="5">
        <f t="shared" ref="E3:E12" si="1">1/D3</f>
        <v>8.5147478412772664</v>
      </c>
      <c r="F3" s="5">
        <f t="shared" ref="F3:F12" si="2">$B3*E3</f>
        <v>-6.4286346201643365</v>
      </c>
      <c r="G3" s="5">
        <f t="shared" ref="G3:G12" si="3">(B3^2)*E3</f>
        <v>4.8536191382240741</v>
      </c>
      <c r="H3" s="5">
        <f t="shared" ref="H3:H12" si="4">E3^2</f>
        <v>72.500930800535869</v>
      </c>
      <c r="I3" s="5">
        <f t="shared" ref="I3:I12" si="5">$C3</f>
        <v>0.11744329000000001</v>
      </c>
      <c r="J3" s="5">
        <f t="shared" ref="J3:J12" si="6">$H$21</f>
        <v>3.4692599743925315E-2</v>
      </c>
      <c r="K3" s="5">
        <f t="shared" ref="K3:K12" si="7">I3+J3</f>
        <v>0.15213588974392533</v>
      </c>
      <c r="L3" s="5">
        <f t="shared" ref="L3:L12" si="8">1/K3</f>
        <v>6.5730709675619403</v>
      </c>
      <c r="M3" s="5">
        <f t="shared" ref="M3:M12" si="9">$B3*L3</f>
        <v>-4.9626685805092654</v>
      </c>
      <c r="N3" s="5"/>
    </row>
    <row r="4" spans="1:14">
      <c r="A4" t="s">
        <v>49</v>
      </c>
      <c r="B4">
        <v>-1.204</v>
      </c>
      <c r="C4">
        <f>0.2291^2</f>
        <v>5.2486810000000002E-2</v>
      </c>
      <c r="D4" s="5">
        <f t="shared" si="0"/>
        <v>5.2486810000000002E-2</v>
      </c>
      <c r="E4" s="5">
        <f t="shared" si="1"/>
        <v>19.052405737746302</v>
      </c>
      <c r="F4" s="5">
        <f t="shared" si="2"/>
        <v>-22.939096508246546</v>
      </c>
      <c r="G4" s="5">
        <f t="shared" si="3"/>
        <v>27.618672195928838</v>
      </c>
      <c r="H4" s="5">
        <f t="shared" si="4"/>
        <v>362.9941643957082</v>
      </c>
      <c r="I4" s="5">
        <f t="shared" si="5"/>
        <v>5.2486810000000002E-2</v>
      </c>
      <c r="J4" s="5">
        <f t="shared" si="6"/>
        <v>3.4692599743925315E-2</v>
      </c>
      <c r="K4" s="5">
        <f t="shared" si="7"/>
        <v>8.7179409743925323E-2</v>
      </c>
      <c r="L4" s="5">
        <f t="shared" si="8"/>
        <v>11.470598423840329</v>
      </c>
      <c r="M4" s="5">
        <f t="shared" si="9"/>
        <v>-13.810600502303755</v>
      </c>
      <c r="N4" s="5"/>
    </row>
    <row r="5" spans="1:14">
      <c r="A5" t="s">
        <v>58</v>
      </c>
      <c r="B5">
        <f>LN(0.4)</f>
        <v>-0.916290731874155</v>
      </c>
      <c r="C5">
        <f>(AVERAGE(LN(0.4)-LN(0.25), LN(0.63)-LN(0.4))/1.96)^2</f>
        <v>5.5592364968054725E-2</v>
      </c>
      <c r="D5" s="7">
        <f t="shared" si="0"/>
        <v>5.5592364968054725E-2</v>
      </c>
      <c r="E5" s="7">
        <f t="shared" ref="E5" si="10">1/D5</f>
        <v>17.988081647086506</v>
      </c>
      <c r="F5" s="7">
        <f t="shared" ref="F5" si="11">$B5*E5</f>
        <v>-16.482312497420949</v>
      </c>
      <c r="G5" s="7">
        <f t="shared" ref="G5" si="12">(B5^2)*E5</f>
        <v>15.102590181240375</v>
      </c>
      <c r="H5" s="7">
        <f t="shared" ref="H5" si="13">E5^2</f>
        <v>323.57108134225041</v>
      </c>
      <c r="I5" s="7">
        <f t="shared" si="5"/>
        <v>5.5592364968054725E-2</v>
      </c>
      <c r="J5" s="7">
        <f t="shared" si="6"/>
        <v>3.4692599743925315E-2</v>
      </c>
      <c r="K5" s="7">
        <f t="shared" ref="K5" si="14">I5+J5</f>
        <v>9.028496471198004E-2</v>
      </c>
      <c r="L5" s="7">
        <f t="shared" ref="L5" si="15">1/K5</f>
        <v>11.076041323049978</v>
      </c>
      <c r="M5" s="7">
        <f t="shared" ref="M5" si="16">$B5*L5</f>
        <v>-10.148874010165848</v>
      </c>
      <c r="N5" s="7"/>
    </row>
    <row r="6" spans="1:14">
      <c r="A6" t="s">
        <v>50</v>
      </c>
      <c r="B6">
        <v>-0.41549999999999998</v>
      </c>
      <c r="C6">
        <f>0.1409^2</f>
        <v>1.9852809999999999E-2</v>
      </c>
      <c r="D6" s="5">
        <f t="shared" si="0"/>
        <v>1.9852809999999999E-2</v>
      </c>
      <c r="E6" s="5">
        <f t="shared" si="1"/>
        <v>50.370703190127749</v>
      </c>
      <c r="F6" s="5">
        <f t="shared" si="2"/>
        <v>-20.929027175498078</v>
      </c>
      <c r="G6" s="5">
        <f t="shared" si="3"/>
        <v>8.696010791419452</v>
      </c>
      <c r="H6" s="5">
        <f t="shared" si="4"/>
        <v>2537.2077398679457</v>
      </c>
      <c r="I6" s="5">
        <f t="shared" si="5"/>
        <v>1.9852809999999999E-2</v>
      </c>
      <c r="J6" s="5">
        <f t="shared" si="6"/>
        <v>3.4692599743925315E-2</v>
      </c>
      <c r="K6" s="5">
        <f t="shared" si="7"/>
        <v>5.4545409743925313E-2</v>
      </c>
      <c r="L6" s="5">
        <f t="shared" si="8"/>
        <v>18.333348391637472</v>
      </c>
      <c r="M6" s="5">
        <f t="shared" si="9"/>
        <v>-7.6175062567253695</v>
      </c>
      <c r="N6" s="5"/>
    </row>
    <row r="7" spans="1:14">
      <c r="A7" t="s">
        <v>51</v>
      </c>
      <c r="B7">
        <v>-0.37109999999999999</v>
      </c>
      <c r="C7">
        <f>0.0425^2</f>
        <v>1.8062500000000003E-3</v>
      </c>
      <c r="D7" s="5">
        <f t="shared" si="0"/>
        <v>1.8062500000000003E-3</v>
      </c>
      <c r="E7" s="5">
        <f t="shared" si="1"/>
        <v>553.63321799307948</v>
      </c>
      <c r="F7" s="5">
        <f t="shared" si="2"/>
        <v>-205.45328719723179</v>
      </c>
      <c r="G7" s="5">
        <f t="shared" si="3"/>
        <v>76.243714878892703</v>
      </c>
      <c r="H7" s="5">
        <f t="shared" si="4"/>
        <v>306509.74006537267</v>
      </c>
      <c r="I7" s="5">
        <f t="shared" si="5"/>
        <v>1.8062500000000003E-3</v>
      </c>
      <c r="J7" s="5">
        <f t="shared" si="6"/>
        <v>3.4692599743925315E-2</v>
      </c>
      <c r="K7" s="5">
        <f t="shared" si="7"/>
        <v>3.6498849743925317E-2</v>
      </c>
      <c r="L7" s="5">
        <f t="shared" si="8"/>
        <v>27.39812369474561</v>
      </c>
      <c r="M7" s="5">
        <f t="shared" si="9"/>
        <v>-10.167443703120096</v>
      </c>
      <c r="N7" s="5"/>
    </row>
    <row r="8" spans="1:14">
      <c r="A8" t="s">
        <v>52</v>
      </c>
      <c r="B8">
        <v>-0.65390000000000004</v>
      </c>
      <c r="C8">
        <f>0.2799^2</f>
        <v>7.8344009999999992E-2</v>
      </c>
      <c r="D8" s="5">
        <f t="shared" si="0"/>
        <v>7.8344009999999992E-2</v>
      </c>
      <c r="E8" s="5">
        <f t="shared" si="1"/>
        <v>12.7642177110924</v>
      </c>
      <c r="F8" s="5">
        <f t="shared" si="2"/>
        <v>-8.3465219612833206</v>
      </c>
      <c r="G8" s="5">
        <f t="shared" si="3"/>
        <v>5.457790710483164</v>
      </c>
      <c r="H8" s="5">
        <f t="shared" si="4"/>
        <v>162.92525377616491</v>
      </c>
      <c r="I8" s="5">
        <f t="shared" si="5"/>
        <v>7.8344009999999992E-2</v>
      </c>
      <c r="J8" s="5">
        <f t="shared" si="6"/>
        <v>3.4692599743925315E-2</v>
      </c>
      <c r="K8" s="5">
        <f t="shared" si="7"/>
        <v>0.11303660974392531</v>
      </c>
      <c r="L8" s="5">
        <f t="shared" si="8"/>
        <v>8.8466913707462904</v>
      </c>
      <c r="M8" s="5">
        <f t="shared" si="9"/>
        <v>-5.7848514873309993</v>
      </c>
      <c r="N8" s="5"/>
    </row>
    <row r="9" spans="1:14">
      <c r="A9" t="s">
        <v>53</v>
      </c>
      <c r="B9">
        <f>-0.2357</f>
        <v>-0.23569999999999999</v>
      </c>
      <c r="C9">
        <f>0.1151^2</f>
        <v>1.3248009999999999E-2</v>
      </c>
      <c r="D9" s="5">
        <f t="shared" si="0"/>
        <v>1.3248009999999999E-2</v>
      </c>
      <c r="E9" s="5">
        <f t="shared" si="1"/>
        <v>75.483034810511171</v>
      </c>
      <c r="F9" s="5">
        <f t="shared" si="2"/>
        <v>-17.791351304837484</v>
      </c>
      <c r="G9" s="5">
        <f t="shared" si="3"/>
        <v>4.1934215025501942</v>
      </c>
      <c r="H9" s="5">
        <f t="shared" si="4"/>
        <v>5697.6885442048415</v>
      </c>
      <c r="I9" s="5">
        <f t="shared" si="5"/>
        <v>1.3248009999999999E-2</v>
      </c>
      <c r="J9" s="5">
        <f t="shared" si="6"/>
        <v>3.4692599743925315E-2</v>
      </c>
      <c r="K9" s="5">
        <f t="shared" si="7"/>
        <v>4.7940609743925312E-2</v>
      </c>
      <c r="L9" s="5">
        <f t="shared" si="8"/>
        <v>20.859142287540738</v>
      </c>
      <c r="M9" s="5">
        <f t="shared" si="9"/>
        <v>-4.9164998371733519</v>
      </c>
      <c r="N9" s="5"/>
    </row>
    <row r="10" spans="1:14">
      <c r="A10" t="s">
        <v>54</v>
      </c>
      <c r="B10">
        <v>-0.30109999999999998</v>
      </c>
      <c r="C10">
        <f>0.1111^2</f>
        <v>1.234321E-2</v>
      </c>
      <c r="D10" s="5">
        <f t="shared" si="0"/>
        <v>1.234321E-2</v>
      </c>
      <c r="E10" s="5">
        <f t="shared" si="1"/>
        <v>81.016202430324043</v>
      </c>
      <c r="F10" s="5">
        <f t="shared" si="2"/>
        <v>-24.393978551770566</v>
      </c>
      <c r="G10" s="5">
        <f t="shared" si="3"/>
        <v>7.3450269419381176</v>
      </c>
      <c r="H10" s="5">
        <f t="shared" si="4"/>
        <v>6563.6250562312434</v>
      </c>
      <c r="I10" s="5">
        <f t="shared" si="5"/>
        <v>1.234321E-2</v>
      </c>
      <c r="J10" s="5">
        <f t="shared" si="6"/>
        <v>3.4692599743925315E-2</v>
      </c>
      <c r="K10" s="5">
        <f t="shared" si="7"/>
        <v>4.7035809743925315E-2</v>
      </c>
      <c r="L10" s="5">
        <f t="shared" si="8"/>
        <v>21.260397247209085</v>
      </c>
      <c r="M10" s="5">
        <f t="shared" si="9"/>
        <v>-6.4015056111346551</v>
      </c>
      <c r="N10" s="5"/>
    </row>
    <row r="11" spans="1:14">
      <c r="A11" t="s">
        <v>55</v>
      </c>
      <c r="B11">
        <v>-3.0499999999999999E-2</v>
      </c>
      <c r="C11">
        <f>0.1335^2</f>
        <v>1.7822250000000001E-2</v>
      </c>
      <c r="D11" s="5">
        <f t="shared" si="0"/>
        <v>1.7822250000000001E-2</v>
      </c>
      <c r="E11" s="5">
        <f t="shared" si="1"/>
        <v>56.109638233107489</v>
      </c>
      <c r="F11" s="5">
        <f t="shared" si="2"/>
        <v>-1.7113439661097785</v>
      </c>
      <c r="G11" s="5">
        <f t="shared" si="3"/>
        <v>5.2195990966348242E-2</v>
      </c>
      <c r="H11" s="5">
        <f t="shared" si="4"/>
        <v>3148.2915026501978</v>
      </c>
      <c r="I11" s="5">
        <f t="shared" si="5"/>
        <v>1.7822250000000001E-2</v>
      </c>
      <c r="J11" s="5">
        <f t="shared" si="6"/>
        <v>3.4692599743925315E-2</v>
      </c>
      <c r="K11" s="5">
        <f t="shared" si="7"/>
        <v>5.2514849743925313E-2</v>
      </c>
      <c r="L11" s="5">
        <f t="shared" si="8"/>
        <v>19.042232908905458</v>
      </c>
      <c r="M11" s="5">
        <f t="shared" si="9"/>
        <v>-0.58078810372161649</v>
      </c>
      <c r="N11" s="5"/>
    </row>
    <row r="12" spans="1:14">
      <c r="A12" t="s">
        <v>56</v>
      </c>
      <c r="B12">
        <v>-0.30109999999999998</v>
      </c>
      <c r="C12">
        <f>0.1221^2</f>
        <v>1.490841E-2</v>
      </c>
      <c r="D12" s="5">
        <f t="shared" si="0"/>
        <v>1.490841E-2</v>
      </c>
      <c r="E12" s="5">
        <f t="shared" si="1"/>
        <v>67.076234152401227</v>
      </c>
      <c r="F12" s="5">
        <f t="shared" si="2"/>
        <v>-20.196654103288008</v>
      </c>
      <c r="G12" s="5">
        <f t="shared" si="3"/>
        <v>6.0812125505000187</v>
      </c>
      <c r="H12" s="5">
        <f t="shared" si="4"/>
        <v>4499.2211880677569</v>
      </c>
      <c r="I12" s="5">
        <f t="shared" si="5"/>
        <v>1.490841E-2</v>
      </c>
      <c r="J12" s="5">
        <f t="shared" si="6"/>
        <v>3.4692599743925315E-2</v>
      </c>
      <c r="K12" s="5">
        <f t="shared" si="7"/>
        <v>4.9601009743925312E-2</v>
      </c>
      <c r="L12" s="5">
        <f t="shared" si="8"/>
        <v>20.160879892620958</v>
      </c>
      <c r="M12" s="5">
        <f t="shared" si="9"/>
        <v>-6.0704409356681701</v>
      </c>
      <c r="N12" s="5"/>
    </row>
    <row r="13" spans="1:14">
      <c r="A13" s="5" t="s">
        <v>17</v>
      </c>
      <c r="B13" s="5"/>
      <c r="C13" s="5"/>
      <c r="D13" s="5"/>
      <c r="E13" s="5">
        <f>SUM(E3:E12)</f>
        <v>942.00848374675365</v>
      </c>
      <c r="F13" s="5">
        <f>SUM(F3:F12)</f>
        <v>-344.67220788585081</v>
      </c>
      <c r="G13" s="5">
        <f>SUM(G3:G12)</f>
        <v>155.64425488214329</v>
      </c>
      <c r="H13" s="5">
        <f>SUM(H3:H12)</f>
        <v>329877.76552670932</v>
      </c>
      <c r="I13" s="5"/>
      <c r="J13" s="5"/>
      <c r="K13" s="5"/>
      <c r="L13" s="5">
        <f>SUM(L3:L12)</f>
        <v>165.02052650785785</v>
      </c>
      <c r="M13" s="5">
        <f>SUM(M3:M12)</f>
        <v>-70.461179027853134</v>
      </c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/>
      <c r="B16" s="5"/>
      <c r="C16" s="5"/>
      <c r="D16" s="9" t="s">
        <v>18</v>
      </c>
      <c r="E16" s="8"/>
      <c r="F16" s="5"/>
      <c r="G16" s="9" t="s">
        <v>19</v>
      </c>
      <c r="H16" s="8"/>
      <c r="I16" s="5"/>
      <c r="J16" s="5"/>
      <c r="K16" s="9" t="s">
        <v>20</v>
      </c>
      <c r="L16" s="8"/>
      <c r="M16" s="5"/>
      <c r="N16" s="5"/>
    </row>
    <row r="17" spans="1:14">
      <c r="A17" s="5"/>
      <c r="B17" s="5"/>
      <c r="C17" s="5"/>
      <c r="D17" s="8" t="s">
        <v>21</v>
      </c>
      <c r="E17" s="8"/>
      <c r="F17" s="5">
        <f>F13/E13</f>
        <v>-0.36589076832402639</v>
      </c>
      <c r="G17" s="5" t="s">
        <v>22</v>
      </c>
      <c r="H17" s="5">
        <f>G13-((F13^2)/E13)</f>
        <v>29.531875918850787</v>
      </c>
      <c r="I17" s="5"/>
      <c r="J17" s="5"/>
      <c r="K17" s="8" t="s">
        <v>21</v>
      </c>
      <c r="L17" s="8"/>
      <c r="M17" s="5">
        <f>M13/L13</f>
        <v>-0.42698433048871626</v>
      </c>
      <c r="N17" s="5">
        <f>EXP(M17)</f>
        <v>0.65247377609299562</v>
      </c>
    </row>
    <row r="18" spans="1:14">
      <c r="A18" s="5"/>
      <c r="B18" s="5"/>
      <c r="C18" s="5"/>
      <c r="D18" s="8" t="s">
        <v>8</v>
      </c>
      <c r="E18" s="8"/>
      <c r="F18" s="5">
        <f>1/E13</f>
        <v>1.0615615647351607E-3</v>
      </c>
      <c r="G18" s="5" t="s">
        <v>23</v>
      </c>
      <c r="H18" s="5">
        <f>COUNT(B3:B12)-1</f>
        <v>9</v>
      </c>
      <c r="I18" s="5"/>
      <c r="J18" s="5"/>
      <c r="K18" s="8" t="s">
        <v>8</v>
      </c>
      <c r="L18" s="8"/>
      <c r="M18" s="5">
        <f>1/L13</f>
        <v>6.0598521963410572E-3</v>
      </c>
      <c r="N18" s="5"/>
    </row>
    <row r="19" spans="1:14">
      <c r="A19" s="5"/>
      <c r="B19" s="5"/>
      <c r="C19" s="5"/>
      <c r="D19" s="8" t="s">
        <v>24</v>
      </c>
      <c r="E19" s="8"/>
      <c r="F19" s="5">
        <f>SQRT(F18)</f>
        <v>3.258161390623799E-2</v>
      </c>
      <c r="G19" s="5" t="s">
        <v>25</v>
      </c>
      <c r="H19" s="5">
        <f>MAX((H17-H18),0)</f>
        <v>20.531875918850787</v>
      </c>
      <c r="I19" s="5"/>
      <c r="J19" s="5"/>
      <c r="K19" s="8" t="s">
        <v>24</v>
      </c>
      <c r="L19" s="8"/>
      <c r="M19" s="5">
        <f>SQRT(M18)</f>
        <v>7.7845052484670191E-2</v>
      </c>
      <c r="N19" s="5"/>
    </row>
    <row r="20" spans="1:14">
      <c r="A20" s="5"/>
      <c r="B20" s="5"/>
      <c r="C20" s="5"/>
      <c r="D20" s="8" t="s">
        <v>26</v>
      </c>
      <c r="E20" s="8"/>
      <c r="F20" s="5">
        <f>F17-(1.96*F19)</f>
        <v>-0.42975073158025284</v>
      </c>
      <c r="G20" s="5" t="s">
        <v>27</v>
      </c>
      <c r="H20" s="5">
        <f>E13-(H13/E13)</f>
        <v>591.82292680288174</v>
      </c>
      <c r="I20" s="5"/>
      <c r="J20" s="5"/>
      <c r="K20" s="8" t="s">
        <v>26</v>
      </c>
      <c r="L20" s="8"/>
      <c r="M20" s="5">
        <f>M17-(1.96*M19)</f>
        <v>-0.57956063335866981</v>
      </c>
      <c r="N20" s="5">
        <f>EXP(M20)</f>
        <v>0.56014442128036468</v>
      </c>
    </row>
    <row r="21" spans="1:14">
      <c r="A21" s="5"/>
      <c r="B21" s="5"/>
      <c r="C21" s="5"/>
      <c r="D21" s="8" t="s">
        <v>28</v>
      </c>
      <c r="E21" s="8"/>
      <c r="F21" s="5">
        <f>F17+(1.96*F19)</f>
        <v>-0.30203080506779995</v>
      </c>
      <c r="G21" s="5" t="s">
        <v>29</v>
      </c>
      <c r="H21" s="5">
        <f>H19/H20</f>
        <v>3.4692599743925315E-2</v>
      </c>
      <c r="I21" s="5"/>
      <c r="J21" s="5"/>
      <c r="K21" s="8" t="s">
        <v>28</v>
      </c>
      <c r="L21" s="8"/>
      <c r="M21" s="5">
        <f>M17+(1.96*M19)</f>
        <v>-0.27440802761876271</v>
      </c>
      <c r="N21" s="5">
        <f>EXP(M21)</f>
        <v>0.76002190205866427</v>
      </c>
    </row>
    <row r="22" spans="1:14">
      <c r="A22" s="5"/>
      <c r="B22" s="5"/>
      <c r="C22" s="5"/>
      <c r="D22" s="8" t="s">
        <v>30</v>
      </c>
      <c r="E22" s="8"/>
      <c r="F22" s="5">
        <f>F17/F19</f>
        <v>-11.229976801547387</v>
      </c>
      <c r="G22" s="5"/>
      <c r="H22" s="5"/>
      <c r="I22" s="5"/>
      <c r="J22" s="5"/>
      <c r="K22" s="8" t="s">
        <v>30</v>
      </c>
      <c r="L22" s="8"/>
      <c r="M22" s="5">
        <f>M17/M19</f>
        <v>-5.4850541795549699</v>
      </c>
      <c r="N22" s="5"/>
    </row>
    <row r="23" spans="1:14">
      <c r="A23" s="5"/>
      <c r="B23" s="5"/>
      <c r="C23" s="5"/>
      <c r="D23" s="8" t="s">
        <v>31</v>
      </c>
      <c r="E23" s="8"/>
      <c r="F23" s="5">
        <f>(1-(NORMDIST(ABS(F22),0,1,TRUE)))</f>
        <v>0</v>
      </c>
      <c r="G23" s="5"/>
      <c r="H23" s="5"/>
      <c r="I23" s="5"/>
      <c r="J23" s="5"/>
      <c r="K23" s="8" t="s">
        <v>31</v>
      </c>
      <c r="L23" s="8"/>
      <c r="M23" s="5">
        <f>(1-(NORMDIST(ABS(M22),0,1,TRUE)))</f>
        <v>2.0667135669505399E-8</v>
      </c>
      <c r="N23" s="5"/>
    </row>
    <row r="24" spans="1:14">
      <c r="A24" s="5"/>
      <c r="B24" s="5"/>
      <c r="C24" s="5"/>
      <c r="D24" s="8" t="s">
        <v>32</v>
      </c>
      <c r="E24" s="8"/>
      <c r="F24" s="5">
        <f>(1-(NORMDIST(ABS(F22),0,1,TRUE)))*2</f>
        <v>0</v>
      </c>
      <c r="G24" s="5"/>
      <c r="H24" s="5"/>
      <c r="I24" s="5"/>
      <c r="J24" s="5"/>
      <c r="K24" s="8" t="s">
        <v>32</v>
      </c>
      <c r="L24" s="8"/>
      <c r="M24" s="5">
        <f>(1-(NORMDIST(ABS(M22),0,1,TRUE)))*2</f>
        <v>4.1334271339010797E-8</v>
      </c>
      <c r="N24" s="5"/>
    </row>
  </sheetData>
  <mergeCells count="19">
    <mergeCell ref="D18:E18"/>
    <mergeCell ref="K18:L18"/>
    <mergeCell ref="D16:E16"/>
    <mergeCell ref="G16:H16"/>
    <mergeCell ref="K16:L16"/>
    <mergeCell ref="D17:E17"/>
    <mergeCell ref="K17:L17"/>
    <mergeCell ref="D19:E19"/>
    <mergeCell ref="K19:L19"/>
    <mergeCell ref="D20:E20"/>
    <mergeCell ref="K20:L20"/>
    <mergeCell ref="D21:E21"/>
    <mergeCell ref="K21:L21"/>
    <mergeCell ref="D22:E22"/>
    <mergeCell ref="K22:L22"/>
    <mergeCell ref="D23:E23"/>
    <mergeCell ref="K23:L23"/>
    <mergeCell ref="D24:E24"/>
    <mergeCell ref="K24:L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Rate ratio</vt:lpstr>
      <vt:lpstr>Risk ratio</vt:lpstr>
      <vt:lpstr>LPR</vt:lpstr>
      <vt:lpstr>Odds ratio</vt:lpstr>
    </vt:vector>
  </TitlesOfParts>
  <Company>GiveWell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Marcus</dc:creator>
  <cp:lastModifiedBy>Jake Marcus</cp:lastModifiedBy>
  <dcterms:created xsi:type="dcterms:W3CDTF">2013-10-07T19:47:03Z</dcterms:created>
  <dcterms:modified xsi:type="dcterms:W3CDTF">2013-10-23T22:29:10Z</dcterms:modified>
</cp:coreProperties>
</file>