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8440" yWindow="0" windowWidth="29960" windowHeight="19820" tabRatio="500"/>
  </bookViews>
  <sheets>
    <sheet name="Study Characteristics" sheetId="1" r:id="rId1"/>
    <sheet name="Outcomes" sheetId="2" r:id="rId2"/>
    <sheet name="Jain 2010" sheetId="3" r:id="rId3"/>
    <sheet name="Boisson 2013" sheetId="5" r:id="rId4"/>
    <sheet name="Pooled LPR - All ages" sheetId="6" r:id="rId5"/>
    <sheet name="Pooled LPR - &lt; 5" sheetId="7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7" l="1"/>
  <c r="C4" i="7"/>
  <c r="C3" i="7"/>
  <c r="I3" i="7"/>
  <c r="D3" i="7"/>
  <c r="E3" i="7"/>
  <c r="G3" i="7"/>
  <c r="D4" i="7"/>
  <c r="E4" i="7"/>
  <c r="G4" i="7"/>
  <c r="D5" i="7"/>
  <c r="E5" i="7"/>
  <c r="G5" i="7"/>
  <c r="G6" i="7"/>
  <c r="F3" i="7"/>
  <c r="F4" i="7"/>
  <c r="F5" i="7"/>
  <c r="F6" i="7"/>
  <c r="E6" i="7"/>
  <c r="H10" i="7"/>
  <c r="H11" i="7"/>
  <c r="H12" i="7"/>
  <c r="H3" i="7"/>
  <c r="H4" i="7"/>
  <c r="H5" i="7"/>
  <c r="H6" i="7"/>
  <c r="H13" i="7"/>
  <c r="H14" i="7"/>
  <c r="J3" i="7"/>
  <c r="K3" i="7"/>
  <c r="L3" i="7"/>
  <c r="M3" i="7"/>
  <c r="I4" i="7"/>
  <c r="J4" i="7"/>
  <c r="K4" i="7"/>
  <c r="L4" i="7"/>
  <c r="M4" i="7"/>
  <c r="I5" i="7"/>
  <c r="J5" i="7"/>
  <c r="K5" i="7"/>
  <c r="L5" i="7"/>
  <c r="M5" i="7"/>
  <c r="M6" i="7"/>
  <c r="L6" i="7"/>
  <c r="M10" i="7"/>
  <c r="M11" i="7"/>
  <c r="M12" i="7"/>
  <c r="M15" i="7"/>
  <c r="M17" i="7"/>
  <c r="F10" i="7"/>
  <c r="F11" i="7"/>
  <c r="F12" i="7"/>
  <c r="F15" i="7"/>
  <c r="F17" i="7"/>
  <c r="M16" i="7"/>
  <c r="F16" i="7"/>
  <c r="M14" i="7"/>
  <c r="N14" i="7"/>
  <c r="F14" i="7"/>
  <c r="M13" i="7"/>
  <c r="N13" i="7"/>
  <c r="F13" i="7"/>
  <c r="N10" i="7"/>
  <c r="F3" i="5"/>
  <c r="F2" i="5"/>
  <c r="B4" i="6"/>
  <c r="C4" i="6"/>
  <c r="D4" i="6"/>
  <c r="E4" i="6"/>
  <c r="F4" i="6"/>
  <c r="G4" i="6"/>
  <c r="H4" i="6"/>
  <c r="I4" i="6"/>
  <c r="C3" i="6"/>
  <c r="D3" i="6"/>
  <c r="E3" i="6"/>
  <c r="G3" i="6"/>
  <c r="C5" i="6"/>
  <c r="D5" i="6"/>
  <c r="E5" i="6"/>
  <c r="G5" i="6"/>
  <c r="G6" i="6"/>
  <c r="F3" i="6"/>
  <c r="F5" i="6"/>
  <c r="F6" i="6"/>
  <c r="E6" i="6"/>
  <c r="H10" i="6"/>
  <c r="H11" i="6"/>
  <c r="H12" i="6"/>
  <c r="H3" i="6"/>
  <c r="H5" i="6"/>
  <c r="H6" i="6"/>
  <c r="H13" i="6"/>
  <c r="H14" i="6"/>
  <c r="J4" i="6"/>
  <c r="K4" i="6"/>
  <c r="L4" i="6"/>
  <c r="M4" i="6"/>
  <c r="I3" i="6"/>
  <c r="J3" i="6"/>
  <c r="K3" i="6"/>
  <c r="L3" i="6"/>
  <c r="M3" i="6"/>
  <c r="I5" i="6"/>
  <c r="J5" i="6"/>
  <c r="K5" i="6"/>
  <c r="L5" i="6"/>
  <c r="M5" i="6"/>
  <c r="M6" i="6"/>
  <c r="L6" i="6"/>
  <c r="M10" i="6"/>
  <c r="M11" i="6"/>
  <c r="M12" i="6"/>
  <c r="M15" i="6"/>
  <c r="M17" i="6"/>
  <c r="F10" i="6"/>
  <c r="F11" i="6"/>
  <c r="F12" i="6"/>
  <c r="F15" i="6"/>
  <c r="F17" i="6"/>
  <c r="M16" i="6"/>
  <c r="F16" i="6"/>
  <c r="M14" i="6"/>
  <c r="N14" i="6"/>
  <c r="F14" i="6"/>
  <c r="M13" i="6"/>
  <c r="N13" i="6"/>
  <c r="F13" i="6"/>
  <c r="N10" i="6"/>
  <c r="G3" i="5"/>
  <c r="I3" i="5"/>
  <c r="H3" i="5"/>
  <c r="J3" i="5"/>
  <c r="K3" i="5"/>
  <c r="G2" i="5"/>
  <c r="I2" i="5"/>
  <c r="H2" i="5"/>
  <c r="J2" i="5"/>
  <c r="K2" i="5"/>
  <c r="F4" i="3"/>
  <c r="G4" i="3"/>
  <c r="F5" i="3"/>
  <c r="G5" i="3"/>
  <c r="H4" i="3"/>
  <c r="I4" i="3"/>
  <c r="J4" i="3"/>
  <c r="L4" i="3"/>
  <c r="F2" i="3"/>
  <c r="G2" i="3"/>
  <c r="F3" i="3"/>
  <c r="G3" i="3"/>
  <c r="H2" i="3"/>
  <c r="I2" i="3"/>
  <c r="J2" i="3"/>
  <c r="L2" i="3"/>
  <c r="K4" i="3"/>
  <c r="K2" i="3"/>
</calcChain>
</file>

<file path=xl/sharedStrings.xml><?xml version="1.0" encoding="utf-8"?>
<sst xmlns="http://schemas.openxmlformats.org/spreadsheetml/2006/main" count="214" uniqueCount="98">
  <si>
    <t>Study</t>
  </si>
  <si>
    <t>Intervention</t>
  </si>
  <si>
    <t>Austin 1993-i</t>
  </si>
  <si>
    <t>Kirchhoff 1985</t>
  </si>
  <si>
    <t>Jain 2010</t>
  </si>
  <si>
    <t>Boisson 2013</t>
  </si>
  <si>
    <t>Participants</t>
  </si>
  <si>
    <t>287 children aged 25 to 60 months from villages primarily using open, shallow wells for drinking water</t>
  </si>
  <si>
    <t>Control</t>
  </si>
  <si>
    <t>Location</t>
  </si>
  <si>
    <t>The Gambia</t>
  </si>
  <si>
    <t>Length (Months)</t>
  </si>
  <si>
    <t>112 persons (all ages) from 20 families with at least 2 children living at home and using water from pond exclusively</t>
  </si>
  <si>
    <t>Household chlorination</t>
  </si>
  <si>
    <t>Primary drinking supply</t>
  </si>
  <si>
    <t>rural Brazil</t>
  </si>
  <si>
    <t>2,163 households and 2,986 children under five</t>
  </si>
  <si>
    <t>rural and urban communities in Orissa, India</t>
  </si>
  <si>
    <t>240 households with 3,240 individuals</t>
  </si>
  <si>
    <t>periurban Ghana</t>
  </si>
  <si>
    <t>Measure</t>
  </si>
  <si>
    <t>Lower</t>
  </si>
  <si>
    <t>Upper</t>
  </si>
  <si>
    <t>Age</t>
  </si>
  <si>
    <t>All</t>
  </si>
  <si>
    <t>Rate ratio</t>
  </si>
  <si>
    <t>Mean</t>
  </si>
  <si>
    <t>Longitudinal Prevalence Ratio</t>
  </si>
  <si>
    <t>&lt; 5</t>
  </si>
  <si>
    <t>Dilute sodium hypochlorite</t>
  </si>
  <si>
    <t>Storage vessel</t>
  </si>
  <si>
    <t>Diarrhea Episodes</t>
  </si>
  <si>
    <t>People</t>
  </si>
  <si>
    <t>Assignment</t>
  </si>
  <si>
    <t>Treatment</t>
  </si>
  <si>
    <t>Length</t>
  </si>
  <si>
    <t>Person-Time</t>
  </si>
  <si>
    <t>Diarrhea Incidence Rate</t>
  </si>
  <si>
    <t>Rate Ratio</t>
  </si>
  <si>
    <t>&lt;5</t>
  </si>
  <si>
    <t>Standard Deviation of Log Rate Ratio</t>
  </si>
  <si>
    <t>SD (ln)</t>
  </si>
  <si>
    <t>Mean (ln)</t>
  </si>
  <si>
    <t>Log Rate Ratio</t>
  </si>
  <si>
    <t>Upper - Mean (ln)</t>
  </si>
  <si>
    <t>Mean - Lower (ln)</t>
  </si>
  <si>
    <t>Est SD from Upper (ln)</t>
  </si>
  <si>
    <t>Est SD from Lower (ln)</t>
  </si>
  <si>
    <t>Note: Boisson 2013 doesn't provide a standard error for LPR, but they do provide confidence intervals. These are the LPRs adjusted or clustering within household. The resulting distribution is not symmetric. I still assume log-normality, but calculate an average of the implied standard errors.</t>
  </si>
  <si>
    <t>Pooled Estimates (Random Effects Model)</t>
  </si>
  <si>
    <t>(1) Data</t>
  </si>
  <si>
    <t>(2) Fixed Effects</t>
  </si>
  <si>
    <t>(4) Compute Tau^2</t>
  </si>
  <si>
    <t>(6) Random effects</t>
  </si>
  <si>
    <t>ES</t>
  </si>
  <si>
    <t>Variance</t>
  </si>
  <si>
    <t>Variance Within</t>
  </si>
  <si>
    <t>Weight</t>
  </si>
  <si>
    <t>ES*WT</t>
  </si>
  <si>
    <t>ES^2*WT</t>
  </si>
  <si>
    <t>WT^2</t>
  </si>
  <si>
    <t>Variance Between</t>
  </si>
  <si>
    <t>Variance Total</t>
  </si>
  <si>
    <t>WT</t>
  </si>
  <si>
    <t>Sum</t>
  </si>
  <si>
    <t>(3) Fixed Effect</t>
  </si>
  <si>
    <t>(5) Compute Tau^2</t>
  </si>
  <si>
    <t>(7) Random Effects</t>
  </si>
  <si>
    <t>Effect size</t>
  </si>
  <si>
    <t>Q</t>
  </si>
  <si>
    <t>df</t>
  </si>
  <si>
    <t>Standard error</t>
  </si>
  <si>
    <t>Numerator</t>
  </si>
  <si>
    <t>95% Lower limit</t>
  </si>
  <si>
    <t>C</t>
  </si>
  <si>
    <t>95% Upper limit</t>
  </si>
  <si>
    <t>Tau-sq</t>
  </si>
  <si>
    <t>Z-value</t>
  </si>
  <si>
    <t>p-value (1-tailed)</t>
  </si>
  <si>
    <t>p-value (2-tailed)</t>
  </si>
  <si>
    <t>Survey Frequency</t>
  </si>
  <si>
    <t>2 times per week</t>
  </si>
  <si>
    <t>3 times per week</t>
  </si>
  <si>
    <t>once a month</t>
  </si>
  <si>
    <t>N/A</t>
  </si>
  <si>
    <t>Journal</t>
  </si>
  <si>
    <t>Outcome Assessment Method</t>
  </si>
  <si>
    <t>Survey</t>
  </si>
  <si>
    <t>After intervention, 50 FC/100mL in the treatment group and 122 FC/100mL in the control</t>
  </si>
  <si>
    <t>Compliance</t>
  </si>
  <si>
    <t>60% compliance measured by residual chlorine</t>
  </si>
  <si>
    <t>None reported</t>
  </si>
  <si>
    <t>51% of the intervention households reporting compliance and 32% testing positive for free chlorine residuals</t>
  </si>
  <si>
    <t>74-89% in the intervention group testing positive for free chlorine residuals</t>
  </si>
  <si>
    <t xml:space="preserve">Baseline median E. coli MPN 93/100mL in the intervention group and  219/100mL in the control. After the intervention, a median of 0 in the intervention group and 1 in the control. E. coli is one type of fecal coliform. </t>
  </si>
  <si>
    <t>Water quality</t>
  </si>
  <si>
    <t>Mean of 970 FC/100mL from pond sources used by control group; 16,000 in control stored water</t>
  </si>
  <si>
    <t>Control group: Mean 1871 fecal coliform (FC)/100 mL in wells; among stored water samples, mean 3358 FC/100 mL in rainy season, 1014 FC/100mL in dry season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</si>
</sst>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</font>
    <font>
      <b/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</cellXfs>
  <cellStyles count="17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workbookViewId="0">
      <selection activeCell="H5" sqref="H5"/>
    </sheetView>
  </sheetViews>
  <sheetFormatPr baseColWidth="10" defaultRowHeight="15" x14ac:dyDescent="0"/>
  <cols>
    <col min="1" max="1" width="14.1640625" customWidth="1"/>
    <col min="2" max="2" width="39" customWidth="1"/>
    <col min="3" max="3" width="25" customWidth="1"/>
    <col min="4" max="4" width="24.33203125" customWidth="1"/>
    <col min="5" max="5" width="17.5" bestFit="1" customWidth="1"/>
    <col min="6" max="6" width="14.83203125" bestFit="1" customWidth="1"/>
    <col min="7" max="7" width="15.6640625" bestFit="1" customWidth="1"/>
    <col min="8" max="8" width="25.83203125" bestFit="1" customWidth="1"/>
    <col min="9" max="9" width="50.1640625" bestFit="1" customWidth="1"/>
    <col min="10" max="10" width="39.5" bestFit="1" customWidth="1"/>
  </cols>
  <sheetData>
    <row r="1" spans="1:10">
      <c r="A1" s="2" t="s">
        <v>0</v>
      </c>
      <c r="B1" s="3" t="s">
        <v>6</v>
      </c>
      <c r="C1" s="3" t="s">
        <v>1</v>
      </c>
      <c r="D1" s="3" t="s">
        <v>8</v>
      </c>
      <c r="E1" s="3" t="s">
        <v>9</v>
      </c>
      <c r="F1" s="3" t="s">
        <v>11</v>
      </c>
      <c r="G1" s="3" t="s">
        <v>80</v>
      </c>
      <c r="H1" s="3" t="s">
        <v>86</v>
      </c>
      <c r="I1" s="3" t="s">
        <v>95</v>
      </c>
      <c r="J1" s="3" t="s">
        <v>89</v>
      </c>
    </row>
    <row r="2" spans="1:10" ht="45">
      <c r="A2" s="2" t="s">
        <v>2</v>
      </c>
      <c r="B2" s="4" t="s">
        <v>7</v>
      </c>
      <c r="C2" s="4" t="s">
        <v>13</v>
      </c>
      <c r="D2" t="s">
        <v>29</v>
      </c>
      <c r="E2" s="4" t="s">
        <v>10</v>
      </c>
      <c r="F2" s="3">
        <v>5</v>
      </c>
      <c r="G2" s="4" t="s">
        <v>84</v>
      </c>
      <c r="H2" s="3" t="s">
        <v>85</v>
      </c>
      <c r="I2" s="4" t="s">
        <v>97</v>
      </c>
      <c r="J2" s="3" t="s">
        <v>90</v>
      </c>
    </row>
    <row r="3" spans="1:10" ht="45">
      <c r="A3" s="2" t="s">
        <v>5</v>
      </c>
      <c r="B3" s="2" t="s">
        <v>16</v>
      </c>
      <c r="C3" s="2" t="s">
        <v>13</v>
      </c>
      <c r="D3" s="2" t="s">
        <v>14</v>
      </c>
      <c r="E3" s="2" t="s">
        <v>17</v>
      </c>
      <c r="F3" s="2">
        <v>12</v>
      </c>
      <c r="G3" s="2" t="s">
        <v>83</v>
      </c>
      <c r="H3" s="2" t="s">
        <v>87</v>
      </c>
      <c r="I3" s="2" t="s">
        <v>88</v>
      </c>
      <c r="J3" s="2" t="s">
        <v>92</v>
      </c>
    </row>
    <row r="4" spans="1:10" ht="60">
      <c r="A4" s="2" t="s">
        <v>4</v>
      </c>
      <c r="B4" s="2" t="s">
        <v>18</v>
      </c>
      <c r="C4" s="2" t="s">
        <v>13</v>
      </c>
      <c r="D4" s="2" t="s">
        <v>30</v>
      </c>
      <c r="E4" s="2" t="s">
        <v>19</v>
      </c>
      <c r="F4" s="2">
        <v>3</v>
      </c>
      <c r="G4" s="2" t="s">
        <v>81</v>
      </c>
      <c r="H4" s="2" t="s">
        <v>87</v>
      </c>
      <c r="I4" s="2" t="s">
        <v>94</v>
      </c>
      <c r="J4" s="2" t="s">
        <v>93</v>
      </c>
    </row>
    <row r="5" spans="1:10" ht="45">
      <c r="A5" s="2" t="s">
        <v>3</v>
      </c>
      <c r="B5" s="4" t="s">
        <v>12</v>
      </c>
      <c r="C5" s="2" t="s">
        <v>13</v>
      </c>
      <c r="D5" s="2" t="s">
        <v>14</v>
      </c>
      <c r="E5" s="2" t="s">
        <v>15</v>
      </c>
      <c r="F5" s="2">
        <v>4.5</v>
      </c>
      <c r="G5" s="2" t="s">
        <v>82</v>
      </c>
      <c r="H5" s="2" t="s">
        <v>87</v>
      </c>
      <c r="I5" s="2" t="s">
        <v>96</v>
      </c>
      <c r="J5" s="2" t="s">
        <v>91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opLeftCell="A2" workbookViewId="0">
      <selection activeCell="A39" sqref="A39:A40"/>
    </sheetView>
  </sheetViews>
  <sheetFormatPr baseColWidth="10" defaultRowHeight="15" x14ac:dyDescent="0"/>
  <cols>
    <col min="1" max="1" width="38.5" customWidth="1"/>
    <col min="2" max="3" width="25.33203125" bestFit="1" customWidth="1"/>
  </cols>
  <sheetData>
    <row r="1" spans="1:8">
      <c r="A1" t="s">
        <v>0</v>
      </c>
      <c r="B1" t="s">
        <v>23</v>
      </c>
      <c r="C1" t="s">
        <v>20</v>
      </c>
      <c r="D1" t="s">
        <v>26</v>
      </c>
      <c r="E1" t="s">
        <v>21</v>
      </c>
      <c r="F1" t="s">
        <v>22</v>
      </c>
      <c r="G1" t="s">
        <v>42</v>
      </c>
      <c r="H1" t="s">
        <v>41</v>
      </c>
    </row>
    <row r="2" spans="1:8">
      <c r="A2" s="2" t="s">
        <v>4</v>
      </c>
      <c r="B2" t="s">
        <v>24</v>
      </c>
      <c r="C2" t="s">
        <v>25</v>
      </c>
      <c r="D2">
        <v>1.1200000000000001</v>
      </c>
      <c r="E2">
        <v>0.98</v>
      </c>
      <c r="F2">
        <v>1.28</v>
      </c>
      <c r="G2">
        <v>0.1133</v>
      </c>
      <c r="H2">
        <v>6.8699999999999997E-2</v>
      </c>
    </row>
    <row r="3" spans="1:8">
      <c r="A3" s="2" t="s">
        <v>2</v>
      </c>
      <c r="B3" t="s">
        <v>24</v>
      </c>
      <c r="C3" t="s">
        <v>27</v>
      </c>
      <c r="D3">
        <v>1.05</v>
      </c>
      <c r="E3">
        <v>0.25</v>
      </c>
      <c r="F3">
        <v>4.3499999999999996</v>
      </c>
      <c r="G3">
        <v>5.1299999999999998E-2</v>
      </c>
      <c r="H3">
        <v>0.72450000000000003</v>
      </c>
    </row>
    <row r="4" spans="1:8">
      <c r="A4" s="2" t="s">
        <v>5</v>
      </c>
      <c r="B4" t="s">
        <v>24</v>
      </c>
      <c r="C4" t="s">
        <v>27</v>
      </c>
      <c r="D4">
        <v>0.99</v>
      </c>
      <c r="E4">
        <v>0.84</v>
      </c>
      <c r="F4">
        <v>1.1499999999999999</v>
      </c>
      <c r="G4">
        <v>-0.01</v>
      </c>
      <c r="H4">
        <v>0.08</v>
      </c>
    </row>
    <row r="5" spans="1:8">
      <c r="A5" s="2" t="s">
        <v>3</v>
      </c>
      <c r="B5" t="s">
        <v>24</v>
      </c>
      <c r="C5" t="s">
        <v>27</v>
      </c>
      <c r="D5">
        <v>1.07</v>
      </c>
      <c r="E5">
        <v>0.88</v>
      </c>
      <c r="F5">
        <v>1.3</v>
      </c>
      <c r="G5">
        <v>6.7699999999999996E-2</v>
      </c>
      <c r="H5">
        <v>9.9299999999999999E-2</v>
      </c>
    </row>
    <row r="6" spans="1:8">
      <c r="A6" s="2" t="s">
        <v>4</v>
      </c>
      <c r="B6" t="s">
        <v>28</v>
      </c>
      <c r="C6" t="s">
        <v>25</v>
      </c>
      <c r="D6">
        <v>1.1299999999999999</v>
      </c>
      <c r="E6">
        <v>0.91</v>
      </c>
      <c r="F6">
        <v>1.4</v>
      </c>
      <c r="G6">
        <v>0.1222</v>
      </c>
      <c r="H6">
        <v>0.1087</v>
      </c>
    </row>
    <row r="7" spans="1:8">
      <c r="A7" s="2" t="s">
        <v>2</v>
      </c>
      <c r="B7" t="s">
        <v>28</v>
      </c>
      <c r="C7" t="s">
        <v>27</v>
      </c>
      <c r="D7">
        <v>0.95</v>
      </c>
      <c r="E7">
        <v>0.23</v>
      </c>
      <c r="F7">
        <v>3.93</v>
      </c>
      <c r="G7">
        <v>-5.1299999999999998E-2</v>
      </c>
      <c r="H7">
        <v>0.72450000000000003</v>
      </c>
    </row>
    <row r="8" spans="1:8">
      <c r="A8" s="2" t="s">
        <v>5</v>
      </c>
      <c r="B8" t="s">
        <v>28</v>
      </c>
      <c r="C8" t="s">
        <v>27</v>
      </c>
      <c r="D8">
        <v>0.95</v>
      </c>
      <c r="E8">
        <v>0.79</v>
      </c>
      <c r="F8">
        <v>1.1299999999999999</v>
      </c>
      <c r="G8">
        <v>-5.1299999999999998E-2</v>
      </c>
      <c r="H8">
        <v>9.0999999999999998E-2</v>
      </c>
    </row>
    <row r="9" spans="1:8">
      <c r="A9" s="2" t="s">
        <v>3</v>
      </c>
      <c r="B9" t="s">
        <v>28</v>
      </c>
      <c r="C9" t="s">
        <v>27</v>
      </c>
      <c r="D9">
        <v>0.97</v>
      </c>
      <c r="E9">
        <v>0.84</v>
      </c>
      <c r="F9">
        <v>1.1200000000000001</v>
      </c>
      <c r="G9">
        <v>-3.0499999999999999E-2</v>
      </c>
      <c r="H9">
        <v>7.3400000000000007E-2</v>
      </c>
    </row>
    <row r="11" spans="1:8">
      <c r="A11" s="2" t="s">
        <v>49</v>
      </c>
    </row>
    <row r="12" spans="1:8">
      <c r="A12" s="2" t="s">
        <v>23</v>
      </c>
      <c r="B12" t="s">
        <v>20</v>
      </c>
      <c r="C12" t="s">
        <v>26</v>
      </c>
      <c r="D12" t="s">
        <v>21</v>
      </c>
      <c r="E12" t="s">
        <v>22</v>
      </c>
    </row>
    <row r="13" spans="1:8">
      <c r="A13" s="2" t="s">
        <v>24</v>
      </c>
      <c r="B13" t="s">
        <v>27</v>
      </c>
      <c r="C13">
        <v>1.02</v>
      </c>
      <c r="D13">
        <v>0.9</v>
      </c>
      <c r="E13">
        <v>1.1499999999999999</v>
      </c>
    </row>
    <row r="14" spans="1:8">
      <c r="A14" s="2" t="s">
        <v>28</v>
      </c>
      <c r="B14" t="s">
        <v>27</v>
      </c>
      <c r="C14">
        <v>0.96</v>
      </c>
      <c r="D14">
        <v>0.86</v>
      </c>
      <c r="E14">
        <v>1.08</v>
      </c>
    </row>
    <row r="15" spans="1:8">
      <c r="A15" s="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J2" sqref="J2"/>
    </sheetView>
  </sheetViews>
  <sheetFormatPr baseColWidth="10" defaultRowHeight="15" x14ac:dyDescent="0"/>
  <cols>
    <col min="1" max="1" width="16.33203125" customWidth="1"/>
    <col min="2" max="2" width="18.5" customWidth="1"/>
    <col min="3" max="3" width="16" bestFit="1" customWidth="1"/>
    <col min="5" max="5" width="15.83203125" customWidth="1"/>
    <col min="6" max="6" width="20.6640625" bestFit="1" customWidth="1"/>
    <col min="9" max="10" width="31" bestFit="1" customWidth="1"/>
  </cols>
  <sheetData>
    <row r="1" spans="1:12">
      <c r="A1" t="s">
        <v>33</v>
      </c>
      <c r="B1" t="s">
        <v>23</v>
      </c>
      <c r="C1" t="s">
        <v>31</v>
      </c>
      <c r="D1" t="s">
        <v>32</v>
      </c>
      <c r="E1" t="s">
        <v>35</v>
      </c>
      <c r="F1" t="s">
        <v>36</v>
      </c>
      <c r="G1" t="s">
        <v>37</v>
      </c>
      <c r="H1" t="s">
        <v>38</v>
      </c>
      <c r="I1" t="s">
        <v>43</v>
      </c>
      <c r="J1" t="s">
        <v>40</v>
      </c>
      <c r="K1" t="s">
        <v>21</v>
      </c>
      <c r="L1" t="s">
        <v>22</v>
      </c>
    </row>
    <row r="2" spans="1:12">
      <c r="A2" t="s">
        <v>34</v>
      </c>
      <c r="B2" t="s">
        <v>24</v>
      </c>
      <c r="C2">
        <v>446</v>
      </c>
      <c r="D2">
        <v>1610</v>
      </c>
      <c r="E2">
        <v>12.5</v>
      </c>
      <c r="F2">
        <f>D2*E2</f>
        <v>20125</v>
      </c>
      <c r="G2">
        <f>C2/F2</f>
        <v>2.2161490683229812E-2</v>
      </c>
      <c r="H2">
        <f>G2/G3</f>
        <v>1.1176741897792264</v>
      </c>
      <c r="I2">
        <f>LN(H2)</f>
        <v>0.11124990988121336</v>
      </c>
      <c r="J2">
        <f>SQRT((1/C2) +(1/C3))</f>
        <v>6.8683331246527257E-2</v>
      </c>
      <c r="K2">
        <f>EXP(I2 - 1.96*J2)</f>
        <v>0.97690153076565434</v>
      </c>
      <c r="L2">
        <f>EXP(I2 + 1.96*J2)</f>
        <v>1.2787323544468021</v>
      </c>
    </row>
    <row r="3" spans="1:12">
      <c r="A3" t="s">
        <v>8</v>
      </c>
      <c r="B3" t="s">
        <v>24</v>
      </c>
      <c r="C3">
        <v>404</v>
      </c>
      <c r="D3">
        <v>1630</v>
      </c>
      <c r="E3">
        <v>12.5</v>
      </c>
      <c r="F3">
        <f>D3*E3</f>
        <v>20375</v>
      </c>
      <c r="G3">
        <f>C3/F3</f>
        <v>1.9828220858895705E-2</v>
      </c>
    </row>
    <row r="4" spans="1:12">
      <c r="A4" t="s">
        <v>34</v>
      </c>
      <c r="B4" t="s">
        <v>39</v>
      </c>
      <c r="C4">
        <v>185</v>
      </c>
      <c r="D4">
        <v>281</v>
      </c>
      <c r="E4">
        <v>12.5</v>
      </c>
      <c r="F4">
        <f>D4*E4</f>
        <v>3512.5</v>
      </c>
      <c r="G4">
        <f>C4/F4</f>
        <v>5.2669039145907474E-2</v>
      </c>
      <c r="H4">
        <f>G4/G5</f>
        <v>1.1310338534537823</v>
      </c>
      <c r="I4">
        <f>LN(H4)</f>
        <v>0.12313212900589868</v>
      </c>
      <c r="J4">
        <f>SQRT((1/C4) +(1/C5))</f>
        <v>0.10869987035715276</v>
      </c>
      <c r="K4">
        <f>EXP(I4 - 1.96*J4)</f>
        <v>0.91400465285119681</v>
      </c>
      <c r="L4">
        <f>EXP(I4 + 1.96*J4)</f>
        <v>1.3995963517997279</v>
      </c>
    </row>
    <row r="5" spans="1:12">
      <c r="A5" t="s">
        <v>8</v>
      </c>
      <c r="B5" t="s">
        <v>39</v>
      </c>
      <c r="C5">
        <v>156</v>
      </c>
      <c r="D5">
        <v>268</v>
      </c>
      <c r="E5">
        <v>12.5</v>
      </c>
      <c r="F5">
        <f>D5*E5</f>
        <v>3350</v>
      </c>
      <c r="G5">
        <f>C5/F5</f>
        <v>4.6567164179104475E-2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K2" sqref="K2"/>
    </sheetView>
  </sheetViews>
  <sheetFormatPr baseColWidth="10" defaultRowHeight="15" x14ac:dyDescent="0"/>
  <cols>
    <col min="2" max="2" width="25.33203125" bestFit="1" customWidth="1"/>
    <col min="7" max="8" width="15.6640625" bestFit="1" customWidth="1"/>
    <col min="9" max="10" width="19.33203125" bestFit="1" customWidth="1"/>
  </cols>
  <sheetData>
    <row r="1" spans="1:11">
      <c r="A1" t="s">
        <v>23</v>
      </c>
      <c r="B1" t="s">
        <v>20</v>
      </c>
      <c r="C1" t="s">
        <v>26</v>
      </c>
      <c r="D1" t="s">
        <v>21</v>
      </c>
      <c r="E1" t="s">
        <v>22</v>
      </c>
      <c r="F1" t="s">
        <v>42</v>
      </c>
      <c r="G1" t="s">
        <v>44</v>
      </c>
      <c r="H1" t="s">
        <v>45</v>
      </c>
      <c r="I1" t="s">
        <v>46</v>
      </c>
      <c r="J1" t="s">
        <v>47</v>
      </c>
      <c r="K1" t="s">
        <v>41</v>
      </c>
    </row>
    <row r="2" spans="1:11">
      <c r="A2" t="s">
        <v>24</v>
      </c>
      <c r="B2" t="s">
        <v>27</v>
      </c>
      <c r="C2">
        <v>0.99</v>
      </c>
      <c r="D2">
        <v>0.84</v>
      </c>
      <c r="E2">
        <v>1.1499999999999999</v>
      </c>
      <c r="F2">
        <f>LN(C2)</f>
        <v>-1.0050335853501451E-2</v>
      </c>
      <c r="G2">
        <f>LN(E2)-LN(C2)</f>
        <v>0.14981227822866008</v>
      </c>
      <c r="H2">
        <f>LN(C2)-LN(D2)</f>
        <v>0.16430305129127634</v>
      </c>
      <c r="I2">
        <f>G2/1.96</f>
        <v>7.6434835830949024E-2</v>
      </c>
      <c r="J2">
        <f>H2/1.96</f>
        <v>8.3828087393508333E-2</v>
      </c>
      <c r="K2">
        <f>(I2+J2)/2</f>
        <v>8.0131461612228672E-2</v>
      </c>
    </row>
    <row r="3" spans="1:11">
      <c r="A3" t="s">
        <v>28</v>
      </c>
      <c r="B3" t="s">
        <v>27</v>
      </c>
      <c r="C3">
        <v>0.95</v>
      </c>
      <c r="D3">
        <v>0.79</v>
      </c>
      <c r="E3">
        <v>1.1299999999999999</v>
      </c>
      <c r="F3">
        <f>LN(C3)</f>
        <v>-5.1293294387550578E-2</v>
      </c>
      <c r="G3">
        <f>LN(E3)-LN(C3)</f>
        <v>0.17351092711179969</v>
      </c>
      <c r="H3">
        <f>LN(C3)-LN(D3)</f>
        <v>0.18442903913351927</v>
      </c>
      <c r="I3">
        <f>G3/1.96</f>
        <v>8.852598322030597E-2</v>
      </c>
      <c r="J3">
        <f>H3/1.96</f>
        <v>9.4096448537509828E-2</v>
      </c>
      <c r="K3">
        <f>(I3+J3)/2</f>
        <v>9.1311215878907892E-2</v>
      </c>
    </row>
    <row r="5" spans="1:11">
      <c r="A5" t="s">
        <v>48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C4" sqref="C4"/>
    </sheetView>
  </sheetViews>
  <sheetFormatPr baseColWidth="10" defaultRowHeight="15" x14ac:dyDescent="0"/>
  <cols>
    <col min="1" max="1" width="18.1640625" customWidth="1"/>
    <col min="2" max="2" width="12.5" bestFit="1" customWidth="1"/>
  </cols>
  <sheetData>
    <row r="1" spans="1:15" ht="37">
      <c r="A1" s="5" t="s">
        <v>50</v>
      </c>
      <c r="B1" s="1"/>
      <c r="C1" s="1"/>
      <c r="D1" s="5" t="s">
        <v>51</v>
      </c>
      <c r="E1" s="1"/>
      <c r="F1" s="1"/>
      <c r="G1" s="5" t="s">
        <v>52</v>
      </c>
      <c r="H1" s="1"/>
      <c r="I1" s="5" t="s">
        <v>53</v>
      </c>
      <c r="J1" s="1"/>
      <c r="K1" s="1"/>
      <c r="L1" s="1"/>
      <c r="M1" s="1"/>
      <c r="N1" s="1"/>
      <c r="O1" s="1"/>
    </row>
    <row r="2" spans="1:15" ht="30">
      <c r="A2" s="1" t="s">
        <v>0</v>
      </c>
      <c r="B2" s="1" t="s">
        <v>54</v>
      </c>
      <c r="C2" s="1" t="s">
        <v>55</v>
      </c>
      <c r="D2" s="1" t="s">
        <v>56</v>
      </c>
      <c r="E2" s="1" t="s">
        <v>57</v>
      </c>
      <c r="F2" s="1" t="s">
        <v>58</v>
      </c>
      <c r="G2" s="1" t="s">
        <v>59</v>
      </c>
      <c r="H2" s="1" t="s">
        <v>60</v>
      </c>
      <c r="I2" s="1" t="s">
        <v>56</v>
      </c>
      <c r="J2" s="1" t="s">
        <v>61</v>
      </c>
      <c r="K2" s="1" t="s">
        <v>62</v>
      </c>
      <c r="L2" s="1" t="s">
        <v>63</v>
      </c>
      <c r="M2" s="1" t="s">
        <v>58</v>
      </c>
      <c r="N2" s="1"/>
      <c r="O2" s="1"/>
    </row>
    <row r="3" spans="1:15">
      <c r="A3" s="1" t="s">
        <v>2</v>
      </c>
      <c r="B3" s="1">
        <v>5.1299999999999998E-2</v>
      </c>
      <c r="C3" s="1">
        <f>0.7245^2</f>
        <v>0.52490025000000007</v>
      </c>
      <c r="D3" s="1">
        <f t="shared" ref="D3:D4" si="0">$C3</f>
        <v>0.52490025000000007</v>
      </c>
      <c r="E3" s="1">
        <f t="shared" ref="E3" si="1">1/D3</f>
        <v>1.9051238782987814</v>
      </c>
      <c r="F3" s="1">
        <f t="shared" ref="F3" si="2">$B3*E3</f>
        <v>9.7732854956727483E-2</v>
      </c>
      <c r="G3" s="1">
        <f t="shared" ref="G3" si="3">(B3^2)*E3</f>
        <v>5.0136954592801194E-3</v>
      </c>
      <c r="H3" s="1">
        <f t="shared" ref="H3" si="4">E3^2</f>
        <v>3.6294969916641899</v>
      </c>
      <c r="I3" s="1">
        <f t="shared" ref="I3:I4" si="5">$C3</f>
        <v>0.52490025000000007</v>
      </c>
      <c r="J3" s="1">
        <f>$H$14</f>
        <v>0</v>
      </c>
      <c r="K3" s="1">
        <f t="shared" ref="K3" si="6">I3+J3</f>
        <v>0.52490025000000007</v>
      </c>
      <c r="L3" s="1">
        <f t="shared" ref="L3" si="7">1/K3</f>
        <v>1.9051238782987814</v>
      </c>
      <c r="M3" s="1">
        <f t="shared" ref="M3" si="8">$B3*L3</f>
        <v>9.7732854956727483E-2</v>
      </c>
      <c r="N3" s="1"/>
      <c r="O3" s="1"/>
    </row>
    <row r="4" spans="1:15">
      <c r="A4" s="1" t="s">
        <v>5</v>
      </c>
      <c r="B4" s="1">
        <f>LN(0.99)</f>
        <v>-1.0050335853501451E-2</v>
      </c>
      <c r="C4" s="1">
        <f>0.08^2</f>
        <v>6.4000000000000003E-3</v>
      </c>
      <c r="D4" s="1">
        <f t="shared" si="0"/>
        <v>6.4000000000000003E-3</v>
      </c>
      <c r="E4" s="1">
        <f t="shared" ref="E4" si="9">1/D4</f>
        <v>156.25</v>
      </c>
      <c r="F4" s="1">
        <f t="shared" ref="F4" si="10">$B4*E4</f>
        <v>-1.5703649771096015</v>
      </c>
      <c r="G4" s="1">
        <f t="shared" ref="G4" si="11">(B4^2)*E4</f>
        <v>1.5782695432527614E-2</v>
      </c>
      <c r="H4" s="1">
        <f t="shared" ref="H4" si="12">E4^2</f>
        <v>24414.0625</v>
      </c>
      <c r="I4" s="1">
        <f t="shared" si="5"/>
        <v>6.4000000000000003E-3</v>
      </c>
      <c r="J4" s="1">
        <f>$H$14</f>
        <v>0</v>
      </c>
      <c r="K4" s="1">
        <f t="shared" ref="K4" si="13">I4+J4</f>
        <v>6.4000000000000003E-3</v>
      </c>
      <c r="L4" s="1">
        <f t="shared" ref="L4" si="14">1/K4</f>
        <v>156.25</v>
      </c>
      <c r="M4" s="1">
        <f t="shared" ref="M4" si="15">$B4*L4</f>
        <v>-1.5703649771096015</v>
      </c>
      <c r="N4" s="1"/>
      <c r="O4" s="1"/>
    </row>
    <row r="5" spans="1:15">
      <c r="A5" s="1" t="s">
        <v>3</v>
      </c>
      <c r="B5" s="1">
        <v>6.7699999999999996E-2</v>
      </c>
      <c r="C5" s="1">
        <f>0.0993^2</f>
        <v>9.8604899999999995E-3</v>
      </c>
      <c r="D5" s="1">
        <f>$C5</f>
        <v>9.8604899999999995E-3</v>
      </c>
      <c r="E5" s="1">
        <f>1/D5</f>
        <v>101.41483841066723</v>
      </c>
      <c r="F5" s="1">
        <f>$B5*E5</f>
        <v>6.8657845604021714</v>
      </c>
      <c r="G5" s="1">
        <f>(B5^2)*E5</f>
        <v>0.46481361473922694</v>
      </c>
      <c r="H5" s="1">
        <f>E5^2</f>
        <v>10284.969449861745</v>
      </c>
      <c r="I5" s="1">
        <f>$C5</f>
        <v>9.8604899999999995E-3</v>
      </c>
      <c r="J5" s="1">
        <f>$H$14</f>
        <v>0</v>
      </c>
      <c r="K5" s="1">
        <f>I5+J5</f>
        <v>9.8604899999999995E-3</v>
      </c>
      <c r="L5" s="1">
        <f>1/K5</f>
        <v>101.41483841066723</v>
      </c>
      <c r="M5" s="1">
        <f>$B5*L5</f>
        <v>6.8657845604021714</v>
      </c>
      <c r="N5" s="1"/>
      <c r="O5" s="1"/>
    </row>
    <row r="6" spans="1:15">
      <c r="A6" s="1" t="s">
        <v>64</v>
      </c>
      <c r="B6" s="1"/>
      <c r="C6" s="1"/>
      <c r="D6" s="1"/>
      <c r="E6" s="1">
        <f>SUM(E3:E5)</f>
        <v>259.569962288966</v>
      </c>
      <c r="F6" s="1">
        <f>SUM(F3:F5)</f>
        <v>5.393152438249297</v>
      </c>
      <c r="G6" s="1">
        <f>SUM(G3:G5)</f>
        <v>0.48561000563103468</v>
      </c>
      <c r="H6" s="1">
        <f>SUM(H3:H5)</f>
        <v>34702.66144685341</v>
      </c>
      <c r="I6" s="1"/>
      <c r="J6" s="1"/>
      <c r="K6" s="1"/>
      <c r="L6" s="1">
        <f>SUM(L3:L5)</f>
        <v>259.569962288966</v>
      </c>
      <c r="M6" s="1">
        <f>SUM(M3:M5)</f>
        <v>5.393152438249297</v>
      </c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7" t="s">
        <v>65</v>
      </c>
      <c r="E9" s="6"/>
      <c r="F9" s="1"/>
      <c r="G9" s="7" t="s">
        <v>66</v>
      </c>
      <c r="H9" s="6"/>
      <c r="I9" s="1"/>
      <c r="J9" s="1"/>
      <c r="K9" s="7" t="s">
        <v>67</v>
      </c>
      <c r="L9" s="6"/>
      <c r="M9" s="1"/>
      <c r="N9" s="1"/>
      <c r="O9" s="1"/>
    </row>
    <row r="10" spans="1:15">
      <c r="A10" s="1"/>
      <c r="B10" s="1"/>
      <c r="C10" s="1"/>
      <c r="D10" s="6" t="s">
        <v>68</v>
      </c>
      <c r="E10" s="6"/>
      <c r="F10" s="1">
        <f>F6/E6</f>
        <v>2.0777259397392736E-2</v>
      </c>
      <c r="G10" s="1" t="s">
        <v>69</v>
      </c>
      <c r="H10" s="1">
        <f>G6-((F6^2)/E6)</f>
        <v>0.37355507845184793</v>
      </c>
      <c r="I10" s="1"/>
      <c r="J10" s="1"/>
      <c r="K10" s="6" t="s">
        <v>68</v>
      </c>
      <c r="L10" s="6"/>
      <c r="M10" s="1">
        <f>M6/L6</f>
        <v>2.0777259397392736E-2</v>
      </c>
      <c r="N10" s="1">
        <f>EXP(M10)</f>
        <v>1.0209946093536071</v>
      </c>
      <c r="O10" s="1"/>
    </row>
    <row r="11" spans="1:15">
      <c r="A11" s="1"/>
      <c r="B11" s="1"/>
      <c r="C11" s="1"/>
      <c r="D11" s="6" t="s">
        <v>55</v>
      </c>
      <c r="E11" s="6"/>
      <c r="F11" s="1">
        <f>1/E6</f>
        <v>3.8525258900594631E-3</v>
      </c>
      <c r="G11" s="1" t="s">
        <v>70</v>
      </c>
      <c r="H11" s="1">
        <f>COUNT(B3:B5)-1</f>
        <v>2</v>
      </c>
      <c r="I11" s="1"/>
      <c r="J11" s="1"/>
      <c r="K11" s="6" t="s">
        <v>55</v>
      </c>
      <c r="L11" s="6"/>
      <c r="M11" s="1">
        <f>1/L6</f>
        <v>3.8525258900594631E-3</v>
      </c>
      <c r="N11" s="1"/>
      <c r="O11" s="1"/>
    </row>
    <row r="12" spans="1:15">
      <c r="A12" s="1"/>
      <c r="B12" s="1"/>
      <c r="C12" s="1"/>
      <c r="D12" s="6" t="s">
        <v>71</v>
      </c>
      <c r="E12" s="6"/>
      <c r="F12" s="1">
        <f>SQRT(F11)</f>
        <v>6.2068719094721642E-2</v>
      </c>
      <c r="G12" s="1" t="s">
        <v>72</v>
      </c>
      <c r="H12" s="1">
        <f>MAX((H10-H11),0)</f>
        <v>0</v>
      </c>
      <c r="I12" s="1"/>
      <c r="J12" s="1"/>
      <c r="K12" s="6" t="s">
        <v>71</v>
      </c>
      <c r="L12" s="6"/>
      <c r="M12" s="1">
        <f>SQRT(M11)</f>
        <v>6.2068719094721642E-2</v>
      </c>
      <c r="N12" s="1"/>
      <c r="O12" s="1"/>
    </row>
    <row r="13" spans="1:15">
      <c r="A13" s="1"/>
      <c r="B13" s="1"/>
      <c r="C13" s="1"/>
      <c r="D13" s="6" t="s">
        <v>73</v>
      </c>
      <c r="E13" s="6"/>
      <c r="F13" s="1">
        <f>F10-(1.96*F12)</f>
        <v>-0.10087743002826167</v>
      </c>
      <c r="G13" s="1" t="s">
        <v>74</v>
      </c>
      <c r="H13" s="1">
        <f>E6-(H6/E6)</f>
        <v>125.87706061099485</v>
      </c>
      <c r="I13" s="1"/>
      <c r="J13" s="1"/>
      <c r="K13" s="6" t="s">
        <v>73</v>
      </c>
      <c r="L13" s="6"/>
      <c r="M13" s="1">
        <f>M10-(1.96*M12)</f>
        <v>-0.10087743002826167</v>
      </c>
      <c r="N13" s="1">
        <f>EXP(M13)</f>
        <v>0.90404383472250849</v>
      </c>
      <c r="O13" s="1"/>
    </row>
    <row r="14" spans="1:15">
      <c r="A14" s="1"/>
      <c r="B14" s="1"/>
      <c r="C14" s="1"/>
      <c r="D14" s="6" t="s">
        <v>75</v>
      </c>
      <c r="E14" s="6"/>
      <c r="F14" s="1">
        <f>F10+(1.96*F12)</f>
        <v>0.14243194882304716</v>
      </c>
      <c r="G14" s="1" t="s">
        <v>76</v>
      </c>
      <c r="H14" s="1">
        <f>H12/H13</f>
        <v>0</v>
      </c>
      <c r="I14" s="1"/>
      <c r="J14" s="1"/>
      <c r="K14" s="6" t="s">
        <v>75</v>
      </c>
      <c r="L14" s="6"/>
      <c r="M14" s="1">
        <f>M10+(1.96*M12)</f>
        <v>0.14243194882304716</v>
      </c>
      <c r="N14" s="1">
        <f>EXP(M14)</f>
        <v>1.1530746102030476</v>
      </c>
      <c r="O14" s="1"/>
    </row>
    <row r="15" spans="1:15">
      <c r="A15" s="1"/>
      <c r="B15" s="1"/>
      <c r="C15" s="1"/>
      <c r="D15" s="6" t="s">
        <v>77</v>
      </c>
      <c r="E15" s="6"/>
      <c r="F15" s="1">
        <f>F10/F12</f>
        <v>0.33474606372470872</v>
      </c>
      <c r="G15" s="1"/>
      <c r="H15" s="1"/>
      <c r="I15" s="1"/>
      <c r="J15" s="1"/>
      <c r="K15" s="6" t="s">
        <v>77</v>
      </c>
      <c r="L15" s="6"/>
      <c r="M15" s="1">
        <f>M10/M12</f>
        <v>0.33474606372470872</v>
      </c>
      <c r="N15" s="1"/>
      <c r="O15" s="1"/>
    </row>
    <row r="16" spans="1:15">
      <c r="A16" s="1"/>
      <c r="B16" s="1"/>
      <c r="C16" s="1"/>
      <c r="D16" s="6" t="s">
        <v>78</v>
      </c>
      <c r="E16" s="6"/>
      <c r="F16" s="1">
        <f>(1-(NORMDIST(ABS(F15),0,1,TRUE)))</f>
        <v>0.36890832511507377</v>
      </c>
      <c r="G16" s="1"/>
      <c r="H16" s="1"/>
      <c r="I16" s="1"/>
      <c r="J16" s="1"/>
      <c r="K16" s="6" t="s">
        <v>78</v>
      </c>
      <c r="L16" s="6"/>
      <c r="M16" s="1">
        <f>(1-(NORMDIST(ABS(M15),0,1,TRUE)))</f>
        <v>0.36890832511507377</v>
      </c>
      <c r="N16" s="1"/>
      <c r="O16" s="1"/>
    </row>
    <row r="17" spans="1:15">
      <c r="A17" s="1"/>
      <c r="B17" s="1"/>
      <c r="C17" s="1"/>
      <c r="D17" s="6" t="s">
        <v>79</v>
      </c>
      <c r="E17" s="6"/>
      <c r="F17" s="1">
        <f>(1-(NORMDIST(ABS(F15),0,1,TRUE)))*2</f>
        <v>0.73781665023014753</v>
      </c>
      <c r="G17" s="1"/>
      <c r="H17" s="1"/>
      <c r="I17" s="1"/>
      <c r="J17" s="1"/>
      <c r="K17" s="6" t="s">
        <v>79</v>
      </c>
      <c r="L17" s="6"/>
      <c r="M17" s="1">
        <f>(1-(NORMDIST(ABS(M15),0,1,TRUE)))*2</f>
        <v>0.73781665023014753</v>
      </c>
      <c r="N17" s="1"/>
      <c r="O17" s="1"/>
    </row>
  </sheetData>
  <mergeCells count="19">
    <mergeCell ref="D15:E15"/>
    <mergeCell ref="K15:L15"/>
    <mergeCell ref="D16:E16"/>
    <mergeCell ref="K16:L16"/>
    <mergeCell ref="D17:E17"/>
    <mergeCell ref="K17:L17"/>
    <mergeCell ref="D12:E12"/>
    <mergeCell ref="K12:L12"/>
    <mergeCell ref="D13:E13"/>
    <mergeCell ref="K13:L13"/>
    <mergeCell ref="D14:E14"/>
    <mergeCell ref="K14:L14"/>
    <mergeCell ref="D11:E11"/>
    <mergeCell ref="K11:L11"/>
    <mergeCell ref="D9:E9"/>
    <mergeCell ref="G9:H9"/>
    <mergeCell ref="K9:L9"/>
    <mergeCell ref="D10:E10"/>
    <mergeCell ref="K10:L10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C4" sqref="C4"/>
    </sheetView>
  </sheetViews>
  <sheetFormatPr baseColWidth="10" defaultRowHeight="15" x14ac:dyDescent="0"/>
  <cols>
    <col min="1" max="1" width="22.5" customWidth="1"/>
  </cols>
  <sheetData>
    <row r="1" spans="1:14" ht="37">
      <c r="A1" s="5" t="s">
        <v>50</v>
      </c>
      <c r="B1" s="1"/>
      <c r="C1" s="1"/>
      <c r="D1" s="5" t="s">
        <v>51</v>
      </c>
      <c r="E1" s="1"/>
      <c r="F1" s="1"/>
      <c r="G1" s="5" t="s">
        <v>52</v>
      </c>
      <c r="H1" s="1"/>
      <c r="I1" s="5" t="s">
        <v>53</v>
      </c>
      <c r="J1" s="1"/>
      <c r="K1" s="1"/>
      <c r="L1" s="1"/>
      <c r="M1" s="1"/>
      <c r="N1" s="1"/>
    </row>
    <row r="2" spans="1:14" ht="30">
      <c r="A2" s="1" t="s">
        <v>0</v>
      </c>
      <c r="B2" s="1" t="s">
        <v>54</v>
      </c>
      <c r="C2" s="1" t="s">
        <v>55</v>
      </c>
      <c r="D2" s="1" t="s">
        <v>56</v>
      </c>
      <c r="E2" s="1" t="s">
        <v>57</v>
      </c>
      <c r="F2" s="1" t="s">
        <v>58</v>
      </c>
      <c r="G2" s="1" t="s">
        <v>59</v>
      </c>
      <c r="H2" s="1" t="s">
        <v>60</v>
      </c>
      <c r="I2" s="1" t="s">
        <v>56</v>
      </c>
      <c r="J2" s="1" t="s">
        <v>61</v>
      </c>
      <c r="K2" s="1" t="s">
        <v>62</v>
      </c>
      <c r="L2" s="1" t="s">
        <v>63</v>
      </c>
      <c r="M2" s="1" t="s">
        <v>58</v>
      </c>
      <c r="N2" s="1"/>
    </row>
    <row r="3" spans="1:14">
      <c r="A3" s="1" t="s">
        <v>2</v>
      </c>
      <c r="B3">
        <v>-5.1299999999999998E-2</v>
      </c>
      <c r="C3">
        <f>0.7245^2</f>
        <v>0.52490025000000007</v>
      </c>
      <c r="D3" s="1">
        <f t="shared" ref="D3:D4" si="0">$C3</f>
        <v>0.52490025000000007</v>
      </c>
      <c r="E3" s="1">
        <f t="shared" ref="E3:E4" si="1">1/D3</f>
        <v>1.9051238782987814</v>
      </c>
      <c r="F3" s="1">
        <f t="shared" ref="F3:F4" si="2">$B3*E3</f>
        <v>-9.7732854956727483E-2</v>
      </c>
      <c r="G3" s="1">
        <f t="shared" ref="G3:G4" si="3">(B3^2)*E3</f>
        <v>5.0136954592801194E-3</v>
      </c>
      <c r="H3" s="1">
        <f t="shared" ref="H3:H4" si="4">E3^2</f>
        <v>3.6294969916641899</v>
      </c>
      <c r="I3" s="1">
        <f t="shared" ref="I3:I4" si="5">$C3</f>
        <v>0.52490025000000007</v>
      </c>
      <c r="J3" s="1">
        <f>$H$14</f>
        <v>0</v>
      </c>
      <c r="K3" s="1">
        <f t="shared" ref="K3:K4" si="6">I3+J3</f>
        <v>0.52490025000000007</v>
      </c>
      <c r="L3" s="1">
        <f t="shared" ref="L3:L4" si="7">1/K3</f>
        <v>1.9051238782987814</v>
      </c>
      <c r="M3" s="1">
        <f t="shared" ref="M3:M4" si="8">$B3*L3</f>
        <v>-9.7732854956727483E-2</v>
      </c>
      <c r="N3" s="1"/>
    </row>
    <row r="4" spans="1:14">
      <c r="A4" s="1" t="s">
        <v>5</v>
      </c>
      <c r="B4">
        <v>-5.1299999999999998E-2</v>
      </c>
      <c r="C4">
        <f>0.091^2</f>
        <v>8.2810000000000002E-3</v>
      </c>
      <c r="D4" s="1">
        <f t="shared" si="0"/>
        <v>8.2810000000000002E-3</v>
      </c>
      <c r="E4" s="1">
        <f t="shared" si="1"/>
        <v>120.75836251660428</v>
      </c>
      <c r="F4" s="1">
        <f t="shared" si="2"/>
        <v>-6.1949039971017994</v>
      </c>
      <c r="G4" s="1">
        <f t="shared" si="3"/>
        <v>0.31779857505132231</v>
      </c>
      <c r="H4" s="1">
        <f t="shared" si="4"/>
        <v>14582.582117691618</v>
      </c>
      <c r="I4" s="1">
        <f t="shared" si="5"/>
        <v>8.2810000000000002E-3</v>
      </c>
      <c r="J4" s="1">
        <f>$H$14</f>
        <v>0</v>
      </c>
      <c r="K4" s="1">
        <f t="shared" si="6"/>
        <v>8.2810000000000002E-3</v>
      </c>
      <c r="L4" s="1">
        <f t="shared" si="7"/>
        <v>120.75836251660428</v>
      </c>
      <c r="M4" s="1">
        <f t="shared" si="8"/>
        <v>-6.1949039971017994</v>
      </c>
      <c r="N4" s="1"/>
    </row>
    <row r="5" spans="1:14">
      <c r="A5" s="1" t="s">
        <v>3</v>
      </c>
      <c r="B5">
        <v>-3.0499999999999999E-2</v>
      </c>
      <c r="C5">
        <f>0.0734^2</f>
        <v>5.3875600000000013E-3</v>
      </c>
      <c r="D5" s="1">
        <f>$C5</f>
        <v>5.3875600000000013E-3</v>
      </c>
      <c r="E5" s="1">
        <f>1/D5</f>
        <v>185.61278203862227</v>
      </c>
      <c r="F5" s="1">
        <f>$B5*E5</f>
        <v>-5.6611898521779791</v>
      </c>
      <c r="G5" s="1">
        <f>(B5^2)*E5</f>
        <v>0.17266629049142837</v>
      </c>
      <c r="H5" s="1">
        <f>E5^2</f>
        <v>34452.104856117097</v>
      </c>
      <c r="I5" s="1">
        <f>$C5</f>
        <v>5.3875600000000013E-3</v>
      </c>
      <c r="J5" s="1">
        <f>$H$14</f>
        <v>0</v>
      </c>
      <c r="K5" s="1">
        <f>I5+J5</f>
        <v>5.3875600000000013E-3</v>
      </c>
      <c r="L5" s="1">
        <f>1/K5</f>
        <v>185.61278203862227</v>
      </c>
      <c r="M5" s="1">
        <f>$B5*L5</f>
        <v>-5.6611898521779791</v>
      </c>
      <c r="N5" s="1"/>
    </row>
    <row r="6" spans="1:14">
      <c r="A6" s="1" t="s">
        <v>64</v>
      </c>
      <c r="B6" s="1"/>
      <c r="C6" s="1"/>
      <c r="D6" s="1"/>
      <c r="E6" s="1">
        <f>SUM(E3:E5)</f>
        <v>308.27626843352533</v>
      </c>
      <c r="F6" s="1">
        <f>SUM(F3:F5)</f>
        <v>-11.953826704236505</v>
      </c>
      <c r="G6" s="1">
        <f>SUM(G3:G5)</f>
        <v>0.4954785610020308</v>
      </c>
      <c r="H6" s="1">
        <f>SUM(H3:H5)</f>
        <v>49038.316470800375</v>
      </c>
      <c r="I6" s="1"/>
      <c r="J6" s="1"/>
      <c r="K6" s="1"/>
      <c r="L6" s="1">
        <f>SUM(L3:L5)</f>
        <v>308.27626843352533</v>
      </c>
      <c r="M6" s="1">
        <f>SUM(M3:M5)</f>
        <v>-11.953826704236505</v>
      </c>
      <c r="N6" s="1"/>
    </row>
    <row r="7" spans="1:1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>
      <c r="A9" s="1"/>
      <c r="B9" s="1"/>
      <c r="C9" s="1"/>
      <c r="D9" s="7" t="s">
        <v>65</v>
      </c>
      <c r="E9" s="6"/>
      <c r="F9" s="1"/>
      <c r="G9" s="7" t="s">
        <v>66</v>
      </c>
      <c r="H9" s="6"/>
      <c r="I9" s="1"/>
      <c r="J9" s="1"/>
      <c r="K9" s="7" t="s">
        <v>67</v>
      </c>
      <c r="L9" s="6"/>
      <c r="M9" s="1"/>
      <c r="N9" s="1"/>
    </row>
    <row r="10" spans="1:14">
      <c r="A10" s="1"/>
      <c r="B10" s="1"/>
      <c r="C10" s="1"/>
      <c r="D10" s="6" t="s">
        <v>68</v>
      </c>
      <c r="E10" s="6"/>
      <c r="F10" s="1">
        <f>F6/E6</f>
        <v>-3.8776344234924945E-2</v>
      </c>
      <c r="G10" s="1" t="s">
        <v>69</v>
      </c>
      <c r="H10" s="1">
        <f>G6-((F6^2)/E6)</f>
        <v>3.1952861793917764E-2</v>
      </c>
      <c r="I10" s="1"/>
      <c r="J10" s="1"/>
      <c r="K10" s="6" t="s">
        <v>68</v>
      </c>
      <c r="L10" s="6"/>
      <c r="M10" s="1">
        <f>M6/L6</f>
        <v>-3.8776344234924945E-2</v>
      </c>
      <c r="N10" s="1">
        <f>EXP(M10)</f>
        <v>0.96196583429312521</v>
      </c>
    </row>
    <row r="11" spans="1:14">
      <c r="A11" s="1"/>
      <c r="B11" s="1"/>
      <c r="C11" s="1"/>
      <c r="D11" s="6" t="s">
        <v>55</v>
      </c>
      <c r="E11" s="6"/>
      <c r="F11" s="1">
        <f>1/E6</f>
        <v>3.243843598734988E-3</v>
      </c>
      <c r="G11" s="1" t="s">
        <v>70</v>
      </c>
      <c r="H11" s="1">
        <f>COUNT(B3:B5)-1</f>
        <v>2</v>
      </c>
      <c r="I11" s="1"/>
      <c r="J11" s="1"/>
      <c r="K11" s="6" t="s">
        <v>55</v>
      </c>
      <c r="L11" s="6"/>
      <c r="M11" s="1">
        <f>1/L6</f>
        <v>3.243843598734988E-3</v>
      </c>
      <c r="N11" s="1"/>
    </row>
    <row r="12" spans="1:14">
      <c r="A12" s="1"/>
      <c r="B12" s="1"/>
      <c r="C12" s="1"/>
      <c r="D12" s="6" t="s">
        <v>71</v>
      </c>
      <c r="E12" s="6"/>
      <c r="F12" s="1">
        <f>SQRT(F11)</f>
        <v>5.6954750449238103E-2</v>
      </c>
      <c r="G12" s="1" t="s">
        <v>72</v>
      </c>
      <c r="H12" s="1">
        <f>MAX((H10-H11),0)</f>
        <v>0</v>
      </c>
      <c r="I12" s="1"/>
      <c r="J12" s="1"/>
      <c r="K12" s="6" t="s">
        <v>71</v>
      </c>
      <c r="L12" s="6"/>
      <c r="M12" s="1">
        <f>SQRT(M11)</f>
        <v>5.6954750449238103E-2</v>
      </c>
      <c r="N12" s="1"/>
    </row>
    <row r="13" spans="1:14">
      <c r="A13" s="1"/>
      <c r="B13" s="1"/>
      <c r="C13" s="1"/>
      <c r="D13" s="6" t="s">
        <v>73</v>
      </c>
      <c r="E13" s="6"/>
      <c r="F13" s="1">
        <f>F10-(1.96*F12)</f>
        <v>-0.15040765511543164</v>
      </c>
      <c r="G13" s="1" t="s">
        <v>74</v>
      </c>
      <c r="H13" s="1">
        <f>E6-(H6/E6)</f>
        <v>149.203639456979</v>
      </c>
      <c r="I13" s="1"/>
      <c r="J13" s="1"/>
      <c r="K13" s="6" t="s">
        <v>73</v>
      </c>
      <c r="L13" s="6"/>
      <c r="M13" s="1">
        <f>M10-(1.96*M12)</f>
        <v>-0.15040765511543164</v>
      </c>
      <c r="N13" s="1">
        <f>EXP(M13)</f>
        <v>0.8603571759232429</v>
      </c>
    </row>
    <row r="14" spans="1:14">
      <c r="A14" s="1"/>
      <c r="B14" s="1"/>
      <c r="C14" s="1"/>
      <c r="D14" s="6" t="s">
        <v>75</v>
      </c>
      <c r="E14" s="6"/>
      <c r="F14" s="1">
        <f>F10+(1.96*F12)</f>
        <v>7.2854966645581734E-2</v>
      </c>
      <c r="G14" s="1" t="s">
        <v>76</v>
      </c>
      <c r="H14" s="1">
        <f>H12/H13</f>
        <v>0</v>
      </c>
      <c r="I14" s="1"/>
      <c r="J14" s="1"/>
      <c r="K14" s="6" t="s">
        <v>75</v>
      </c>
      <c r="L14" s="6"/>
      <c r="M14" s="1">
        <f>M10+(1.96*M12)</f>
        <v>7.2854966645581734E-2</v>
      </c>
      <c r="N14" s="1">
        <f>EXP(M14)</f>
        <v>1.0755745314197582</v>
      </c>
    </row>
    <row r="15" spans="1:14">
      <c r="A15" s="1"/>
      <c r="B15" s="1"/>
      <c r="C15" s="1"/>
      <c r="D15" s="6" t="s">
        <v>77</v>
      </c>
      <c r="E15" s="6"/>
      <c r="F15" s="1">
        <f>F10/F12</f>
        <v>-0.68082721685322856</v>
      </c>
      <c r="G15" s="1"/>
      <c r="H15" s="1"/>
      <c r="I15" s="1"/>
      <c r="J15" s="1"/>
      <c r="K15" s="6" t="s">
        <v>77</v>
      </c>
      <c r="L15" s="6"/>
      <c r="M15" s="1">
        <f>M10/M12</f>
        <v>-0.68082721685322856</v>
      </c>
      <c r="N15" s="1"/>
    </row>
    <row r="16" spans="1:14">
      <c r="A16" s="1"/>
      <c r="B16" s="1"/>
      <c r="C16" s="1"/>
      <c r="D16" s="6" t="s">
        <v>78</v>
      </c>
      <c r="E16" s="6"/>
      <c r="F16" s="1">
        <f>(1-(NORMDIST(ABS(F15),0,1,TRUE)))</f>
        <v>0.24799041313856329</v>
      </c>
      <c r="G16" s="1"/>
      <c r="H16" s="1"/>
      <c r="I16" s="1"/>
      <c r="J16" s="1"/>
      <c r="K16" s="6" t="s">
        <v>78</v>
      </c>
      <c r="L16" s="6"/>
      <c r="M16" s="1">
        <f>(1-(NORMDIST(ABS(M15),0,1,TRUE)))</f>
        <v>0.24799041313856329</v>
      </c>
      <c r="N16" s="1"/>
    </row>
    <row r="17" spans="1:14">
      <c r="A17" s="1"/>
      <c r="B17" s="1"/>
      <c r="C17" s="1"/>
      <c r="D17" s="6" t="s">
        <v>79</v>
      </c>
      <c r="E17" s="6"/>
      <c r="F17" s="1">
        <f>(1-(NORMDIST(ABS(F15),0,1,TRUE)))*2</f>
        <v>0.49598082627712659</v>
      </c>
      <c r="G17" s="1"/>
      <c r="H17" s="1"/>
      <c r="I17" s="1"/>
      <c r="J17" s="1"/>
      <c r="K17" s="6" t="s">
        <v>79</v>
      </c>
      <c r="L17" s="6"/>
      <c r="M17" s="1">
        <f>(1-(NORMDIST(ABS(M15),0,1,TRUE)))*2</f>
        <v>0.49598082627712659</v>
      </c>
      <c r="N17" s="1"/>
    </row>
  </sheetData>
  <mergeCells count="19">
    <mergeCell ref="D15:E15"/>
    <mergeCell ref="K15:L15"/>
    <mergeCell ref="D16:E16"/>
    <mergeCell ref="K16:L16"/>
    <mergeCell ref="D17:E17"/>
    <mergeCell ref="K17:L17"/>
    <mergeCell ref="D12:E12"/>
    <mergeCell ref="K12:L12"/>
    <mergeCell ref="D13:E13"/>
    <mergeCell ref="K13:L13"/>
    <mergeCell ref="D14:E14"/>
    <mergeCell ref="K14:L14"/>
    <mergeCell ref="D11:E11"/>
    <mergeCell ref="K11:L11"/>
    <mergeCell ref="D9:E9"/>
    <mergeCell ref="G9:H9"/>
    <mergeCell ref="K9:L9"/>
    <mergeCell ref="D10:E10"/>
    <mergeCell ref="K10:L10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Study Characteristics</vt:lpstr>
      <vt:lpstr>Outcomes</vt:lpstr>
      <vt:lpstr>Jain 2010</vt:lpstr>
      <vt:lpstr>Boisson 2013</vt:lpstr>
      <vt:lpstr>Pooled LPR - All ages</vt:lpstr>
      <vt:lpstr>Pooled LPR - &lt; 5</vt:lpstr>
    </vt:vector>
  </TitlesOfParts>
  <Company>GiveWell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Marcus</dc:creator>
  <cp:lastModifiedBy>Jake Marcus</cp:lastModifiedBy>
  <dcterms:created xsi:type="dcterms:W3CDTF">2013-10-07T19:47:03Z</dcterms:created>
  <dcterms:modified xsi:type="dcterms:W3CDTF">2013-10-11T21:24:28Z</dcterms:modified>
</cp:coreProperties>
</file>